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I:\PROJETOS PREFEITURA\OBRAS\PAVIMENTAÇÃO ASFÁLTICA - CD\TRECHO 2.6 - SÃO PAULO - ÁGUA PRETINHA\licitação 08_2021\2 - Planilhas\RV03 NOV_2021\"/>
    </mc:Choice>
  </mc:AlternateContent>
  <bookViews>
    <workbookView xWindow="0" yWindow="0" windowWidth="24000" windowHeight="9735" tabRatio="853" firstSheet="1" activeTab="1"/>
  </bookViews>
  <sheets>
    <sheet name="Quantidades" sheetId="76" r:id="rId1"/>
    <sheet name="Resumo" sheetId="22" r:id="rId2"/>
    <sheet name="Planilha" sheetId="7" r:id="rId3"/>
    <sheet name="Cronograma Fís-Financeiro" sheetId="77" r:id="rId4"/>
    <sheet name="Cronograma Físico" sheetId="75" r:id="rId5"/>
    <sheet name="Memória" sheetId="6" r:id="rId6"/>
    <sheet name="DER 11-20" sheetId="1" state="hidden" r:id="rId7"/>
    <sheet name="equip." sheetId="2" state="hidden" r:id="rId8"/>
    <sheet name="m.o." sheetId="3" state="hidden" r:id="rId9"/>
    <sheet name="mat." sheetId="4" state="hidden" r:id="rId10"/>
    <sheet name="transp." sheetId="5" state="hidden" r:id="rId11"/>
    <sheet name="Dis" sheetId="27" r:id="rId12"/>
    <sheet name="43069" sheetId="24" state="hidden" r:id="rId13"/>
    <sheet name="42981" sheetId="35" state="hidden" r:id="rId14"/>
    <sheet name="42714" sheetId="36" state="hidden" r:id="rId15"/>
    <sheet name="ST01" sheetId="37" state="hidden" r:id="rId16"/>
    <sheet name="ST02" sheetId="38" state="hidden" r:id="rId17"/>
    <sheet name="42779" sheetId="39" state="hidden" r:id="rId18"/>
    <sheet name="42783" sheetId="42" state="hidden" r:id="rId19"/>
    <sheet name="40514" sheetId="40" state="hidden" r:id="rId20"/>
    <sheet name="40515" sheetId="44" state="hidden" r:id="rId21"/>
    <sheet name="003" sheetId="29" state="hidden" r:id="rId22"/>
    <sheet name="005" sheetId="31" state="hidden" r:id="rId23"/>
    <sheet name="006" sheetId="28" state="hidden" r:id="rId24"/>
    <sheet name="Mapa" sheetId="32" state="hidden" r:id="rId25"/>
    <sheet name="CX" sheetId="23" state="hidden" r:id="rId26"/>
    <sheet name="42611" sheetId="41" state="hidden" r:id="rId27"/>
    <sheet name="40313" sheetId="47" state="hidden" r:id="rId28"/>
    <sheet name="40351" sheetId="45" state="hidden" r:id="rId29"/>
    <sheet name="40358" sheetId="46" state="hidden" r:id="rId30"/>
    <sheet name="Compos DER" sheetId="52" r:id="rId31"/>
    <sheet name="Composições" sheetId="53" r:id="rId32"/>
  </sheets>
  <externalReferences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xlnm._FilterDatabase" localSheetId="30" hidden="1">'Compos DER'!$L$1:$L$3767</definedName>
    <definedName name="_xlnm._FilterDatabase" localSheetId="31" hidden="1">Composições!$L$1:$L$43</definedName>
    <definedName name="_xlnm._FilterDatabase" localSheetId="6" hidden="1">'DER 11-20'!$C$1:$C$1649</definedName>
    <definedName name="_xlnm._FilterDatabase" localSheetId="5" hidden="1">Memória!#REF!</definedName>
    <definedName name="_xlnm.Print_Area" localSheetId="30">'Compos DER'!$A$5:$I$4595</definedName>
    <definedName name="_xlnm.Print_Area" localSheetId="31">Composições!$A$5:$I$763</definedName>
    <definedName name="_xlnm.Print_Area" localSheetId="3">'Cronograma Fís-Financeiro'!$A$1:$T$28</definedName>
    <definedName name="_xlnm.Print_Area" localSheetId="4">'Cronograma Físico'!$A$1:$S$25</definedName>
    <definedName name="_xlnm.Print_Area" localSheetId="5">Memória!$A$1:$R$613</definedName>
    <definedName name="_xlnm.Print_Area" localSheetId="2">Planilha!$A$1:$G$220</definedName>
    <definedName name="_xlnm.Print_Area" localSheetId="0">Quantidades!$A$1:$E$214</definedName>
    <definedName name="_xlnm.Print_Area" localSheetId="1">Resumo!$A$1:$D$12</definedName>
    <definedName name="_xlnm.Print_Area" localSheetId="10">transp.!$A$1:$D$55</definedName>
    <definedName name="_xlnm.Print_Titles" localSheetId="5">Memória!$1:$4</definedName>
    <definedName name="_xlnm.Print_Titles" localSheetId="2">Planilha!$1:$4</definedName>
    <definedName name="_xlnm.Print_Titles" localSheetId="0">Quantidades!$1:$4</definedName>
  </definedNames>
  <calcPr calcId="152511" iterateDelta="1E-4" fullPrecision="0"/>
</workbook>
</file>

<file path=xl/calcChain.xml><?xml version="1.0" encoding="utf-8"?>
<calcChain xmlns="http://schemas.openxmlformats.org/spreadsheetml/2006/main">
  <c r="T27" i="77" l="1"/>
  <c r="B8" i="77"/>
  <c r="F36" i="7"/>
  <c r="F35" i="7"/>
  <c r="F34" i="7"/>
  <c r="F32" i="7"/>
  <c r="F31" i="7"/>
  <c r="F30" i="7"/>
  <c r="F94" i="7"/>
  <c r="F93" i="7"/>
  <c r="F92" i="7"/>
  <c r="F88" i="7"/>
  <c r="F70" i="7"/>
  <c r="C100" i="76" l="1"/>
  <c r="B100" i="76"/>
  <c r="C99" i="76"/>
  <c r="B99" i="76"/>
  <c r="C98" i="76"/>
  <c r="B98" i="76"/>
  <c r="O274" i="6"/>
  <c r="T273" i="6" s="1"/>
  <c r="D99" i="76" s="1"/>
  <c r="Z273" i="6"/>
  <c r="U273" i="6"/>
  <c r="S273" i="6"/>
  <c r="E99" i="76" s="1"/>
  <c r="N273" i="6"/>
  <c r="S272" i="6"/>
  <c r="C98" i="7"/>
  <c r="B98" i="7"/>
  <c r="I1318" i="52"/>
  <c r="I1313" i="52"/>
  <c r="I1314" i="52" s="1"/>
  <c r="D1309" i="52"/>
  <c r="I1309" i="52" s="1"/>
  <c r="I1310" i="52" s="1"/>
  <c r="C1309" i="52"/>
  <c r="A1309" i="52"/>
  <c r="I1298" i="52"/>
  <c r="I1301" i="52" s="1"/>
  <c r="I1302" i="52" s="1"/>
  <c r="I1294" i="52"/>
  <c r="M1290" i="52"/>
  <c r="L1290" i="52"/>
  <c r="I1290" i="52"/>
  <c r="A1290" i="52"/>
  <c r="I1289" i="52"/>
  <c r="A1289" i="52"/>
  <c r="A1288" i="52"/>
  <c r="F1177" i="52"/>
  <c r="E1177" i="52"/>
  <c r="D1177" i="52"/>
  <c r="C1177" i="52"/>
  <c r="A1177" i="52"/>
  <c r="J42" i="5"/>
  <c r="I42" i="5"/>
  <c r="H42" i="5"/>
  <c r="C1172" i="52"/>
  <c r="A1172" i="52"/>
  <c r="J55" i="5"/>
  <c r="I55" i="5"/>
  <c r="H55" i="5"/>
  <c r="G4568" i="52"/>
  <c r="F4568" i="52"/>
  <c r="C4568" i="52"/>
  <c r="A4568" i="52"/>
  <c r="G4567" i="52"/>
  <c r="F4567" i="52"/>
  <c r="C4567" i="52"/>
  <c r="A4567" i="52"/>
  <c r="F4594" i="52"/>
  <c r="D4590" i="52"/>
  <c r="C4590" i="52"/>
  <c r="A4590" i="52"/>
  <c r="I4587" i="52"/>
  <c r="D4582" i="52"/>
  <c r="I4582" i="52" s="1"/>
  <c r="C4582" i="52"/>
  <c r="A4582" i="52"/>
  <c r="G4566" i="52"/>
  <c r="F4566" i="52"/>
  <c r="C4566" i="52"/>
  <c r="A4566" i="52"/>
  <c r="M4563" i="52"/>
  <c r="L4563" i="52"/>
  <c r="I4563" i="52"/>
  <c r="A4563" i="52"/>
  <c r="I4562" i="52"/>
  <c r="A4562" i="52"/>
  <c r="A4561" i="52"/>
  <c r="D1154" i="52"/>
  <c r="I1154" i="52" s="1"/>
  <c r="C1154" i="52"/>
  <c r="A1154" i="52"/>
  <c r="K42" i="5" l="1"/>
  <c r="T272" i="6"/>
  <c r="I1304" i="52"/>
  <c r="I1306" i="52" s="1"/>
  <c r="I1320" i="52" s="1"/>
  <c r="I1321" i="52" s="1"/>
  <c r="K1290" i="52" s="1"/>
  <c r="G4590" i="52"/>
  <c r="I4590" i="52" s="1"/>
  <c r="G1177" i="52"/>
  <c r="I1177" i="52" s="1"/>
  <c r="K55" i="5"/>
  <c r="I4568" i="52"/>
  <c r="I4567" i="52"/>
  <c r="I4583" i="52"/>
  <c r="I4566" i="52"/>
  <c r="C99" i="7"/>
  <c r="B99" i="7"/>
  <c r="O271" i="6"/>
  <c r="T269" i="6" s="1"/>
  <c r="Z270" i="6"/>
  <c r="U270" i="6"/>
  <c r="S270" i="6"/>
  <c r="E98" i="76" s="1"/>
  <c r="N270" i="6"/>
  <c r="S269" i="6"/>
  <c r="B94" i="7"/>
  <c r="S261" i="6"/>
  <c r="O261" i="6"/>
  <c r="T260" i="6" s="1"/>
  <c r="D94" i="7" s="1"/>
  <c r="S260" i="6"/>
  <c r="E94" i="7" s="1"/>
  <c r="N260" i="6"/>
  <c r="C260" i="6"/>
  <c r="S259" i="6" s="1"/>
  <c r="B87" i="7"/>
  <c r="I4569" i="52" l="1"/>
  <c r="I4577" i="52" s="1"/>
  <c r="I4579" i="52" s="1"/>
  <c r="I4591" i="52"/>
  <c r="T270" i="6"/>
  <c r="D98" i="76" s="1"/>
  <c r="C94" i="7"/>
  <c r="T259" i="6"/>
  <c r="D103" i="53"/>
  <c r="I4593" i="52" l="1"/>
  <c r="I4594" i="52" s="1"/>
  <c r="I4595" i="52" s="1"/>
  <c r="K4563" i="52" s="1"/>
  <c r="I179" i="53" l="1"/>
  <c r="G179" i="53"/>
  <c r="F4357" i="52" l="1"/>
  <c r="E4357" i="52"/>
  <c r="G4357" i="52" s="1"/>
  <c r="I4357" i="52" s="1"/>
  <c r="I184" i="52"/>
  <c r="I185" i="52" s="1"/>
  <c r="F184" i="52"/>
  <c r="F713" i="1" l="1"/>
  <c r="G713" i="1" s="1"/>
  <c r="F689" i="1"/>
  <c r="G689" i="1" s="1"/>
  <c r="F688" i="1"/>
  <c r="G688" i="1" s="1"/>
  <c r="F687" i="1"/>
  <c r="G687" i="1" s="1"/>
  <c r="T7" i="77" l="1"/>
  <c r="T10" i="77"/>
  <c r="T25" i="77"/>
  <c r="T22" i="77"/>
  <c r="T16" i="77"/>
  <c r="T19" i="77"/>
  <c r="T13" i="77"/>
  <c r="D91" i="53" l="1"/>
  <c r="D90" i="53"/>
  <c r="D54" i="53"/>
  <c r="D53" i="53"/>
  <c r="D16" i="53"/>
  <c r="D14" i="53"/>
  <c r="F4559" i="52" l="1"/>
  <c r="D4538" i="52"/>
  <c r="I4538" i="52" s="1"/>
  <c r="I4539" i="52" s="1"/>
  <c r="I4542" i="52" s="1"/>
  <c r="I4543" i="52" s="1"/>
  <c r="C4538" i="52"/>
  <c r="A4538" i="52"/>
  <c r="G4534" i="52"/>
  <c r="F4534" i="52"/>
  <c r="C4534" i="52"/>
  <c r="A4534" i="52"/>
  <c r="G4533" i="52"/>
  <c r="F4533" i="52"/>
  <c r="C4533" i="52"/>
  <c r="A4533" i="52"/>
  <c r="G4532" i="52"/>
  <c r="F4532" i="52"/>
  <c r="C4532" i="52"/>
  <c r="A4532" i="52"/>
  <c r="I4528" i="52"/>
  <c r="A4528" i="52"/>
  <c r="A4527" i="52"/>
  <c r="F1178" i="52"/>
  <c r="E1178" i="52"/>
  <c r="F1176" i="52"/>
  <c r="E1176" i="52"/>
  <c r="O18" i="6"/>
  <c r="N16" i="6"/>
  <c r="C16" i="6"/>
  <c r="O14" i="6"/>
  <c r="N12" i="6"/>
  <c r="C12" i="6"/>
  <c r="C8" i="6"/>
  <c r="N8" i="6"/>
  <c r="I4534" i="52" l="1"/>
  <c r="I4533" i="52"/>
  <c r="I4532" i="52"/>
  <c r="C13" i="22"/>
  <c r="I4535" i="52" l="1"/>
  <c r="I4545" i="52" s="1"/>
  <c r="I4547" i="52" s="1"/>
  <c r="I4558" i="52" s="1"/>
  <c r="A4093" i="52"/>
  <c r="A4094" i="52"/>
  <c r="I4094" i="52"/>
  <c r="L4094" i="52"/>
  <c r="M4094" i="52"/>
  <c r="A4095" i="52"/>
  <c r="I4095" i="52"/>
  <c r="A4101" i="52"/>
  <c r="C4101" i="52"/>
  <c r="D4101" i="52"/>
  <c r="I4101" i="52" s="1"/>
  <c r="A4102" i="52"/>
  <c r="C4102" i="52"/>
  <c r="D4102" i="52"/>
  <c r="I4102" i="52" s="1"/>
  <c r="I4118" i="52"/>
  <c r="F4124" i="52"/>
  <c r="F3506" i="52"/>
  <c r="F3507" i="52"/>
  <c r="F3505" i="52"/>
  <c r="E3506" i="52"/>
  <c r="E3507" i="52"/>
  <c r="E3505" i="52"/>
  <c r="D3507" i="52"/>
  <c r="C3507" i="52"/>
  <c r="A3507" i="52"/>
  <c r="D3506" i="52"/>
  <c r="C3506" i="52"/>
  <c r="A3506" i="52"/>
  <c r="D3505" i="52"/>
  <c r="C3505" i="52"/>
  <c r="A3505" i="52"/>
  <c r="F3511" i="52"/>
  <c r="I3502" i="52"/>
  <c r="D3497" i="52"/>
  <c r="I3497" i="52" s="1"/>
  <c r="C3497" i="52"/>
  <c r="A3497" i="52"/>
  <c r="D3496" i="52"/>
  <c r="I3496" i="52" s="1"/>
  <c r="C3496" i="52"/>
  <c r="A3496" i="52"/>
  <c r="D3495" i="52"/>
  <c r="I3495" i="52" s="1"/>
  <c r="C3495" i="52"/>
  <c r="A3495" i="52"/>
  <c r="D3483" i="52"/>
  <c r="I3483" i="52" s="1"/>
  <c r="C3483" i="52"/>
  <c r="A3483" i="52"/>
  <c r="D3482" i="52"/>
  <c r="I3482" i="52" s="1"/>
  <c r="C3482" i="52"/>
  <c r="A3482" i="52"/>
  <c r="G3478" i="52"/>
  <c r="F3478" i="52"/>
  <c r="C3478" i="52"/>
  <c r="A3478" i="52"/>
  <c r="G3477" i="52"/>
  <c r="F3477" i="52"/>
  <c r="C3477" i="52"/>
  <c r="A3477" i="52"/>
  <c r="I3474" i="52"/>
  <c r="A3474" i="52"/>
  <c r="M3473" i="52"/>
  <c r="L3473" i="52"/>
  <c r="I3473" i="52"/>
  <c r="A3473" i="52"/>
  <c r="A3472" i="52"/>
  <c r="I4559" i="52" l="1"/>
  <c r="I4560" i="52" s="1"/>
  <c r="K4528" i="52" s="1"/>
  <c r="I4103" i="52"/>
  <c r="I4106" i="52" s="1"/>
  <c r="I4107" i="52" s="1"/>
  <c r="I4109" i="52" s="1"/>
  <c r="G3507" i="52"/>
  <c r="I3507" i="52" s="1"/>
  <c r="G3505" i="52"/>
  <c r="I3505" i="52" s="1"/>
  <c r="G3506" i="52"/>
  <c r="I3506" i="52" s="1"/>
  <c r="I3478" i="52"/>
  <c r="I3477" i="52"/>
  <c r="I3484" i="52"/>
  <c r="I3487" i="52" s="1"/>
  <c r="I3488" i="52" s="1"/>
  <c r="I3498" i="52"/>
  <c r="F3347" i="52"/>
  <c r="E3347" i="52"/>
  <c r="D3327" i="52"/>
  <c r="I3327" i="52" s="1"/>
  <c r="C3327" i="52"/>
  <c r="A3327" i="52"/>
  <c r="D750" i="53"/>
  <c r="I750" i="53" s="1"/>
  <c r="C750" i="53"/>
  <c r="A750" i="53"/>
  <c r="D749" i="53"/>
  <c r="I749" i="53" s="1"/>
  <c r="C749" i="53"/>
  <c r="A749" i="53"/>
  <c r="D748" i="53"/>
  <c r="I748" i="53" s="1"/>
  <c r="C748" i="53"/>
  <c r="A748" i="53"/>
  <c r="D747" i="53"/>
  <c r="I747" i="53" s="1"/>
  <c r="C747" i="53"/>
  <c r="A747" i="53"/>
  <c r="D746" i="53"/>
  <c r="I746" i="53" s="1"/>
  <c r="C746" i="53"/>
  <c r="A746" i="53"/>
  <c r="D745" i="53"/>
  <c r="I745" i="53" s="1"/>
  <c r="C745" i="53"/>
  <c r="A745" i="53"/>
  <c r="C755" i="53"/>
  <c r="A755" i="53"/>
  <c r="C754" i="53"/>
  <c r="A754" i="53"/>
  <c r="D733" i="53"/>
  <c r="I733" i="53" s="1"/>
  <c r="C733" i="53"/>
  <c r="A733" i="53"/>
  <c r="D732" i="53"/>
  <c r="I732" i="53" s="1"/>
  <c r="C732" i="53"/>
  <c r="A732" i="53"/>
  <c r="I726" i="53"/>
  <c r="A726" i="53"/>
  <c r="A725" i="53"/>
  <c r="B181" i="7"/>
  <c r="C715" i="53"/>
  <c r="A715" i="53"/>
  <c r="C682" i="53"/>
  <c r="A682" i="53"/>
  <c r="C649" i="53"/>
  <c r="A649" i="53"/>
  <c r="C714" i="53"/>
  <c r="A714" i="53"/>
  <c r="C713" i="53"/>
  <c r="A713" i="53"/>
  <c r="D699" i="53"/>
  <c r="I699" i="53" s="1"/>
  <c r="I700" i="53" s="1"/>
  <c r="I705" i="53" s="1"/>
  <c r="I707" i="53" s="1"/>
  <c r="C699" i="53"/>
  <c r="A699" i="53"/>
  <c r="I693" i="53"/>
  <c r="A693" i="53"/>
  <c r="A692" i="53"/>
  <c r="C681" i="53"/>
  <c r="A681" i="53"/>
  <c r="C680" i="53"/>
  <c r="A680" i="53"/>
  <c r="D666" i="53"/>
  <c r="I666" i="53" s="1"/>
  <c r="I667" i="53" s="1"/>
  <c r="I672" i="53" s="1"/>
  <c r="I674" i="53" s="1"/>
  <c r="C666" i="53"/>
  <c r="A666" i="53"/>
  <c r="I660" i="53"/>
  <c r="A660" i="53"/>
  <c r="A659" i="53"/>
  <c r="C648" i="53"/>
  <c r="A648" i="53"/>
  <c r="C647" i="53"/>
  <c r="A647" i="53"/>
  <c r="D633" i="53"/>
  <c r="I633" i="53" s="1"/>
  <c r="I634" i="53" s="1"/>
  <c r="I639" i="53" s="1"/>
  <c r="I641" i="53" s="1"/>
  <c r="C633" i="53"/>
  <c r="A633" i="53"/>
  <c r="I627" i="53"/>
  <c r="A627" i="53"/>
  <c r="A626" i="53"/>
  <c r="F3315" i="52"/>
  <c r="C3308" i="52"/>
  <c r="A3308" i="52"/>
  <c r="C3307" i="52"/>
  <c r="A3307" i="52"/>
  <c r="M3288" i="52"/>
  <c r="L3288" i="52"/>
  <c r="I3288" i="52"/>
  <c r="A3288" i="52"/>
  <c r="I3287" i="52"/>
  <c r="A3287" i="52"/>
  <c r="A3286" i="52"/>
  <c r="C3236" i="52"/>
  <c r="A3236" i="52"/>
  <c r="C3235" i="52"/>
  <c r="A3235" i="52"/>
  <c r="C3234" i="52"/>
  <c r="A3234" i="52"/>
  <c r="C3233" i="52"/>
  <c r="A3233" i="52"/>
  <c r="C3168" i="52"/>
  <c r="A3168" i="52"/>
  <c r="D3053" i="52"/>
  <c r="I3053" i="52" s="1"/>
  <c r="I3054" i="52" s="1"/>
  <c r="C3053" i="52"/>
  <c r="A3053" i="52"/>
  <c r="C616" i="53"/>
  <c r="A616" i="53"/>
  <c r="C615" i="53"/>
  <c r="A615" i="53"/>
  <c r="D601" i="53"/>
  <c r="I601" i="53" s="1"/>
  <c r="I602" i="53" s="1"/>
  <c r="I607" i="53" s="1"/>
  <c r="I609" i="53" s="1"/>
  <c r="C601" i="53"/>
  <c r="A601" i="53"/>
  <c r="I595" i="53"/>
  <c r="A595" i="53"/>
  <c r="A594" i="53"/>
  <c r="F2993" i="52"/>
  <c r="I2990" i="52"/>
  <c r="C2985" i="52"/>
  <c r="A2985" i="52"/>
  <c r="C2984" i="52"/>
  <c r="A2984" i="52"/>
  <c r="I2981" i="52"/>
  <c r="I2975" i="52"/>
  <c r="I2977" i="52" s="1"/>
  <c r="M2964" i="52"/>
  <c r="L2964" i="52"/>
  <c r="I2964" i="52"/>
  <c r="A2964" i="52"/>
  <c r="I2963" i="52"/>
  <c r="A2963" i="52"/>
  <c r="A2962" i="52"/>
  <c r="I751" i="53" l="1"/>
  <c r="I4111" i="52"/>
  <c r="I4123" i="52" s="1"/>
  <c r="D3651" i="52" s="1"/>
  <c r="I3508" i="52"/>
  <c r="I3479" i="52"/>
  <c r="I3490" i="52" s="1"/>
  <c r="I3492" i="52" s="1"/>
  <c r="F205" i="1"/>
  <c r="I734" i="53"/>
  <c r="C584" i="53"/>
  <c r="A584" i="53"/>
  <c r="C583" i="53"/>
  <c r="A583" i="53"/>
  <c r="D566" i="53"/>
  <c r="I566" i="53" s="1"/>
  <c r="C566" i="53"/>
  <c r="A566" i="53"/>
  <c r="C582" i="53"/>
  <c r="A582" i="53"/>
  <c r="C581" i="53"/>
  <c r="A581" i="53"/>
  <c r="C580" i="53"/>
  <c r="A580" i="53"/>
  <c r="D565" i="53"/>
  <c r="I565" i="53" s="1"/>
  <c r="C565" i="53"/>
  <c r="A565" i="53"/>
  <c r="I559" i="53"/>
  <c r="A559" i="53"/>
  <c r="A558" i="53"/>
  <c r="C548" i="53"/>
  <c r="A548" i="53"/>
  <c r="C547" i="53"/>
  <c r="A547" i="53"/>
  <c r="C546" i="53"/>
  <c r="A546" i="53"/>
  <c r="D532" i="53"/>
  <c r="I532" i="53" s="1"/>
  <c r="I533" i="53" s="1"/>
  <c r="I538" i="53" s="1"/>
  <c r="I540" i="53" s="1"/>
  <c r="C532" i="53"/>
  <c r="A532" i="53"/>
  <c r="I526" i="53"/>
  <c r="A526" i="53"/>
  <c r="A525" i="53"/>
  <c r="D2908" i="52"/>
  <c r="I2908" i="52" s="1"/>
  <c r="I2909" i="52" s="1"/>
  <c r="C2908" i="52"/>
  <c r="A2908" i="52"/>
  <c r="D2896" i="52"/>
  <c r="I2896" i="52" s="1"/>
  <c r="C2896" i="52"/>
  <c r="A2896" i="52"/>
  <c r="F2922" i="52"/>
  <c r="I2918" i="52"/>
  <c r="I2919" i="52" s="1"/>
  <c r="C2914" i="52"/>
  <c r="A2914" i="52"/>
  <c r="C2913" i="52"/>
  <c r="A2913" i="52"/>
  <c r="C2912" i="52"/>
  <c r="A2912" i="52"/>
  <c r="D2895" i="52"/>
  <c r="I2895" i="52" s="1"/>
  <c r="C2895" i="52"/>
  <c r="A2895" i="52"/>
  <c r="I2892" i="52"/>
  <c r="M2888" i="52"/>
  <c r="L2888" i="52"/>
  <c r="I2888" i="52"/>
  <c r="A2888" i="52"/>
  <c r="I2887" i="52"/>
  <c r="A2887" i="52"/>
  <c r="A2886" i="52"/>
  <c r="F2884" i="52"/>
  <c r="I2880" i="52"/>
  <c r="I2881" i="52" s="1"/>
  <c r="C2876" i="52"/>
  <c r="A2876" i="52"/>
  <c r="C2875" i="52"/>
  <c r="A2875" i="52"/>
  <c r="C2874" i="52"/>
  <c r="A2874" i="52"/>
  <c r="C2873" i="52"/>
  <c r="A2873" i="52"/>
  <c r="I2869" i="52"/>
  <c r="I2870" i="52" s="1"/>
  <c r="D2857" i="52"/>
  <c r="I2857" i="52" s="1"/>
  <c r="I2858" i="52" s="1"/>
  <c r="I2861" i="52" s="1"/>
  <c r="I2862" i="52" s="1"/>
  <c r="C2857" i="52"/>
  <c r="A2857" i="52"/>
  <c r="I2854" i="52"/>
  <c r="M2850" i="52"/>
  <c r="L2850" i="52"/>
  <c r="I2850" i="52"/>
  <c r="A2850" i="52"/>
  <c r="I2849" i="52"/>
  <c r="A2849" i="52"/>
  <c r="A2848" i="52"/>
  <c r="D499" i="53"/>
  <c r="I499" i="53" s="1"/>
  <c r="I500" i="53" s="1"/>
  <c r="I505" i="53" s="1"/>
  <c r="I507" i="53" s="1"/>
  <c r="C499" i="53"/>
  <c r="A499" i="53"/>
  <c r="C515" i="53"/>
  <c r="A515" i="53"/>
  <c r="C514" i="53"/>
  <c r="A514" i="53"/>
  <c r="C513" i="53"/>
  <c r="A513" i="53"/>
  <c r="I493" i="53"/>
  <c r="A493" i="53"/>
  <c r="A492" i="53"/>
  <c r="F4524" i="52"/>
  <c r="F4520" i="52"/>
  <c r="E4520" i="52"/>
  <c r="D4520" i="52"/>
  <c r="C4520" i="52"/>
  <c r="A4520" i="52"/>
  <c r="F4519" i="52"/>
  <c r="E4519" i="52"/>
  <c r="D4519" i="52"/>
  <c r="C4519" i="52"/>
  <c r="A4519" i="52"/>
  <c r="F4518" i="52"/>
  <c r="E4518" i="52"/>
  <c r="D4518" i="52"/>
  <c r="C4518" i="52"/>
  <c r="A4518" i="52"/>
  <c r="I4515" i="52"/>
  <c r="D4510" i="52"/>
  <c r="I4510" i="52" s="1"/>
  <c r="C4510" i="52"/>
  <c r="A4510" i="52"/>
  <c r="D4509" i="52"/>
  <c r="I4509" i="52" s="1"/>
  <c r="C4509" i="52"/>
  <c r="A4509" i="52"/>
  <c r="D4508" i="52"/>
  <c r="I4508" i="52" s="1"/>
  <c r="C4508" i="52"/>
  <c r="A4508" i="52"/>
  <c r="D4496" i="52"/>
  <c r="I4496" i="52" s="1"/>
  <c r="C4496" i="52"/>
  <c r="A4496" i="52"/>
  <c r="D4495" i="52"/>
  <c r="I4495" i="52" s="1"/>
  <c r="C4495" i="52"/>
  <c r="A4495" i="52"/>
  <c r="D4494" i="52"/>
  <c r="I4494" i="52" s="1"/>
  <c r="C4494" i="52"/>
  <c r="A4494" i="52"/>
  <c r="G4490" i="52"/>
  <c r="F4490" i="52"/>
  <c r="C4490" i="52"/>
  <c r="A4490" i="52"/>
  <c r="G4489" i="52"/>
  <c r="F4489" i="52"/>
  <c r="C4489" i="52"/>
  <c r="A4489" i="52"/>
  <c r="G4488" i="52"/>
  <c r="F4488" i="52"/>
  <c r="C4488" i="52"/>
  <c r="A4488" i="52"/>
  <c r="I4485" i="52"/>
  <c r="A4485" i="52"/>
  <c r="M4484" i="52"/>
  <c r="L4484" i="52"/>
  <c r="I4484" i="52"/>
  <c r="A4484" i="52"/>
  <c r="A4483" i="52"/>
  <c r="C482" i="53"/>
  <c r="A482" i="53"/>
  <c r="C481" i="53"/>
  <c r="A481" i="53"/>
  <c r="C480" i="53"/>
  <c r="A480" i="53"/>
  <c r="I472" i="53"/>
  <c r="I474" i="53" s="1"/>
  <c r="I461" i="53"/>
  <c r="A461" i="53"/>
  <c r="A460" i="53"/>
  <c r="I4124" i="52" l="1"/>
  <c r="I4125" i="52" s="1"/>
  <c r="K4094" i="52" s="1"/>
  <c r="I3510" i="52"/>
  <c r="I3511" i="52" s="1"/>
  <c r="I3512" i="52" s="1"/>
  <c r="K3473" i="52" s="1"/>
  <c r="I737" i="53"/>
  <c r="I738" i="53" s="1"/>
  <c r="I740" i="53" s="1"/>
  <c r="I742" i="53" s="1"/>
  <c r="I3299" i="52"/>
  <c r="I3301" i="52" s="1"/>
  <c r="I567" i="53"/>
  <c r="I572" i="53" s="1"/>
  <c r="I574" i="53" s="1"/>
  <c r="I4490" i="52"/>
  <c r="I2897" i="52"/>
  <c r="I2900" i="52" s="1"/>
  <c r="I2901" i="52" s="1"/>
  <c r="G4520" i="52"/>
  <c r="I4520" i="52" s="1"/>
  <c r="I4511" i="52"/>
  <c r="I2864" i="52"/>
  <c r="I2866" i="52" s="1"/>
  <c r="I4489" i="52"/>
  <c r="G4519" i="52"/>
  <c r="I4519" i="52" s="1"/>
  <c r="I4488" i="52"/>
  <c r="G4518" i="52"/>
  <c r="I4518" i="52" s="1"/>
  <c r="I4497" i="52"/>
  <c r="I4500" i="52" s="1"/>
  <c r="I4501" i="52" s="1"/>
  <c r="F4476" i="52"/>
  <c r="E4476" i="52"/>
  <c r="D4476" i="52"/>
  <c r="C4476" i="52"/>
  <c r="A4476" i="52"/>
  <c r="D4467" i="52"/>
  <c r="I4467" i="52" s="1"/>
  <c r="C4467" i="52"/>
  <c r="A4467" i="52"/>
  <c r="I4491" i="52" l="1"/>
  <c r="I4503" i="52" s="1"/>
  <c r="I4505" i="52" s="1"/>
  <c r="I2903" i="52"/>
  <c r="I2905" i="52" s="1"/>
  <c r="I4521" i="52"/>
  <c r="G4476" i="52"/>
  <c r="I4476" i="52" s="1"/>
  <c r="D4453" i="52"/>
  <c r="I4453" i="52" s="1"/>
  <c r="C4453" i="52"/>
  <c r="A4453" i="52"/>
  <c r="C2838" i="52"/>
  <c r="A2838" i="52"/>
  <c r="D2819" i="52"/>
  <c r="I2819" i="52" s="1"/>
  <c r="I2820" i="52" s="1"/>
  <c r="C2819" i="52"/>
  <c r="A2819" i="52"/>
  <c r="F2846" i="52"/>
  <c r="I2842" i="52"/>
  <c r="I2843" i="52" s="1"/>
  <c r="C2837" i="52"/>
  <c r="A2837" i="52"/>
  <c r="C2836" i="52"/>
  <c r="A2836" i="52"/>
  <c r="C2835" i="52"/>
  <c r="A2835" i="52"/>
  <c r="I2831" i="52"/>
  <c r="I2832" i="52" s="1"/>
  <c r="I2816" i="52"/>
  <c r="M2812" i="52"/>
  <c r="L2812" i="52"/>
  <c r="I2812" i="52"/>
  <c r="A2812" i="52"/>
  <c r="I2811" i="52"/>
  <c r="A2811" i="52"/>
  <c r="A2810" i="52"/>
  <c r="Z446" i="6"/>
  <c r="U446" i="6"/>
  <c r="S447" i="6"/>
  <c r="D2713" i="52"/>
  <c r="I2713" i="52" s="1"/>
  <c r="C2713" i="52"/>
  <c r="A2713" i="52"/>
  <c r="D2712" i="52"/>
  <c r="I2712" i="52" s="1"/>
  <c r="C2712" i="52"/>
  <c r="A2712" i="52"/>
  <c r="D2711" i="52"/>
  <c r="I2711" i="52" s="1"/>
  <c r="C2711" i="52"/>
  <c r="A2711" i="52"/>
  <c r="G2707" i="52"/>
  <c r="F2707" i="52"/>
  <c r="C2707" i="52"/>
  <c r="A2707" i="52"/>
  <c r="F2734" i="52"/>
  <c r="I2725" i="52"/>
  <c r="M2704" i="52"/>
  <c r="L2704" i="52"/>
  <c r="I2704" i="52"/>
  <c r="A2704" i="52"/>
  <c r="I2703" i="52"/>
  <c r="A2703" i="52"/>
  <c r="A2702" i="52"/>
  <c r="F2700" i="52"/>
  <c r="I2697" i="52"/>
  <c r="C2692" i="52"/>
  <c r="A2692" i="52"/>
  <c r="C2691" i="52"/>
  <c r="A2691" i="52"/>
  <c r="C2690" i="52"/>
  <c r="A2690" i="52"/>
  <c r="C2689" i="52"/>
  <c r="A2689" i="52"/>
  <c r="C2688" i="52"/>
  <c r="A2688" i="52"/>
  <c r="I2685" i="52"/>
  <c r="I2679" i="52"/>
  <c r="I2681" i="52" s="1"/>
  <c r="M2668" i="52"/>
  <c r="L2668" i="52"/>
  <c r="I2668" i="52"/>
  <c r="A2668" i="52"/>
  <c r="I2667" i="52"/>
  <c r="A2667" i="52"/>
  <c r="A2666" i="52"/>
  <c r="C450" i="53"/>
  <c r="A450" i="53"/>
  <c r="C446" i="53"/>
  <c r="A446" i="53"/>
  <c r="C449" i="53"/>
  <c r="A449" i="53"/>
  <c r="C448" i="53"/>
  <c r="A448" i="53"/>
  <c r="C447" i="53"/>
  <c r="A447" i="53"/>
  <c r="I438" i="53"/>
  <c r="I440" i="53" s="1"/>
  <c r="I427" i="53"/>
  <c r="A427" i="53"/>
  <c r="A426" i="53"/>
  <c r="F2664" i="52"/>
  <c r="I2661" i="52"/>
  <c r="C2656" i="52"/>
  <c r="A2656" i="52"/>
  <c r="C2655" i="52"/>
  <c r="A2655" i="52"/>
  <c r="C2654" i="52"/>
  <c r="A2654" i="52"/>
  <c r="C2653" i="52"/>
  <c r="A2653" i="52"/>
  <c r="C2652" i="52"/>
  <c r="A2652" i="52"/>
  <c r="I2649" i="52"/>
  <c r="I2643" i="52"/>
  <c r="I2645" i="52" s="1"/>
  <c r="M2632" i="52"/>
  <c r="L2632" i="52"/>
  <c r="I2632" i="52"/>
  <c r="A2632" i="52"/>
  <c r="I2631" i="52"/>
  <c r="A2631" i="52"/>
  <c r="A2630" i="52"/>
  <c r="F2628" i="52"/>
  <c r="I2625" i="52"/>
  <c r="C2620" i="52"/>
  <c r="A2620" i="52"/>
  <c r="C2619" i="52"/>
  <c r="A2619" i="52"/>
  <c r="C2618" i="52"/>
  <c r="A2618" i="52"/>
  <c r="C2617" i="52"/>
  <c r="A2617" i="52"/>
  <c r="C2616" i="52"/>
  <c r="A2616" i="52"/>
  <c r="I2613" i="52"/>
  <c r="I2607" i="52"/>
  <c r="I2609" i="52" s="1"/>
  <c r="M2596" i="52"/>
  <c r="L2596" i="52"/>
  <c r="I2596" i="52"/>
  <c r="A2596" i="52"/>
  <c r="I2595" i="52"/>
  <c r="A2595" i="52"/>
  <c r="A2594" i="52"/>
  <c r="F2592" i="52"/>
  <c r="I2589" i="52"/>
  <c r="C2584" i="52"/>
  <c r="A2584" i="52"/>
  <c r="C2583" i="52"/>
  <c r="A2583" i="52"/>
  <c r="C2582" i="52"/>
  <c r="A2582" i="52"/>
  <c r="C2581" i="52"/>
  <c r="A2581" i="52"/>
  <c r="C2580" i="52"/>
  <c r="A2580" i="52"/>
  <c r="I2577" i="52"/>
  <c r="I2571" i="52"/>
  <c r="I2573" i="52" s="1"/>
  <c r="M2560" i="52"/>
  <c r="L2560" i="52"/>
  <c r="I2560" i="52"/>
  <c r="A2560" i="52"/>
  <c r="I2559" i="52"/>
  <c r="A2559" i="52"/>
  <c r="A2558" i="52"/>
  <c r="F2556" i="52"/>
  <c r="I2553" i="52"/>
  <c r="C2548" i="52"/>
  <c r="A2548" i="52"/>
  <c r="C2547" i="52"/>
  <c r="A2547" i="52"/>
  <c r="C2546" i="52"/>
  <c r="A2546" i="52"/>
  <c r="C2545" i="52"/>
  <c r="A2545" i="52"/>
  <c r="C2544" i="52"/>
  <c r="A2544" i="52"/>
  <c r="I2541" i="52"/>
  <c r="I2535" i="52"/>
  <c r="I2537" i="52" s="1"/>
  <c r="M2524" i="52"/>
  <c r="L2524" i="52"/>
  <c r="I2524" i="52"/>
  <c r="A2524" i="52"/>
  <c r="I2523" i="52"/>
  <c r="A2523" i="52"/>
  <c r="A2522" i="52"/>
  <c r="F2520" i="52"/>
  <c r="I2517" i="52"/>
  <c r="C2512" i="52"/>
  <c r="A2512" i="52"/>
  <c r="C2511" i="52"/>
  <c r="A2511" i="52"/>
  <c r="C2510" i="52"/>
  <c r="A2510" i="52"/>
  <c r="C2509" i="52"/>
  <c r="A2509" i="52"/>
  <c r="C2508" i="52"/>
  <c r="A2508" i="52"/>
  <c r="I2505" i="52"/>
  <c r="I2499" i="52"/>
  <c r="I2501" i="52" s="1"/>
  <c r="M2488" i="52"/>
  <c r="L2488" i="52"/>
  <c r="I2488" i="52"/>
  <c r="A2488" i="52"/>
  <c r="I2487" i="52"/>
  <c r="A2487" i="52"/>
  <c r="A2486" i="52"/>
  <c r="F4436" i="52"/>
  <c r="E4436" i="52"/>
  <c r="D4436" i="52"/>
  <c r="C4436" i="52"/>
  <c r="A4436" i="52"/>
  <c r="A4432" i="52"/>
  <c r="C4432" i="52"/>
  <c r="D4428" i="52"/>
  <c r="I4428" i="52" s="1"/>
  <c r="I4429" i="52" s="1"/>
  <c r="C4428" i="52"/>
  <c r="A4428" i="52"/>
  <c r="D4416" i="52"/>
  <c r="I4416" i="52" s="1"/>
  <c r="C4416" i="52"/>
  <c r="A4416" i="52"/>
  <c r="F4480" i="52"/>
  <c r="F4475" i="52"/>
  <c r="E4475" i="52"/>
  <c r="D4475" i="52"/>
  <c r="C4475" i="52"/>
  <c r="A4475" i="52"/>
  <c r="I4472" i="52"/>
  <c r="D4466" i="52"/>
  <c r="I4466" i="52" s="1"/>
  <c r="C4466" i="52"/>
  <c r="A4466" i="52"/>
  <c r="D4465" i="52"/>
  <c r="I4465" i="52" s="1"/>
  <c r="C4465" i="52"/>
  <c r="A4465" i="52"/>
  <c r="D4452" i="52"/>
  <c r="I4452" i="52" s="1"/>
  <c r="C4452" i="52"/>
  <c r="A4452" i="52"/>
  <c r="D4451" i="52"/>
  <c r="I4451" i="52" s="1"/>
  <c r="C4451" i="52"/>
  <c r="A4451" i="52"/>
  <c r="G4447" i="52"/>
  <c r="F4447" i="52"/>
  <c r="C4447" i="52"/>
  <c r="A4447" i="52"/>
  <c r="M4444" i="52"/>
  <c r="L4444" i="52"/>
  <c r="I4444" i="52"/>
  <c r="A4444" i="52"/>
  <c r="I4443" i="52"/>
  <c r="A4443" i="52"/>
  <c r="A4442" i="52"/>
  <c r="F4440" i="52"/>
  <c r="D4415" i="52"/>
  <c r="I4415" i="52" s="1"/>
  <c r="C4415" i="52"/>
  <c r="A4415" i="52"/>
  <c r="D4414" i="52"/>
  <c r="I4414" i="52" s="1"/>
  <c r="C4414" i="52"/>
  <c r="A4414" i="52"/>
  <c r="M4408" i="52"/>
  <c r="L4408" i="52"/>
  <c r="I4408" i="52"/>
  <c r="A4408" i="52"/>
  <c r="I4407" i="52"/>
  <c r="A4407" i="52"/>
  <c r="A4406" i="52"/>
  <c r="C2476" i="52"/>
  <c r="A2476" i="52"/>
  <c r="F2484" i="52"/>
  <c r="I2481" i="52"/>
  <c r="C2475" i="52"/>
  <c r="A2475" i="52"/>
  <c r="C2474" i="52"/>
  <c r="A2474" i="52"/>
  <c r="C2473" i="52"/>
  <c r="A2473" i="52"/>
  <c r="C2472" i="52"/>
  <c r="A2472" i="52"/>
  <c r="I2469" i="52"/>
  <c r="M2452" i="52"/>
  <c r="L2452" i="52"/>
  <c r="I2452" i="52"/>
  <c r="A2452" i="52"/>
  <c r="I2451" i="52"/>
  <c r="A2451" i="52"/>
  <c r="A2450" i="52"/>
  <c r="C416" i="53"/>
  <c r="A416" i="53"/>
  <c r="C415" i="53"/>
  <c r="A415" i="53"/>
  <c r="C414" i="53"/>
  <c r="A414" i="53"/>
  <c r="D400" i="53"/>
  <c r="I400" i="53" s="1"/>
  <c r="I401" i="53" s="1"/>
  <c r="I406" i="53" s="1"/>
  <c r="I408" i="53" s="1"/>
  <c r="C400" i="53"/>
  <c r="A400" i="53"/>
  <c r="I394" i="53"/>
  <c r="A394" i="53"/>
  <c r="A393" i="53"/>
  <c r="C381" i="53"/>
  <c r="A381" i="53"/>
  <c r="C383" i="53"/>
  <c r="A383" i="53"/>
  <c r="C382" i="53"/>
  <c r="A382" i="53"/>
  <c r="D367" i="53"/>
  <c r="I367" i="53" s="1"/>
  <c r="I368" i="53" s="1"/>
  <c r="I373" i="53" s="1"/>
  <c r="I375" i="53" s="1"/>
  <c r="C367" i="53"/>
  <c r="A367" i="53"/>
  <c r="I361" i="53"/>
  <c r="A361" i="53"/>
  <c r="A360" i="53"/>
  <c r="C350" i="53"/>
  <c r="A350" i="53"/>
  <c r="C349" i="53"/>
  <c r="A349" i="53"/>
  <c r="D335" i="53"/>
  <c r="I335" i="53" s="1"/>
  <c r="I336" i="53" s="1"/>
  <c r="I341" i="53" s="1"/>
  <c r="I343" i="53" s="1"/>
  <c r="C335" i="53"/>
  <c r="A335" i="53"/>
  <c r="I329" i="53"/>
  <c r="A329" i="53"/>
  <c r="A328" i="53"/>
  <c r="C318" i="53"/>
  <c r="A318" i="53"/>
  <c r="C317" i="53"/>
  <c r="A317" i="53"/>
  <c r="D303" i="53"/>
  <c r="I303" i="53" s="1"/>
  <c r="I304" i="53" s="1"/>
  <c r="I309" i="53" s="1"/>
  <c r="I311" i="53" s="1"/>
  <c r="C303" i="53"/>
  <c r="A303" i="53"/>
  <c r="I297" i="53"/>
  <c r="A297" i="53"/>
  <c r="A296" i="53"/>
  <c r="C286" i="53"/>
  <c r="A286" i="53"/>
  <c r="I4523" i="52" l="1"/>
  <c r="I4524" i="52" s="1"/>
  <c r="I4525" i="52" s="1"/>
  <c r="K4484" i="52" s="1"/>
  <c r="I4454" i="52"/>
  <c r="I4457" i="52" s="1"/>
  <c r="I4458" i="52" s="1"/>
  <c r="I4468" i="52"/>
  <c r="I2823" i="52"/>
  <c r="I2824" i="52" s="1"/>
  <c r="I2826" i="52" s="1"/>
  <c r="I2828" i="52" s="1"/>
  <c r="I2714" i="52"/>
  <c r="I2707" i="52"/>
  <c r="I2708" i="52" s="1"/>
  <c r="G4436" i="52"/>
  <c r="I4436" i="52" s="1"/>
  <c r="G4475" i="52"/>
  <c r="I4475" i="52" s="1"/>
  <c r="I4477" i="52" s="1"/>
  <c r="I4447" i="52"/>
  <c r="I4448" i="52" s="1"/>
  <c r="I4417" i="52"/>
  <c r="I4420" i="52" s="1"/>
  <c r="I4421" i="52" s="1"/>
  <c r="I4423" i="52" s="1"/>
  <c r="I4425" i="52" s="1"/>
  <c r="I2463" i="52"/>
  <c r="I2465" i="52" s="1"/>
  <c r="C285" i="53"/>
  <c r="A285" i="53"/>
  <c r="D271" i="53"/>
  <c r="I271" i="53" s="1"/>
  <c r="C271" i="53"/>
  <c r="A271" i="53"/>
  <c r="I265" i="53"/>
  <c r="A265" i="53"/>
  <c r="A264" i="53"/>
  <c r="U304" i="6"/>
  <c r="Z304" i="6"/>
  <c r="U307" i="6"/>
  <c r="Z307" i="6"/>
  <c r="U315" i="6"/>
  <c r="Z315" i="6"/>
  <c r="F2448" i="52"/>
  <c r="I2445" i="52"/>
  <c r="C2440" i="52"/>
  <c r="A2440" i="52"/>
  <c r="C2439" i="52"/>
  <c r="A2439" i="52"/>
  <c r="C2438" i="52"/>
  <c r="A2438" i="52"/>
  <c r="C2437" i="52"/>
  <c r="A2437" i="52"/>
  <c r="I2434" i="52"/>
  <c r="G2419" i="52"/>
  <c r="F2419" i="52"/>
  <c r="C2419" i="52"/>
  <c r="A2419" i="52"/>
  <c r="M2416" i="52"/>
  <c r="L2416" i="52"/>
  <c r="I2416" i="52"/>
  <c r="A2416" i="52"/>
  <c r="I2415" i="52"/>
  <c r="A2415" i="52"/>
  <c r="A2414" i="52"/>
  <c r="C2404" i="52"/>
  <c r="A2404" i="52"/>
  <c r="C2403" i="52"/>
  <c r="A2403" i="52"/>
  <c r="G2383" i="52"/>
  <c r="F2383" i="52"/>
  <c r="C2383" i="52"/>
  <c r="A2383" i="52"/>
  <c r="F2412" i="52"/>
  <c r="I2409" i="52"/>
  <c r="C2402" i="52"/>
  <c r="A2402" i="52"/>
  <c r="C2401" i="52"/>
  <c r="A2401" i="52"/>
  <c r="I2398" i="52"/>
  <c r="M2380" i="52"/>
  <c r="L2380" i="52"/>
  <c r="I2380" i="52"/>
  <c r="A2380" i="52"/>
  <c r="I2379" i="52"/>
  <c r="A2379" i="52"/>
  <c r="A2378" i="52"/>
  <c r="F2376" i="52"/>
  <c r="I2373" i="52"/>
  <c r="C2368" i="52"/>
  <c r="A2368" i="52"/>
  <c r="C2367" i="52"/>
  <c r="A2367" i="52"/>
  <c r="I2364" i="52"/>
  <c r="I2350" i="52"/>
  <c r="I2358" i="52" s="1"/>
  <c r="I2360" i="52" s="1"/>
  <c r="M2346" i="52"/>
  <c r="L2346" i="52"/>
  <c r="I2346" i="52"/>
  <c r="A2346" i="52"/>
  <c r="I2345" i="52"/>
  <c r="A2345" i="52"/>
  <c r="A2344" i="52"/>
  <c r="F2342" i="52"/>
  <c r="I2339" i="52"/>
  <c r="C2334" i="52"/>
  <c r="A2334" i="52"/>
  <c r="C2333" i="52"/>
  <c r="A2333" i="52"/>
  <c r="I2330" i="52"/>
  <c r="I2316" i="52"/>
  <c r="I2324" i="52" s="1"/>
  <c r="I2326" i="52" s="1"/>
  <c r="M2312" i="52"/>
  <c r="L2312" i="52"/>
  <c r="I2312" i="52"/>
  <c r="A2312" i="52"/>
  <c r="I2311" i="52"/>
  <c r="A2311" i="52"/>
  <c r="A2310" i="52"/>
  <c r="C2300" i="52"/>
  <c r="A2300" i="52"/>
  <c r="C2299" i="52"/>
  <c r="A2299" i="52"/>
  <c r="F2238" i="52"/>
  <c r="I2235" i="52"/>
  <c r="C2230" i="52"/>
  <c r="A2230" i="52"/>
  <c r="C2229" i="52"/>
  <c r="A2229" i="52"/>
  <c r="I2226" i="52"/>
  <c r="I2218" i="52"/>
  <c r="I2214" i="52"/>
  <c r="I2210" i="52"/>
  <c r="M2206" i="52"/>
  <c r="L2206" i="52"/>
  <c r="I2206" i="52"/>
  <c r="A2206" i="52"/>
  <c r="I2205" i="52"/>
  <c r="A2205" i="52"/>
  <c r="A2204" i="52"/>
  <c r="F2130" i="52"/>
  <c r="I2127" i="52"/>
  <c r="C2122" i="52"/>
  <c r="A2122" i="52"/>
  <c r="C2121" i="52"/>
  <c r="A2121" i="52"/>
  <c r="I2118" i="52"/>
  <c r="I2110" i="52"/>
  <c r="I2106" i="52"/>
  <c r="I2102" i="52"/>
  <c r="M2098" i="52"/>
  <c r="L2098" i="52"/>
  <c r="I2098" i="52"/>
  <c r="A2098" i="52"/>
  <c r="I2097" i="52"/>
  <c r="A2097" i="52"/>
  <c r="A2096" i="52"/>
  <c r="F2094" i="52"/>
  <c r="I2091" i="52"/>
  <c r="C2086" i="52"/>
  <c r="A2086" i="52"/>
  <c r="C2085" i="52"/>
  <c r="A2085" i="52"/>
  <c r="I2082" i="52"/>
  <c r="I2074" i="52"/>
  <c r="I2070" i="52"/>
  <c r="I2066" i="52"/>
  <c r="M2062" i="52"/>
  <c r="L2062" i="52"/>
  <c r="I2062" i="52"/>
  <c r="A2062" i="52"/>
  <c r="I2061" i="52"/>
  <c r="A2061" i="52"/>
  <c r="A2060" i="52"/>
  <c r="F2058" i="52"/>
  <c r="I2055" i="52"/>
  <c r="C2050" i="52"/>
  <c r="A2050" i="52"/>
  <c r="C2049" i="52"/>
  <c r="A2049" i="52"/>
  <c r="I2046" i="52"/>
  <c r="I2038" i="52"/>
  <c r="I2034" i="52"/>
  <c r="I2030" i="52"/>
  <c r="M2026" i="52"/>
  <c r="L2026" i="52"/>
  <c r="I2026" i="52"/>
  <c r="A2026" i="52"/>
  <c r="I2025" i="52"/>
  <c r="A2025" i="52"/>
  <c r="A2024" i="52"/>
  <c r="I2719" i="52" l="1"/>
  <c r="I2721" i="52" s="1"/>
  <c r="I4460" i="52"/>
  <c r="I4462" i="52" s="1"/>
  <c r="I4479" i="52" s="1"/>
  <c r="I2419" i="52"/>
  <c r="I2420" i="52" s="1"/>
  <c r="I2428" i="52" s="1"/>
  <c r="I2430" i="52" s="1"/>
  <c r="I272" i="53"/>
  <c r="I277" i="53" s="1"/>
  <c r="I279" i="53" s="1"/>
  <c r="I2383" i="52"/>
  <c r="I2384" i="52" s="1"/>
  <c r="I2392" i="52" s="1"/>
  <c r="I2394" i="52" s="1"/>
  <c r="I2220" i="52"/>
  <c r="I2222" i="52" s="1"/>
  <c r="I2112" i="52"/>
  <c r="I2114" i="52" s="1"/>
  <c r="I2040" i="52"/>
  <c r="I2042" i="52" s="1"/>
  <c r="I2076" i="52"/>
  <c r="I2078" i="52" s="1"/>
  <c r="F1986" i="52"/>
  <c r="I1983" i="52"/>
  <c r="C1978" i="52"/>
  <c r="A1978" i="52"/>
  <c r="C1977" i="52"/>
  <c r="A1977" i="52"/>
  <c r="I1974" i="52"/>
  <c r="I1966" i="52"/>
  <c r="I1962" i="52"/>
  <c r="I1958" i="52"/>
  <c r="M1954" i="52"/>
  <c r="L1954" i="52"/>
  <c r="I1954" i="52"/>
  <c r="A1954" i="52"/>
  <c r="I1953" i="52"/>
  <c r="A1953" i="52"/>
  <c r="A1952" i="52"/>
  <c r="F3931" i="52"/>
  <c r="E3931" i="52"/>
  <c r="C1871" i="52"/>
  <c r="A1871" i="52"/>
  <c r="C1870" i="52"/>
  <c r="A1870" i="52"/>
  <c r="C1869" i="52"/>
  <c r="A1869" i="52"/>
  <c r="C1868" i="52"/>
  <c r="A1868" i="52"/>
  <c r="C1867" i="52"/>
  <c r="A1867" i="52"/>
  <c r="I4480" i="52" l="1"/>
  <c r="I4481" i="52" s="1"/>
  <c r="K4444" i="52" s="1"/>
  <c r="I1968" i="52"/>
  <c r="I1970" i="52" s="1"/>
  <c r="F4398" i="52"/>
  <c r="E4398" i="52"/>
  <c r="D4398" i="52"/>
  <c r="C4398" i="52"/>
  <c r="A4398" i="52"/>
  <c r="F4400" i="52"/>
  <c r="E4400" i="52"/>
  <c r="D4400" i="52"/>
  <c r="C4400" i="52"/>
  <c r="A4400" i="52"/>
  <c r="D4388" i="52"/>
  <c r="I4388" i="52" s="1"/>
  <c r="C4388" i="52"/>
  <c r="A4388" i="52"/>
  <c r="D4387" i="52"/>
  <c r="I4387" i="52" s="1"/>
  <c r="C4387" i="52"/>
  <c r="A4387" i="52"/>
  <c r="F4404" i="52"/>
  <c r="F4399" i="52"/>
  <c r="E4399" i="52"/>
  <c r="D4399" i="52"/>
  <c r="C4399" i="52"/>
  <c r="A4399" i="52"/>
  <c r="I4395" i="52"/>
  <c r="D4390" i="52"/>
  <c r="I4390" i="52" s="1"/>
  <c r="C4390" i="52"/>
  <c r="A4390" i="52"/>
  <c r="D4389" i="52"/>
  <c r="I4389" i="52" s="1"/>
  <c r="C4389" i="52"/>
  <c r="A4389" i="52"/>
  <c r="D4375" i="52"/>
  <c r="I4375" i="52" s="1"/>
  <c r="C4375" i="52"/>
  <c r="A4375" i="52"/>
  <c r="D4374" i="52"/>
  <c r="I4374" i="52" s="1"/>
  <c r="C4374" i="52"/>
  <c r="A4374" i="52"/>
  <c r="G4370" i="52"/>
  <c r="F4370" i="52"/>
  <c r="C4370" i="52"/>
  <c r="A4370" i="52"/>
  <c r="M4367" i="52"/>
  <c r="L4367" i="52"/>
  <c r="I4367" i="52"/>
  <c r="A4367" i="52"/>
  <c r="I4366" i="52"/>
  <c r="A4366" i="52"/>
  <c r="A4365" i="52"/>
  <c r="F1878" i="52"/>
  <c r="G1850" i="52"/>
  <c r="F1850" i="52"/>
  <c r="C1850" i="52"/>
  <c r="A1850" i="52"/>
  <c r="I1847" i="52"/>
  <c r="A1847" i="52"/>
  <c r="M1846" i="52"/>
  <c r="L1846" i="52"/>
  <c r="I1846" i="52"/>
  <c r="A1846" i="52"/>
  <c r="A1845" i="52"/>
  <c r="F4051" i="52"/>
  <c r="F4052" i="52"/>
  <c r="F4050" i="52"/>
  <c r="E4051" i="52"/>
  <c r="E4052" i="52"/>
  <c r="E4050" i="52"/>
  <c r="D4042" i="52"/>
  <c r="I4042" i="52" s="1"/>
  <c r="C4042" i="52"/>
  <c r="A4042" i="52"/>
  <c r="F4056" i="52"/>
  <c r="D4052" i="52"/>
  <c r="C4052" i="52"/>
  <c r="A4052" i="52"/>
  <c r="D4051" i="52"/>
  <c r="C4051" i="52"/>
  <c r="A4051" i="52"/>
  <c r="D4050" i="52"/>
  <c r="C4050" i="52"/>
  <c r="A4050" i="52"/>
  <c r="I4047" i="52"/>
  <c r="D4041" i="52"/>
  <c r="I4041" i="52" s="1"/>
  <c r="C4041" i="52"/>
  <c r="A4041" i="52"/>
  <c r="D4040" i="52"/>
  <c r="I4040" i="52" s="1"/>
  <c r="C4040" i="52"/>
  <c r="A4040" i="52"/>
  <c r="D4039" i="52"/>
  <c r="I4039" i="52" s="1"/>
  <c r="C4039" i="52"/>
  <c r="A4039" i="52"/>
  <c r="D4027" i="52"/>
  <c r="I4027" i="52" s="1"/>
  <c r="C4027" i="52"/>
  <c r="A4027" i="52"/>
  <c r="D4026" i="52"/>
  <c r="I4026" i="52" s="1"/>
  <c r="C4026" i="52"/>
  <c r="A4026" i="52"/>
  <c r="D4025" i="52"/>
  <c r="I4025" i="52" s="1"/>
  <c r="C4025" i="52"/>
  <c r="A4025" i="52"/>
  <c r="G4021" i="52"/>
  <c r="F4021" i="52"/>
  <c r="C4021" i="52"/>
  <c r="A4021" i="52"/>
  <c r="I4018" i="52"/>
  <c r="A4018" i="52"/>
  <c r="M4017" i="52"/>
  <c r="L4017" i="52"/>
  <c r="I4017" i="52"/>
  <c r="A4017" i="52"/>
  <c r="A4016" i="52"/>
  <c r="C1836" i="52"/>
  <c r="A1836" i="52"/>
  <c r="C1835" i="52"/>
  <c r="A1835" i="52"/>
  <c r="C1834" i="52"/>
  <c r="A1834" i="52"/>
  <c r="C1833" i="52"/>
  <c r="A1833" i="52"/>
  <c r="F1843" i="52"/>
  <c r="C1832" i="52"/>
  <c r="A1832" i="52"/>
  <c r="G1815" i="52"/>
  <c r="F1815" i="52"/>
  <c r="C1815" i="52"/>
  <c r="A1815" i="52"/>
  <c r="I1812" i="52"/>
  <c r="A1812" i="52"/>
  <c r="L1811" i="52"/>
  <c r="I1811" i="52"/>
  <c r="A1811" i="52"/>
  <c r="A1810" i="52"/>
  <c r="J53" i="5"/>
  <c r="I53" i="5"/>
  <c r="H53" i="5"/>
  <c r="F1808" i="52"/>
  <c r="F1804" i="52"/>
  <c r="E1804" i="52"/>
  <c r="D1804" i="52"/>
  <c r="C1804" i="52"/>
  <c r="A1804" i="52"/>
  <c r="C1800" i="52"/>
  <c r="A1800" i="52"/>
  <c r="D1796" i="52"/>
  <c r="I1796" i="52" s="1"/>
  <c r="I1797" i="52" s="1"/>
  <c r="C1796" i="52"/>
  <c r="A1796" i="52"/>
  <c r="D1784" i="52"/>
  <c r="I1784" i="52" s="1"/>
  <c r="C1784" i="52"/>
  <c r="A1784" i="52"/>
  <c r="D1783" i="52"/>
  <c r="I1783" i="52" s="1"/>
  <c r="C1783" i="52"/>
  <c r="A1783" i="52"/>
  <c r="D1782" i="52"/>
  <c r="I1782" i="52" s="1"/>
  <c r="C1782" i="52"/>
  <c r="A1782" i="52"/>
  <c r="G1778" i="52"/>
  <c r="F1778" i="52"/>
  <c r="C1778" i="52"/>
  <c r="A1778" i="52"/>
  <c r="I1775" i="52"/>
  <c r="A1775" i="52"/>
  <c r="L1774" i="52"/>
  <c r="I1774" i="52"/>
  <c r="A1774" i="52"/>
  <c r="A1773" i="52"/>
  <c r="F1771" i="52"/>
  <c r="F1767" i="52"/>
  <c r="E1767" i="52"/>
  <c r="D1767" i="52"/>
  <c r="C1767" i="52"/>
  <c r="A1767" i="52"/>
  <c r="C1763" i="52"/>
  <c r="A1763" i="52"/>
  <c r="D1759" i="52"/>
  <c r="I1759" i="52" s="1"/>
  <c r="I1760" i="52" s="1"/>
  <c r="C1759" i="52"/>
  <c r="A1759" i="52"/>
  <c r="D1747" i="52"/>
  <c r="I1747" i="52" s="1"/>
  <c r="C1747" i="52"/>
  <c r="A1747" i="52"/>
  <c r="D1746" i="52"/>
  <c r="I1746" i="52" s="1"/>
  <c r="C1746" i="52"/>
  <c r="A1746" i="52"/>
  <c r="D1745" i="52"/>
  <c r="I1745" i="52" s="1"/>
  <c r="C1745" i="52"/>
  <c r="A1745" i="52"/>
  <c r="G1741" i="52"/>
  <c r="F1741" i="52"/>
  <c r="C1741" i="52"/>
  <c r="A1741" i="52"/>
  <c r="I1738" i="52"/>
  <c r="A1738" i="52"/>
  <c r="L1737" i="52"/>
  <c r="I1737" i="52"/>
  <c r="A1737" i="52"/>
  <c r="A1736" i="52"/>
  <c r="F1734" i="52"/>
  <c r="F1730" i="52"/>
  <c r="E1730" i="52"/>
  <c r="D1730" i="52"/>
  <c r="C1730" i="52"/>
  <c r="A1730" i="52"/>
  <c r="C1726" i="52"/>
  <c r="A1726" i="52"/>
  <c r="D1722" i="52"/>
  <c r="I1722" i="52" s="1"/>
  <c r="I1723" i="52" s="1"/>
  <c r="C1722" i="52"/>
  <c r="A1722" i="52"/>
  <c r="D1710" i="52"/>
  <c r="I1710" i="52" s="1"/>
  <c r="C1710" i="52"/>
  <c r="A1710" i="52"/>
  <c r="D1709" i="52"/>
  <c r="I1709" i="52" s="1"/>
  <c r="C1709" i="52"/>
  <c r="A1709" i="52"/>
  <c r="D1708" i="52"/>
  <c r="I1708" i="52" s="1"/>
  <c r="C1708" i="52"/>
  <c r="A1708" i="52"/>
  <c r="G1704" i="52"/>
  <c r="F1704" i="52"/>
  <c r="C1704" i="52"/>
  <c r="A1704" i="52"/>
  <c r="I1701" i="52"/>
  <c r="A1701" i="52"/>
  <c r="L1700" i="52"/>
  <c r="I1700" i="52"/>
  <c r="A1700" i="52"/>
  <c r="A1699" i="52"/>
  <c r="J52" i="5"/>
  <c r="I52" i="5"/>
  <c r="H52" i="5"/>
  <c r="F1660" i="52"/>
  <c r="F1656" i="52"/>
  <c r="E1656" i="52"/>
  <c r="D1656" i="52"/>
  <c r="C1656" i="52"/>
  <c r="A1656" i="52"/>
  <c r="C1652" i="52"/>
  <c r="A1652" i="52"/>
  <c r="D1648" i="52"/>
  <c r="I1648" i="52" s="1"/>
  <c r="I1649" i="52" s="1"/>
  <c r="C1648" i="52"/>
  <c r="A1648" i="52"/>
  <c r="D1636" i="52"/>
  <c r="I1636" i="52" s="1"/>
  <c r="C1636" i="52"/>
  <c r="A1636" i="52"/>
  <c r="D1635" i="52"/>
  <c r="I1635" i="52" s="1"/>
  <c r="C1635" i="52"/>
  <c r="A1635" i="52"/>
  <c r="D1634" i="52"/>
  <c r="I1634" i="52" s="1"/>
  <c r="C1634" i="52"/>
  <c r="A1634" i="52"/>
  <c r="G1630" i="52"/>
  <c r="F1630" i="52"/>
  <c r="C1630" i="52"/>
  <c r="A1630" i="52"/>
  <c r="M1627" i="52"/>
  <c r="L1627" i="52"/>
  <c r="I1627" i="52"/>
  <c r="A1627" i="52"/>
  <c r="I1626" i="52"/>
  <c r="A1626" i="52"/>
  <c r="A1625" i="52"/>
  <c r="C1578" i="52"/>
  <c r="A1578" i="52"/>
  <c r="C1577" i="52"/>
  <c r="A1577" i="52"/>
  <c r="C1576" i="52"/>
  <c r="A1576" i="52"/>
  <c r="K52" i="5" l="1"/>
  <c r="K53" i="5"/>
  <c r="G4400" i="52"/>
  <c r="I4400" i="52" s="1"/>
  <c r="I4391" i="52"/>
  <c r="G4398" i="52"/>
  <c r="I4398" i="52" s="1"/>
  <c r="G4399" i="52"/>
  <c r="I4399" i="52" s="1"/>
  <c r="I1850" i="52"/>
  <c r="I1851" i="52" s="1"/>
  <c r="I4043" i="52"/>
  <c r="I4370" i="52"/>
  <c r="I4371" i="52" s="1"/>
  <c r="I4376" i="52"/>
  <c r="G4052" i="52"/>
  <c r="I4052" i="52" s="1"/>
  <c r="G4051" i="52"/>
  <c r="I4051" i="52" s="1"/>
  <c r="G4050" i="52"/>
  <c r="I4050" i="52" s="1"/>
  <c r="I4021" i="52"/>
  <c r="I4022" i="52" s="1"/>
  <c r="I1778" i="52"/>
  <c r="I1779" i="52" s="1"/>
  <c r="I4028" i="52"/>
  <c r="I4031" i="52" s="1"/>
  <c r="I4032" i="52" s="1"/>
  <c r="G1730" i="52"/>
  <c r="I1730" i="52" s="1"/>
  <c r="I1731" i="52" s="1"/>
  <c r="I1815" i="52"/>
  <c r="I1816" i="52" s="1"/>
  <c r="G1804" i="52"/>
  <c r="I1804" i="52" s="1"/>
  <c r="I1805" i="52" s="1"/>
  <c r="I1741" i="52"/>
  <c r="I1742" i="52" s="1"/>
  <c r="G1767" i="52"/>
  <c r="I1767" i="52" s="1"/>
  <c r="I1768" i="52" s="1"/>
  <c r="I1785" i="52"/>
  <c r="I1788" i="52" s="1"/>
  <c r="I1789" i="52" s="1"/>
  <c r="I1748" i="52"/>
  <c r="I1751" i="52" s="1"/>
  <c r="I1752" i="52" s="1"/>
  <c r="I1704" i="52"/>
  <c r="I1705" i="52" s="1"/>
  <c r="G1656" i="52"/>
  <c r="I1656" i="52" s="1"/>
  <c r="I1657" i="52" s="1"/>
  <c r="I1711" i="52"/>
  <c r="I1714" i="52" s="1"/>
  <c r="I1715" i="52" s="1"/>
  <c r="I1630" i="52"/>
  <c r="I1631" i="52" s="1"/>
  <c r="I1637" i="52"/>
  <c r="I1640" i="52" s="1"/>
  <c r="I1641" i="52" s="1"/>
  <c r="F1586" i="52"/>
  <c r="F1582" i="52"/>
  <c r="E1582" i="52"/>
  <c r="D1582" i="52"/>
  <c r="C1582" i="52"/>
  <c r="A1582" i="52"/>
  <c r="C1575" i="52"/>
  <c r="A1575" i="52"/>
  <c r="D1571" i="52"/>
  <c r="I1571" i="52" s="1"/>
  <c r="I1572" i="52" s="1"/>
  <c r="C1571" i="52"/>
  <c r="A1571" i="52"/>
  <c r="D1559" i="52"/>
  <c r="I1559" i="52" s="1"/>
  <c r="C1559" i="52"/>
  <c r="A1559" i="52"/>
  <c r="D1558" i="52"/>
  <c r="I1558" i="52" s="1"/>
  <c r="C1558" i="52"/>
  <c r="A1558" i="52"/>
  <c r="D1557" i="52"/>
  <c r="I1557" i="52" s="1"/>
  <c r="C1557" i="52"/>
  <c r="A1557" i="52"/>
  <c r="G1553" i="52"/>
  <c r="F1553" i="52"/>
  <c r="C1553" i="52"/>
  <c r="A1553" i="52"/>
  <c r="M1550" i="52"/>
  <c r="L1550" i="52"/>
  <c r="I1550" i="52"/>
  <c r="A1550" i="52"/>
  <c r="I1549" i="52"/>
  <c r="A1549" i="52"/>
  <c r="A1548" i="52"/>
  <c r="F374" i="1"/>
  <c r="F376" i="1"/>
  <c r="F378" i="1"/>
  <c r="F379" i="1"/>
  <c r="F380" i="1"/>
  <c r="F381" i="1"/>
  <c r="F382" i="1"/>
  <c r="F383" i="1"/>
  <c r="F384" i="1"/>
  <c r="F385" i="1"/>
  <c r="F386" i="1"/>
  <c r="F387" i="1"/>
  <c r="F388" i="1"/>
  <c r="F390" i="1"/>
  <c r="F391" i="1"/>
  <c r="F392" i="1"/>
  <c r="F394" i="1"/>
  <c r="F395" i="1"/>
  <c r="F396" i="1"/>
  <c r="F397" i="1"/>
  <c r="F399" i="1"/>
  <c r="F400" i="1"/>
  <c r="F401" i="1"/>
  <c r="F402" i="1"/>
  <c r="F403" i="1"/>
  <c r="F404" i="1"/>
  <c r="F405" i="1"/>
  <c r="F406" i="1"/>
  <c r="F407" i="1"/>
  <c r="F408" i="1"/>
  <c r="F409" i="1"/>
  <c r="F411" i="1"/>
  <c r="F412" i="1"/>
  <c r="F413" i="1"/>
  <c r="F415" i="1"/>
  <c r="F417" i="1"/>
  <c r="F418" i="1"/>
  <c r="F419" i="1"/>
  <c r="F420" i="1"/>
  <c r="F422" i="1"/>
  <c r="F423" i="1"/>
  <c r="F424" i="1"/>
  <c r="F1546" i="52"/>
  <c r="F1542" i="52"/>
  <c r="E1542" i="52"/>
  <c r="D1542" i="52"/>
  <c r="C1542" i="52"/>
  <c r="A1542" i="52"/>
  <c r="C1538" i="52"/>
  <c r="A1538" i="52"/>
  <c r="D1534" i="52"/>
  <c r="I1534" i="52" s="1"/>
  <c r="I1535" i="52" s="1"/>
  <c r="C1534" i="52"/>
  <c r="A1534" i="52"/>
  <c r="D1522" i="52"/>
  <c r="I1522" i="52" s="1"/>
  <c r="C1522" i="52"/>
  <c r="A1522" i="52"/>
  <c r="D1521" i="52"/>
  <c r="I1521" i="52" s="1"/>
  <c r="C1521" i="52"/>
  <c r="A1521" i="52"/>
  <c r="D1520" i="52"/>
  <c r="I1520" i="52" s="1"/>
  <c r="C1520" i="52"/>
  <c r="A1520" i="52"/>
  <c r="G1516" i="52"/>
  <c r="F1516" i="52"/>
  <c r="C1516" i="52"/>
  <c r="A1516" i="52"/>
  <c r="M1513" i="52"/>
  <c r="L1513" i="52"/>
  <c r="I1513" i="52"/>
  <c r="A1513" i="52"/>
  <c r="I1512" i="52"/>
  <c r="A1512" i="52"/>
  <c r="A1511" i="52"/>
  <c r="I4401" i="52" l="1"/>
  <c r="I1859" i="52"/>
  <c r="I1861" i="52" s="1"/>
  <c r="I4379" i="52"/>
  <c r="I4380" i="52" s="1"/>
  <c r="I4382" i="52" s="1"/>
  <c r="I4384" i="52" s="1"/>
  <c r="I4053" i="52"/>
  <c r="I4034" i="52"/>
  <c r="I4036" i="52" s="1"/>
  <c r="I1824" i="52"/>
  <c r="I1826" i="52" s="1"/>
  <c r="I1754" i="52"/>
  <c r="I1756" i="52" s="1"/>
  <c r="I1791" i="52"/>
  <c r="I1793" i="52" s="1"/>
  <c r="I1717" i="52"/>
  <c r="I1719" i="52" s="1"/>
  <c r="I1643" i="52"/>
  <c r="I1645" i="52" s="1"/>
  <c r="I1553" i="52"/>
  <c r="I1554" i="52" s="1"/>
  <c r="G1582" i="52"/>
  <c r="I1582" i="52" s="1"/>
  <c r="I1583" i="52" s="1"/>
  <c r="G1542" i="52"/>
  <c r="I1542" i="52" s="1"/>
  <c r="I1543" i="52" s="1"/>
  <c r="I1560" i="52"/>
  <c r="I1563" i="52" s="1"/>
  <c r="I1564" i="52" s="1"/>
  <c r="I1516" i="52"/>
  <c r="I1517" i="52" s="1"/>
  <c r="I1523" i="52"/>
  <c r="I1526" i="52" s="1"/>
  <c r="I1527" i="52" s="1"/>
  <c r="C319" i="6"/>
  <c r="S320" i="6"/>
  <c r="S316" i="6"/>
  <c r="I4403" i="52" l="1"/>
  <c r="I4404" i="52" s="1"/>
  <c r="I4405" i="52" s="1"/>
  <c r="K4367" i="52" s="1"/>
  <c r="I4055" i="52"/>
  <c r="I4056" i="52" s="1"/>
  <c r="I4057" i="52" s="1"/>
  <c r="K4017" i="52" s="1"/>
  <c r="I1566" i="52"/>
  <c r="I1568" i="52" s="1"/>
  <c r="I1529" i="52"/>
  <c r="I1531" i="52" s="1"/>
  <c r="C311" i="6"/>
  <c r="S312" i="6"/>
  <c r="S308" i="6"/>
  <c r="C296" i="6"/>
  <c r="S297" i="6"/>
  <c r="C300" i="6"/>
  <c r="C281" i="6"/>
  <c r="S282" i="6"/>
  <c r="S301" i="6"/>
  <c r="S293" i="6"/>
  <c r="S289" i="6"/>
  <c r="C284" i="6"/>
  <c r="S285" i="6"/>
  <c r="S274" i="6" l="1"/>
  <c r="S271" i="6"/>
  <c r="B92" i="7"/>
  <c r="B93" i="7"/>
  <c r="U249" i="6"/>
  <c r="Z249" i="6"/>
  <c r="U246" i="6"/>
  <c r="Z246" i="6"/>
  <c r="U267" i="6"/>
  <c r="Z267" i="6"/>
  <c r="U276" i="6"/>
  <c r="Z276" i="6"/>
  <c r="U288" i="6"/>
  <c r="Z288" i="6"/>
  <c r="U292" i="6"/>
  <c r="Z292" i="6"/>
  <c r="S250" i="6"/>
  <c r="S247" i="6"/>
  <c r="S249" i="6"/>
  <c r="E90" i="7" s="1"/>
  <c r="S254" i="6"/>
  <c r="E92" i="7" s="1"/>
  <c r="D1193" i="52"/>
  <c r="I1193" i="52" s="1"/>
  <c r="C1193" i="52"/>
  <c r="A1193" i="52"/>
  <c r="F1218" i="52"/>
  <c r="D1208" i="52"/>
  <c r="I1208" i="52" s="1"/>
  <c r="C1208" i="52"/>
  <c r="A1208" i="52"/>
  <c r="D1207" i="52"/>
  <c r="I1207" i="52" s="1"/>
  <c r="C1207" i="52"/>
  <c r="A1207" i="52"/>
  <c r="D1195" i="52"/>
  <c r="I1195" i="52" s="1"/>
  <c r="C1195" i="52"/>
  <c r="A1195" i="52"/>
  <c r="D1194" i="52"/>
  <c r="I1194" i="52" s="1"/>
  <c r="C1194" i="52"/>
  <c r="A1194" i="52"/>
  <c r="G1189" i="52"/>
  <c r="F1189" i="52"/>
  <c r="C1189" i="52"/>
  <c r="A1189" i="52"/>
  <c r="M1186" i="52"/>
  <c r="L1186" i="52"/>
  <c r="I1186" i="52"/>
  <c r="A1186" i="52"/>
  <c r="I1185" i="52"/>
  <c r="A1185" i="52"/>
  <c r="A1184" i="52"/>
  <c r="F1137" i="52"/>
  <c r="D1115" i="52"/>
  <c r="I1115" i="52" s="1"/>
  <c r="C1115" i="52"/>
  <c r="A1115" i="52"/>
  <c r="D1114" i="52"/>
  <c r="I1114" i="52" s="1"/>
  <c r="C1114" i="52"/>
  <c r="A1114" i="52"/>
  <c r="G1110" i="52"/>
  <c r="F1110" i="52"/>
  <c r="E1110" i="52"/>
  <c r="C1110" i="52"/>
  <c r="A1110" i="52"/>
  <c r="G1109" i="52"/>
  <c r="F1109" i="52"/>
  <c r="E1109" i="52"/>
  <c r="C1109" i="52"/>
  <c r="A1109" i="52"/>
  <c r="G1108" i="52"/>
  <c r="F1108" i="52"/>
  <c r="E1108" i="52"/>
  <c r="C1108" i="52"/>
  <c r="A1108" i="52"/>
  <c r="G1107" i="52"/>
  <c r="F1107" i="52"/>
  <c r="E1107" i="52"/>
  <c r="C1107" i="52"/>
  <c r="A1107" i="52"/>
  <c r="B86" i="7"/>
  <c r="F86" i="7" s="1"/>
  <c r="I1134" i="52"/>
  <c r="I1104" i="52"/>
  <c r="A1104" i="52"/>
  <c r="M1103" i="52"/>
  <c r="L1103" i="52"/>
  <c r="I1103" i="52"/>
  <c r="A1103" i="52"/>
  <c r="A1102" i="52"/>
  <c r="I1196" i="52" l="1"/>
  <c r="I1199" i="52" s="1"/>
  <c r="I1200" i="52" s="1"/>
  <c r="I1189" i="52"/>
  <c r="I1209" i="52"/>
  <c r="I1116" i="52"/>
  <c r="I1119" i="52" s="1"/>
  <c r="I1120" i="52" s="1"/>
  <c r="I1108" i="52"/>
  <c r="I1110" i="52"/>
  <c r="I1109" i="52"/>
  <c r="I1107" i="52"/>
  <c r="U231" i="6"/>
  <c r="Z231" i="6"/>
  <c r="E256" i="53"/>
  <c r="F256" i="53"/>
  <c r="E257" i="53"/>
  <c r="F257" i="53"/>
  <c r="F255" i="53"/>
  <c r="E255" i="53"/>
  <c r="D257" i="53"/>
  <c r="C257" i="53"/>
  <c r="A257" i="53"/>
  <c r="D256" i="53"/>
  <c r="C256" i="53"/>
  <c r="A256" i="53"/>
  <c r="D248" i="53"/>
  <c r="I248" i="53" s="1"/>
  <c r="C248" i="53"/>
  <c r="A248" i="53"/>
  <c r="D247" i="53"/>
  <c r="I247" i="53" s="1"/>
  <c r="C247" i="53"/>
  <c r="A247" i="53"/>
  <c r="D234" i="53"/>
  <c r="I234" i="53" s="1"/>
  <c r="C234" i="53"/>
  <c r="A234" i="53"/>
  <c r="G229" i="53"/>
  <c r="F229" i="53"/>
  <c r="E229" i="53"/>
  <c r="C229" i="53"/>
  <c r="A229" i="53"/>
  <c r="G228" i="53"/>
  <c r="F228" i="53"/>
  <c r="E228" i="53"/>
  <c r="C228" i="53"/>
  <c r="A228" i="53"/>
  <c r="G227" i="53"/>
  <c r="F227" i="53"/>
  <c r="E227" i="53"/>
  <c r="C227" i="53"/>
  <c r="A227" i="53"/>
  <c r="G226" i="53"/>
  <c r="F226" i="53"/>
  <c r="E226" i="53"/>
  <c r="C226" i="53"/>
  <c r="A226" i="53"/>
  <c r="G225" i="53"/>
  <c r="F225" i="53"/>
  <c r="E225" i="53"/>
  <c r="C225" i="53"/>
  <c r="A225" i="53"/>
  <c r="G224" i="53"/>
  <c r="F224" i="53"/>
  <c r="E224" i="53"/>
  <c r="C224" i="53"/>
  <c r="A224" i="53"/>
  <c r="G223" i="53"/>
  <c r="F223" i="53"/>
  <c r="E223" i="53"/>
  <c r="C223" i="53"/>
  <c r="A223" i="53"/>
  <c r="G222" i="53"/>
  <c r="F222" i="53"/>
  <c r="E222" i="53"/>
  <c r="C222" i="53"/>
  <c r="A222" i="53"/>
  <c r="D255" i="53"/>
  <c r="C255" i="53"/>
  <c r="A255" i="53"/>
  <c r="D246" i="53"/>
  <c r="I246" i="53" s="1"/>
  <c r="C246" i="53"/>
  <c r="A246" i="53"/>
  <c r="D235" i="53"/>
  <c r="I235" i="53" s="1"/>
  <c r="C235" i="53"/>
  <c r="A235" i="53"/>
  <c r="D233" i="53"/>
  <c r="I233" i="53" s="1"/>
  <c r="C233" i="53"/>
  <c r="A233" i="53"/>
  <c r="I219" i="53"/>
  <c r="A219" i="53"/>
  <c r="A218" i="53"/>
  <c r="D1090" i="52"/>
  <c r="I1090" i="52" s="1"/>
  <c r="I1091" i="52" s="1"/>
  <c r="C1090" i="52"/>
  <c r="A1090" i="52"/>
  <c r="I1098" i="52"/>
  <c r="I1073" i="52"/>
  <c r="A1073" i="52"/>
  <c r="M1072" i="52"/>
  <c r="L1072" i="52"/>
  <c r="I1072" i="52"/>
  <c r="A1072" i="52"/>
  <c r="A1071" i="52"/>
  <c r="Z219" i="6"/>
  <c r="U219" i="6"/>
  <c r="C1061" i="52"/>
  <c r="A1061" i="52"/>
  <c r="D1044" i="52"/>
  <c r="I1044" i="52" s="1"/>
  <c r="C1044" i="52"/>
  <c r="A1044" i="52"/>
  <c r="G1036" i="52"/>
  <c r="F1036" i="52"/>
  <c r="E1036" i="52"/>
  <c r="C1036" i="52"/>
  <c r="A1036" i="52"/>
  <c r="F1069" i="52"/>
  <c r="I1066" i="52"/>
  <c r="I1057" i="52"/>
  <c r="I1058" i="52" s="1"/>
  <c r="D1045" i="52"/>
  <c r="I1045" i="52" s="1"/>
  <c r="C1045" i="52"/>
  <c r="A1045" i="52"/>
  <c r="D1043" i="52"/>
  <c r="I1043" i="52" s="1"/>
  <c r="C1043" i="52"/>
  <c r="A1043" i="52"/>
  <c r="G1039" i="52"/>
  <c r="F1039" i="52"/>
  <c r="E1039" i="52"/>
  <c r="C1039" i="52"/>
  <c r="A1039" i="52"/>
  <c r="G1038" i="52"/>
  <c r="F1038" i="52"/>
  <c r="E1038" i="52"/>
  <c r="C1038" i="52"/>
  <c r="A1038" i="52"/>
  <c r="G1037" i="52"/>
  <c r="F1037" i="52"/>
  <c r="E1037" i="52"/>
  <c r="C1037" i="52"/>
  <c r="A1037" i="52"/>
  <c r="G1035" i="52"/>
  <c r="F1035" i="52"/>
  <c r="E1035" i="52"/>
  <c r="C1035" i="52"/>
  <c r="A1035" i="52"/>
  <c r="G1034" i="52"/>
  <c r="F1034" i="52"/>
  <c r="E1034" i="52"/>
  <c r="C1034" i="52"/>
  <c r="A1034" i="52"/>
  <c r="G1033" i="52"/>
  <c r="F1033" i="52"/>
  <c r="E1033" i="52"/>
  <c r="C1033" i="52"/>
  <c r="A1033" i="52"/>
  <c r="G1032" i="52"/>
  <c r="F1032" i="52"/>
  <c r="E1032" i="52"/>
  <c r="C1032" i="52"/>
  <c r="A1032" i="52"/>
  <c r="I1029" i="52"/>
  <c r="A1029" i="52"/>
  <c r="M1028" i="52"/>
  <c r="L1028" i="52"/>
  <c r="I1028" i="52"/>
  <c r="A1028" i="52"/>
  <c r="A1027" i="52"/>
  <c r="I1190" i="52" l="1"/>
  <c r="I1202" i="52" s="1"/>
  <c r="I1204" i="52" s="1"/>
  <c r="I1111" i="52"/>
  <c r="I1122" i="52" s="1"/>
  <c r="I1124" i="52" s="1"/>
  <c r="I1136" i="52" s="1"/>
  <c r="G257" i="53"/>
  <c r="I257" i="53" s="1"/>
  <c r="I249" i="53"/>
  <c r="G256" i="53"/>
  <c r="I256" i="53" s="1"/>
  <c r="I236" i="53"/>
  <c r="I222" i="53"/>
  <c r="I227" i="53"/>
  <c r="I228" i="53"/>
  <c r="I225" i="53"/>
  <c r="G255" i="53"/>
  <c r="I255" i="53" s="1"/>
  <c r="I224" i="53"/>
  <c r="I226" i="53"/>
  <c r="I223" i="53"/>
  <c r="I229" i="53"/>
  <c r="I1082" i="52"/>
  <c r="I1083" i="52" s="1"/>
  <c r="I1085" i="52" s="1"/>
  <c r="I1087" i="52" s="1"/>
  <c r="I1035" i="52"/>
  <c r="I1038" i="52"/>
  <c r="I1036" i="52"/>
  <c r="I1033" i="52"/>
  <c r="I1037" i="52"/>
  <c r="I1039" i="52"/>
  <c r="I1034" i="52"/>
  <c r="I1032" i="52"/>
  <c r="I1046" i="52"/>
  <c r="I1049" i="52" s="1"/>
  <c r="I1050" i="52" s="1"/>
  <c r="C202" i="6"/>
  <c r="G958" i="52"/>
  <c r="F958" i="52"/>
  <c r="C958" i="52"/>
  <c r="A958" i="52"/>
  <c r="F983" i="52"/>
  <c r="D963" i="52"/>
  <c r="I963" i="52" s="1"/>
  <c r="C963" i="52"/>
  <c r="A963" i="52"/>
  <c r="D962" i="52"/>
  <c r="I962" i="52" s="1"/>
  <c r="C962" i="52"/>
  <c r="A962" i="52"/>
  <c r="G957" i="52"/>
  <c r="F957" i="52"/>
  <c r="C957" i="52"/>
  <c r="A957" i="52"/>
  <c r="M954" i="52"/>
  <c r="L954" i="52"/>
  <c r="I954" i="52"/>
  <c r="A954" i="52"/>
  <c r="I953" i="52"/>
  <c r="A953" i="52"/>
  <c r="A952" i="52"/>
  <c r="F211" i="53"/>
  <c r="E211" i="53"/>
  <c r="D211" i="53"/>
  <c r="C211" i="53"/>
  <c r="A211" i="53"/>
  <c r="D204" i="53"/>
  <c r="I204" i="53" s="1"/>
  <c r="I205" i="53" s="1"/>
  <c r="C204" i="53"/>
  <c r="A204" i="53"/>
  <c r="I197" i="53"/>
  <c r="I199" i="53" s="1"/>
  <c r="I201" i="53" s="1"/>
  <c r="I187" i="53"/>
  <c r="A187" i="53"/>
  <c r="A186" i="53"/>
  <c r="C195" i="6"/>
  <c r="Z186" i="6"/>
  <c r="Z170" i="6"/>
  <c r="I1040" i="52" l="1"/>
  <c r="I1052" i="52" s="1"/>
  <c r="I1054" i="52" s="1"/>
  <c r="I1217" i="52"/>
  <c r="I1218" i="52" s="1"/>
  <c r="I1219" i="52" s="1"/>
  <c r="K1186" i="52" s="1"/>
  <c r="I1137" i="52"/>
  <c r="I1138" i="52" s="1"/>
  <c r="K1103" i="52" s="1"/>
  <c r="I258" i="53"/>
  <c r="I230" i="53"/>
  <c r="I241" i="53" s="1"/>
  <c r="I243" i="53" s="1"/>
  <c r="I958" i="52"/>
  <c r="I957" i="52"/>
  <c r="I964" i="52"/>
  <c r="G211" i="53"/>
  <c r="I211" i="53" s="1"/>
  <c r="I212" i="53" s="1"/>
  <c r="I214" i="53" s="1"/>
  <c r="I180" i="53"/>
  <c r="D172" i="53"/>
  <c r="I172" i="53" s="1"/>
  <c r="I173" i="53" s="1"/>
  <c r="C172" i="53"/>
  <c r="A172" i="53"/>
  <c r="I165" i="53"/>
  <c r="I155" i="53"/>
  <c r="A155" i="53"/>
  <c r="A154" i="53"/>
  <c r="G888" i="52"/>
  <c r="F888" i="52"/>
  <c r="C888" i="52"/>
  <c r="A888" i="52"/>
  <c r="F914" i="52"/>
  <c r="D904" i="52"/>
  <c r="I904" i="52" s="1"/>
  <c r="I905" i="52" s="1"/>
  <c r="C904" i="52"/>
  <c r="A904" i="52"/>
  <c r="D893" i="52"/>
  <c r="I893" i="52" s="1"/>
  <c r="C893" i="52"/>
  <c r="A893" i="52"/>
  <c r="D892" i="52"/>
  <c r="I892" i="52" s="1"/>
  <c r="C892" i="52"/>
  <c r="A892" i="52"/>
  <c r="G887" i="52"/>
  <c r="F887" i="52"/>
  <c r="C887" i="52"/>
  <c r="A887" i="52"/>
  <c r="M884" i="52"/>
  <c r="L884" i="52"/>
  <c r="I884" i="52"/>
  <c r="A884" i="52"/>
  <c r="I883" i="52"/>
  <c r="A883" i="52"/>
  <c r="A882" i="52"/>
  <c r="F798" i="52"/>
  <c r="I794" i="52"/>
  <c r="I795" i="52" s="1"/>
  <c r="I790" i="52"/>
  <c r="I791" i="52" s="1"/>
  <c r="I786" i="52"/>
  <c r="I787" i="52" s="1"/>
  <c r="I779" i="52"/>
  <c r="D774" i="52"/>
  <c r="I774" i="52" s="1"/>
  <c r="C774" i="52"/>
  <c r="A774" i="52"/>
  <c r="D773" i="52"/>
  <c r="I773" i="52" s="1"/>
  <c r="C773" i="52"/>
  <c r="A773" i="52"/>
  <c r="G769" i="52"/>
  <c r="F769" i="52"/>
  <c r="C769" i="52"/>
  <c r="A769" i="52"/>
  <c r="I766" i="52"/>
  <c r="A766" i="52"/>
  <c r="M765" i="52"/>
  <c r="L765" i="52"/>
  <c r="I765" i="52"/>
  <c r="A765" i="52"/>
  <c r="A764" i="52"/>
  <c r="C173" i="6"/>
  <c r="U122" i="6"/>
  <c r="I260" i="53" l="1"/>
  <c r="I959" i="52"/>
  <c r="I969" i="52" s="1"/>
  <c r="I971" i="52" s="1"/>
  <c r="I888" i="52"/>
  <c r="I887" i="52"/>
  <c r="I894" i="52"/>
  <c r="I769" i="52"/>
  <c r="I770" i="52" s="1"/>
  <c r="I775" i="52"/>
  <c r="E107" i="52"/>
  <c r="I889" i="52" l="1"/>
  <c r="I899" i="52" s="1"/>
  <c r="I901" i="52" s="1"/>
  <c r="I167" i="53"/>
  <c r="I169" i="53" s="1"/>
  <c r="I182" i="53" s="1"/>
  <c r="I781" i="52"/>
  <c r="I783" i="52" s="1"/>
  <c r="I797" i="52" s="1"/>
  <c r="C504" i="52"/>
  <c r="A504" i="52"/>
  <c r="C503" i="52"/>
  <c r="A503" i="52"/>
  <c r="C502" i="52"/>
  <c r="A502" i="52"/>
  <c r="C501" i="52"/>
  <c r="A501" i="52"/>
  <c r="C500" i="52"/>
  <c r="A500" i="52"/>
  <c r="F512" i="52"/>
  <c r="I508" i="52"/>
  <c r="I509" i="52" s="1"/>
  <c r="I496" i="52"/>
  <c r="I497" i="52" s="1"/>
  <c r="I491" i="52"/>
  <c r="I493" i="52" s="1"/>
  <c r="I480" i="52"/>
  <c r="A480" i="52"/>
  <c r="M479" i="52"/>
  <c r="L479" i="52"/>
  <c r="I479" i="52"/>
  <c r="A479" i="52"/>
  <c r="A478" i="52"/>
  <c r="F431" i="52"/>
  <c r="E431" i="52"/>
  <c r="D431" i="52"/>
  <c r="C431" i="52"/>
  <c r="A431" i="52"/>
  <c r="C427" i="52"/>
  <c r="A427" i="52"/>
  <c r="C426" i="52"/>
  <c r="A426" i="52"/>
  <c r="C425" i="52"/>
  <c r="A425" i="52"/>
  <c r="C424" i="52"/>
  <c r="A424" i="52"/>
  <c r="D420" i="52"/>
  <c r="I420" i="52" s="1"/>
  <c r="I421" i="52" s="1"/>
  <c r="C420" i="52"/>
  <c r="A420" i="52"/>
  <c r="F435" i="52"/>
  <c r="D408" i="52"/>
  <c r="I408" i="52" s="1"/>
  <c r="C408" i="52"/>
  <c r="A408" i="52"/>
  <c r="D407" i="52"/>
  <c r="I407" i="52" s="1"/>
  <c r="C407" i="52"/>
  <c r="A407" i="52"/>
  <c r="I401" i="52"/>
  <c r="A401" i="52"/>
  <c r="M400" i="52"/>
  <c r="L400" i="52"/>
  <c r="I400" i="52"/>
  <c r="A400" i="52"/>
  <c r="A399" i="52"/>
  <c r="I798" i="52" l="1"/>
  <c r="I799" i="52" s="1"/>
  <c r="K765" i="52" s="1"/>
  <c r="G431" i="52"/>
  <c r="I431" i="52" s="1"/>
  <c r="I432" i="52" s="1"/>
  <c r="I409" i="52"/>
  <c r="I412" i="52" s="1"/>
  <c r="I413" i="52" s="1"/>
  <c r="B16" i="7"/>
  <c r="F73" i="52"/>
  <c r="I69" i="52"/>
  <c r="I70" i="52" s="1"/>
  <c r="I65" i="52"/>
  <c r="I66" i="52" s="1"/>
  <c r="I61" i="52"/>
  <c r="I62" i="52" s="1"/>
  <c r="I44" i="52"/>
  <c r="A44" i="52"/>
  <c r="M43" i="52"/>
  <c r="L43" i="52"/>
  <c r="I43" i="52"/>
  <c r="A43" i="52"/>
  <c r="A42" i="52"/>
  <c r="I415" i="52" l="1"/>
  <c r="I417" i="52" s="1"/>
  <c r="I53" i="52"/>
  <c r="I54" i="52" s="1"/>
  <c r="I56" i="52" s="1"/>
  <c r="I58" i="52" s="1"/>
  <c r="F146" i="53"/>
  <c r="E146" i="53"/>
  <c r="D146" i="53"/>
  <c r="C146" i="53"/>
  <c r="A146" i="53"/>
  <c r="D139" i="53"/>
  <c r="I139" i="53" s="1"/>
  <c r="I140" i="53" s="1"/>
  <c r="C139" i="53"/>
  <c r="A139" i="53"/>
  <c r="G122" i="53"/>
  <c r="F122" i="53"/>
  <c r="C122" i="53"/>
  <c r="A122" i="53"/>
  <c r="G146" i="53" l="1"/>
  <c r="I146" i="53" s="1"/>
  <c r="I73" i="52"/>
  <c r="I74" i="52" s="1"/>
  <c r="K43" i="52" s="1"/>
  <c r="F1470" i="1" s="1"/>
  <c r="I122" i="53"/>
  <c r="I123" i="53" s="1"/>
  <c r="F40" i="52"/>
  <c r="I36" i="52"/>
  <c r="I37" i="52" s="1"/>
  <c r="I32" i="52"/>
  <c r="I33" i="52" s="1"/>
  <c r="I28" i="52"/>
  <c r="I29" i="52" s="1"/>
  <c r="D16" i="52"/>
  <c r="I16" i="52" s="1"/>
  <c r="C16" i="52"/>
  <c r="A16" i="52"/>
  <c r="D15" i="52"/>
  <c r="I15" i="52" s="1"/>
  <c r="C15" i="52"/>
  <c r="A15" i="52"/>
  <c r="G11" i="52"/>
  <c r="F11" i="52"/>
  <c r="C11" i="52"/>
  <c r="A11" i="52"/>
  <c r="G10" i="52"/>
  <c r="F10" i="52"/>
  <c r="C10" i="52"/>
  <c r="A10" i="52"/>
  <c r="I7" i="52"/>
  <c r="A7" i="52"/>
  <c r="M6" i="52"/>
  <c r="L6" i="52"/>
  <c r="I6" i="52"/>
  <c r="A6" i="52"/>
  <c r="A5" i="52"/>
  <c r="I11" i="52" l="1"/>
  <c r="I17" i="52"/>
  <c r="I20" i="52" s="1"/>
  <c r="I21" i="52" s="1"/>
  <c r="I10" i="52"/>
  <c r="F4254" i="52"/>
  <c r="I4248" i="52"/>
  <c r="D4243" i="52"/>
  <c r="I4243" i="52" s="1"/>
  <c r="C4243" i="52"/>
  <c r="A4243" i="52"/>
  <c r="D4242" i="52"/>
  <c r="I4242" i="52" s="1"/>
  <c r="C4242" i="52"/>
  <c r="A4242" i="52"/>
  <c r="I4237" i="52"/>
  <c r="I4239" i="52" s="1"/>
  <c r="I4226" i="52"/>
  <c r="A4226" i="52"/>
  <c r="M4225" i="52"/>
  <c r="L4225" i="52"/>
  <c r="I4225" i="52"/>
  <c r="A4225" i="52"/>
  <c r="A4224" i="52"/>
  <c r="C33" i="53"/>
  <c r="I12" i="52" l="1"/>
  <c r="I23" i="52" s="1"/>
  <c r="I25" i="52" s="1"/>
  <c r="I39" i="52" s="1"/>
  <c r="I40" i="52" s="1"/>
  <c r="I41" i="52" s="1"/>
  <c r="K6" i="52" s="1"/>
  <c r="I4244" i="52"/>
  <c r="I4253" i="52" s="1"/>
  <c r="I4254" i="52" l="1"/>
  <c r="I4255" i="52" s="1"/>
  <c r="K4225" i="52" s="1"/>
  <c r="C209" i="7" l="1"/>
  <c r="C208" i="7"/>
  <c r="C207" i="7"/>
  <c r="C206" i="7"/>
  <c r="C204" i="7"/>
  <c r="C202" i="7"/>
  <c r="C201" i="7"/>
  <c r="C200" i="7"/>
  <c r="C199" i="7"/>
  <c r="C198" i="7"/>
  <c r="C197" i="7"/>
  <c r="C196" i="7"/>
  <c r="C194" i="7"/>
  <c r="C193" i="7"/>
  <c r="C192" i="7"/>
  <c r="C191" i="7"/>
  <c r="C190" i="7"/>
  <c r="C189" i="7"/>
  <c r="C188" i="7"/>
  <c r="C187" i="7"/>
  <c r="C186" i="7"/>
  <c r="C208" i="76" l="1"/>
  <c r="C207" i="76"/>
  <c r="C206" i="76"/>
  <c r="C205" i="76"/>
  <c r="C203" i="76"/>
  <c r="C201" i="76"/>
  <c r="C200" i="76"/>
  <c r="C199" i="76"/>
  <c r="C198" i="76"/>
  <c r="C197" i="76"/>
  <c r="C196" i="76"/>
  <c r="C195" i="76"/>
  <c r="C193" i="76"/>
  <c r="C192" i="76"/>
  <c r="C191" i="76"/>
  <c r="C190" i="76"/>
  <c r="C189" i="76"/>
  <c r="C188" i="76"/>
  <c r="C187" i="76"/>
  <c r="C186" i="76"/>
  <c r="B183" i="76"/>
  <c r="B182" i="76"/>
  <c r="B181" i="76"/>
  <c r="C180" i="76"/>
  <c r="T600" i="6"/>
  <c r="D209" i="7" s="1"/>
  <c r="S600" i="6"/>
  <c r="E209" i="7" s="1"/>
  <c r="T592" i="6"/>
  <c r="S592" i="6"/>
  <c r="T591" i="6"/>
  <c r="D206" i="7" s="1"/>
  <c r="S591" i="6"/>
  <c r="E206" i="7" s="1"/>
  <c r="T589" i="6"/>
  <c r="S589" i="6"/>
  <c r="T588" i="6"/>
  <c r="S588" i="6"/>
  <c r="T587" i="6"/>
  <c r="D204" i="7" s="1"/>
  <c r="S587" i="6"/>
  <c r="E204" i="7" s="1"/>
  <c r="T585" i="6"/>
  <c r="S585" i="6"/>
  <c r="T597" i="6"/>
  <c r="D208" i="7" s="1"/>
  <c r="S597" i="6"/>
  <c r="E208" i="7" s="1"/>
  <c r="T594" i="6"/>
  <c r="D207" i="7" s="1"/>
  <c r="S594" i="6"/>
  <c r="E207" i="7" s="1"/>
  <c r="T593" i="6"/>
  <c r="S593" i="6"/>
  <c r="T583" i="6"/>
  <c r="D202" i="7" s="1"/>
  <c r="S583" i="6"/>
  <c r="E202" i="7" s="1"/>
  <c r="T580" i="6"/>
  <c r="D201" i="7" s="1"/>
  <c r="S580" i="6"/>
  <c r="E201" i="7" s="1"/>
  <c r="T577" i="6"/>
  <c r="D200" i="7" s="1"/>
  <c r="S577" i="6"/>
  <c r="E200" i="7" s="1"/>
  <c r="T576" i="6"/>
  <c r="S576" i="6"/>
  <c r="T574" i="6"/>
  <c r="D199" i="7" s="1"/>
  <c r="S574" i="6"/>
  <c r="E199" i="7" s="1"/>
  <c r="T571" i="6"/>
  <c r="D198" i="7" s="1"/>
  <c r="S571" i="6"/>
  <c r="E198" i="7" s="1"/>
  <c r="T570" i="6"/>
  <c r="S570" i="6"/>
  <c r="T569" i="6"/>
  <c r="S569" i="6"/>
  <c r="T568" i="6"/>
  <c r="D197" i="7" s="1"/>
  <c r="S568" i="6"/>
  <c r="E197" i="7" s="1"/>
  <c r="T567" i="6"/>
  <c r="S567" i="6"/>
  <c r="T566" i="6"/>
  <c r="S566" i="6"/>
  <c r="T565" i="6"/>
  <c r="D196" i="7" s="1"/>
  <c r="S565" i="6"/>
  <c r="E196" i="7" s="1"/>
  <c r="T563" i="6"/>
  <c r="S563" i="6"/>
  <c r="T561" i="6"/>
  <c r="D194" i="7" s="1"/>
  <c r="S561" i="6"/>
  <c r="E194" i="7" s="1"/>
  <c r="T558" i="6"/>
  <c r="D193" i="7" s="1"/>
  <c r="S558" i="6"/>
  <c r="E193" i="7" s="1"/>
  <c r="T557" i="6"/>
  <c r="S557" i="6"/>
  <c r="T555" i="6"/>
  <c r="D192" i="7" s="1"/>
  <c r="S555" i="6"/>
  <c r="E192" i="7" s="1"/>
  <c r="T552" i="6"/>
  <c r="D191" i="7" s="1"/>
  <c r="S552" i="6"/>
  <c r="E191" i="7" s="1"/>
  <c r="T549" i="6"/>
  <c r="D190" i="7" s="1"/>
  <c r="S549" i="6"/>
  <c r="E190" i="7" s="1"/>
  <c r="T548" i="6"/>
  <c r="S548" i="6"/>
  <c r="T546" i="6"/>
  <c r="D189" i="7" s="1"/>
  <c r="S546" i="6"/>
  <c r="E189" i="7" s="1"/>
  <c r="T543" i="6"/>
  <c r="D188" i="7" s="1"/>
  <c r="S543" i="6"/>
  <c r="E188" i="7" s="1"/>
  <c r="S541" i="6"/>
  <c r="T540" i="6"/>
  <c r="D187" i="7" s="1"/>
  <c r="S540" i="6"/>
  <c r="E187" i="7" s="1"/>
  <c r="T538" i="6"/>
  <c r="T537" i="6"/>
  <c r="D186" i="7" s="1"/>
  <c r="S537" i="6"/>
  <c r="E186" i="7" s="1"/>
  <c r="T535" i="6"/>
  <c r="T524" i="6"/>
  <c r="D180" i="76" s="1"/>
  <c r="S524" i="6"/>
  <c r="E180" i="76" s="1"/>
  <c r="O534" i="6"/>
  <c r="T533" i="6" s="1"/>
  <c r="D183" i="76" s="1"/>
  <c r="S533" i="6"/>
  <c r="E183" i="76" s="1"/>
  <c r="N533" i="6"/>
  <c r="C533" i="6"/>
  <c r="S532" i="6" s="1"/>
  <c r="O531" i="6"/>
  <c r="T530" i="6" s="1"/>
  <c r="D182" i="76" s="1"/>
  <c r="S530" i="6"/>
  <c r="E182" i="76" s="1"/>
  <c r="N530" i="6"/>
  <c r="C530" i="6"/>
  <c r="C182" i="76" s="1"/>
  <c r="O528" i="6"/>
  <c r="T527" i="6" s="1"/>
  <c r="D181" i="76" s="1"/>
  <c r="S527" i="6"/>
  <c r="E181" i="76" s="1"/>
  <c r="N527" i="6"/>
  <c r="C527" i="6"/>
  <c r="T526" i="6" l="1"/>
  <c r="D191" i="76"/>
  <c r="E197" i="76"/>
  <c r="D206" i="76"/>
  <c r="E192" i="76"/>
  <c r="E207" i="76"/>
  <c r="E188" i="76"/>
  <c r="E201" i="76"/>
  <c r="D196" i="76"/>
  <c r="D187" i="76"/>
  <c r="E187" i="76"/>
  <c r="D190" i="76"/>
  <c r="E196" i="76"/>
  <c r="D199" i="76"/>
  <c r="E206" i="76"/>
  <c r="E190" i="76"/>
  <c r="D193" i="76"/>
  <c r="E199" i="76"/>
  <c r="D203" i="76"/>
  <c r="D188" i="76"/>
  <c r="E193" i="76"/>
  <c r="D197" i="76"/>
  <c r="E203" i="76"/>
  <c r="D207" i="76"/>
  <c r="D200" i="76"/>
  <c r="C181" i="76"/>
  <c r="C183" i="76"/>
  <c r="D186" i="76"/>
  <c r="E191" i="76"/>
  <c r="D195" i="76"/>
  <c r="E200" i="76"/>
  <c r="D205" i="76"/>
  <c r="E186" i="76"/>
  <c r="D189" i="76"/>
  <c r="E195" i="76"/>
  <c r="D198" i="76"/>
  <c r="E205" i="76"/>
  <c r="D208" i="76"/>
  <c r="E189" i="76"/>
  <c r="D192" i="76"/>
  <c r="E198" i="76"/>
  <c r="D201" i="76"/>
  <c r="E208" i="76"/>
  <c r="T541" i="6"/>
  <c r="S542" i="6"/>
  <c r="S538" i="6"/>
  <c r="S539" i="6"/>
  <c r="T539" i="6"/>
  <c r="T542" i="6"/>
  <c r="S535" i="6"/>
  <c r="T529" i="6"/>
  <c r="T532" i="6"/>
  <c r="S528" i="6"/>
  <c r="S526" i="6"/>
  <c r="T528" i="6"/>
  <c r="S531" i="6"/>
  <c r="S529" i="6"/>
  <c r="T531" i="6"/>
  <c r="C178" i="7" l="1"/>
  <c r="B178" i="7"/>
  <c r="C177" i="7"/>
  <c r="B177" i="7"/>
  <c r="C176" i="7"/>
  <c r="B176" i="7"/>
  <c r="B175" i="7"/>
  <c r="B174" i="7"/>
  <c r="B173" i="7"/>
  <c r="B172" i="7"/>
  <c r="B171" i="7"/>
  <c r="B170" i="7"/>
  <c r="B169" i="7"/>
  <c r="B168" i="7"/>
  <c r="B167" i="7"/>
  <c r="C166" i="7"/>
  <c r="B166" i="7"/>
  <c r="B165" i="7"/>
  <c r="B164" i="7"/>
  <c r="C163" i="7"/>
  <c r="B163" i="7"/>
  <c r="C162" i="7"/>
  <c r="B162" i="7"/>
  <c r="B161" i="7"/>
  <c r="B160" i="7"/>
  <c r="C159" i="7"/>
  <c r="B159" i="7"/>
  <c r="C158" i="7"/>
  <c r="B158" i="7"/>
  <c r="B157" i="7"/>
  <c r="B156" i="7"/>
  <c r="B155" i="7"/>
  <c r="B154" i="7"/>
  <c r="B153" i="7"/>
  <c r="B152" i="7"/>
  <c r="C151" i="7"/>
  <c r="B151" i="7"/>
  <c r="B150" i="7"/>
  <c r="B149" i="7"/>
  <c r="B148" i="7"/>
  <c r="B147" i="7"/>
  <c r="B146" i="7"/>
  <c r="B145" i="7"/>
  <c r="C144" i="7"/>
  <c r="B144" i="7"/>
  <c r="C143" i="7"/>
  <c r="B143" i="7"/>
  <c r="C142" i="7"/>
  <c r="B142" i="7"/>
  <c r="C141" i="7"/>
  <c r="B141" i="7"/>
  <c r="C140" i="7"/>
  <c r="B140" i="7"/>
  <c r="B139" i="7"/>
  <c r="B138" i="7"/>
  <c r="B137" i="7"/>
  <c r="B136" i="7"/>
  <c r="B135" i="7"/>
  <c r="B134" i="7"/>
  <c r="C178" i="76"/>
  <c r="B178" i="76"/>
  <c r="C177" i="76"/>
  <c r="B177" i="76"/>
  <c r="C176" i="76"/>
  <c r="B176" i="76"/>
  <c r="B175" i="76"/>
  <c r="B174" i="76"/>
  <c r="B173" i="76"/>
  <c r="B172" i="76"/>
  <c r="B171" i="76"/>
  <c r="B170" i="76"/>
  <c r="B169" i="76"/>
  <c r="B168" i="76"/>
  <c r="B167" i="76"/>
  <c r="C166" i="76"/>
  <c r="B166" i="76"/>
  <c r="B165" i="76"/>
  <c r="B164" i="76"/>
  <c r="C163" i="76"/>
  <c r="B163" i="76"/>
  <c r="C162" i="76"/>
  <c r="B162" i="76"/>
  <c r="B161" i="76"/>
  <c r="B160" i="76"/>
  <c r="C159" i="76"/>
  <c r="B159" i="76"/>
  <c r="C158" i="76"/>
  <c r="B158" i="76"/>
  <c r="B157" i="76"/>
  <c r="B156" i="76"/>
  <c r="B155" i="76"/>
  <c r="B154" i="76"/>
  <c r="B153" i="76"/>
  <c r="B152" i="76"/>
  <c r="C151" i="76"/>
  <c r="B151" i="76"/>
  <c r="B150" i="76"/>
  <c r="B149" i="76"/>
  <c r="B148" i="76"/>
  <c r="B147" i="76"/>
  <c r="B146" i="76"/>
  <c r="B145" i="76"/>
  <c r="C144" i="76"/>
  <c r="B144" i="76"/>
  <c r="C143" i="76"/>
  <c r="B143" i="76"/>
  <c r="C142" i="76"/>
  <c r="B142" i="76"/>
  <c r="C141" i="76"/>
  <c r="B141" i="76"/>
  <c r="C140" i="76"/>
  <c r="B140" i="76"/>
  <c r="B139" i="76"/>
  <c r="B138" i="76"/>
  <c r="B137" i="76"/>
  <c r="B136" i="76"/>
  <c r="B135" i="76"/>
  <c r="B134" i="76"/>
  <c r="B133" i="76"/>
  <c r="B132" i="76"/>
  <c r="B131" i="76"/>
  <c r="T519" i="6" l="1"/>
  <c r="S519" i="6"/>
  <c r="T516" i="6"/>
  <c r="S516" i="6"/>
  <c r="T513" i="6"/>
  <c r="S513" i="6"/>
  <c r="O511" i="6"/>
  <c r="T510" i="6" s="1"/>
  <c r="S510" i="6"/>
  <c r="N510" i="6"/>
  <c r="C510" i="6"/>
  <c r="O508" i="6"/>
  <c r="T507" i="6" s="1"/>
  <c r="S507" i="6"/>
  <c r="N507" i="6"/>
  <c r="C507" i="6"/>
  <c r="O505" i="6"/>
  <c r="T504" i="6" s="1"/>
  <c r="S504" i="6"/>
  <c r="N504" i="6"/>
  <c r="C504" i="6"/>
  <c r="O502" i="6"/>
  <c r="T501" i="6" s="1"/>
  <c r="S501" i="6"/>
  <c r="N501" i="6"/>
  <c r="C501" i="6"/>
  <c r="O499" i="6"/>
  <c r="T498" i="6" s="1"/>
  <c r="S498" i="6"/>
  <c r="N498" i="6"/>
  <c r="C498" i="6"/>
  <c r="T483" i="6"/>
  <c r="S483" i="6"/>
  <c r="T482" i="6"/>
  <c r="S482" i="6"/>
  <c r="T474" i="6"/>
  <c r="S474" i="6"/>
  <c r="T473" i="6"/>
  <c r="S473" i="6"/>
  <c r="T471" i="6"/>
  <c r="S471" i="6"/>
  <c r="T470" i="6"/>
  <c r="S470" i="6"/>
  <c r="T462" i="6"/>
  <c r="S462" i="6"/>
  <c r="T461" i="6"/>
  <c r="S461" i="6"/>
  <c r="T459" i="6"/>
  <c r="S459" i="6"/>
  <c r="T458" i="6"/>
  <c r="S458" i="6"/>
  <c r="O496" i="6"/>
  <c r="S495" i="6"/>
  <c r="N495" i="6"/>
  <c r="C495" i="6"/>
  <c r="O493" i="6"/>
  <c r="T492" i="6" s="1"/>
  <c r="S492" i="6"/>
  <c r="N492" i="6"/>
  <c r="C492" i="6"/>
  <c r="O490" i="6"/>
  <c r="T489" i="6" s="1"/>
  <c r="S489" i="6"/>
  <c r="N489" i="6"/>
  <c r="C489" i="6"/>
  <c r="O487" i="6"/>
  <c r="S486" i="6"/>
  <c r="N486" i="6"/>
  <c r="C486" i="6"/>
  <c r="O481" i="6"/>
  <c r="T480" i="6" s="1"/>
  <c r="S480" i="6"/>
  <c r="N480" i="6"/>
  <c r="C480" i="6"/>
  <c r="O478" i="6"/>
  <c r="T477" i="6" s="1"/>
  <c r="S477" i="6"/>
  <c r="N477" i="6"/>
  <c r="C477" i="6"/>
  <c r="O469" i="6"/>
  <c r="T468" i="6" s="1"/>
  <c r="S468" i="6"/>
  <c r="N468" i="6"/>
  <c r="C468" i="6"/>
  <c r="O466" i="6"/>
  <c r="T465" i="6" s="1"/>
  <c r="S465" i="6"/>
  <c r="N465" i="6"/>
  <c r="C465" i="6"/>
  <c r="O457" i="6"/>
  <c r="T456" i="6" s="1"/>
  <c r="S456" i="6"/>
  <c r="N456" i="6"/>
  <c r="C456" i="6"/>
  <c r="O454" i="6"/>
  <c r="S453" i="6"/>
  <c r="N453" i="6"/>
  <c r="C453" i="6"/>
  <c r="O451" i="6"/>
  <c r="T450" i="6" s="1"/>
  <c r="S450" i="6"/>
  <c r="N450" i="6"/>
  <c r="C450" i="6"/>
  <c r="O448" i="6"/>
  <c r="S446" i="6"/>
  <c r="N446" i="6"/>
  <c r="O444" i="6"/>
  <c r="S443" i="6"/>
  <c r="N443" i="6"/>
  <c r="C443" i="6"/>
  <c r="O441" i="6"/>
  <c r="T440" i="6" s="1"/>
  <c r="S440" i="6"/>
  <c r="N440" i="6"/>
  <c r="C440" i="6"/>
  <c r="T437" i="6"/>
  <c r="S437" i="6"/>
  <c r="S436" i="6"/>
  <c r="S435" i="6"/>
  <c r="O435" i="6"/>
  <c r="T434" i="6" s="1"/>
  <c r="S434" i="6"/>
  <c r="N434" i="6"/>
  <c r="C434" i="6"/>
  <c r="O432" i="6"/>
  <c r="T431" i="6" s="1"/>
  <c r="S431" i="6"/>
  <c r="N431" i="6"/>
  <c r="C431" i="6"/>
  <c r="O429" i="6"/>
  <c r="T428" i="6" s="1"/>
  <c r="S428" i="6"/>
  <c r="N428" i="6"/>
  <c r="C428" i="6"/>
  <c r="T416" i="6"/>
  <c r="S416" i="6"/>
  <c r="T413" i="6"/>
  <c r="S413" i="6"/>
  <c r="T410" i="6"/>
  <c r="S410" i="6"/>
  <c r="T407" i="6"/>
  <c r="S407" i="6"/>
  <c r="O426" i="6"/>
  <c r="T425" i="6" s="1"/>
  <c r="S425" i="6"/>
  <c r="N425" i="6"/>
  <c r="C425" i="6"/>
  <c r="O423" i="6"/>
  <c r="T422" i="6" s="1"/>
  <c r="S422" i="6"/>
  <c r="C422" i="6"/>
  <c r="O420" i="6"/>
  <c r="T419" i="6" s="1"/>
  <c r="S419" i="6"/>
  <c r="C419" i="6"/>
  <c r="T404" i="6"/>
  <c r="S404" i="6"/>
  <c r="O402" i="6"/>
  <c r="T401" i="6" s="1"/>
  <c r="S401" i="6"/>
  <c r="N401" i="6"/>
  <c r="C401" i="6"/>
  <c r="O399" i="6"/>
  <c r="T398" i="6" s="1"/>
  <c r="S398" i="6"/>
  <c r="N398" i="6"/>
  <c r="C398" i="6"/>
  <c r="O396" i="6"/>
  <c r="T395" i="6" s="1"/>
  <c r="S395" i="6"/>
  <c r="N395" i="6"/>
  <c r="C395" i="6"/>
  <c r="O393" i="6"/>
  <c r="T392" i="6" s="1"/>
  <c r="S392" i="6"/>
  <c r="N392" i="6"/>
  <c r="C392" i="6"/>
  <c r="O390" i="6"/>
  <c r="S389" i="6"/>
  <c r="N389" i="6"/>
  <c r="C389" i="6"/>
  <c r="O387" i="6"/>
  <c r="T386" i="6" s="1"/>
  <c r="S386" i="6"/>
  <c r="N386" i="6"/>
  <c r="C386" i="6"/>
  <c r="O384" i="6"/>
  <c r="T383" i="6" s="1"/>
  <c r="D133" i="76" s="1"/>
  <c r="S383" i="6"/>
  <c r="E133" i="76" s="1"/>
  <c r="N383" i="6"/>
  <c r="C383" i="6"/>
  <c r="O381" i="6"/>
  <c r="T380" i="6" s="1"/>
  <c r="D132" i="76" s="1"/>
  <c r="S380" i="6"/>
  <c r="E132" i="76" s="1"/>
  <c r="N380" i="6"/>
  <c r="C380" i="6"/>
  <c r="O378" i="6"/>
  <c r="T377" i="6" s="1"/>
  <c r="D131" i="76" s="1"/>
  <c r="S377" i="6"/>
  <c r="E131" i="76" s="1"/>
  <c r="N377" i="6"/>
  <c r="C377" i="6"/>
  <c r="B102" i="7"/>
  <c r="F102" i="7" s="1"/>
  <c r="T446" i="6" l="1"/>
  <c r="D154" i="76" s="1"/>
  <c r="T447" i="6"/>
  <c r="S418" i="6"/>
  <c r="C145" i="76"/>
  <c r="C145" i="7"/>
  <c r="E147" i="76"/>
  <c r="E147" i="7"/>
  <c r="E143" i="7"/>
  <c r="E143" i="76"/>
  <c r="C149" i="7"/>
  <c r="C149" i="76"/>
  <c r="S442" i="6"/>
  <c r="C153" i="76"/>
  <c r="C153" i="7"/>
  <c r="D134" i="7"/>
  <c r="D134" i="76"/>
  <c r="D136" i="7"/>
  <c r="D136" i="76"/>
  <c r="D138" i="7"/>
  <c r="D138" i="76"/>
  <c r="E145" i="7"/>
  <c r="E145" i="76"/>
  <c r="D147" i="76"/>
  <c r="D147" i="7"/>
  <c r="D143" i="76"/>
  <c r="D143" i="7"/>
  <c r="E155" i="7"/>
  <c r="E155" i="76"/>
  <c r="E157" i="7"/>
  <c r="E157" i="76"/>
  <c r="E161" i="7"/>
  <c r="E161" i="76"/>
  <c r="E165" i="7"/>
  <c r="E165" i="76"/>
  <c r="E168" i="7"/>
  <c r="E168" i="76"/>
  <c r="E170" i="7"/>
  <c r="E170" i="76"/>
  <c r="E159" i="7"/>
  <c r="E159" i="76"/>
  <c r="E163" i="7"/>
  <c r="E163" i="76"/>
  <c r="E171" i="7"/>
  <c r="E171" i="76"/>
  <c r="E173" i="7"/>
  <c r="E173" i="76"/>
  <c r="E175" i="7"/>
  <c r="E175" i="76"/>
  <c r="D145" i="7"/>
  <c r="D145" i="76"/>
  <c r="E144" i="7"/>
  <c r="E144" i="76"/>
  <c r="E149" i="7"/>
  <c r="E149" i="76"/>
  <c r="E151" i="7"/>
  <c r="E151" i="76"/>
  <c r="E153" i="7"/>
  <c r="E153" i="76"/>
  <c r="D155" i="7"/>
  <c r="D155" i="76"/>
  <c r="D157" i="7"/>
  <c r="D157" i="76"/>
  <c r="D161" i="7"/>
  <c r="D161" i="76"/>
  <c r="D165" i="7"/>
  <c r="D165" i="76"/>
  <c r="D168" i="76"/>
  <c r="D168" i="7"/>
  <c r="D159" i="7"/>
  <c r="D159" i="76"/>
  <c r="D163" i="7"/>
  <c r="D163" i="76"/>
  <c r="D171" i="7"/>
  <c r="D171" i="76"/>
  <c r="D173" i="7"/>
  <c r="D173" i="76"/>
  <c r="D175" i="7"/>
  <c r="D175" i="76"/>
  <c r="S421" i="6"/>
  <c r="C146" i="7"/>
  <c r="C146" i="76"/>
  <c r="D144" i="7"/>
  <c r="D144" i="76"/>
  <c r="D149" i="7"/>
  <c r="D149" i="76"/>
  <c r="D151" i="76"/>
  <c r="D151" i="7"/>
  <c r="C156" i="7"/>
  <c r="C156" i="76"/>
  <c r="S464" i="6"/>
  <c r="C160" i="7"/>
  <c r="C160" i="76"/>
  <c r="S476" i="6"/>
  <c r="C164" i="7"/>
  <c r="C164" i="76"/>
  <c r="S485" i="6"/>
  <c r="C167" i="7"/>
  <c r="C167" i="76"/>
  <c r="C169" i="7"/>
  <c r="C169" i="76"/>
  <c r="C172" i="7"/>
  <c r="C172" i="76"/>
  <c r="S506" i="6"/>
  <c r="C174" i="7"/>
  <c r="C174" i="76"/>
  <c r="E176" i="7"/>
  <c r="E176" i="76"/>
  <c r="D140" i="7"/>
  <c r="D140" i="76"/>
  <c r="D142" i="7"/>
  <c r="D142" i="76"/>
  <c r="E134" i="7"/>
  <c r="E134" i="76"/>
  <c r="E136" i="7"/>
  <c r="E136" i="76"/>
  <c r="E138" i="7"/>
  <c r="E138" i="76"/>
  <c r="T511" i="6"/>
  <c r="C131" i="76"/>
  <c r="S382" i="6"/>
  <c r="C133" i="76"/>
  <c r="C135" i="7"/>
  <c r="C135" i="76"/>
  <c r="C137" i="76"/>
  <c r="C137" i="7"/>
  <c r="C139" i="7"/>
  <c r="C139" i="76"/>
  <c r="E135" i="7"/>
  <c r="E135" i="76"/>
  <c r="E137" i="7"/>
  <c r="E137" i="76"/>
  <c r="E139" i="76"/>
  <c r="E139" i="7"/>
  <c r="E146" i="7"/>
  <c r="E146" i="76"/>
  <c r="E141" i="7"/>
  <c r="E141" i="76"/>
  <c r="S427" i="6"/>
  <c r="C148" i="7"/>
  <c r="C148" i="76"/>
  <c r="S433" i="6"/>
  <c r="C150" i="76"/>
  <c r="C150" i="7"/>
  <c r="C152" i="7"/>
  <c r="C152" i="76"/>
  <c r="D176" i="76"/>
  <c r="D176" i="7"/>
  <c r="D137" i="7"/>
  <c r="D137" i="76"/>
  <c r="D139" i="76"/>
  <c r="D139" i="7"/>
  <c r="D146" i="7"/>
  <c r="D146" i="76"/>
  <c r="D141" i="7"/>
  <c r="D141" i="76"/>
  <c r="E154" i="7"/>
  <c r="E154" i="76"/>
  <c r="E156" i="7"/>
  <c r="E156" i="76"/>
  <c r="E160" i="7"/>
  <c r="E160" i="76"/>
  <c r="E164" i="7"/>
  <c r="E164" i="76"/>
  <c r="E167" i="7"/>
  <c r="E167" i="76"/>
  <c r="E169" i="7"/>
  <c r="E169" i="76"/>
  <c r="E158" i="7"/>
  <c r="E158" i="76"/>
  <c r="E162" i="7"/>
  <c r="E162" i="76"/>
  <c r="E166" i="7"/>
  <c r="E166" i="76"/>
  <c r="E172" i="7"/>
  <c r="E172" i="76"/>
  <c r="E174" i="7"/>
  <c r="E174" i="76"/>
  <c r="E177" i="7"/>
  <c r="E177" i="76"/>
  <c r="S379" i="6"/>
  <c r="C132" i="76"/>
  <c r="C134" i="76"/>
  <c r="C134" i="7"/>
  <c r="C136" i="7"/>
  <c r="C136" i="76"/>
  <c r="S397" i="6"/>
  <c r="C138" i="7"/>
  <c r="C138" i="76"/>
  <c r="E140" i="7"/>
  <c r="E140" i="76"/>
  <c r="S424" i="6"/>
  <c r="C147" i="7"/>
  <c r="C147" i="76"/>
  <c r="E142" i="7"/>
  <c r="E142" i="76"/>
  <c r="E148" i="7"/>
  <c r="E148" i="76"/>
  <c r="E150" i="7"/>
  <c r="E150" i="76"/>
  <c r="E152" i="7"/>
  <c r="E152" i="76"/>
  <c r="D160" i="76"/>
  <c r="D160" i="7"/>
  <c r="D164" i="76"/>
  <c r="D164" i="7"/>
  <c r="D169" i="7"/>
  <c r="D169" i="76"/>
  <c r="D158" i="76"/>
  <c r="D158" i="7"/>
  <c r="D162" i="76"/>
  <c r="D162" i="7"/>
  <c r="D166" i="76"/>
  <c r="D166" i="7"/>
  <c r="D172" i="76"/>
  <c r="D172" i="7"/>
  <c r="D174" i="76"/>
  <c r="D174" i="7"/>
  <c r="D177" i="7"/>
  <c r="D177" i="76"/>
  <c r="D148" i="7"/>
  <c r="D148" i="76"/>
  <c r="D150" i="7"/>
  <c r="D150" i="76"/>
  <c r="D152" i="7"/>
  <c r="D152" i="76"/>
  <c r="C155" i="7"/>
  <c r="C155" i="76"/>
  <c r="C157" i="7"/>
  <c r="C157" i="76"/>
  <c r="C161" i="7"/>
  <c r="C161" i="76"/>
  <c r="C165" i="7"/>
  <c r="C165" i="76"/>
  <c r="S488" i="6"/>
  <c r="C168" i="7"/>
  <c r="C168" i="76"/>
  <c r="C170" i="7"/>
  <c r="C170" i="76"/>
  <c r="S497" i="6"/>
  <c r="C171" i="7"/>
  <c r="C171" i="76"/>
  <c r="C173" i="7"/>
  <c r="C173" i="76"/>
  <c r="S509" i="6"/>
  <c r="C175" i="7"/>
  <c r="C175" i="76"/>
  <c r="E178" i="7"/>
  <c r="E178" i="76"/>
  <c r="D178" i="76"/>
  <c r="D178" i="7"/>
  <c r="T509" i="6"/>
  <c r="S511" i="6"/>
  <c r="T503" i="6"/>
  <c r="T506" i="6"/>
  <c r="T500" i="6"/>
  <c r="T497" i="6"/>
  <c r="S499" i="6"/>
  <c r="T494" i="6"/>
  <c r="T499" i="6"/>
  <c r="S502" i="6"/>
  <c r="S500" i="6"/>
  <c r="T502" i="6"/>
  <c r="S505" i="6"/>
  <c r="S503" i="6"/>
  <c r="T505" i="6"/>
  <c r="T491" i="6"/>
  <c r="T479" i="6"/>
  <c r="S484" i="6"/>
  <c r="T484" i="6"/>
  <c r="S472" i="6"/>
  <c r="T472" i="6"/>
  <c r="S469" i="6"/>
  <c r="S475" i="6"/>
  <c r="T485" i="6"/>
  <c r="T475" i="6"/>
  <c r="T463" i="6"/>
  <c r="S466" i="6"/>
  <c r="T466" i="6"/>
  <c r="S467" i="6"/>
  <c r="S463" i="6"/>
  <c r="T488" i="6"/>
  <c r="T493" i="6"/>
  <c r="T457" i="6"/>
  <c r="T467" i="6"/>
  <c r="S481" i="6"/>
  <c r="S493" i="6"/>
  <c r="S494" i="6"/>
  <c r="T455" i="6"/>
  <c r="T478" i="6"/>
  <c r="S460" i="6"/>
  <c r="T460" i="6"/>
  <c r="T451" i="6"/>
  <c r="S455" i="6"/>
  <c r="T464" i="6"/>
  <c r="T469" i="6"/>
  <c r="S478" i="6"/>
  <c r="T486" i="6"/>
  <c r="T438" i="6"/>
  <c r="T452" i="6"/>
  <c r="T476" i="6"/>
  <c r="S479" i="6"/>
  <c r="T481" i="6"/>
  <c r="S487" i="6"/>
  <c r="T487" i="6"/>
  <c r="S490" i="6"/>
  <c r="T495" i="6"/>
  <c r="T490" i="6"/>
  <c r="S457" i="6"/>
  <c r="S491" i="6"/>
  <c r="T429" i="6"/>
  <c r="S451" i="6"/>
  <c r="S452" i="6"/>
  <c r="T449" i="6"/>
  <c r="T442" i="6"/>
  <c r="S441" i="6"/>
  <c r="S438" i="6"/>
  <c r="T439" i="6"/>
  <c r="T432" i="6"/>
  <c r="T433" i="6"/>
  <c r="S432" i="6"/>
  <c r="S430" i="6"/>
  <c r="T427" i="6"/>
  <c r="T430" i="6"/>
  <c r="T435" i="6"/>
  <c r="T443" i="6"/>
  <c r="T436" i="6"/>
  <c r="S439" i="6"/>
  <c r="T441" i="6"/>
  <c r="S448" i="6"/>
  <c r="T453" i="6"/>
  <c r="T448" i="6"/>
  <c r="S429" i="6"/>
  <c r="S449" i="6"/>
  <c r="S420" i="6"/>
  <c r="T376" i="6"/>
  <c r="S411" i="6"/>
  <c r="T411" i="6"/>
  <c r="T421" i="6"/>
  <c r="T385" i="6"/>
  <c r="T391" i="6"/>
  <c r="T418" i="6"/>
  <c r="S423" i="6"/>
  <c r="T388" i="6"/>
  <c r="T394" i="6"/>
  <c r="T399" i="6"/>
  <c r="T424" i="6"/>
  <c r="S408" i="6"/>
  <c r="T408" i="6"/>
  <c r="T397" i="6"/>
  <c r="T387" i="6"/>
  <c r="S387" i="6"/>
  <c r="S384" i="6"/>
  <c r="T384" i="6"/>
  <c r="S385" i="6"/>
  <c r="S378" i="6"/>
  <c r="S381" i="6"/>
  <c r="T382" i="6"/>
  <c r="S376" i="6"/>
  <c r="T378" i="6"/>
  <c r="S400" i="6"/>
  <c r="T381" i="6"/>
  <c r="T389" i="6"/>
  <c r="T400" i="6"/>
  <c r="T379" i="6"/>
  <c r="S388" i="6"/>
  <c r="T390" i="6"/>
  <c r="S393" i="6"/>
  <c r="S391" i="6"/>
  <c r="T393" i="6"/>
  <c r="S396" i="6"/>
  <c r="S405" i="6"/>
  <c r="S390" i="6"/>
  <c r="S394" i="6"/>
  <c r="T396" i="6"/>
  <c r="S399" i="6"/>
  <c r="T405" i="6"/>
  <c r="T420" i="6"/>
  <c r="T423" i="6"/>
  <c r="E133" i="7"/>
  <c r="D133" i="7"/>
  <c r="C133" i="7"/>
  <c r="B133" i="7"/>
  <c r="E132" i="7"/>
  <c r="D132" i="7"/>
  <c r="C132" i="7"/>
  <c r="B132" i="7"/>
  <c r="E131" i="7"/>
  <c r="D131" i="7"/>
  <c r="C131" i="7"/>
  <c r="B131" i="7"/>
  <c r="B130" i="7"/>
  <c r="B129" i="7"/>
  <c r="B128" i="7"/>
  <c r="B127" i="7"/>
  <c r="B126" i="7"/>
  <c r="B125" i="7"/>
  <c r="B124" i="7"/>
  <c r="B123" i="7"/>
  <c r="B122" i="7"/>
  <c r="B121" i="7"/>
  <c r="B120" i="7"/>
  <c r="B119" i="7"/>
  <c r="B118" i="7"/>
  <c r="B117" i="7"/>
  <c r="B116" i="7"/>
  <c r="B115" i="7"/>
  <c r="B114" i="7"/>
  <c r="B113" i="7"/>
  <c r="B112" i="7"/>
  <c r="B111" i="7"/>
  <c r="B110" i="7"/>
  <c r="F110" i="7" s="1"/>
  <c r="B109" i="7"/>
  <c r="B108" i="7"/>
  <c r="B107" i="7"/>
  <c r="F107" i="7" s="1"/>
  <c r="B106" i="7"/>
  <c r="F106" i="7" s="1"/>
  <c r="C97" i="7"/>
  <c r="B97" i="7"/>
  <c r="C96" i="7"/>
  <c r="B96" i="7"/>
  <c r="B95" i="7"/>
  <c r="B90" i="7"/>
  <c r="B89" i="7"/>
  <c r="B88" i="7"/>
  <c r="B84" i="7"/>
  <c r="B85" i="7"/>
  <c r="B83" i="7"/>
  <c r="F83" i="7" s="1"/>
  <c r="C82" i="7"/>
  <c r="B82" i="7"/>
  <c r="C97" i="76"/>
  <c r="B97" i="76"/>
  <c r="B96" i="76"/>
  <c r="B95" i="76"/>
  <c r="B94" i="76"/>
  <c r="B93" i="76"/>
  <c r="E91" i="76"/>
  <c r="B91" i="76"/>
  <c r="B90" i="76"/>
  <c r="B89" i="76"/>
  <c r="B87" i="76"/>
  <c r="B86" i="76"/>
  <c r="B84" i="76"/>
  <c r="B83" i="76"/>
  <c r="B82" i="76"/>
  <c r="C81" i="76"/>
  <c r="B81" i="76"/>
  <c r="S258" i="6"/>
  <c r="O258" i="6"/>
  <c r="T257" i="6" s="1"/>
  <c r="C257" i="6" s="1"/>
  <c r="S257" i="6"/>
  <c r="E93" i="7" s="1"/>
  <c r="N257" i="6"/>
  <c r="O248" i="6"/>
  <c r="S246" i="6"/>
  <c r="E89" i="7" s="1"/>
  <c r="N246" i="6"/>
  <c r="O245" i="6"/>
  <c r="T244" i="6" s="1"/>
  <c r="D88" i="7" s="1"/>
  <c r="S244" i="6"/>
  <c r="E88" i="7" s="1"/>
  <c r="N244" i="6"/>
  <c r="C244" i="6"/>
  <c r="S242" i="6" s="1"/>
  <c r="O242" i="6"/>
  <c r="T241" i="6" s="1"/>
  <c r="C241" i="6" s="1"/>
  <c r="C87" i="7" s="1"/>
  <c r="S241" i="6"/>
  <c r="E87" i="7" s="1"/>
  <c r="N241" i="6"/>
  <c r="C238" i="6"/>
  <c r="C86" i="76" s="1"/>
  <c r="C223" i="6"/>
  <c r="B72" i="76"/>
  <c r="D154" i="7" l="1"/>
  <c r="C93" i="7"/>
  <c r="S255" i="6"/>
  <c r="S256" i="6"/>
  <c r="T246" i="6"/>
  <c r="D90" i="76" s="1"/>
  <c r="T247" i="6"/>
  <c r="D153" i="7"/>
  <c r="D153" i="76"/>
  <c r="D170" i="76"/>
  <c r="D170" i="7"/>
  <c r="D167" i="7"/>
  <c r="D167" i="76"/>
  <c r="D135" i="76"/>
  <c r="D135" i="7"/>
  <c r="D156" i="76"/>
  <c r="D156" i="7"/>
  <c r="C86" i="7"/>
  <c r="C89" i="76"/>
  <c r="C94" i="76"/>
  <c r="C88" i="7"/>
  <c r="D89" i="76"/>
  <c r="D94" i="76"/>
  <c r="D93" i="7"/>
  <c r="E89" i="76"/>
  <c r="E94" i="76"/>
  <c r="C87" i="76"/>
  <c r="D87" i="76"/>
  <c r="D87" i="7"/>
  <c r="E87" i="76"/>
  <c r="E90" i="76"/>
  <c r="T256" i="6"/>
  <c r="T243" i="6"/>
  <c r="T240" i="6"/>
  <c r="S240" i="6"/>
  <c r="T242" i="6"/>
  <c r="S243" i="6"/>
  <c r="O111" i="6"/>
  <c r="T110" i="6" s="1"/>
  <c r="D40" i="76" s="1"/>
  <c r="S110" i="6"/>
  <c r="E40" i="76" s="1"/>
  <c r="N110" i="6"/>
  <c r="C110" i="6"/>
  <c r="O108" i="6"/>
  <c r="T107" i="6" s="1"/>
  <c r="D39" i="76" s="1"/>
  <c r="S107" i="6"/>
  <c r="E39" i="76" s="1"/>
  <c r="N107" i="6"/>
  <c r="C107" i="6"/>
  <c r="O105" i="6"/>
  <c r="T104" i="6" s="1"/>
  <c r="D38" i="76" s="1"/>
  <c r="S104" i="6"/>
  <c r="E38" i="76" s="1"/>
  <c r="N104" i="6"/>
  <c r="C104" i="6"/>
  <c r="O102" i="6"/>
  <c r="T101" i="6" s="1"/>
  <c r="S101" i="6"/>
  <c r="N101" i="6"/>
  <c r="C101" i="6"/>
  <c r="B40" i="76"/>
  <c r="B39" i="76"/>
  <c r="B38" i="76"/>
  <c r="O98" i="6"/>
  <c r="T97" i="6" s="1"/>
  <c r="S97" i="6"/>
  <c r="N97" i="6"/>
  <c r="C97" i="6"/>
  <c r="S96" i="6" s="1"/>
  <c r="O95" i="6"/>
  <c r="T94" i="6" s="1"/>
  <c r="S94" i="6"/>
  <c r="N94" i="6"/>
  <c r="C94" i="6"/>
  <c r="O92" i="6"/>
  <c r="T91" i="6" s="1"/>
  <c r="S91" i="6"/>
  <c r="N91" i="6"/>
  <c r="C91" i="6"/>
  <c r="D89" i="7" l="1"/>
  <c r="T109" i="6"/>
  <c r="T90" i="6"/>
  <c r="T103" i="6"/>
  <c r="T100" i="6"/>
  <c r="T106" i="6"/>
  <c r="S109" i="6"/>
  <c r="C40" i="76"/>
  <c r="C39" i="76"/>
  <c r="C38" i="76"/>
  <c r="T93" i="6"/>
  <c r="S100" i="6"/>
  <c r="S105" i="6"/>
  <c r="S103" i="6"/>
  <c r="T105" i="6"/>
  <c r="S106" i="6"/>
  <c r="T96" i="6"/>
  <c r="S90" i="6"/>
  <c r="T92" i="6"/>
  <c r="S93" i="6"/>
  <c r="S92" i="6"/>
  <c r="O88" i="6"/>
  <c r="T87" i="6" s="1"/>
  <c r="S87" i="6"/>
  <c r="N87" i="6"/>
  <c r="C87" i="6"/>
  <c r="S86" i="6" s="1"/>
  <c r="O85" i="6"/>
  <c r="T84" i="6" s="1"/>
  <c r="S84" i="6"/>
  <c r="N84" i="6"/>
  <c r="C84" i="6"/>
  <c r="O82" i="6"/>
  <c r="T81" i="6" s="1"/>
  <c r="S81" i="6"/>
  <c r="N81" i="6"/>
  <c r="C81" i="6"/>
  <c r="S80" i="6" s="1"/>
  <c r="C77" i="6"/>
  <c r="O79" i="6"/>
  <c r="T77" i="6" s="1"/>
  <c r="S77" i="6"/>
  <c r="N77" i="6"/>
  <c r="C74" i="6"/>
  <c r="S73" i="6" s="1"/>
  <c r="C71" i="6"/>
  <c r="C68" i="6"/>
  <c r="C64" i="6"/>
  <c r="C61" i="6"/>
  <c r="C23" i="76" s="1"/>
  <c r="O75" i="6"/>
  <c r="T74" i="6" s="1"/>
  <c r="S74" i="6"/>
  <c r="N74" i="6"/>
  <c r="O72" i="6"/>
  <c r="T71" i="6" s="1"/>
  <c r="S71" i="6"/>
  <c r="N71" i="6"/>
  <c r="O69" i="6"/>
  <c r="T68" i="6" s="1"/>
  <c r="S68" i="6"/>
  <c r="N68" i="6"/>
  <c r="O66" i="6"/>
  <c r="T64" i="6" s="1"/>
  <c r="S64" i="6"/>
  <c r="N64" i="6"/>
  <c r="C57" i="6"/>
  <c r="C53" i="6"/>
  <c r="B37" i="76"/>
  <c r="B35" i="76"/>
  <c r="B34" i="76"/>
  <c r="B33" i="76"/>
  <c r="B31" i="76"/>
  <c r="B30" i="76"/>
  <c r="B29" i="76"/>
  <c r="B28" i="76"/>
  <c r="B27" i="76"/>
  <c r="B26" i="76"/>
  <c r="B25" i="76"/>
  <c r="B24" i="76"/>
  <c r="B23" i="76"/>
  <c r="B22" i="76"/>
  <c r="B21" i="76"/>
  <c r="C49" i="6"/>
  <c r="C45" i="6"/>
  <c r="C41" i="6"/>
  <c r="C37" i="6"/>
  <c r="A29" i="53"/>
  <c r="C29" i="53"/>
  <c r="D29" i="53"/>
  <c r="I29" i="53" s="1"/>
  <c r="D28" i="53"/>
  <c r="I28" i="53" s="1"/>
  <c r="C28" i="53"/>
  <c r="A28" i="53"/>
  <c r="I30" i="53" l="1"/>
  <c r="T83" i="6"/>
  <c r="T86" i="6"/>
  <c r="T80" i="6"/>
  <c r="S82" i="6"/>
  <c r="T82" i="6"/>
  <c r="S83" i="6"/>
  <c r="S79" i="6"/>
  <c r="T76" i="6"/>
  <c r="S76" i="6"/>
  <c r="T79" i="6"/>
  <c r="T70" i="6"/>
  <c r="T63" i="6"/>
  <c r="T67" i="6"/>
  <c r="T73" i="6"/>
  <c r="S66" i="6"/>
  <c r="S63" i="6"/>
  <c r="T66" i="6"/>
  <c r="S69" i="6"/>
  <c r="S67" i="6"/>
  <c r="T69" i="6"/>
  <c r="S72" i="6"/>
  <c r="S70" i="6"/>
  <c r="T72" i="6"/>
  <c r="B41" i="7"/>
  <c r="F41" i="7" s="1"/>
  <c r="B40" i="7"/>
  <c r="F40" i="7" s="1"/>
  <c r="C39" i="7"/>
  <c r="B39" i="7"/>
  <c r="F39" i="7" s="1"/>
  <c r="B38" i="7"/>
  <c r="F38" i="7" s="1"/>
  <c r="C36" i="7"/>
  <c r="B36" i="7"/>
  <c r="B35" i="7"/>
  <c r="B34" i="7"/>
  <c r="B32" i="7"/>
  <c r="B31" i="7"/>
  <c r="B30" i="7"/>
  <c r="B29" i="7"/>
  <c r="F29" i="7" s="1"/>
  <c r="B28" i="7"/>
  <c r="F28" i="7" s="1"/>
  <c r="B27" i="7"/>
  <c r="F27" i="7" s="1"/>
  <c r="S207" i="6"/>
  <c r="O207" i="6"/>
  <c r="T206" i="6" s="1"/>
  <c r="S206" i="6"/>
  <c r="N206" i="6"/>
  <c r="C206" i="6"/>
  <c r="O204" i="6"/>
  <c r="T202" i="6" s="1"/>
  <c r="D40" i="7" s="1"/>
  <c r="S202" i="6"/>
  <c r="E40" i="7" s="1"/>
  <c r="N202" i="6"/>
  <c r="S200" i="6"/>
  <c r="T199" i="6"/>
  <c r="D39" i="7" s="1"/>
  <c r="S199" i="6"/>
  <c r="E39" i="7" s="1"/>
  <c r="S197" i="6"/>
  <c r="O197" i="6"/>
  <c r="T195" i="6" s="1"/>
  <c r="D38" i="7" s="1"/>
  <c r="S195" i="6"/>
  <c r="E38" i="7" s="1"/>
  <c r="N195" i="6"/>
  <c r="S193" i="6"/>
  <c r="T192" i="6"/>
  <c r="D36" i="7" s="1"/>
  <c r="S192" i="6"/>
  <c r="E36" i="7" s="1"/>
  <c r="S190" i="6"/>
  <c r="O190" i="6"/>
  <c r="T189" i="6" s="1"/>
  <c r="D35" i="7" s="1"/>
  <c r="S189" i="6"/>
  <c r="E35" i="7" s="1"/>
  <c r="N189" i="6"/>
  <c r="C189" i="6"/>
  <c r="C35" i="7" s="1"/>
  <c r="O187" i="6"/>
  <c r="T186" i="6" s="1"/>
  <c r="U186" i="6"/>
  <c r="S186" i="6"/>
  <c r="N186" i="6"/>
  <c r="S184" i="6"/>
  <c r="O184" i="6"/>
  <c r="T183" i="6" s="1"/>
  <c r="S183" i="6"/>
  <c r="N183" i="6"/>
  <c r="C183" i="6"/>
  <c r="S181" i="6"/>
  <c r="O181" i="6"/>
  <c r="T180" i="6" s="1"/>
  <c r="S180" i="6"/>
  <c r="N180" i="6"/>
  <c r="C180" i="6"/>
  <c r="O178" i="6"/>
  <c r="T177" i="6" s="1"/>
  <c r="S177" i="6"/>
  <c r="N177" i="6"/>
  <c r="C177" i="6"/>
  <c r="S175" i="6"/>
  <c r="O175" i="6"/>
  <c r="T173" i="6" s="1"/>
  <c r="S173" i="6"/>
  <c r="N173" i="6"/>
  <c r="O171" i="6"/>
  <c r="T170" i="6" s="1"/>
  <c r="D29" i="7" s="1"/>
  <c r="U170" i="6"/>
  <c r="S170" i="6"/>
  <c r="E29" i="7" s="1"/>
  <c r="N170" i="6"/>
  <c r="S168" i="6"/>
  <c r="O168" i="6"/>
  <c r="T167" i="6" s="1"/>
  <c r="S167" i="6"/>
  <c r="N167" i="6"/>
  <c r="C167" i="6"/>
  <c r="S166" i="6" s="1"/>
  <c r="O165" i="6"/>
  <c r="T164" i="6" s="1"/>
  <c r="D28" i="7" s="1"/>
  <c r="U164" i="6"/>
  <c r="S164" i="6"/>
  <c r="E28" i="7" s="1"/>
  <c r="N164" i="6"/>
  <c r="S162" i="6"/>
  <c r="O162" i="6"/>
  <c r="T161" i="6" s="1"/>
  <c r="D27" i="7" s="1"/>
  <c r="S161" i="6"/>
  <c r="E27" i="7" s="1"/>
  <c r="N161" i="6"/>
  <c r="C161" i="6"/>
  <c r="O159" i="6"/>
  <c r="T158" i="6" s="1"/>
  <c r="D26" i="7" s="1"/>
  <c r="U158" i="6"/>
  <c r="S158" i="6"/>
  <c r="E26" i="7" s="1"/>
  <c r="N158" i="6"/>
  <c r="O156" i="6"/>
  <c r="T155" i="6" s="1"/>
  <c r="D25" i="7" s="1"/>
  <c r="S155" i="6"/>
  <c r="E25" i="7" s="1"/>
  <c r="N155" i="6"/>
  <c r="C155" i="6"/>
  <c r="O153" i="6"/>
  <c r="T152" i="6" s="1"/>
  <c r="U152" i="6"/>
  <c r="S152" i="6"/>
  <c r="N152" i="6"/>
  <c r="B26" i="7"/>
  <c r="F26" i="7" s="1"/>
  <c r="B25" i="7"/>
  <c r="F25" i="7" s="1"/>
  <c r="B24" i="7"/>
  <c r="F24" i="7" s="1"/>
  <c r="B23" i="7"/>
  <c r="F23" i="7" s="1"/>
  <c r="B22" i="7"/>
  <c r="F22" i="7" s="1"/>
  <c r="S150" i="6"/>
  <c r="O150" i="6"/>
  <c r="T149" i="6" s="1"/>
  <c r="S149" i="6"/>
  <c r="N149" i="6"/>
  <c r="C149" i="6"/>
  <c r="S147" i="6" s="1"/>
  <c r="O147" i="6"/>
  <c r="T146" i="6" s="1"/>
  <c r="U146" i="6"/>
  <c r="S146" i="6"/>
  <c r="N146" i="6"/>
  <c r="O144" i="6"/>
  <c r="T143" i="6" s="1"/>
  <c r="S143" i="6"/>
  <c r="N143" i="6"/>
  <c r="C143" i="6"/>
  <c r="O141" i="6"/>
  <c r="T140" i="6" s="1"/>
  <c r="U140" i="6"/>
  <c r="S140" i="6"/>
  <c r="N140" i="6"/>
  <c r="C137" i="6"/>
  <c r="C131" i="6"/>
  <c r="C125" i="6"/>
  <c r="B12" i="76"/>
  <c r="D41" i="7" l="1"/>
  <c r="D72" i="76"/>
  <c r="S204" i="6"/>
  <c r="C72" i="76"/>
  <c r="E41" i="7"/>
  <c r="E72" i="76"/>
  <c r="T201" i="6"/>
  <c r="T176" i="6"/>
  <c r="S179" i="6"/>
  <c r="C38" i="7"/>
  <c r="T160" i="6"/>
  <c r="T198" i="6"/>
  <c r="S205" i="6"/>
  <c r="T205" i="6"/>
  <c r="T171" i="6"/>
  <c r="T172" i="6"/>
  <c r="C41" i="7"/>
  <c r="T188" i="6"/>
  <c r="C29" i="7"/>
  <c r="C40" i="7"/>
  <c r="C27" i="7"/>
  <c r="T182" i="6"/>
  <c r="T204" i="6"/>
  <c r="S165" i="6"/>
  <c r="T142" i="6"/>
  <c r="T154" i="6"/>
  <c r="T191" i="6"/>
  <c r="S201" i="6"/>
  <c r="S198" i="6"/>
  <c r="T194" i="6"/>
  <c r="S191" i="6"/>
  <c r="S182" i="6"/>
  <c r="T193" i="6"/>
  <c r="S194" i="6"/>
  <c r="S187" i="6"/>
  <c r="T187" i="6"/>
  <c r="S188" i="6"/>
  <c r="T179" i="6"/>
  <c r="S171" i="6"/>
  <c r="S172" i="6"/>
  <c r="C26" i="7"/>
  <c r="S178" i="6"/>
  <c r="T178" i="6"/>
  <c r="C24" i="7"/>
  <c r="S176" i="6"/>
  <c r="T166" i="6"/>
  <c r="T165" i="6"/>
  <c r="S159" i="6"/>
  <c r="T159" i="6"/>
  <c r="S153" i="6"/>
  <c r="S160" i="6"/>
  <c r="C25" i="7"/>
  <c r="S154" i="6"/>
  <c r="T153" i="6"/>
  <c r="T148" i="6"/>
  <c r="T147" i="6"/>
  <c r="S148" i="6"/>
  <c r="S141" i="6"/>
  <c r="T141" i="6"/>
  <c r="S142" i="6"/>
  <c r="A1" i="22"/>
  <c r="D127" i="53"/>
  <c r="I127" i="53" s="1"/>
  <c r="D126" i="53"/>
  <c r="I126" i="53" s="1"/>
  <c r="I148" i="53"/>
  <c r="I132" i="53"/>
  <c r="C127" i="53"/>
  <c r="A127" i="53"/>
  <c r="C126" i="53"/>
  <c r="A126" i="53"/>
  <c r="I119" i="53"/>
  <c r="A119" i="53"/>
  <c r="A118" i="53"/>
  <c r="C210" i="6"/>
  <c r="I128" i="53" l="1"/>
  <c r="I134" i="53" s="1"/>
  <c r="A4192" i="52"/>
  <c r="A4193" i="52"/>
  <c r="I4193" i="52"/>
  <c r="L4193" i="52"/>
  <c r="M4193" i="52"/>
  <c r="A4194" i="52"/>
  <c r="I4194" i="52"/>
  <c r="I4205" i="52"/>
  <c r="I4207" i="52" s="1"/>
  <c r="A4210" i="52"/>
  <c r="C4210" i="52"/>
  <c r="D4210" i="52"/>
  <c r="I4210" i="52" s="1"/>
  <c r="A4211" i="52"/>
  <c r="C4211" i="52"/>
  <c r="D4211" i="52"/>
  <c r="I4211" i="52" s="1"/>
  <c r="I4216" i="52"/>
  <c r="F4222" i="52"/>
  <c r="A4058" i="52"/>
  <c r="A4059" i="52"/>
  <c r="I4059" i="52"/>
  <c r="L4059" i="52"/>
  <c r="M4059" i="52"/>
  <c r="A4060" i="52"/>
  <c r="I4060" i="52"/>
  <c r="A4066" i="52"/>
  <c r="C4066" i="52"/>
  <c r="D4066" i="52"/>
  <c r="I4066" i="52" s="1"/>
  <c r="A4067" i="52"/>
  <c r="C4067" i="52"/>
  <c r="D4067" i="52"/>
  <c r="I4067" i="52" s="1"/>
  <c r="A4079" i="52"/>
  <c r="C4079" i="52"/>
  <c r="D4079" i="52"/>
  <c r="I4079" i="52" s="1"/>
  <c r="A4080" i="52"/>
  <c r="C4080" i="52"/>
  <c r="D4080" i="52"/>
  <c r="I4080" i="52" s="1"/>
  <c r="I4085" i="52"/>
  <c r="F4091" i="52"/>
  <c r="K152" i="52"/>
  <c r="I181" i="52"/>
  <c r="I177" i="52"/>
  <c r="I173" i="52"/>
  <c r="I165" i="52"/>
  <c r="I161" i="52"/>
  <c r="I157" i="52"/>
  <c r="I153" i="52"/>
  <c r="A153" i="52"/>
  <c r="M152" i="52"/>
  <c r="L152" i="52"/>
  <c r="I152" i="52"/>
  <c r="A152" i="52"/>
  <c r="A151" i="52"/>
  <c r="I326" i="52"/>
  <c r="A690" i="52"/>
  <c r="A691" i="52"/>
  <c r="I691" i="52"/>
  <c r="L691" i="52"/>
  <c r="M691" i="52"/>
  <c r="A692" i="52"/>
  <c r="I692" i="52"/>
  <c r="A695" i="52"/>
  <c r="C695" i="52"/>
  <c r="F695" i="52"/>
  <c r="G695" i="52"/>
  <c r="A696" i="52"/>
  <c r="C696" i="52"/>
  <c r="F696" i="52"/>
  <c r="G696" i="52"/>
  <c r="A700" i="52"/>
  <c r="C700" i="52"/>
  <c r="D700" i="52"/>
  <c r="I700" i="52" s="1"/>
  <c r="A701" i="52"/>
  <c r="C701" i="52"/>
  <c r="D701" i="52"/>
  <c r="I701" i="52" s="1"/>
  <c r="I706" i="52"/>
  <c r="I714" i="52"/>
  <c r="I718" i="52"/>
  <c r="I721" i="52"/>
  <c r="I722" i="52" s="1"/>
  <c r="F725" i="52"/>
  <c r="I136" i="53" l="1"/>
  <c r="I150" i="53" s="1"/>
  <c r="I4212" i="52"/>
  <c r="I4221" i="52" s="1"/>
  <c r="I4068" i="52"/>
  <c r="I4071" i="52" s="1"/>
  <c r="I4072" i="52" s="1"/>
  <c r="I4081" i="52"/>
  <c r="I167" i="52"/>
  <c r="I169" i="52" s="1"/>
  <c r="I695" i="52"/>
  <c r="I696" i="52"/>
  <c r="I702" i="52"/>
  <c r="D1176" i="52"/>
  <c r="C1176" i="52"/>
  <c r="A1176" i="52"/>
  <c r="D1166" i="52"/>
  <c r="I1166" i="52" s="1"/>
  <c r="C1166" i="52"/>
  <c r="A1166" i="52"/>
  <c r="D3362" i="52"/>
  <c r="I3362" i="52" s="1"/>
  <c r="C3362" i="52"/>
  <c r="A3362" i="52"/>
  <c r="D3361" i="52"/>
  <c r="I3361" i="52" s="1"/>
  <c r="C3361" i="52"/>
  <c r="A3361" i="52"/>
  <c r="F2960" i="52"/>
  <c r="I2957" i="52"/>
  <c r="C2952" i="52"/>
  <c r="A2952" i="52"/>
  <c r="C2951" i="52"/>
  <c r="A2951" i="52"/>
  <c r="C2950" i="52"/>
  <c r="A2950" i="52"/>
  <c r="C2949" i="52"/>
  <c r="A2949" i="52"/>
  <c r="I2945" i="52"/>
  <c r="I2946" i="52" s="1"/>
  <c r="I2934" i="52"/>
  <c r="I2937" i="52" s="1"/>
  <c r="I2938" i="52" s="1"/>
  <c r="I2930" i="52"/>
  <c r="M2926" i="52"/>
  <c r="L2926" i="52"/>
  <c r="I2926" i="52"/>
  <c r="A2926" i="52"/>
  <c r="I2925" i="52"/>
  <c r="A2925" i="52"/>
  <c r="A2924" i="52"/>
  <c r="F3066" i="52"/>
  <c r="I3063" i="52"/>
  <c r="C3058" i="52"/>
  <c r="A3058" i="52"/>
  <c r="C3057" i="52"/>
  <c r="A3057" i="52"/>
  <c r="I3042" i="52"/>
  <c r="I3045" i="52" s="1"/>
  <c r="I3046" i="52" s="1"/>
  <c r="I3038" i="52"/>
  <c r="M3034" i="52"/>
  <c r="L3034" i="52"/>
  <c r="I3034" i="52"/>
  <c r="A3034" i="52"/>
  <c r="I3033" i="52"/>
  <c r="A3033" i="52"/>
  <c r="A3032" i="52"/>
  <c r="T61" i="6"/>
  <c r="S61" i="6"/>
  <c r="S60" i="6"/>
  <c r="T60" i="6"/>
  <c r="B216" i="7"/>
  <c r="S232" i="6"/>
  <c r="C113" i="6"/>
  <c r="S62" i="6" l="1"/>
  <c r="E23" i="76"/>
  <c r="E24" i="7"/>
  <c r="D23" i="76"/>
  <c r="D24" i="7"/>
  <c r="I4222" i="52"/>
  <c r="I4223" i="52" s="1"/>
  <c r="K4193" i="52" s="1"/>
  <c r="I4074" i="52"/>
  <c r="I4076" i="52" s="1"/>
  <c r="I4090" i="52" s="1"/>
  <c r="I4091" i="52" s="1"/>
  <c r="I4092" i="52" s="1"/>
  <c r="K4059" i="52" s="1"/>
  <c r="I697" i="52"/>
  <c r="I708" i="52" s="1"/>
  <c r="I710" i="52" s="1"/>
  <c r="I724" i="52" s="1"/>
  <c r="I725" i="52" s="1"/>
  <c r="I726" i="52" s="1"/>
  <c r="K691" i="52" s="1"/>
  <c r="G1176" i="52"/>
  <c r="I1176" i="52" s="1"/>
  <c r="I3363" i="52"/>
  <c r="I3366" i="52" s="1"/>
  <c r="I3367" i="52" s="1"/>
  <c r="I3048" i="52"/>
  <c r="I3050" i="52" s="1"/>
  <c r="I2940" i="52"/>
  <c r="I2942" i="52" s="1"/>
  <c r="D15" i="53" l="1"/>
  <c r="F210" i="1" l="1"/>
  <c r="F211" i="1"/>
  <c r="F212" i="1"/>
  <c r="F213" i="1"/>
  <c r="F1457" i="1"/>
  <c r="F1458" i="1"/>
  <c r="F1459" i="1"/>
  <c r="F1452" i="1" l="1"/>
  <c r="D85" i="52" l="1"/>
  <c r="D84" i="52"/>
  <c r="C85" i="52"/>
  <c r="C84" i="52"/>
  <c r="D926" i="52"/>
  <c r="D925" i="52"/>
  <c r="C926" i="52"/>
  <c r="C925" i="52"/>
  <c r="D3673" i="52"/>
  <c r="D3671" i="52"/>
  <c r="D3672" i="52"/>
  <c r="C3673" i="52"/>
  <c r="C3671" i="52"/>
  <c r="C3672" i="52"/>
  <c r="D3635" i="52"/>
  <c r="C3635" i="52"/>
  <c r="D3437" i="52" l="1"/>
  <c r="D3436" i="52"/>
  <c r="D3435" i="52"/>
  <c r="C3437" i="52"/>
  <c r="C3436" i="52"/>
  <c r="C3435" i="52"/>
  <c r="D3566" i="52"/>
  <c r="D3565" i="52"/>
  <c r="D3564" i="52"/>
  <c r="C3566" i="52"/>
  <c r="C3565" i="52"/>
  <c r="C3564" i="52"/>
  <c r="D3526" i="52"/>
  <c r="D3525" i="52"/>
  <c r="D3524" i="52"/>
  <c r="C3526" i="52"/>
  <c r="C3525" i="52"/>
  <c r="C3524" i="52"/>
  <c r="D3395" i="52"/>
  <c r="D3394" i="52"/>
  <c r="C3395" i="52"/>
  <c r="C3394" i="52"/>
  <c r="D4335" i="52"/>
  <c r="D4334" i="52"/>
  <c r="D4333" i="52"/>
  <c r="C4335" i="52"/>
  <c r="C4334" i="52"/>
  <c r="C4333" i="52"/>
  <c r="D4168" i="52"/>
  <c r="D4167" i="52"/>
  <c r="C4168" i="52"/>
  <c r="C4167" i="52"/>
  <c r="D3326" i="52"/>
  <c r="D3325" i="52"/>
  <c r="C3326" i="52"/>
  <c r="C3325" i="52"/>
  <c r="D1153" i="52"/>
  <c r="D1152" i="52"/>
  <c r="C1153" i="52"/>
  <c r="C1152" i="52"/>
  <c r="C3600" i="52"/>
  <c r="D3600" i="52"/>
  <c r="D3599" i="52"/>
  <c r="C3599" i="52"/>
  <c r="D1001" i="52"/>
  <c r="D1000" i="52"/>
  <c r="C1001" i="52"/>
  <c r="C1000" i="52"/>
  <c r="D3257" i="52"/>
  <c r="D3256" i="52"/>
  <c r="D3255" i="52"/>
  <c r="C3257" i="52"/>
  <c r="C3256" i="52"/>
  <c r="C3255" i="52"/>
  <c r="D4135" i="52"/>
  <c r="D4134" i="52"/>
  <c r="C4135" i="52"/>
  <c r="C4134" i="52"/>
  <c r="D3792" i="52"/>
  <c r="D3791" i="52"/>
  <c r="D3790" i="52"/>
  <c r="C3792" i="52"/>
  <c r="C3791" i="52"/>
  <c r="C3790" i="52"/>
  <c r="D4298" i="52"/>
  <c r="D4297" i="52"/>
  <c r="C4298" i="52"/>
  <c r="C4297" i="52"/>
  <c r="D3870" i="52"/>
  <c r="D3869" i="52"/>
  <c r="C3870" i="52"/>
  <c r="C3869" i="52"/>
  <c r="D3747" i="52"/>
  <c r="D3746" i="52"/>
  <c r="C3747" i="52"/>
  <c r="C3746" i="52"/>
  <c r="D3911" i="52"/>
  <c r="D3910" i="52"/>
  <c r="C3911" i="52"/>
  <c r="C3910" i="52"/>
  <c r="D1673" i="52"/>
  <c r="D1672" i="52"/>
  <c r="D1671" i="52"/>
  <c r="C1673" i="52"/>
  <c r="C1672" i="52"/>
  <c r="C1671" i="52"/>
  <c r="D1441" i="52"/>
  <c r="D1440" i="52"/>
  <c r="D1439" i="52"/>
  <c r="C1441" i="52"/>
  <c r="C1440" i="52"/>
  <c r="C1439" i="52"/>
  <c r="D3986" i="52"/>
  <c r="D3985" i="52"/>
  <c r="D3984" i="52"/>
  <c r="C3986" i="52"/>
  <c r="C3985" i="52"/>
  <c r="C3984" i="52"/>
  <c r="D3710" i="52"/>
  <c r="D3709" i="52"/>
  <c r="C3710" i="52"/>
  <c r="C3709" i="52"/>
  <c r="D1599" i="52"/>
  <c r="D1598" i="52"/>
  <c r="D1597" i="52"/>
  <c r="C1599" i="52"/>
  <c r="C1598" i="52"/>
  <c r="C1597" i="52"/>
  <c r="D3947" i="52" l="1"/>
  <c r="D3946" i="52"/>
  <c r="C3947" i="52"/>
  <c r="C3946" i="52"/>
  <c r="D4265" i="52"/>
  <c r="D4264" i="52"/>
  <c r="C4265" i="52"/>
  <c r="C4264" i="52"/>
  <c r="D3832" i="52"/>
  <c r="D3831" i="52"/>
  <c r="C3832" i="52"/>
  <c r="C3831" i="52"/>
  <c r="D1482" i="52"/>
  <c r="D1481" i="52"/>
  <c r="D1480" i="52"/>
  <c r="C1482" i="52"/>
  <c r="C1481" i="52"/>
  <c r="C1480" i="52"/>
  <c r="D1402" i="52"/>
  <c r="D1401" i="52"/>
  <c r="C1402" i="52"/>
  <c r="C1401" i="52"/>
  <c r="D1366" i="52"/>
  <c r="D1365" i="52"/>
  <c r="C1366" i="52"/>
  <c r="C1365" i="52"/>
  <c r="D856" i="52"/>
  <c r="D855" i="52"/>
  <c r="C855" i="52"/>
  <c r="C856" i="52"/>
  <c r="D815" i="52"/>
  <c r="D814" i="52"/>
  <c r="C815" i="52"/>
  <c r="C814" i="52"/>
  <c r="D738" i="52"/>
  <c r="D737" i="52"/>
  <c r="C738" i="52"/>
  <c r="C737" i="52"/>
  <c r="C664" i="52"/>
  <c r="C663" i="52"/>
  <c r="D664" i="52"/>
  <c r="D663" i="52"/>
  <c r="H6" i="5" l="1"/>
  <c r="W304" i="6" l="1"/>
  <c r="W292" i="6"/>
  <c r="W122" i="6"/>
  <c r="W140" i="6"/>
  <c r="W164" i="6"/>
  <c r="W158" i="6"/>
  <c r="W152" i="6"/>
  <c r="W146" i="6"/>
  <c r="F837" i="1"/>
  <c r="C71" i="53" l="1"/>
  <c r="B74" i="7" l="1"/>
  <c r="F74" i="7" s="1"/>
  <c r="I2" i="53" l="1"/>
  <c r="I725" i="53" l="1"/>
  <c r="I659" i="53"/>
  <c r="I692" i="53"/>
  <c r="I594" i="53"/>
  <c r="I626" i="53"/>
  <c r="I525" i="53"/>
  <c r="I558" i="53"/>
  <c r="I460" i="53"/>
  <c r="I492" i="53"/>
  <c r="I393" i="53"/>
  <c r="I426" i="53"/>
  <c r="I296" i="53"/>
  <c r="I328" i="53"/>
  <c r="I360" i="53"/>
  <c r="I218" i="53"/>
  <c r="I264" i="53"/>
  <c r="I154" i="53"/>
  <c r="I186" i="53"/>
  <c r="I118" i="53"/>
  <c r="F4359" i="52"/>
  <c r="E4359" i="52"/>
  <c r="D4359" i="52"/>
  <c r="C4359" i="52"/>
  <c r="A4359" i="52"/>
  <c r="F4358" i="52"/>
  <c r="E4358" i="52"/>
  <c r="D4358" i="52"/>
  <c r="C4358" i="52"/>
  <c r="A4358" i="52"/>
  <c r="D4357" i="52"/>
  <c r="C4357" i="52"/>
  <c r="A4357" i="52"/>
  <c r="D4349" i="52"/>
  <c r="I4349" i="52" s="1"/>
  <c r="C4349" i="52"/>
  <c r="A4349" i="52"/>
  <c r="D4348" i="52"/>
  <c r="I4348" i="52" s="1"/>
  <c r="C4348" i="52"/>
  <c r="A4348" i="52"/>
  <c r="D4347" i="52"/>
  <c r="I4347" i="52" s="1"/>
  <c r="C4347" i="52"/>
  <c r="A4347" i="52"/>
  <c r="I4335" i="52"/>
  <c r="A4335" i="52"/>
  <c r="I4334" i="52"/>
  <c r="A4334" i="52"/>
  <c r="I4333" i="52"/>
  <c r="A4333" i="52"/>
  <c r="G4329" i="52"/>
  <c r="F4329" i="52"/>
  <c r="C4329" i="52"/>
  <c r="A4329" i="52"/>
  <c r="G4328" i="52"/>
  <c r="F4328" i="52"/>
  <c r="C4328" i="52"/>
  <c r="A4328" i="52"/>
  <c r="G4327" i="52"/>
  <c r="F4327" i="52"/>
  <c r="C4327" i="52"/>
  <c r="A4327" i="52"/>
  <c r="M4324" i="52"/>
  <c r="L4324" i="52"/>
  <c r="I4324" i="52"/>
  <c r="A4324" i="52"/>
  <c r="I4298" i="52"/>
  <c r="A4298" i="52"/>
  <c r="I4297" i="52"/>
  <c r="A4297" i="52"/>
  <c r="M4291" i="52"/>
  <c r="L4291" i="52"/>
  <c r="I4291" i="52"/>
  <c r="A4291" i="52"/>
  <c r="I4265" i="52"/>
  <c r="A4265" i="52"/>
  <c r="I4264" i="52"/>
  <c r="A4264" i="52"/>
  <c r="M4258" i="52"/>
  <c r="L4258" i="52"/>
  <c r="I4258" i="52"/>
  <c r="A4258" i="52"/>
  <c r="I4168" i="52"/>
  <c r="A4168" i="52"/>
  <c r="I4167" i="52"/>
  <c r="A4167" i="52"/>
  <c r="I4161" i="52"/>
  <c r="A4161" i="52"/>
  <c r="M4160" i="52"/>
  <c r="L4160" i="52"/>
  <c r="I4135" i="52"/>
  <c r="A4135" i="52"/>
  <c r="I4134" i="52"/>
  <c r="A4134" i="52"/>
  <c r="I4128" i="52"/>
  <c r="A4128" i="52"/>
  <c r="M4127" i="52"/>
  <c r="L4127" i="52"/>
  <c r="F4010" i="52"/>
  <c r="E4010" i="52"/>
  <c r="D4010" i="52"/>
  <c r="C4010" i="52"/>
  <c r="A4010" i="52"/>
  <c r="F4009" i="52"/>
  <c r="E4009" i="52"/>
  <c r="D4009" i="52"/>
  <c r="C4009" i="52"/>
  <c r="A4009" i="52"/>
  <c r="F4008" i="52"/>
  <c r="E4008" i="52"/>
  <c r="D4008" i="52"/>
  <c r="C4008" i="52"/>
  <c r="A4008" i="52"/>
  <c r="D4000" i="52"/>
  <c r="I4000" i="52" s="1"/>
  <c r="C4000" i="52"/>
  <c r="A4000" i="52"/>
  <c r="D3999" i="52"/>
  <c r="I3999" i="52" s="1"/>
  <c r="C3999" i="52"/>
  <c r="A3999" i="52"/>
  <c r="D3998" i="52"/>
  <c r="I3998" i="52" s="1"/>
  <c r="C3998" i="52"/>
  <c r="A3998" i="52"/>
  <c r="I3986" i="52"/>
  <c r="A3986" i="52"/>
  <c r="I3985" i="52"/>
  <c r="A3985" i="52"/>
  <c r="I3984" i="52"/>
  <c r="A3984" i="52"/>
  <c r="G3980" i="52"/>
  <c r="F3980" i="52"/>
  <c r="C3980" i="52"/>
  <c r="A3980" i="52"/>
  <c r="G3979" i="52"/>
  <c r="F3979" i="52"/>
  <c r="C3979" i="52"/>
  <c r="A3979" i="52"/>
  <c r="G3978" i="52"/>
  <c r="F3978" i="52"/>
  <c r="C3978" i="52"/>
  <c r="A3978" i="52"/>
  <c r="I3975" i="52"/>
  <c r="A3975" i="52"/>
  <c r="M3974" i="52"/>
  <c r="L3974" i="52"/>
  <c r="I1366" i="52"/>
  <c r="A1366" i="52"/>
  <c r="I1365" i="52"/>
  <c r="A1365" i="52"/>
  <c r="G1361" i="52"/>
  <c r="F1361" i="52"/>
  <c r="C1361" i="52"/>
  <c r="A1361" i="52"/>
  <c r="I1358" i="52"/>
  <c r="A1358" i="52"/>
  <c r="M1357" i="52"/>
  <c r="L1357" i="52"/>
  <c r="I3947" i="52"/>
  <c r="A3947" i="52"/>
  <c r="I3946" i="52"/>
  <c r="A3946" i="52"/>
  <c r="G3942" i="52"/>
  <c r="F3942" i="52"/>
  <c r="C3942" i="52"/>
  <c r="A3942" i="52"/>
  <c r="I3939" i="52"/>
  <c r="A3939" i="52"/>
  <c r="M3938" i="52"/>
  <c r="L3938" i="52"/>
  <c r="F1465" i="52"/>
  <c r="E1465" i="52"/>
  <c r="D1465" i="52"/>
  <c r="C1465" i="52"/>
  <c r="A1465" i="52"/>
  <c r="F1464" i="52"/>
  <c r="E1464" i="52"/>
  <c r="D1464" i="52"/>
  <c r="C1464" i="52"/>
  <c r="A1464" i="52"/>
  <c r="F1463" i="52"/>
  <c r="E1463" i="52"/>
  <c r="D1463" i="52"/>
  <c r="C1463" i="52"/>
  <c r="A1463" i="52"/>
  <c r="D1455" i="52"/>
  <c r="I1455" i="52" s="1"/>
  <c r="C1455" i="52"/>
  <c r="A1455" i="52"/>
  <c r="D1454" i="52"/>
  <c r="I1454" i="52" s="1"/>
  <c r="C1454" i="52"/>
  <c r="A1454" i="52"/>
  <c r="D1453" i="52"/>
  <c r="I1453" i="52" s="1"/>
  <c r="C1453" i="52"/>
  <c r="A1453" i="52"/>
  <c r="I1441" i="52"/>
  <c r="A1441" i="52"/>
  <c r="I1440" i="52"/>
  <c r="A1440" i="52"/>
  <c r="A1439" i="52"/>
  <c r="G1435" i="52"/>
  <c r="F1435" i="52"/>
  <c r="C1435" i="52"/>
  <c r="A1435" i="52"/>
  <c r="G1434" i="52"/>
  <c r="F1434" i="52"/>
  <c r="C1434" i="52"/>
  <c r="A1434" i="52"/>
  <c r="G1433" i="52"/>
  <c r="F1433" i="52"/>
  <c r="C1433" i="52"/>
  <c r="A1433" i="52"/>
  <c r="I1430" i="52"/>
  <c r="A1430" i="52"/>
  <c r="M1429" i="52"/>
  <c r="L1429" i="52"/>
  <c r="D3931" i="52"/>
  <c r="C3931" i="52"/>
  <c r="A3931" i="52"/>
  <c r="C3927" i="52"/>
  <c r="A3927" i="52"/>
  <c r="D3923" i="52"/>
  <c r="I3923" i="52" s="1"/>
  <c r="I3924" i="52" s="1"/>
  <c r="C3923" i="52"/>
  <c r="A3923" i="52"/>
  <c r="I3911" i="52"/>
  <c r="A3911" i="52"/>
  <c r="A3910" i="52"/>
  <c r="I3903" i="52"/>
  <c r="A3903" i="52"/>
  <c r="M3902" i="52"/>
  <c r="L3902" i="52"/>
  <c r="F3895" i="52"/>
  <c r="E3895" i="52"/>
  <c r="D3895" i="52"/>
  <c r="C3895" i="52"/>
  <c r="A3895" i="52"/>
  <c r="F3894" i="52"/>
  <c r="E3894" i="52"/>
  <c r="D3894" i="52"/>
  <c r="C3894" i="52"/>
  <c r="A3894" i="52"/>
  <c r="F3893" i="52"/>
  <c r="E3893" i="52"/>
  <c r="D3893" i="52"/>
  <c r="C3893" i="52"/>
  <c r="A3893" i="52"/>
  <c r="D3885" i="52"/>
  <c r="I3885" i="52" s="1"/>
  <c r="C3885" i="52"/>
  <c r="A3885" i="52"/>
  <c r="D3884" i="52"/>
  <c r="I3884" i="52" s="1"/>
  <c r="C3884" i="52"/>
  <c r="A3884" i="52"/>
  <c r="D3883" i="52"/>
  <c r="I3883" i="52" s="1"/>
  <c r="C3883" i="52"/>
  <c r="A3883" i="52"/>
  <c r="D3882" i="52"/>
  <c r="I3882" i="52" s="1"/>
  <c r="C3882" i="52"/>
  <c r="A3882" i="52"/>
  <c r="I3870" i="52"/>
  <c r="A3870" i="52"/>
  <c r="I3869" i="52"/>
  <c r="A3869" i="52"/>
  <c r="G3865" i="52"/>
  <c r="F3865" i="52"/>
  <c r="C3865" i="52"/>
  <c r="A3865" i="52"/>
  <c r="I3862" i="52"/>
  <c r="A3862" i="52"/>
  <c r="M3861" i="52"/>
  <c r="L3861" i="52"/>
  <c r="F3854" i="52"/>
  <c r="E3854" i="52"/>
  <c r="D3854" i="52"/>
  <c r="C3854" i="52"/>
  <c r="A3854" i="52"/>
  <c r="F3853" i="52"/>
  <c r="E3853" i="52"/>
  <c r="D3853" i="52"/>
  <c r="C3853" i="52"/>
  <c r="A3853" i="52"/>
  <c r="D3845" i="52"/>
  <c r="I3845" i="52" s="1"/>
  <c r="C3845" i="52"/>
  <c r="A3845" i="52"/>
  <c r="D3844" i="52"/>
  <c r="I3844" i="52" s="1"/>
  <c r="C3844" i="52"/>
  <c r="A3844" i="52"/>
  <c r="A3832" i="52"/>
  <c r="I3831" i="52"/>
  <c r="A3831" i="52"/>
  <c r="G3827" i="52"/>
  <c r="F3827" i="52"/>
  <c r="C3827" i="52"/>
  <c r="A3827" i="52"/>
  <c r="I3824" i="52"/>
  <c r="A3824" i="52"/>
  <c r="M3823" i="52"/>
  <c r="L3823" i="52"/>
  <c r="D640" i="52"/>
  <c r="I640" i="52" s="1"/>
  <c r="I641" i="52" s="1"/>
  <c r="C640" i="52"/>
  <c r="A640" i="52"/>
  <c r="G624" i="52"/>
  <c r="F624" i="52"/>
  <c r="C624" i="52"/>
  <c r="A624" i="52"/>
  <c r="I621" i="52"/>
  <c r="A621" i="52"/>
  <c r="M620" i="52"/>
  <c r="L620" i="52"/>
  <c r="D605" i="52"/>
  <c r="I605" i="52" s="1"/>
  <c r="I606" i="52" s="1"/>
  <c r="C605" i="52"/>
  <c r="A605" i="52"/>
  <c r="G589" i="52"/>
  <c r="F589" i="52"/>
  <c r="C589" i="52"/>
  <c r="A589" i="52"/>
  <c r="I586" i="52"/>
  <c r="A586" i="52"/>
  <c r="M585" i="52"/>
  <c r="L585" i="52"/>
  <c r="D570" i="52"/>
  <c r="I570" i="52" s="1"/>
  <c r="I571" i="52" s="1"/>
  <c r="C570" i="52"/>
  <c r="A570" i="52"/>
  <c r="G554" i="52"/>
  <c r="F554" i="52"/>
  <c r="C554" i="52"/>
  <c r="A554" i="52"/>
  <c r="I551" i="52"/>
  <c r="A551" i="52"/>
  <c r="M550" i="52"/>
  <c r="L550" i="52"/>
  <c r="D535" i="52"/>
  <c r="I535" i="52" s="1"/>
  <c r="I536" i="52" s="1"/>
  <c r="C535" i="52"/>
  <c r="A535" i="52"/>
  <c r="G519" i="52"/>
  <c r="F519" i="52"/>
  <c r="C519" i="52"/>
  <c r="A519" i="52"/>
  <c r="I516" i="52"/>
  <c r="A516" i="52"/>
  <c r="M515" i="52"/>
  <c r="L515" i="52"/>
  <c r="F3816" i="52"/>
  <c r="E3816" i="52"/>
  <c r="D3816" i="52"/>
  <c r="C3816" i="52"/>
  <c r="A3816" i="52"/>
  <c r="F3815" i="52"/>
  <c r="E3815" i="52"/>
  <c r="D3815" i="52"/>
  <c r="C3815" i="52"/>
  <c r="A3815" i="52"/>
  <c r="F3814" i="52"/>
  <c r="E3814" i="52"/>
  <c r="D3814" i="52"/>
  <c r="C3814" i="52"/>
  <c r="A3814" i="52"/>
  <c r="D3806" i="52"/>
  <c r="I3806" i="52" s="1"/>
  <c r="C3806" i="52"/>
  <c r="A3806" i="52"/>
  <c r="D3805" i="52"/>
  <c r="I3805" i="52" s="1"/>
  <c r="C3805" i="52"/>
  <c r="A3805" i="52"/>
  <c r="D3804" i="52"/>
  <c r="I3804" i="52" s="1"/>
  <c r="C3804" i="52"/>
  <c r="A3804" i="52"/>
  <c r="I3792" i="52"/>
  <c r="A3792" i="52"/>
  <c r="I3791" i="52"/>
  <c r="A3791" i="52"/>
  <c r="I3790" i="52"/>
  <c r="A3790" i="52"/>
  <c r="G3786" i="52"/>
  <c r="F3786" i="52"/>
  <c r="C3786" i="52"/>
  <c r="A3786" i="52"/>
  <c r="G3785" i="52"/>
  <c r="F3785" i="52"/>
  <c r="C3785" i="52"/>
  <c r="A3785" i="52"/>
  <c r="G3784" i="52"/>
  <c r="F3784" i="52"/>
  <c r="C3784" i="52"/>
  <c r="A3784" i="52"/>
  <c r="I3781" i="52"/>
  <c r="A3781" i="52"/>
  <c r="M3780" i="52"/>
  <c r="L3780" i="52"/>
  <c r="F3771" i="52"/>
  <c r="E3771" i="52"/>
  <c r="D3771" i="52"/>
  <c r="C3771" i="52"/>
  <c r="A3771" i="52"/>
  <c r="F3772" i="52"/>
  <c r="E3772" i="52"/>
  <c r="D3772" i="52"/>
  <c r="C3772" i="52"/>
  <c r="A3772" i="52"/>
  <c r="F3770" i="52"/>
  <c r="E3770" i="52"/>
  <c r="D3770" i="52"/>
  <c r="C3770" i="52"/>
  <c r="A3770" i="52"/>
  <c r="D3762" i="52"/>
  <c r="I3762" i="52" s="1"/>
  <c r="C3762" i="52"/>
  <c r="A3762" i="52"/>
  <c r="D3761" i="52"/>
  <c r="I3761" i="52" s="1"/>
  <c r="C3761" i="52"/>
  <c r="A3761" i="52"/>
  <c r="D3760" i="52"/>
  <c r="I3760" i="52" s="1"/>
  <c r="C3760" i="52"/>
  <c r="A3760" i="52"/>
  <c r="D3759" i="52"/>
  <c r="I3759" i="52" s="1"/>
  <c r="C3759" i="52"/>
  <c r="A3759" i="52"/>
  <c r="I3747" i="52"/>
  <c r="A3747" i="52"/>
  <c r="I3746" i="52"/>
  <c r="A3746" i="52"/>
  <c r="G3742" i="52"/>
  <c r="F3742" i="52"/>
  <c r="C3742" i="52"/>
  <c r="A3742" i="52"/>
  <c r="I3739" i="52"/>
  <c r="A3739" i="52"/>
  <c r="M3738" i="52"/>
  <c r="L3738" i="52"/>
  <c r="D3723" i="52"/>
  <c r="I3723" i="52" s="1"/>
  <c r="C3723" i="52"/>
  <c r="A3723" i="52"/>
  <c r="D3722" i="52"/>
  <c r="I3722" i="52" s="1"/>
  <c r="C3722" i="52"/>
  <c r="A3722" i="52"/>
  <c r="I3710" i="52"/>
  <c r="A3710" i="52"/>
  <c r="I3709" i="52"/>
  <c r="A3709" i="52"/>
  <c r="I3702" i="52"/>
  <c r="A3702" i="52"/>
  <c r="M3701" i="52"/>
  <c r="L3701" i="52"/>
  <c r="I189" i="52"/>
  <c r="A189" i="52"/>
  <c r="M188" i="52"/>
  <c r="L188" i="52"/>
  <c r="I366" i="52"/>
  <c r="A366" i="52"/>
  <c r="M365" i="52"/>
  <c r="L365" i="52"/>
  <c r="C468" i="52"/>
  <c r="A468" i="52"/>
  <c r="C467" i="52"/>
  <c r="A467" i="52"/>
  <c r="C466" i="52"/>
  <c r="A466" i="52"/>
  <c r="C465" i="52"/>
  <c r="A465" i="52"/>
  <c r="C464" i="52"/>
  <c r="A464" i="52"/>
  <c r="C463" i="52"/>
  <c r="A463" i="52"/>
  <c r="D459" i="52"/>
  <c r="I459" i="52" s="1"/>
  <c r="I460" i="52" s="1"/>
  <c r="C459" i="52"/>
  <c r="A459" i="52"/>
  <c r="I440" i="52"/>
  <c r="A440" i="52"/>
  <c r="M439" i="52"/>
  <c r="L439" i="52"/>
  <c r="F109" i="52"/>
  <c r="E109" i="52"/>
  <c r="D109" i="52"/>
  <c r="C109" i="52"/>
  <c r="F108" i="52"/>
  <c r="E108" i="52"/>
  <c r="D108" i="52"/>
  <c r="C108" i="52"/>
  <c r="F107" i="52"/>
  <c r="D107" i="52"/>
  <c r="C107" i="52"/>
  <c r="A107" i="52"/>
  <c r="C103" i="52"/>
  <c r="A103" i="52"/>
  <c r="D99" i="52"/>
  <c r="I99" i="52" s="1"/>
  <c r="C99" i="52"/>
  <c r="A99" i="52"/>
  <c r="D98" i="52"/>
  <c r="I98" i="52" s="1"/>
  <c r="C98" i="52"/>
  <c r="A98" i="52"/>
  <c r="D97" i="52"/>
  <c r="I97" i="52" s="1"/>
  <c r="C97" i="52"/>
  <c r="A97" i="52"/>
  <c r="I85" i="52"/>
  <c r="A85" i="52"/>
  <c r="I84" i="52"/>
  <c r="A84" i="52"/>
  <c r="I77" i="52"/>
  <c r="A77" i="52"/>
  <c r="M76" i="52"/>
  <c r="L76" i="52"/>
  <c r="F3417" i="52"/>
  <c r="E3417" i="52"/>
  <c r="D3417" i="52"/>
  <c r="C3417" i="52"/>
  <c r="A3417" i="52"/>
  <c r="C3413" i="52"/>
  <c r="A3413" i="52"/>
  <c r="C3412" i="52"/>
  <c r="A3412" i="52"/>
  <c r="D3408" i="52"/>
  <c r="I3408" i="52" s="1"/>
  <c r="C3408" i="52"/>
  <c r="A3408" i="52"/>
  <c r="D3407" i="52"/>
  <c r="I3407" i="52" s="1"/>
  <c r="C3407" i="52"/>
  <c r="A3407" i="52"/>
  <c r="I3395" i="52"/>
  <c r="A3395" i="52"/>
  <c r="I3394" i="52"/>
  <c r="A3394" i="52"/>
  <c r="M3387" i="52"/>
  <c r="L3387" i="52"/>
  <c r="I3387" i="52"/>
  <c r="A3387" i="52"/>
  <c r="I330" i="52"/>
  <c r="A330" i="52"/>
  <c r="M329" i="52"/>
  <c r="L329" i="52"/>
  <c r="I295" i="52"/>
  <c r="A295" i="52"/>
  <c r="M294" i="52"/>
  <c r="L294" i="52"/>
  <c r="I260" i="52"/>
  <c r="A260" i="52"/>
  <c r="M259" i="52"/>
  <c r="L259" i="52"/>
  <c r="I225" i="52"/>
  <c r="A225" i="52"/>
  <c r="M224" i="52"/>
  <c r="L224" i="52"/>
  <c r="I117" i="52"/>
  <c r="A117" i="52"/>
  <c r="M116" i="52"/>
  <c r="L116" i="52"/>
  <c r="I926" i="52"/>
  <c r="A926" i="52"/>
  <c r="I925" i="52"/>
  <c r="A925" i="52"/>
  <c r="G921" i="52"/>
  <c r="F921" i="52"/>
  <c r="C921" i="52"/>
  <c r="A921" i="52"/>
  <c r="I918" i="52"/>
  <c r="A918" i="52"/>
  <c r="M917" i="52"/>
  <c r="L917" i="52"/>
  <c r="F1619" i="52"/>
  <c r="E1619" i="52"/>
  <c r="D1619" i="52"/>
  <c r="C1619" i="52"/>
  <c r="A1619" i="52"/>
  <c r="C1615" i="52"/>
  <c r="A1615" i="52"/>
  <c r="D1611" i="52"/>
  <c r="I1611" i="52" s="1"/>
  <c r="I1612" i="52" s="1"/>
  <c r="C1611" i="52"/>
  <c r="A1611" i="52"/>
  <c r="I1599" i="52"/>
  <c r="A1599" i="52"/>
  <c r="I1598" i="52"/>
  <c r="A1598" i="52"/>
  <c r="A1597" i="52"/>
  <c r="G1593" i="52"/>
  <c r="F1593" i="52"/>
  <c r="C1593" i="52"/>
  <c r="A1593" i="52"/>
  <c r="M1590" i="52"/>
  <c r="L1590" i="52"/>
  <c r="I1590" i="52"/>
  <c r="A1590" i="52"/>
  <c r="F1505" i="52"/>
  <c r="E1505" i="52"/>
  <c r="D1505" i="52"/>
  <c r="C1505" i="52"/>
  <c r="A1505" i="52"/>
  <c r="C1501" i="52"/>
  <c r="A1501" i="52"/>
  <c r="C1500" i="52"/>
  <c r="A1500" i="52"/>
  <c r="C1499" i="52"/>
  <c r="A1499" i="52"/>
  <c r="C1498" i="52"/>
  <c r="A1498" i="52"/>
  <c r="D1494" i="52"/>
  <c r="I1494" i="52" s="1"/>
  <c r="I1495" i="52" s="1"/>
  <c r="C1494" i="52"/>
  <c r="A1494" i="52"/>
  <c r="I1482" i="52"/>
  <c r="A1482" i="52"/>
  <c r="I1481" i="52"/>
  <c r="A1481" i="52"/>
  <c r="I1480" i="52"/>
  <c r="A1480" i="52"/>
  <c r="G1476" i="52"/>
  <c r="F1476" i="52"/>
  <c r="C1476" i="52"/>
  <c r="A1476" i="52"/>
  <c r="M1473" i="52"/>
  <c r="L1473" i="52"/>
  <c r="I1473" i="52"/>
  <c r="A1473" i="52"/>
  <c r="I1402" i="52"/>
  <c r="A1402" i="52"/>
  <c r="I1401" i="52"/>
  <c r="A1401" i="52"/>
  <c r="G1397" i="52"/>
  <c r="F1397" i="52"/>
  <c r="C1397" i="52"/>
  <c r="A1397" i="52"/>
  <c r="I1394" i="52"/>
  <c r="A1394" i="52"/>
  <c r="M1393" i="52"/>
  <c r="L1393" i="52"/>
  <c r="D3685" i="52"/>
  <c r="I3685" i="52" s="1"/>
  <c r="I3686" i="52" s="1"/>
  <c r="C3685" i="52"/>
  <c r="A3685" i="52"/>
  <c r="I3673" i="52"/>
  <c r="A3673" i="52"/>
  <c r="I3671" i="52"/>
  <c r="A3671" i="52"/>
  <c r="I3672" i="52"/>
  <c r="A3672" i="52"/>
  <c r="I3664" i="52"/>
  <c r="A3664" i="52"/>
  <c r="M3663" i="52"/>
  <c r="L3663" i="52"/>
  <c r="C3651" i="52"/>
  <c r="A3651" i="52"/>
  <c r="I3635" i="52"/>
  <c r="I3636" i="52" s="1"/>
  <c r="I3639" i="52" s="1"/>
  <c r="I3640" i="52" s="1"/>
  <c r="A3635" i="52"/>
  <c r="G3631" i="52"/>
  <c r="F3631" i="52"/>
  <c r="C3631" i="52"/>
  <c r="A3631" i="52"/>
  <c r="I3628" i="52"/>
  <c r="A3628" i="52"/>
  <c r="M3627" i="52"/>
  <c r="L3627" i="52"/>
  <c r="D3458" i="52"/>
  <c r="I3458" i="52" s="1"/>
  <c r="C3458" i="52"/>
  <c r="A3458" i="52"/>
  <c r="D3457" i="52"/>
  <c r="I3457" i="52" s="1"/>
  <c r="C3457" i="52"/>
  <c r="A3457" i="52"/>
  <c r="D3456" i="52"/>
  <c r="I3456" i="52" s="1"/>
  <c r="C3456" i="52"/>
  <c r="A3456" i="52"/>
  <c r="D3455" i="52"/>
  <c r="I3455" i="52" s="1"/>
  <c r="C3455" i="52"/>
  <c r="A3455" i="52"/>
  <c r="D3454" i="52"/>
  <c r="I3454" i="52" s="1"/>
  <c r="C3454" i="52"/>
  <c r="A3454" i="52"/>
  <c r="D3453" i="52"/>
  <c r="I3453" i="52" s="1"/>
  <c r="C3453" i="52"/>
  <c r="A3453" i="52"/>
  <c r="D3452" i="52"/>
  <c r="I3452" i="52" s="1"/>
  <c r="C3452" i="52"/>
  <c r="A3452" i="52"/>
  <c r="D3451" i="52"/>
  <c r="I3451" i="52" s="1"/>
  <c r="C3451" i="52"/>
  <c r="A3451" i="52"/>
  <c r="D3450" i="52"/>
  <c r="I3450" i="52" s="1"/>
  <c r="C3450" i="52"/>
  <c r="A3450" i="52"/>
  <c r="D3449" i="52"/>
  <c r="I3449" i="52" s="1"/>
  <c r="C3449" i="52"/>
  <c r="A3449" i="52"/>
  <c r="I3437" i="52"/>
  <c r="A3437" i="52"/>
  <c r="I3436" i="52"/>
  <c r="A3436" i="52"/>
  <c r="I3435" i="52"/>
  <c r="A3435" i="52"/>
  <c r="G3431" i="52"/>
  <c r="F3431" i="52"/>
  <c r="C3431" i="52"/>
  <c r="A3431" i="52"/>
  <c r="G3430" i="52"/>
  <c r="F3430" i="52"/>
  <c r="C3430" i="52"/>
  <c r="A3430" i="52"/>
  <c r="G3429" i="52"/>
  <c r="F3429" i="52"/>
  <c r="C3429" i="52"/>
  <c r="A3429" i="52"/>
  <c r="G3428" i="52"/>
  <c r="F3428" i="52"/>
  <c r="C3428" i="52"/>
  <c r="A3428" i="52"/>
  <c r="I3425" i="52"/>
  <c r="A3425" i="52"/>
  <c r="M3424" i="52"/>
  <c r="L3424" i="52"/>
  <c r="D3578" i="52"/>
  <c r="I3578" i="52" s="1"/>
  <c r="C3578" i="52"/>
  <c r="A3578" i="52"/>
  <c r="D3577" i="52"/>
  <c r="I3577" i="52" s="1"/>
  <c r="C3577" i="52"/>
  <c r="A3577" i="52"/>
  <c r="I3566" i="52"/>
  <c r="A3566" i="52"/>
  <c r="I3565" i="52"/>
  <c r="A3565" i="52"/>
  <c r="I3564" i="52"/>
  <c r="A3564" i="52"/>
  <c r="G3560" i="52"/>
  <c r="F3560" i="52"/>
  <c r="C3560" i="52"/>
  <c r="A3560" i="52"/>
  <c r="G3559" i="52"/>
  <c r="F3559" i="52"/>
  <c r="C3559" i="52"/>
  <c r="A3559" i="52"/>
  <c r="G3558" i="52"/>
  <c r="F3558" i="52"/>
  <c r="C3558" i="52"/>
  <c r="A3558" i="52"/>
  <c r="M3555" i="52"/>
  <c r="L3555" i="52"/>
  <c r="I3555" i="52"/>
  <c r="A3555" i="52"/>
  <c r="D3539" i="52"/>
  <c r="I3539" i="52" s="1"/>
  <c r="C3539" i="52"/>
  <c r="A3539" i="52"/>
  <c r="D3538" i="52"/>
  <c r="I3538" i="52" s="1"/>
  <c r="C3538" i="52"/>
  <c r="A3538" i="52"/>
  <c r="I3526" i="52"/>
  <c r="A3526" i="52"/>
  <c r="I3525" i="52"/>
  <c r="A3525" i="52"/>
  <c r="I3524" i="52"/>
  <c r="A3524" i="52"/>
  <c r="G3520" i="52"/>
  <c r="F3520" i="52"/>
  <c r="C3520" i="52"/>
  <c r="A3520" i="52"/>
  <c r="G3519" i="52"/>
  <c r="F3519" i="52"/>
  <c r="C3519" i="52"/>
  <c r="A3519" i="52"/>
  <c r="G3518" i="52"/>
  <c r="F3518" i="52"/>
  <c r="C3518" i="52"/>
  <c r="A3518" i="52"/>
  <c r="I3515" i="52"/>
  <c r="A3515" i="52"/>
  <c r="M3514" i="52"/>
  <c r="L3514" i="52"/>
  <c r="D3347" i="52"/>
  <c r="C3347" i="52"/>
  <c r="A3347" i="52"/>
  <c r="C3343" i="52"/>
  <c r="A3343" i="52"/>
  <c r="D3339" i="52"/>
  <c r="I3339" i="52" s="1"/>
  <c r="C3339" i="52"/>
  <c r="A3339" i="52"/>
  <c r="I3326" i="52"/>
  <c r="A3326" i="52"/>
  <c r="I3325" i="52"/>
  <c r="A3325" i="52"/>
  <c r="M3319" i="52"/>
  <c r="L3319" i="52"/>
  <c r="I3319" i="52"/>
  <c r="A3319" i="52"/>
  <c r="I1324" i="52"/>
  <c r="A1324" i="52"/>
  <c r="M1323" i="52"/>
  <c r="L1323" i="52"/>
  <c r="D1275" i="52"/>
  <c r="I1275" i="52" s="1"/>
  <c r="I1276" i="52" s="1"/>
  <c r="C1275" i="52"/>
  <c r="A1275" i="52"/>
  <c r="M1256" i="52"/>
  <c r="L1256" i="52"/>
  <c r="I1256" i="52"/>
  <c r="A1256" i="52"/>
  <c r="D1241" i="52"/>
  <c r="I1241" i="52" s="1"/>
  <c r="I1242" i="52" s="1"/>
  <c r="C1241" i="52"/>
  <c r="A1241" i="52"/>
  <c r="I1222" i="52"/>
  <c r="A1222" i="52"/>
  <c r="M1221" i="52"/>
  <c r="L1221" i="52"/>
  <c r="D1178" i="52"/>
  <c r="C1178" i="52"/>
  <c r="A1178" i="52"/>
  <c r="D1168" i="52"/>
  <c r="I1168" i="52" s="1"/>
  <c r="C1168" i="52"/>
  <c r="A1168" i="52"/>
  <c r="D1167" i="52"/>
  <c r="I1167" i="52" s="1"/>
  <c r="C1167" i="52"/>
  <c r="A1167" i="52"/>
  <c r="I1153" i="52"/>
  <c r="A1153" i="52"/>
  <c r="I1152" i="52"/>
  <c r="A1152" i="52"/>
  <c r="G1148" i="52"/>
  <c r="F1148" i="52"/>
  <c r="C1148" i="52"/>
  <c r="A1148" i="52"/>
  <c r="G1147" i="52"/>
  <c r="F1147" i="52"/>
  <c r="C1147" i="52"/>
  <c r="A1147" i="52"/>
  <c r="G1146" i="52"/>
  <c r="F1146" i="52"/>
  <c r="C1146" i="52"/>
  <c r="A1146" i="52"/>
  <c r="G1145" i="52"/>
  <c r="F1145" i="52"/>
  <c r="C1145" i="52"/>
  <c r="A1145" i="52"/>
  <c r="G1144" i="52"/>
  <c r="F1144" i="52"/>
  <c r="C1144" i="52"/>
  <c r="A1144" i="52"/>
  <c r="M1141" i="52"/>
  <c r="L1141" i="52"/>
  <c r="I1141" i="52"/>
  <c r="A1141" i="52"/>
  <c r="I3600" i="52"/>
  <c r="A3600" i="52"/>
  <c r="I3599" i="52"/>
  <c r="A3599" i="52"/>
  <c r="G3595" i="52"/>
  <c r="F3595" i="52"/>
  <c r="C3595" i="52"/>
  <c r="A3595" i="52"/>
  <c r="M3592" i="52"/>
  <c r="L3592" i="52"/>
  <c r="I3592" i="52"/>
  <c r="A3592" i="52"/>
  <c r="I1001" i="52"/>
  <c r="A1001" i="52"/>
  <c r="I1000" i="52"/>
  <c r="A1000" i="52"/>
  <c r="G996" i="52"/>
  <c r="F996" i="52"/>
  <c r="C996" i="52"/>
  <c r="A996" i="52"/>
  <c r="G995" i="52"/>
  <c r="F995" i="52"/>
  <c r="C995" i="52"/>
  <c r="A995" i="52"/>
  <c r="G994" i="52"/>
  <c r="F994" i="52"/>
  <c r="C994" i="52"/>
  <c r="A994" i="52"/>
  <c r="G993" i="52"/>
  <c r="F993" i="52"/>
  <c r="C993" i="52"/>
  <c r="A993" i="52"/>
  <c r="G992" i="52"/>
  <c r="F992" i="52"/>
  <c r="C992" i="52"/>
  <c r="A992" i="52"/>
  <c r="G991" i="52"/>
  <c r="F991" i="52"/>
  <c r="C991" i="52"/>
  <c r="A991" i="52"/>
  <c r="G990" i="52"/>
  <c r="F990" i="52"/>
  <c r="C990" i="52"/>
  <c r="A990" i="52"/>
  <c r="I987" i="52"/>
  <c r="A987" i="52"/>
  <c r="M986" i="52"/>
  <c r="L986" i="52"/>
  <c r="M3355" i="52"/>
  <c r="L3355" i="52"/>
  <c r="I3355" i="52"/>
  <c r="A3355" i="52"/>
  <c r="F3280" i="52"/>
  <c r="E3280" i="52"/>
  <c r="D3280" i="52"/>
  <c r="C3280" i="52"/>
  <c r="A3280" i="52"/>
  <c r="F3279" i="52"/>
  <c r="E3279" i="52"/>
  <c r="D3279" i="52"/>
  <c r="C3279" i="52"/>
  <c r="A3279" i="52"/>
  <c r="C3275" i="52"/>
  <c r="A3275" i="52"/>
  <c r="C3274" i="52"/>
  <c r="A3274" i="52"/>
  <c r="D3270" i="52"/>
  <c r="I3270" i="52" s="1"/>
  <c r="C3270" i="52"/>
  <c r="A3270" i="52"/>
  <c r="D3269" i="52"/>
  <c r="I3269" i="52" s="1"/>
  <c r="C3269" i="52"/>
  <c r="A3269" i="52"/>
  <c r="I3257" i="52"/>
  <c r="A3257" i="52"/>
  <c r="I3256" i="52"/>
  <c r="A3256" i="52"/>
  <c r="I3255" i="52"/>
  <c r="A3255" i="52"/>
  <c r="M3248" i="52"/>
  <c r="L3248" i="52"/>
  <c r="I3248" i="52"/>
  <c r="A3248" i="52"/>
  <c r="M2278" i="52"/>
  <c r="L2278" i="52"/>
  <c r="I2278" i="52"/>
  <c r="A2278" i="52"/>
  <c r="M3214" i="52"/>
  <c r="L3214" i="52"/>
  <c r="I3214" i="52"/>
  <c r="A3214" i="52"/>
  <c r="C3167" i="52"/>
  <c r="A3167" i="52"/>
  <c r="C3166" i="52"/>
  <c r="A3166" i="52"/>
  <c r="C3165" i="52"/>
  <c r="A3165" i="52"/>
  <c r="M3146" i="52"/>
  <c r="L3146" i="52"/>
  <c r="I3146" i="52"/>
  <c r="A3146" i="52"/>
  <c r="C3202" i="52"/>
  <c r="A3202" i="52"/>
  <c r="C3201" i="52"/>
  <c r="A3201" i="52"/>
  <c r="C3200" i="52"/>
  <c r="A3200" i="52"/>
  <c r="C3199" i="52"/>
  <c r="A3199" i="52"/>
  <c r="M3180" i="52"/>
  <c r="L3180" i="52"/>
  <c r="I3180" i="52"/>
  <c r="A3180" i="52"/>
  <c r="C3134" i="52"/>
  <c r="A3134" i="52"/>
  <c r="C3133" i="52"/>
  <c r="A3133" i="52"/>
  <c r="C3132" i="52"/>
  <c r="A3132" i="52"/>
  <c r="C3131" i="52"/>
  <c r="A3131" i="52"/>
  <c r="M3108" i="52"/>
  <c r="L3108" i="52"/>
  <c r="I3108" i="52"/>
  <c r="A3108" i="52"/>
  <c r="C3096" i="52"/>
  <c r="A3096" i="52"/>
  <c r="C3095" i="52"/>
  <c r="A3095" i="52"/>
  <c r="C3094" i="52"/>
  <c r="A3094" i="52"/>
  <c r="C3093" i="52"/>
  <c r="A3093" i="52"/>
  <c r="M3070" i="52"/>
  <c r="L3070" i="52"/>
  <c r="I3070" i="52"/>
  <c r="A3070" i="52"/>
  <c r="C3022" i="52"/>
  <c r="A3022" i="52"/>
  <c r="C3021" i="52"/>
  <c r="A3021" i="52"/>
  <c r="C3020" i="52"/>
  <c r="A3020" i="52"/>
  <c r="M2997" i="52"/>
  <c r="L2997" i="52"/>
  <c r="I2997" i="52"/>
  <c r="A2997" i="52"/>
  <c r="C2800" i="52"/>
  <c r="A2800" i="52"/>
  <c r="C2799" i="52"/>
  <c r="A2799" i="52"/>
  <c r="C2798" i="52"/>
  <c r="A2798" i="52"/>
  <c r="M2775" i="52"/>
  <c r="L2775" i="52"/>
  <c r="I2775" i="52"/>
  <c r="A2775" i="52"/>
  <c r="C2763" i="52"/>
  <c r="A2763" i="52"/>
  <c r="C2762" i="52"/>
  <c r="A2762" i="52"/>
  <c r="C2761" i="52"/>
  <c r="A2761" i="52"/>
  <c r="M2738" i="52"/>
  <c r="L2738" i="52"/>
  <c r="I2738" i="52"/>
  <c r="A2738" i="52"/>
  <c r="C2194" i="52"/>
  <c r="A2194" i="52"/>
  <c r="C2193" i="52"/>
  <c r="A2193" i="52"/>
  <c r="M2170" i="52"/>
  <c r="L2170" i="52"/>
  <c r="I2170" i="52"/>
  <c r="A2170" i="52"/>
  <c r="C2158" i="52"/>
  <c r="A2158" i="52"/>
  <c r="C2157" i="52"/>
  <c r="A2157" i="52"/>
  <c r="M2134" i="52"/>
  <c r="L2134" i="52"/>
  <c r="I2134" i="52"/>
  <c r="A2134" i="52"/>
  <c r="C2266" i="52"/>
  <c r="A2266" i="52"/>
  <c r="C2265" i="52"/>
  <c r="A2265" i="52"/>
  <c r="M2242" i="52"/>
  <c r="L2242" i="52"/>
  <c r="I2242" i="52"/>
  <c r="A2242" i="52"/>
  <c r="C1942" i="52"/>
  <c r="A1942" i="52"/>
  <c r="C1941" i="52"/>
  <c r="A1941" i="52"/>
  <c r="M1918" i="52"/>
  <c r="L1918" i="52"/>
  <c r="I1918" i="52"/>
  <c r="A1918" i="52"/>
  <c r="C1906" i="52"/>
  <c r="A1906" i="52"/>
  <c r="C1905" i="52"/>
  <c r="A1905" i="52"/>
  <c r="M1882" i="52"/>
  <c r="L1882" i="52"/>
  <c r="I1882" i="52"/>
  <c r="A1882" i="52"/>
  <c r="C2014" i="52"/>
  <c r="A2014" i="52"/>
  <c r="C2013" i="52"/>
  <c r="A2013" i="52"/>
  <c r="M1990" i="52"/>
  <c r="L1990" i="52"/>
  <c r="I1990" i="52"/>
  <c r="A1990" i="52"/>
  <c r="F1693" i="52"/>
  <c r="E1693" i="52"/>
  <c r="D1693" i="52"/>
  <c r="C1693" i="52"/>
  <c r="A1693" i="52"/>
  <c r="C1689" i="52"/>
  <c r="A1689" i="52"/>
  <c r="D1685" i="52"/>
  <c r="I1685" i="52" s="1"/>
  <c r="I1686" i="52" s="1"/>
  <c r="C1685" i="52"/>
  <c r="A1685" i="52"/>
  <c r="A1673" i="52"/>
  <c r="I1672" i="52"/>
  <c r="A1672" i="52"/>
  <c r="I1671" i="52"/>
  <c r="A1671" i="52"/>
  <c r="G1667" i="52"/>
  <c r="F1667" i="52"/>
  <c r="C1667" i="52"/>
  <c r="A1667" i="52"/>
  <c r="I1664" i="52"/>
  <c r="A1664" i="52"/>
  <c r="L1663" i="52"/>
  <c r="I856" i="52"/>
  <c r="A856" i="52"/>
  <c r="I855" i="52"/>
  <c r="A855" i="52"/>
  <c r="G851" i="52"/>
  <c r="F851" i="52"/>
  <c r="C851" i="52"/>
  <c r="A851" i="52"/>
  <c r="G850" i="52"/>
  <c r="F850" i="52"/>
  <c r="C850" i="52"/>
  <c r="A850" i="52"/>
  <c r="G849" i="52"/>
  <c r="F849" i="52"/>
  <c r="C849" i="52"/>
  <c r="A849" i="52"/>
  <c r="G848" i="52"/>
  <c r="F848" i="52"/>
  <c r="C848" i="52"/>
  <c r="A848" i="52"/>
  <c r="G847" i="52"/>
  <c r="F847" i="52"/>
  <c r="C847" i="52"/>
  <c r="A847" i="52"/>
  <c r="G846" i="52"/>
  <c r="F846" i="52"/>
  <c r="C846" i="52"/>
  <c r="A846" i="52"/>
  <c r="I843" i="52"/>
  <c r="A843" i="52"/>
  <c r="M842" i="52"/>
  <c r="L842" i="52"/>
  <c r="I815" i="52"/>
  <c r="A815" i="52"/>
  <c r="I814" i="52"/>
  <c r="A814" i="52"/>
  <c r="G810" i="52"/>
  <c r="F810" i="52"/>
  <c r="C810" i="52"/>
  <c r="A810" i="52"/>
  <c r="G809" i="52"/>
  <c r="F809" i="52"/>
  <c r="C809" i="52"/>
  <c r="A809" i="52"/>
  <c r="G808" i="52"/>
  <c r="F808" i="52"/>
  <c r="C808" i="52"/>
  <c r="A808" i="52"/>
  <c r="G807" i="52"/>
  <c r="F807" i="52"/>
  <c r="C807" i="52"/>
  <c r="A807" i="52"/>
  <c r="G806" i="52"/>
  <c r="F806" i="52"/>
  <c r="C806" i="52"/>
  <c r="A806" i="52"/>
  <c r="G805" i="52"/>
  <c r="F805" i="52"/>
  <c r="C805" i="52"/>
  <c r="A805" i="52"/>
  <c r="I802" i="52"/>
  <c r="A802" i="52"/>
  <c r="M801" i="52"/>
  <c r="L801" i="52"/>
  <c r="I738" i="52"/>
  <c r="A738" i="52"/>
  <c r="I737" i="52"/>
  <c r="A737" i="52"/>
  <c r="G733" i="52"/>
  <c r="F733" i="52"/>
  <c r="C733" i="52"/>
  <c r="A733" i="52"/>
  <c r="G732" i="52"/>
  <c r="F732" i="52"/>
  <c r="C732" i="52"/>
  <c r="A732" i="52"/>
  <c r="I729" i="52"/>
  <c r="A729" i="52"/>
  <c r="M728" i="52"/>
  <c r="L728" i="52"/>
  <c r="I664" i="52"/>
  <c r="A664" i="52"/>
  <c r="I663" i="52"/>
  <c r="A663" i="52"/>
  <c r="G659" i="52"/>
  <c r="F659" i="52"/>
  <c r="C659" i="52"/>
  <c r="A659" i="52"/>
  <c r="I656" i="52"/>
  <c r="A656" i="52"/>
  <c r="M655" i="52"/>
  <c r="L655" i="52"/>
  <c r="F4363" i="52"/>
  <c r="I4354" i="52"/>
  <c r="I4323" i="52"/>
  <c r="A4323" i="52"/>
  <c r="A4322" i="52"/>
  <c r="F4320" i="52"/>
  <c r="I4314" i="52"/>
  <c r="I4290" i="52"/>
  <c r="A4290" i="52"/>
  <c r="A4289" i="52"/>
  <c r="F4287" i="52"/>
  <c r="I4281" i="52"/>
  <c r="I4257" i="52"/>
  <c r="A4257" i="52"/>
  <c r="A4256" i="52"/>
  <c r="F4190" i="52"/>
  <c r="I4184" i="52"/>
  <c r="I4160" i="52"/>
  <c r="A4160" i="52"/>
  <c r="A4159" i="52"/>
  <c r="F4157" i="52"/>
  <c r="I4151" i="52"/>
  <c r="I4127" i="52"/>
  <c r="A4127" i="52"/>
  <c r="A4126" i="52"/>
  <c r="F4014" i="52"/>
  <c r="I4005" i="52"/>
  <c r="I3974" i="52"/>
  <c r="A3974" i="52"/>
  <c r="A3973" i="52"/>
  <c r="F1390" i="52"/>
  <c r="I1386" i="52"/>
  <c r="I1387" i="52" s="1"/>
  <c r="I1383" i="52"/>
  <c r="I1378" i="52"/>
  <c r="I1379" i="52" s="1"/>
  <c r="A1356" i="52"/>
  <c r="F3971" i="52"/>
  <c r="I3967" i="52"/>
  <c r="I3968" i="52" s="1"/>
  <c r="I3964" i="52"/>
  <c r="I3959" i="52"/>
  <c r="I3960" i="52" s="1"/>
  <c r="A3937" i="52"/>
  <c r="F1469" i="52"/>
  <c r="I1460" i="52"/>
  <c r="I1439" i="52"/>
  <c r="I1429" i="52"/>
  <c r="A1429" i="52"/>
  <c r="A1428" i="52"/>
  <c r="F3935" i="52"/>
  <c r="I3910" i="52"/>
  <c r="I3907" i="52"/>
  <c r="I3902" i="52"/>
  <c r="A3902" i="52"/>
  <c r="A3901" i="52"/>
  <c r="F3899" i="52"/>
  <c r="I3890" i="52"/>
  <c r="I3861" i="52"/>
  <c r="A3861" i="52"/>
  <c r="A3860" i="52"/>
  <c r="F3858" i="52"/>
  <c r="I3850" i="52"/>
  <c r="I3832" i="52"/>
  <c r="I3823" i="52"/>
  <c r="A3823" i="52"/>
  <c r="A3822" i="52"/>
  <c r="F652" i="52"/>
  <c r="I649" i="52"/>
  <c r="I645" i="52"/>
  <c r="I633" i="52"/>
  <c r="I629" i="52"/>
  <c r="I620" i="52"/>
  <c r="A620" i="52"/>
  <c r="A619" i="52"/>
  <c r="F617" i="52"/>
  <c r="I614" i="52"/>
  <c r="I610" i="52"/>
  <c r="I598" i="52"/>
  <c r="I594" i="52"/>
  <c r="I585" i="52"/>
  <c r="A585" i="52"/>
  <c r="A584" i="52"/>
  <c r="F582" i="52"/>
  <c r="I579" i="52"/>
  <c r="I575" i="52"/>
  <c r="I563" i="52"/>
  <c r="I559" i="52"/>
  <c r="I550" i="52"/>
  <c r="A550" i="52"/>
  <c r="A549" i="52"/>
  <c r="F547" i="52"/>
  <c r="I544" i="52"/>
  <c r="I540" i="52"/>
  <c r="I528" i="52"/>
  <c r="I524" i="52"/>
  <c r="I515" i="52"/>
  <c r="A515" i="52"/>
  <c r="A514" i="52"/>
  <c r="F3820" i="52"/>
  <c r="I3811" i="52"/>
  <c r="I3780" i="52"/>
  <c r="A3780" i="52"/>
  <c r="A3779" i="52"/>
  <c r="F3776" i="52"/>
  <c r="I3767" i="52"/>
  <c r="I3738" i="52"/>
  <c r="A3738" i="52"/>
  <c r="A3737" i="52"/>
  <c r="F3735" i="52"/>
  <c r="I3732" i="52"/>
  <c r="I3728" i="52"/>
  <c r="I3706" i="52"/>
  <c r="I3701" i="52"/>
  <c r="A3701" i="52"/>
  <c r="A3700" i="52"/>
  <c r="I220" i="52"/>
  <c r="I221" i="52" s="1"/>
  <c r="F220" i="52"/>
  <c r="I217" i="52"/>
  <c r="I213" i="52"/>
  <c r="I209" i="52"/>
  <c r="I197" i="52"/>
  <c r="I200" i="52" s="1"/>
  <c r="I201" i="52" s="1"/>
  <c r="I193" i="52"/>
  <c r="I188" i="52"/>
  <c r="A188" i="52"/>
  <c r="A187" i="52"/>
  <c r="I397" i="52"/>
  <c r="I398" i="52" s="1"/>
  <c r="F397" i="52"/>
  <c r="I394" i="52"/>
  <c r="I390" i="52"/>
  <c r="I386" i="52"/>
  <c r="I378" i="52"/>
  <c r="I374" i="52"/>
  <c r="I370" i="52"/>
  <c r="I365" i="52"/>
  <c r="A365" i="52"/>
  <c r="A364" i="52"/>
  <c r="F476" i="52"/>
  <c r="I473" i="52"/>
  <c r="I452" i="52"/>
  <c r="I448" i="52"/>
  <c r="I444" i="52"/>
  <c r="I439" i="52"/>
  <c r="A439" i="52"/>
  <c r="A438" i="52"/>
  <c r="F113" i="52"/>
  <c r="I80" i="52"/>
  <c r="I81" i="52" s="1"/>
  <c r="I76" i="52"/>
  <c r="A76" i="52"/>
  <c r="A75" i="52"/>
  <c r="F3421" i="52"/>
  <c r="I3391" i="52"/>
  <c r="I3386" i="52"/>
  <c r="A3386" i="52"/>
  <c r="A3385" i="52"/>
  <c r="I361" i="52"/>
  <c r="I362" i="52" s="1"/>
  <c r="F361" i="52"/>
  <c r="I358" i="52"/>
  <c r="I354" i="52"/>
  <c r="I350" i="52"/>
  <c r="I342" i="52"/>
  <c r="I338" i="52"/>
  <c r="I334" i="52"/>
  <c r="I329" i="52"/>
  <c r="A329" i="52"/>
  <c r="A328" i="52"/>
  <c r="I327" i="52"/>
  <c r="F326" i="52"/>
  <c r="I323" i="52"/>
  <c r="I319" i="52"/>
  <c r="I315" i="52"/>
  <c r="I307" i="52"/>
  <c r="I303" i="52"/>
  <c r="I299" i="52"/>
  <c r="I294" i="52"/>
  <c r="A294" i="52"/>
  <c r="A293" i="52"/>
  <c r="I291" i="52"/>
  <c r="I292" i="52" s="1"/>
  <c r="F291" i="52"/>
  <c r="I288" i="52"/>
  <c r="I284" i="52"/>
  <c r="I280" i="52"/>
  <c r="I272" i="52"/>
  <c r="I268" i="52"/>
  <c r="I264" i="52"/>
  <c r="I259" i="52"/>
  <c r="A259" i="52"/>
  <c r="A258" i="52"/>
  <c r="I256" i="52"/>
  <c r="I257" i="52" s="1"/>
  <c r="F256" i="52"/>
  <c r="I253" i="52"/>
  <c r="I249" i="52"/>
  <c r="I245" i="52"/>
  <c r="I237" i="52"/>
  <c r="I233" i="52"/>
  <c r="I229" i="52"/>
  <c r="I224" i="52"/>
  <c r="A224" i="52"/>
  <c r="A223" i="52"/>
  <c r="I148" i="52"/>
  <c r="I149" i="52" s="1"/>
  <c r="F148" i="52"/>
  <c r="I145" i="52"/>
  <c r="I141" i="52"/>
  <c r="I137" i="52"/>
  <c r="I129" i="52"/>
  <c r="I125" i="52"/>
  <c r="I121" i="52"/>
  <c r="I116" i="52"/>
  <c r="A116" i="52"/>
  <c r="A115" i="52"/>
  <c r="F950" i="52"/>
  <c r="I946" i="52"/>
  <c r="I947" i="52" s="1"/>
  <c r="I942" i="52"/>
  <c r="I943" i="52" s="1"/>
  <c r="I938" i="52"/>
  <c r="I939" i="52" s="1"/>
  <c r="I931" i="52"/>
  <c r="I917" i="52"/>
  <c r="A917" i="52"/>
  <c r="A916" i="52"/>
  <c r="F1623" i="52"/>
  <c r="I1597" i="52"/>
  <c r="I1589" i="52"/>
  <c r="A1589" i="52"/>
  <c r="A1588" i="52"/>
  <c r="F1509" i="52"/>
  <c r="I1472" i="52"/>
  <c r="A1472" i="52"/>
  <c r="A1471" i="52"/>
  <c r="F1426" i="52"/>
  <c r="I1423" i="52"/>
  <c r="I1419" i="52"/>
  <c r="I1415" i="52"/>
  <c r="I1393" i="52"/>
  <c r="A1393" i="52"/>
  <c r="A1392" i="52"/>
  <c r="F3697" i="52"/>
  <c r="I3694" i="52"/>
  <c r="I3690" i="52"/>
  <c r="I3678" i="52"/>
  <c r="I3668" i="52"/>
  <c r="I3663" i="52"/>
  <c r="A3663" i="52"/>
  <c r="A3662" i="52"/>
  <c r="F3660" i="52"/>
  <c r="I3657" i="52"/>
  <c r="I3652" i="52"/>
  <c r="I3648" i="52"/>
  <c r="I3627" i="52"/>
  <c r="A3627" i="52"/>
  <c r="A3626" i="52"/>
  <c r="F3470" i="52"/>
  <c r="I3467" i="52"/>
  <c r="I3463" i="52"/>
  <c r="I3424" i="52"/>
  <c r="A3424" i="52"/>
  <c r="A3423" i="52"/>
  <c r="F3588" i="52"/>
  <c r="I3554" i="52"/>
  <c r="A3554" i="52"/>
  <c r="A3553" i="52"/>
  <c r="F3551" i="52"/>
  <c r="I3548" i="52"/>
  <c r="I3544" i="52"/>
  <c r="I3531" i="52"/>
  <c r="I3514" i="52"/>
  <c r="A3514" i="52"/>
  <c r="A3513" i="52"/>
  <c r="F3351" i="52"/>
  <c r="I3318" i="52"/>
  <c r="A3318" i="52"/>
  <c r="A3317" i="52"/>
  <c r="I1352" i="52"/>
  <c r="I1347" i="52"/>
  <c r="I1348" i="52" s="1"/>
  <c r="I1344" i="52"/>
  <c r="I1332" i="52"/>
  <c r="I1335" i="52" s="1"/>
  <c r="I1336" i="52" s="1"/>
  <c r="I1328" i="52"/>
  <c r="I1323" i="52"/>
  <c r="A1323" i="52"/>
  <c r="A1322" i="52"/>
  <c r="I1284" i="52"/>
  <c r="I1279" i="52"/>
  <c r="I1280" i="52" s="1"/>
  <c r="I1264" i="52"/>
  <c r="I1260" i="52"/>
  <c r="I1255" i="52"/>
  <c r="A1255" i="52"/>
  <c r="A1254" i="52"/>
  <c r="I1250" i="52"/>
  <c r="I1246" i="52"/>
  <c r="I1245" i="52"/>
  <c r="I1230" i="52"/>
  <c r="I1233" i="52" s="1"/>
  <c r="I1234" i="52" s="1"/>
  <c r="I1226" i="52"/>
  <c r="I1221" i="52"/>
  <c r="A1221" i="52"/>
  <c r="A1220" i="52"/>
  <c r="F1182" i="52"/>
  <c r="I1140" i="52"/>
  <c r="A1140" i="52"/>
  <c r="A1139" i="52"/>
  <c r="F3624" i="52"/>
  <c r="I3621" i="52"/>
  <c r="I3616" i="52"/>
  <c r="I3617" i="52" s="1"/>
  <c r="I3612" i="52"/>
  <c r="I3613" i="52" s="1"/>
  <c r="I3591" i="52"/>
  <c r="A3591" i="52"/>
  <c r="A3590" i="52"/>
  <c r="F1025" i="52"/>
  <c r="I1022" i="52"/>
  <c r="I1017" i="52"/>
  <c r="I1018" i="52" s="1"/>
  <c r="I1013" i="52"/>
  <c r="I1014" i="52" s="1"/>
  <c r="E996" i="52"/>
  <c r="E995" i="52"/>
  <c r="E994" i="52"/>
  <c r="E993" i="52"/>
  <c r="E992" i="52"/>
  <c r="E991" i="52"/>
  <c r="E990" i="52"/>
  <c r="I986" i="52"/>
  <c r="A986" i="52"/>
  <c r="A985" i="52"/>
  <c r="F3383" i="52"/>
  <c r="I3369" i="52"/>
  <c r="I3371" i="52" s="1"/>
  <c r="I3354" i="52"/>
  <c r="A3354" i="52"/>
  <c r="A3353" i="52"/>
  <c r="F3284" i="52"/>
  <c r="I3247" i="52"/>
  <c r="A3247" i="52"/>
  <c r="A3246" i="52"/>
  <c r="F2308" i="52"/>
  <c r="I2305" i="52"/>
  <c r="I2296" i="52"/>
  <c r="I2282" i="52"/>
  <c r="I2277" i="52"/>
  <c r="A2277" i="52"/>
  <c r="A2276" i="52"/>
  <c r="F3244" i="52"/>
  <c r="I3241" i="52"/>
  <c r="I3213" i="52"/>
  <c r="A3213" i="52"/>
  <c r="A3212" i="52"/>
  <c r="F3176" i="52"/>
  <c r="I3173" i="52"/>
  <c r="I3145" i="52"/>
  <c r="A3145" i="52"/>
  <c r="A3144" i="52"/>
  <c r="F3210" i="52"/>
  <c r="I3207" i="52"/>
  <c r="I3179" i="52"/>
  <c r="A3179" i="52"/>
  <c r="A3178" i="52"/>
  <c r="F3142" i="52"/>
  <c r="I3139" i="52"/>
  <c r="I3128" i="52"/>
  <c r="I3116" i="52"/>
  <c r="I3119" i="52" s="1"/>
  <c r="I3120" i="52" s="1"/>
  <c r="I3112" i="52"/>
  <c r="I3107" i="52"/>
  <c r="A3107" i="52"/>
  <c r="A3106" i="52"/>
  <c r="F3104" i="52"/>
  <c r="I3101" i="52"/>
  <c r="I3090" i="52"/>
  <c r="I3078" i="52"/>
  <c r="I3081" i="52" s="1"/>
  <c r="I3082" i="52" s="1"/>
  <c r="I3074" i="52"/>
  <c r="I3069" i="52"/>
  <c r="A3069" i="52"/>
  <c r="A3068" i="52"/>
  <c r="F3030" i="52"/>
  <c r="I3027" i="52"/>
  <c r="I3016" i="52"/>
  <c r="I3017" i="52" s="1"/>
  <c r="I3005" i="52"/>
  <c r="I3008" i="52" s="1"/>
  <c r="I3009" i="52" s="1"/>
  <c r="I3001" i="52"/>
  <c r="I2996" i="52"/>
  <c r="A2996" i="52"/>
  <c r="A2995" i="52"/>
  <c r="F2808" i="52"/>
  <c r="I2804" i="52"/>
  <c r="I2805" i="52" s="1"/>
  <c r="I2794" i="52"/>
  <c r="I2795" i="52" s="1"/>
  <c r="I2782" i="52"/>
  <c r="I2783" i="52" s="1"/>
  <c r="I2786" i="52" s="1"/>
  <c r="I2787" i="52" s="1"/>
  <c r="I2779" i="52"/>
  <c r="I2774" i="52"/>
  <c r="A2774" i="52"/>
  <c r="A2773" i="52"/>
  <c r="F2771" i="52"/>
  <c r="I2767" i="52"/>
  <c r="I2768" i="52" s="1"/>
  <c r="I2757" i="52"/>
  <c r="I2758" i="52" s="1"/>
  <c r="I2745" i="52"/>
  <c r="I2746" i="52" s="1"/>
  <c r="I2749" i="52" s="1"/>
  <c r="I2750" i="52" s="1"/>
  <c r="I2742" i="52"/>
  <c r="I2737" i="52"/>
  <c r="A2737" i="52"/>
  <c r="A2736" i="52"/>
  <c r="F2202" i="52"/>
  <c r="I2199" i="52"/>
  <c r="I2190" i="52"/>
  <c r="I2182" i="52"/>
  <c r="I2178" i="52"/>
  <c r="I2174" i="52"/>
  <c r="I2169" i="52"/>
  <c r="A2169" i="52"/>
  <c r="A2168" i="52"/>
  <c r="F2166" i="52"/>
  <c r="I2163" i="52"/>
  <c r="I2154" i="52"/>
  <c r="I2146" i="52"/>
  <c r="I2142" i="52"/>
  <c r="I2138" i="52"/>
  <c r="I2133" i="52"/>
  <c r="A2133" i="52"/>
  <c r="A2132" i="52"/>
  <c r="F2274" i="52"/>
  <c r="I2271" i="52"/>
  <c r="I2262" i="52"/>
  <c r="I2254" i="52"/>
  <c r="I2250" i="52"/>
  <c r="I2246" i="52"/>
  <c r="I2241" i="52"/>
  <c r="A2241" i="52"/>
  <c r="A2240" i="52"/>
  <c r="F1950" i="52"/>
  <c r="I1947" i="52"/>
  <c r="I1938" i="52"/>
  <c r="I1930" i="52"/>
  <c r="I1926" i="52"/>
  <c r="I1922" i="52"/>
  <c r="I1917" i="52"/>
  <c r="A1917" i="52"/>
  <c r="A1916" i="52"/>
  <c r="F1914" i="52"/>
  <c r="I1911" i="52"/>
  <c r="I1902" i="52"/>
  <c r="I1894" i="52"/>
  <c r="I1890" i="52"/>
  <c r="I1886" i="52"/>
  <c r="I1881" i="52"/>
  <c r="A1881" i="52"/>
  <c r="A1880" i="52"/>
  <c r="F2022" i="52"/>
  <c r="I2019" i="52"/>
  <c r="I2010" i="52"/>
  <c r="I2002" i="52"/>
  <c r="I1998" i="52"/>
  <c r="I1994" i="52"/>
  <c r="I1989" i="52"/>
  <c r="A1989" i="52"/>
  <c r="A1988" i="52"/>
  <c r="F1697" i="52"/>
  <c r="I1673" i="52"/>
  <c r="I1663" i="52"/>
  <c r="A1663" i="52"/>
  <c r="A1662" i="52"/>
  <c r="F880" i="52"/>
  <c r="I876" i="52"/>
  <c r="I877" i="52" s="1"/>
  <c r="I872" i="52"/>
  <c r="I873" i="52" s="1"/>
  <c r="I868" i="52"/>
  <c r="I869" i="52" s="1"/>
  <c r="I861" i="52"/>
  <c r="I842" i="52"/>
  <c r="I3938" i="52" s="1"/>
  <c r="I1357" i="52" s="1"/>
  <c r="A842" i="52"/>
  <c r="A841" i="52"/>
  <c r="F839" i="52"/>
  <c r="I835" i="52"/>
  <c r="I836" i="52" s="1"/>
  <c r="I831" i="52"/>
  <c r="I832" i="52" s="1"/>
  <c r="I827" i="52"/>
  <c r="I828" i="52" s="1"/>
  <c r="I801" i="52"/>
  <c r="A801" i="52"/>
  <c r="A800" i="52"/>
  <c r="F762" i="52"/>
  <c r="I759" i="52"/>
  <c r="I754" i="52"/>
  <c r="I755" i="52" s="1"/>
  <c r="I750" i="52"/>
  <c r="I751" i="52" s="1"/>
  <c r="I728" i="52"/>
  <c r="A728" i="52"/>
  <c r="A727" i="52"/>
  <c r="F688" i="52"/>
  <c r="I684" i="52"/>
  <c r="I685" i="52" s="1"/>
  <c r="I680" i="52"/>
  <c r="I681" i="52" s="1"/>
  <c r="I676" i="52"/>
  <c r="I677" i="52" s="1"/>
  <c r="I655" i="52"/>
  <c r="A655" i="52"/>
  <c r="A654" i="52"/>
  <c r="I1155" i="52" l="1"/>
  <c r="I1158" i="52" s="1"/>
  <c r="I1159" i="52" s="1"/>
  <c r="G4359" i="52"/>
  <c r="I4359" i="52" s="1"/>
  <c r="G4358" i="52"/>
  <c r="I4358" i="52" s="1"/>
  <c r="I3674" i="52"/>
  <c r="I3680" i="52" s="1"/>
  <c r="I3682" i="52" s="1"/>
  <c r="I3696" i="52" s="1"/>
  <c r="I3328" i="52"/>
  <c r="I3331" i="52" s="1"/>
  <c r="I3332" i="52" s="1"/>
  <c r="I3334" i="52" s="1"/>
  <c r="I3336" i="52" s="1"/>
  <c r="I1483" i="52"/>
  <c r="I1486" i="52" s="1"/>
  <c r="I1487" i="52" s="1"/>
  <c r="I100" i="52"/>
  <c r="I3865" i="52"/>
  <c r="I3866" i="52" s="1"/>
  <c r="I1169" i="52"/>
  <c r="I1144" i="52"/>
  <c r="G4009" i="52"/>
  <c r="I4009" i="52" s="1"/>
  <c r="G1463" i="52"/>
  <c r="I1463" i="52" s="1"/>
  <c r="I3827" i="52"/>
  <c r="I3828" i="52" s="1"/>
  <c r="G3853" i="52"/>
  <c r="I3853" i="52" s="1"/>
  <c r="I519" i="52"/>
  <c r="I520" i="52" s="1"/>
  <c r="I530" i="52" s="1"/>
  <c r="I532" i="52" s="1"/>
  <c r="I546" i="52" s="1"/>
  <c r="G3280" i="52"/>
  <c r="I3280" i="52" s="1"/>
  <c r="I1361" i="52"/>
  <c r="I1362" i="52" s="1"/>
  <c r="I4329" i="52"/>
  <c r="I3979" i="52"/>
  <c r="G4008" i="52"/>
  <c r="I4008" i="52" s="1"/>
  <c r="I1435" i="52"/>
  <c r="I3980" i="52"/>
  <c r="I1434" i="52"/>
  <c r="I380" i="52"/>
  <c r="I382" i="52" s="1"/>
  <c r="I3631" i="52"/>
  <c r="I3632" i="52" s="1"/>
  <c r="I3642" i="52" s="1"/>
  <c r="I3644" i="52" s="1"/>
  <c r="K188" i="52"/>
  <c r="I2256" i="52"/>
  <c r="I2258" i="52" s="1"/>
  <c r="I3560" i="52"/>
  <c r="I921" i="52"/>
  <c r="I922" i="52" s="1"/>
  <c r="I624" i="52"/>
  <c r="I625" i="52" s="1"/>
  <c r="I635" i="52" s="1"/>
  <c r="I637" i="52" s="1"/>
  <c r="I651" i="52" s="1"/>
  <c r="G3814" i="52"/>
  <c r="I3814" i="52" s="1"/>
  <c r="I3742" i="52"/>
  <c r="I3743" i="52" s="1"/>
  <c r="I589" i="52"/>
  <c r="I590" i="52" s="1"/>
  <c r="I600" i="52" s="1"/>
  <c r="I602" i="52" s="1"/>
  <c r="I616" i="52" s="1"/>
  <c r="I617" i="52" s="1"/>
  <c r="I618" i="52" s="1"/>
  <c r="K585" i="52" s="1"/>
  <c r="I4328" i="52"/>
  <c r="I733" i="52"/>
  <c r="I807" i="52"/>
  <c r="I846" i="52"/>
  <c r="I848" i="52"/>
  <c r="I850" i="52"/>
  <c r="I3748" i="52"/>
  <c r="I3751" i="52" s="1"/>
  <c r="I3752" i="52" s="1"/>
  <c r="I3225" i="52"/>
  <c r="I3227" i="52" s="1"/>
  <c r="I3409" i="52"/>
  <c r="I1896" i="52"/>
  <c r="I1898" i="52" s="1"/>
  <c r="I732" i="52"/>
  <c r="I847" i="52"/>
  <c r="I849" i="52"/>
  <c r="I851" i="52"/>
  <c r="I996" i="52"/>
  <c r="G1178" i="52"/>
  <c r="I1178" i="52" s="1"/>
  <c r="I1179" i="52" s="1"/>
  <c r="I3846" i="52"/>
  <c r="I3428" i="52"/>
  <c r="I3430" i="52"/>
  <c r="G1619" i="52"/>
  <c r="I1619" i="52" s="1"/>
  <c r="I1620" i="52" s="1"/>
  <c r="G3417" i="52"/>
  <c r="I3417" i="52" s="1"/>
  <c r="I3418" i="52" s="1"/>
  <c r="G3771" i="52"/>
  <c r="I3771" i="52" s="1"/>
  <c r="I3784" i="52"/>
  <c r="I3786" i="52"/>
  <c r="I1667" i="52"/>
  <c r="I1668" i="52" s="1"/>
  <c r="G3279" i="52"/>
  <c r="I3279" i="52" s="1"/>
  <c r="I1593" i="52"/>
  <c r="I1594" i="52" s="1"/>
  <c r="G3772" i="52"/>
  <c r="I3772" i="52" s="1"/>
  <c r="I1476" i="52"/>
  <c r="I1477" i="52" s="1"/>
  <c r="I3912" i="52"/>
  <c r="I3915" i="52" s="1"/>
  <c r="I3916" i="52" s="1"/>
  <c r="I3918" i="52" s="1"/>
  <c r="I3920" i="52" s="1"/>
  <c r="I3518" i="52"/>
  <c r="I3520" i="52"/>
  <c r="I3429" i="52"/>
  <c r="I3431" i="52"/>
  <c r="G109" i="52"/>
  <c r="I109" i="52" s="1"/>
  <c r="G3816" i="52"/>
  <c r="I3816" i="52" s="1"/>
  <c r="G1465" i="52"/>
  <c r="I1465" i="52" s="1"/>
  <c r="I3519" i="52"/>
  <c r="I806" i="52"/>
  <c r="I808" i="52"/>
  <c r="I810" i="52"/>
  <c r="I1145" i="52"/>
  <c r="I1148" i="52"/>
  <c r="I3559" i="52"/>
  <c r="G1505" i="52"/>
  <c r="I1505" i="52" s="1"/>
  <c r="I1506" i="52" s="1"/>
  <c r="G3893" i="52"/>
  <c r="I3893" i="52" s="1"/>
  <c r="G3895" i="52"/>
  <c r="I3895" i="52" s="1"/>
  <c r="I4001" i="52"/>
  <c r="I3011" i="52"/>
  <c r="I3013" i="52" s="1"/>
  <c r="I4169" i="52"/>
  <c r="I4172" i="52" s="1"/>
  <c r="I4173" i="52" s="1"/>
  <c r="I4175" i="52" s="1"/>
  <c r="I4177" i="52" s="1"/>
  <c r="I4189" i="52" s="1"/>
  <c r="K329" i="52"/>
  <c r="G107" i="52"/>
  <c r="I107" i="52" s="1"/>
  <c r="G3931" i="52"/>
  <c r="I3931" i="52" s="1"/>
  <c r="I3932" i="52" s="1"/>
  <c r="I274" i="52"/>
  <c r="I276" i="52" s="1"/>
  <c r="K365" i="52"/>
  <c r="F1453" i="1" s="1"/>
  <c r="I659" i="52"/>
  <c r="I660" i="52" s="1"/>
  <c r="I805" i="52"/>
  <c r="I809" i="52"/>
  <c r="I816" i="52"/>
  <c r="I819" i="52" s="1"/>
  <c r="I820" i="52" s="1"/>
  <c r="I993" i="52"/>
  <c r="I995" i="52"/>
  <c r="I1002" i="52"/>
  <c r="I1005" i="52" s="1"/>
  <c r="I1006" i="52" s="1"/>
  <c r="G3347" i="52"/>
  <c r="I3347" i="52" s="1"/>
  <c r="I454" i="52"/>
  <c r="I456" i="52" s="1"/>
  <c r="G3854" i="52"/>
  <c r="I3854" i="52" s="1"/>
  <c r="I309" i="52"/>
  <c r="I311" i="52" s="1"/>
  <c r="I1146" i="52"/>
  <c r="G3815" i="52"/>
  <c r="I3815" i="52" s="1"/>
  <c r="I3122" i="52"/>
  <c r="I3124" i="52" s="1"/>
  <c r="G3770" i="52"/>
  <c r="I3770" i="52" s="1"/>
  <c r="I1932" i="52"/>
  <c r="I1934" i="52" s="1"/>
  <c r="I1236" i="52"/>
  <c r="I1238" i="52" s="1"/>
  <c r="I1252" i="52" s="1"/>
  <c r="I1253" i="52" s="1"/>
  <c r="K1221" i="52" s="1"/>
  <c r="I239" i="52"/>
  <c r="I241" i="52" s="1"/>
  <c r="G3894" i="52"/>
  <c r="I3894" i="52" s="1"/>
  <c r="I2004" i="52"/>
  <c r="I2006" i="52" s="1"/>
  <c r="I3540" i="52"/>
  <c r="I203" i="52"/>
  <c r="I205" i="52" s="1"/>
  <c r="I991" i="52"/>
  <c r="I1354" i="52"/>
  <c r="K259" i="52"/>
  <c r="I3793" i="52"/>
  <c r="I3796" i="52" s="1"/>
  <c r="I3797" i="52" s="1"/>
  <c r="G108" i="52"/>
  <c r="I108" i="52" s="1"/>
  <c r="I2148" i="52"/>
  <c r="I2150" i="52" s="1"/>
  <c r="I344" i="52"/>
  <c r="I346" i="52" s="1"/>
  <c r="I3711" i="52"/>
  <c r="I3714" i="52" s="1"/>
  <c r="I3715" i="52" s="1"/>
  <c r="I3948" i="52"/>
  <c r="I3951" i="52" s="1"/>
  <c r="I3952" i="52" s="1"/>
  <c r="I2184" i="52"/>
  <c r="I2186" i="52" s="1"/>
  <c r="I2789" i="52"/>
  <c r="I2791" i="52" s="1"/>
  <c r="I3438" i="52"/>
  <c r="I3441" i="52" s="1"/>
  <c r="I3442" i="52" s="1"/>
  <c r="I131" i="52"/>
  <c r="I133" i="52" s="1"/>
  <c r="I3601" i="52"/>
  <c r="I3604" i="52" s="1"/>
  <c r="I3605" i="52" s="1"/>
  <c r="I3579" i="52"/>
  <c r="K294" i="52"/>
  <c r="I86" i="52"/>
  <c r="I89" i="52" s="1"/>
  <c r="I90" i="52" s="1"/>
  <c r="I1456" i="52"/>
  <c r="I4266" i="52"/>
  <c r="I4269" i="52" s="1"/>
  <c r="I4270" i="52" s="1"/>
  <c r="I4272" i="52" s="1"/>
  <c r="I4274" i="52" s="1"/>
  <c r="I4286" i="52" s="1"/>
  <c r="G1693" i="52"/>
  <c r="I1693" i="52" s="1"/>
  <c r="I1694" i="52" s="1"/>
  <c r="I990" i="52"/>
  <c r="I994" i="52"/>
  <c r="G1464" i="52"/>
  <c r="I1464" i="52" s="1"/>
  <c r="G4010" i="52"/>
  <c r="I4010" i="52" s="1"/>
  <c r="I2752" i="52"/>
  <c r="I2754" i="52" s="1"/>
  <c r="I3084" i="52"/>
  <c r="I3086" i="52" s="1"/>
  <c r="I3191" i="52"/>
  <c r="I3193" i="52" s="1"/>
  <c r="I739" i="52"/>
  <c r="I742" i="52" s="1"/>
  <c r="I743" i="52" s="1"/>
  <c r="I857" i="52"/>
  <c r="I4299" i="52"/>
  <c r="I4302" i="52" s="1"/>
  <c r="I4303" i="52" s="1"/>
  <c r="I4305" i="52" s="1"/>
  <c r="I4307" i="52" s="1"/>
  <c r="I4319" i="52" s="1"/>
  <c r="I1367" i="52"/>
  <c r="I1370" i="52" s="1"/>
  <c r="I1371" i="52" s="1"/>
  <c r="I4136" i="52"/>
  <c r="I4139" i="52" s="1"/>
  <c r="I4140" i="52" s="1"/>
  <c r="I4142" i="52" s="1"/>
  <c r="I4144" i="52" s="1"/>
  <c r="I4156" i="52" s="1"/>
  <c r="I3886" i="52"/>
  <c r="I1674" i="52"/>
  <c r="I1677" i="52" s="1"/>
  <c r="I1678" i="52" s="1"/>
  <c r="I1403" i="52"/>
  <c r="I1406" i="52" s="1"/>
  <c r="I1407" i="52" s="1"/>
  <c r="I1600" i="52"/>
  <c r="I1603" i="52" s="1"/>
  <c r="I1604" i="52" s="1"/>
  <c r="I3396" i="52"/>
  <c r="I3399" i="52" s="1"/>
  <c r="I3400" i="52" s="1"/>
  <c r="I4336" i="52"/>
  <c r="I4339" i="52" s="1"/>
  <c r="I4340" i="52" s="1"/>
  <c r="I3724" i="52"/>
  <c r="I3833" i="52"/>
  <c r="I3836" i="52" s="1"/>
  <c r="I3837" i="52" s="1"/>
  <c r="K224" i="52"/>
  <c r="I665" i="52"/>
  <c r="I668" i="52" s="1"/>
  <c r="I669" i="52" s="1"/>
  <c r="I3258" i="52"/>
  <c r="I3271" i="52"/>
  <c r="I3459" i="52"/>
  <c r="I1147" i="52"/>
  <c r="I3527" i="52"/>
  <c r="I3595" i="52"/>
  <c r="I3340" i="52"/>
  <c r="I3567" i="52"/>
  <c r="I992" i="52"/>
  <c r="I1338" i="52"/>
  <c r="I1397" i="52"/>
  <c r="I1398" i="52" s="1"/>
  <c r="K116" i="52"/>
  <c r="I554" i="52"/>
  <c r="I555" i="52" s="1"/>
  <c r="I565" i="52" s="1"/>
  <c r="I567" i="52" s="1"/>
  <c r="I581" i="52" s="1"/>
  <c r="I1267" i="52"/>
  <c r="I1268" i="52" s="1"/>
  <c r="I1270" i="52" s="1"/>
  <c r="I1272" i="52" s="1"/>
  <c r="I1286" i="52" s="1"/>
  <c r="I1287" i="52" s="1"/>
  <c r="K1256" i="52" s="1"/>
  <c r="I3558" i="52"/>
  <c r="I927" i="52"/>
  <c r="I3763" i="52"/>
  <c r="I3807" i="52"/>
  <c r="I3785" i="52"/>
  <c r="I3978" i="52"/>
  <c r="I4327" i="52"/>
  <c r="I4350" i="52"/>
  <c r="I1433" i="52"/>
  <c r="I3871" i="52"/>
  <c r="I3874" i="52" s="1"/>
  <c r="I3875" i="52" s="1"/>
  <c r="I3987" i="52"/>
  <c r="I3990" i="52" s="1"/>
  <c r="I3991" i="52" s="1"/>
  <c r="I3942" i="52"/>
  <c r="I3943" i="52" s="1"/>
  <c r="I1442" i="52"/>
  <c r="I1445" i="52" s="1"/>
  <c r="I1446" i="52" s="1"/>
  <c r="I811" i="52" l="1"/>
  <c r="I822" i="52" s="1"/>
  <c r="I824" i="52" s="1"/>
  <c r="I838" i="52" s="1"/>
  <c r="I839" i="52" s="1"/>
  <c r="I840" i="52" s="1"/>
  <c r="K801" i="52" s="1"/>
  <c r="I4360" i="52"/>
  <c r="I3896" i="52"/>
  <c r="I4011" i="52"/>
  <c r="I3817" i="52"/>
  <c r="I1355" i="52"/>
  <c r="K1323" i="52" s="1"/>
  <c r="I110" i="52"/>
  <c r="I3348" i="52"/>
  <c r="I1149" i="52"/>
  <c r="I1436" i="52"/>
  <c r="I1448" i="52" s="1"/>
  <c r="I1450" i="52" s="1"/>
  <c r="I3981" i="52"/>
  <c r="I3993" i="52" s="1"/>
  <c r="I3995" i="52" s="1"/>
  <c r="I3773" i="52"/>
  <c r="I933" i="52"/>
  <c r="I935" i="52" s="1"/>
  <c r="I949" i="52" s="1"/>
  <c r="I950" i="52" s="1"/>
  <c r="I951" i="52" s="1"/>
  <c r="K917" i="52" s="1"/>
  <c r="I1466" i="52"/>
  <c r="I1680" i="52"/>
  <c r="I1682" i="52" s="1"/>
  <c r="I3855" i="52"/>
  <c r="I4330" i="52"/>
  <c r="I4342" i="52" s="1"/>
  <c r="I4344" i="52" s="1"/>
  <c r="I3281" i="52"/>
  <c r="I734" i="52"/>
  <c r="I745" i="52" s="1"/>
  <c r="I747" i="52" s="1"/>
  <c r="I761" i="52" s="1"/>
  <c r="I762" i="52" s="1"/>
  <c r="I763" i="52" s="1"/>
  <c r="K728" i="52" s="1"/>
  <c r="I3521" i="52"/>
  <c r="I3533" i="52" s="1"/>
  <c r="I3535" i="52" s="1"/>
  <c r="I3550" i="52" s="1"/>
  <c r="I3551" i="52" s="1"/>
  <c r="I3552" i="52" s="1"/>
  <c r="K3514" i="52" s="1"/>
  <c r="I852" i="52"/>
  <c r="I863" i="52" s="1"/>
  <c r="I865" i="52" s="1"/>
  <c r="I879" i="52" s="1"/>
  <c r="I880" i="52" s="1"/>
  <c r="I881" i="52" s="1"/>
  <c r="K842" i="52" s="1"/>
  <c r="I3561" i="52"/>
  <c r="I3572" i="52" s="1"/>
  <c r="I3574" i="52" s="1"/>
  <c r="I3587" i="52" s="1"/>
  <c r="I3588" i="52" s="1"/>
  <c r="I3589" i="52" s="1"/>
  <c r="K3555" i="52" s="1"/>
  <c r="I3787" i="52"/>
  <c r="I3799" i="52" s="1"/>
  <c r="I3801" i="52" s="1"/>
  <c r="I3596" i="52"/>
  <c r="I3607" i="52" s="1"/>
  <c r="I3609" i="52" s="1"/>
  <c r="I3623" i="52" s="1"/>
  <c r="I3624" i="52" s="1"/>
  <c r="I3625" i="52" s="1"/>
  <c r="K3592" i="52" s="1"/>
  <c r="I3754" i="52"/>
  <c r="I3756" i="52" s="1"/>
  <c r="I92" i="52"/>
  <c r="I94" i="52" s="1"/>
  <c r="I3432" i="52"/>
  <c r="I3444" i="52" s="1"/>
  <c r="I3446" i="52" s="1"/>
  <c r="I3469" i="52" s="1"/>
  <c r="I3470" i="52" s="1"/>
  <c r="I3471" i="52" s="1"/>
  <c r="K3424" i="52" s="1"/>
  <c r="I1373" i="52"/>
  <c r="I1375" i="52" s="1"/>
  <c r="I1389" i="52" s="1"/>
  <c r="I1390" i="52" s="1"/>
  <c r="I1391" i="52" s="1"/>
  <c r="K1357" i="52" s="1"/>
  <c r="I1489" i="52"/>
  <c r="I1491" i="52" s="1"/>
  <c r="I3839" i="52"/>
  <c r="I3841" i="52" s="1"/>
  <c r="I1606" i="52"/>
  <c r="I1608" i="52" s="1"/>
  <c r="I1409" i="52"/>
  <c r="I1411" i="52" s="1"/>
  <c r="I1425" i="52" s="1"/>
  <c r="I1426" i="52" s="1"/>
  <c r="I1427" i="52" s="1"/>
  <c r="K1393" i="52" s="1"/>
  <c r="I3157" i="52"/>
  <c r="I3159" i="52" s="1"/>
  <c r="F836" i="1"/>
  <c r="I997" i="52"/>
  <c r="I1008" i="52" s="1"/>
  <c r="I1010" i="52" s="1"/>
  <c r="I1024" i="52" s="1"/>
  <c r="I1025" i="52" s="1"/>
  <c r="I1026" i="52" s="1"/>
  <c r="K986" i="52" s="1"/>
  <c r="I3954" i="52"/>
  <c r="I3956" i="52" s="1"/>
  <c r="I3970" i="52" s="1"/>
  <c r="I3971" i="52" s="1"/>
  <c r="I3972" i="52" s="1"/>
  <c r="K3938" i="52" s="1"/>
  <c r="I3402" i="52"/>
  <c r="I3404" i="52" s="1"/>
  <c r="I3717" i="52"/>
  <c r="I3719" i="52" s="1"/>
  <c r="I3734" i="52" s="1"/>
  <c r="I3735" i="52" s="1"/>
  <c r="I3736" i="52" s="1"/>
  <c r="K3701" i="52" s="1"/>
  <c r="I4190" i="52"/>
  <c r="I4191" i="52" s="1"/>
  <c r="K4160" i="52" s="1"/>
  <c r="I4320" i="52"/>
  <c r="I4321" i="52" s="1"/>
  <c r="K4291" i="52" s="1"/>
  <c r="I4287" i="52"/>
  <c r="I4288" i="52" s="1"/>
  <c r="K4258" i="52" s="1"/>
  <c r="I3697" i="52"/>
  <c r="I3698" i="52" s="1"/>
  <c r="K3663" i="52" s="1"/>
  <c r="I3877" i="52"/>
  <c r="I3879" i="52" s="1"/>
  <c r="I671" i="52"/>
  <c r="I673" i="52" s="1"/>
  <c r="I687" i="52" s="1"/>
  <c r="I547" i="52"/>
  <c r="I548" i="52" s="1"/>
  <c r="K515" i="52" s="1"/>
  <c r="F1460" i="1" s="1"/>
  <c r="I4157" i="52"/>
  <c r="I4158" i="52" s="1"/>
  <c r="K4127" i="52" s="1"/>
  <c r="I582" i="52"/>
  <c r="I583" i="52" s="1"/>
  <c r="K550" i="52" s="1"/>
  <c r="I2290" i="52"/>
  <c r="I2292" i="52" s="1"/>
  <c r="I652" i="52"/>
  <c r="I653" i="52" s="1"/>
  <c r="K620" i="52" s="1"/>
  <c r="I3261" i="52"/>
  <c r="I3262" i="52" s="1"/>
  <c r="I3264" i="52" s="1"/>
  <c r="I3266" i="52" s="1"/>
  <c r="I1161" i="52" l="1"/>
  <c r="I1163" i="52" s="1"/>
  <c r="I4013" i="52"/>
  <c r="I4014" i="52" s="1"/>
  <c r="I4015" i="52" s="1"/>
  <c r="K3974" i="52" s="1"/>
  <c r="I4362" i="52"/>
  <c r="I4363" i="52" s="1"/>
  <c r="I4364" i="52" s="1"/>
  <c r="K4324" i="52" s="1"/>
  <c r="G38" i="7"/>
  <c r="I1468" i="52"/>
  <c r="I1469" i="52" s="1"/>
  <c r="I1470" i="52" s="1"/>
  <c r="K1429" i="52" s="1"/>
  <c r="I3775" i="52"/>
  <c r="I3776" i="52" s="1"/>
  <c r="I3777" i="52" s="1"/>
  <c r="K3738" i="52" s="1"/>
  <c r="I3857" i="52"/>
  <c r="I3858" i="52" s="1"/>
  <c r="I3898" i="52"/>
  <c r="I3899" i="52" s="1"/>
  <c r="I3900" i="52" s="1"/>
  <c r="K3861" i="52" s="1"/>
  <c r="I3819" i="52"/>
  <c r="I3820" i="52" s="1"/>
  <c r="I3821" i="52" s="1"/>
  <c r="K3780" i="52" s="1"/>
  <c r="I688" i="52"/>
  <c r="I689" i="52" s="1"/>
  <c r="K655" i="52" s="1"/>
  <c r="J50" i="5"/>
  <c r="I50" i="5"/>
  <c r="H50" i="5"/>
  <c r="J49" i="5"/>
  <c r="I49" i="5"/>
  <c r="H49" i="5"/>
  <c r="J48" i="5"/>
  <c r="I48" i="5"/>
  <c r="H48" i="5"/>
  <c r="J47" i="5"/>
  <c r="I47" i="5"/>
  <c r="H47" i="5"/>
  <c r="J46" i="5"/>
  <c r="I46" i="5"/>
  <c r="H46" i="5"/>
  <c r="J45" i="5"/>
  <c r="I45" i="5"/>
  <c r="H45" i="5"/>
  <c r="J41" i="5"/>
  <c r="I41" i="5"/>
  <c r="H41" i="5"/>
  <c r="J40" i="5"/>
  <c r="I40" i="5"/>
  <c r="H40" i="5"/>
  <c r="J39" i="5"/>
  <c r="I39" i="5"/>
  <c r="H39" i="5"/>
  <c r="J38" i="5"/>
  <c r="I38" i="5"/>
  <c r="H38" i="5"/>
  <c r="J37" i="5"/>
  <c r="I37" i="5"/>
  <c r="H37" i="5"/>
  <c r="J36" i="5"/>
  <c r="I36" i="5"/>
  <c r="H36" i="5"/>
  <c r="J35" i="5"/>
  <c r="I35" i="5"/>
  <c r="H35" i="5"/>
  <c r="J34" i="5"/>
  <c r="I34" i="5"/>
  <c r="H34" i="5"/>
  <c r="J33" i="5"/>
  <c r="I33" i="5"/>
  <c r="H33" i="5"/>
  <c r="J32" i="5"/>
  <c r="I32" i="5"/>
  <c r="H32" i="5"/>
  <c r="J31" i="5"/>
  <c r="I31" i="5"/>
  <c r="H31" i="5"/>
  <c r="J30" i="5"/>
  <c r="I30" i="5"/>
  <c r="H30" i="5"/>
  <c r="J29" i="5"/>
  <c r="I29" i="5"/>
  <c r="H29" i="5"/>
  <c r="J28" i="5"/>
  <c r="I28" i="5"/>
  <c r="H28" i="5"/>
  <c r="J27" i="5"/>
  <c r="I27" i="5"/>
  <c r="H27" i="5"/>
  <c r="J26" i="5"/>
  <c r="I26" i="5"/>
  <c r="H26" i="5"/>
  <c r="J25" i="5"/>
  <c r="I25" i="5"/>
  <c r="H25" i="5"/>
  <c r="J23" i="5"/>
  <c r="I23" i="5"/>
  <c r="H23" i="5"/>
  <c r="J22" i="5"/>
  <c r="I22" i="5"/>
  <c r="H22" i="5"/>
  <c r="J20" i="5"/>
  <c r="I20" i="5"/>
  <c r="H20" i="5"/>
  <c r="J19" i="5"/>
  <c r="I19" i="5"/>
  <c r="H19" i="5"/>
  <c r="J18" i="5"/>
  <c r="I18" i="5"/>
  <c r="H18" i="5"/>
  <c r="J17" i="5"/>
  <c r="I17" i="5"/>
  <c r="H17" i="5"/>
  <c r="J16" i="5"/>
  <c r="I16" i="5"/>
  <c r="H16" i="5"/>
  <c r="J15" i="5"/>
  <c r="I15" i="5"/>
  <c r="H15" i="5"/>
  <c r="J14" i="5"/>
  <c r="I14" i="5"/>
  <c r="H14" i="5"/>
  <c r="J13" i="5"/>
  <c r="I13" i="5"/>
  <c r="H13" i="5"/>
  <c r="J12" i="5"/>
  <c r="I12" i="5"/>
  <c r="H12" i="5"/>
  <c r="J11" i="5"/>
  <c r="I11" i="5"/>
  <c r="H11" i="5"/>
  <c r="J10" i="5"/>
  <c r="I10" i="5"/>
  <c r="H10" i="5"/>
  <c r="J9" i="5"/>
  <c r="I9" i="5"/>
  <c r="H9" i="5"/>
  <c r="J8" i="5"/>
  <c r="I8" i="5"/>
  <c r="H8" i="5"/>
  <c r="J7" i="5"/>
  <c r="I7" i="5"/>
  <c r="H7" i="5"/>
  <c r="J6" i="5"/>
  <c r="I6" i="5"/>
  <c r="Y273" i="6" l="1"/>
  <c r="Y270" i="6"/>
  <c r="X273" i="6"/>
  <c r="X270" i="6"/>
  <c r="W273" i="6"/>
  <c r="W270" i="6"/>
  <c r="K6" i="5"/>
  <c r="C152" i="6" s="1"/>
  <c r="K9" i="5"/>
  <c r="K17" i="5"/>
  <c r="K35" i="5"/>
  <c r="K49" i="5"/>
  <c r="K32" i="5"/>
  <c r="X446" i="6"/>
  <c r="X315" i="6"/>
  <c r="X307" i="6"/>
  <c r="X288" i="6"/>
  <c r="X246" i="6"/>
  <c r="X249" i="6"/>
  <c r="X231" i="6"/>
  <c r="X219" i="6"/>
  <c r="W276" i="6"/>
  <c r="W267" i="6"/>
  <c r="X276" i="6"/>
  <c r="X267" i="6"/>
  <c r="K14" i="5"/>
  <c r="X304" i="6"/>
  <c r="X292" i="6"/>
  <c r="X122" i="6"/>
  <c r="Y304" i="6"/>
  <c r="Y292" i="6"/>
  <c r="Y122" i="6"/>
  <c r="Y276" i="6"/>
  <c r="Y267" i="6"/>
  <c r="W446" i="6"/>
  <c r="W315" i="6"/>
  <c r="W307" i="6"/>
  <c r="W246" i="6"/>
  <c r="W249" i="6"/>
  <c r="W288" i="6"/>
  <c r="W231" i="6"/>
  <c r="W219" i="6"/>
  <c r="Y446" i="6"/>
  <c r="Y315" i="6"/>
  <c r="Y307" i="6"/>
  <c r="Y288" i="6"/>
  <c r="Y246" i="6"/>
  <c r="Y249" i="6"/>
  <c r="Y219" i="6"/>
  <c r="Y231" i="6"/>
  <c r="W186" i="6"/>
  <c r="W170" i="6"/>
  <c r="Y170" i="6"/>
  <c r="Y186" i="6"/>
  <c r="X170" i="6"/>
  <c r="X186" i="6"/>
  <c r="X158" i="6"/>
  <c r="X152" i="6"/>
  <c r="X164" i="6"/>
  <c r="X146" i="6"/>
  <c r="X140" i="6"/>
  <c r="Y164" i="6"/>
  <c r="Y146" i="6"/>
  <c r="Y140" i="6"/>
  <c r="Y158" i="6"/>
  <c r="Y152" i="6"/>
  <c r="I3859" i="52"/>
  <c r="K3823" i="52" s="1"/>
  <c r="K11" i="5"/>
  <c r="K19" i="5"/>
  <c r="K26" i="5"/>
  <c r="K37" i="5"/>
  <c r="K33" i="5"/>
  <c r="K40" i="5"/>
  <c r="K45" i="5"/>
  <c r="K12" i="5"/>
  <c r="K20" i="5"/>
  <c r="K38" i="5"/>
  <c r="K23" i="5"/>
  <c r="K31" i="5"/>
  <c r="K25" i="5"/>
  <c r="K50" i="5"/>
  <c r="K29" i="5"/>
  <c r="K27" i="5"/>
  <c r="K47" i="5"/>
  <c r="K46" i="5"/>
  <c r="K41" i="5"/>
  <c r="K39" i="5"/>
  <c r="K34" i="5"/>
  <c r="K30" i="5"/>
  <c r="K28" i="5"/>
  <c r="K22" i="5"/>
  <c r="K7" i="5"/>
  <c r="K15" i="5"/>
  <c r="K10" i="5"/>
  <c r="K18" i="5"/>
  <c r="K13" i="5"/>
  <c r="K8" i="5"/>
  <c r="K16" i="5"/>
  <c r="K36" i="5"/>
  <c r="K48" i="5"/>
  <c r="V270" i="6" l="1"/>
  <c r="V273" i="6"/>
  <c r="C122" i="6"/>
  <c r="C292" i="6"/>
  <c r="C304" i="6"/>
  <c r="C140" i="6"/>
  <c r="T108" i="6" s="1"/>
  <c r="C146" i="6"/>
  <c r="S145" i="6" s="1"/>
  <c r="C164" i="6"/>
  <c r="T163" i="6" s="1"/>
  <c r="C158" i="6"/>
  <c r="T157" i="6" s="1"/>
  <c r="V246" i="6"/>
  <c r="F89" i="7" s="1"/>
  <c r="V267" i="6"/>
  <c r="V122" i="6"/>
  <c r="V315" i="6"/>
  <c r="F111" i="7" s="1"/>
  <c r="V292" i="6"/>
  <c r="C446" i="6"/>
  <c r="C307" i="6"/>
  <c r="C315" i="6"/>
  <c r="C249" i="6"/>
  <c r="C288" i="6"/>
  <c r="C246" i="6"/>
  <c r="C219" i="6"/>
  <c r="C231" i="6"/>
  <c r="C186" i="6"/>
  <c r="C170" i="6"/>
  <c r="V446" i="6"/>
  <c r="F154" i="7" s="1"/>
  <c r="V304" i="6"/>
  <c r="F108" i="7" s="1"/>
  <c r="V219" i="6"/>
  <c r="V231" i="6"/>
  <c r="V288" i="6"/>
  <c r="V249" i="6"/>
  <c r="F90" i="7" s="1"/>
  <c r="V307" i="6"/>
  <c r="F109" i="7" s="1"/>
  <c r="V276" i="6"/>
  <c r="V170" i="6"/>
  <c r="V186" i="6"/>
  <c r="V146" i="6"/>
  <c r="V164" i="6"/>
  <c r="V152" i="6"/>
  <c r="C28" i="7"/>
  <c r="V158" i="6"/>
  <c r="V140" i="6"/>
  <c r="S151" i="6"/>
  <c r="T151" i="6"/>
  <c r="I98" i="1"/>
  <c r="F3" i="1"/>
  <c r="F99" i="7" l="1"/>
  <c r="F98" i="7"/>
  <c r="S157" i="6"/>
  <c r="S139" i="6"/>
  <c r="T144" i="6"/>
  <c r="S144" i="6"/>
  <c r="T139" i="6"/>
  <c r="S163" i="6"/>
  <c r="S108" i="6"/>
  <c r="T145" i="6"/>
  <c r="F96" i="7"/>
  <c r="T245" i="6"/>
  <c r="C89" i="7"/>
  <c r="C90" i="76"/>
  <c r="S245" i="6"/>
  <c r="G154" i="7"/>
  <c r="T445" i="6"/>
  <c r="S444" i="6"/>
  <c r="S445" i="6"/>
  <c r="C154" i="7"/>
  <c r="T444" i="6"/>
  <c r="C154" i="76"/>
  <c r="G90" i="7"/>
  <c r="G29" i="7"/>
  <c r="T169" i="6"/>
  <c r="S169" i="6"/>
  <c r="T185" i="6"/>
  <c r="S185" i="6"/>
  <c r="I91" i="53"/>
  <c r="C91" i="53"/>
  <c r="A91" i="53"/>
  <c r="I90" i="53"/>
  <c r="C90" i="53"/>
  <c r="A90" i="53"/>
  <c r="I54" i="53"/>
  <c r="C54" i="53"/>
  <c r="A54" i="53"/>
  <c r="I53" i="53"/>
  <c r="C53" i="53"/>
  <c r="A53" i="53"/>
  <c r="I16" i="53"/>
  <c r="C16" i="53"/>
  <c r="A16" i="53"/>
  <c r="I15" i="53"/>
  <c r="C15" i="53"/>
  <c r="A15" i="53"/>
  <c r="I14" i="53"/>
  <c r="C14" i="53"/>
  <c r="A14" i="53"/>
  <c r="I112" i="53"/>
  <c r="I103" i="53"/>
  <c r="I104" i="53" s="1"/>
  <c r="I96" i="53"/>
  <c r="I87" i="53"/>
  <c r="I83" i="53"/>
  <c r="A83" i="53"/>
  <c r="I82" i="53"/>
  <c r="A82" i="53"/>
  <c r="I76" i="53"/>
  <c r="I67" i="53"/>
  <c r="I66" i="53"/>
  <c r="I59" i="53"/>
  <c r="I50" i="53"/>
  <c r="I46" i="53"/>
  <c r="A46" i="53"/>
  <c r="I45" i="53"/>
  <c r="A45" i="53"/>
  <c r="I39" i="53"/>
  <c r="I21" i="53"/>
  <c r="I11" i="53"/>
  <c r="I7" i="53"/>
  <c r="A7" i="53"/>
  <c r="I6" i="53"/>
  <c r="A6" i="53"/>
  <c r="A5" i="53"/>
  <c r="I17" i="53" l="1"/>
  <c r="I23" i="53" s="1"/>
  <c r="I68" i="53"/>
  <c r="I92" i="53"/>
  <c r="I98" i="53" s="1"/>
  <c r="I100" i="53" s="1"/>
  <c r="I55" i="53"/>
  <c r="I61" i="53" s="1"/>
  <c r="I63" i="53" s="1"/>
  <c r="I25" i="53" l="1"/>
  <c r="F1462" i="1" l="1"/>
  <c r="G1470" i="1"/>
  <c r="F1449" i="1"/>
  <c r="G1449" i="1" s="1"/>
  <c r="F1441" i="1"/>
  <c r="G1441" i="1" s="1"/>
  <c r="F1434" i="1"/>
  <c r="G1434" i="1" s="1"/>
  <c r="F1426" i="1"/>
  <c r="G1426" i="1" s="1"/>
  <c r="F1418" i="1"/>
  <c r="G1418" i="1" s="1"/>
  <c r="F1410" i="1"/>
  <c r="G1410" i="1" s="1"/>
  <c r="F1402" i="1"/>
  <c r="G1402" i="1" s="1"/>
  <c r="F1394" i="1"/>
  <c r="G1394" i="1" s="1"/>
  <c r="F1386" i="1"/>
  <c r="G1386" i="1" s="1"/>
  <c r="F1378" i="1"/>
  <c r="G1378" i="1" s="1"/>
  <c r="F1370" i="1"/>
  <c r="G1370" i="1" s="1"/>
  <c r="F1362" i="1"/>
  <c r="G1362" i="1" s="1"/>
  <c r="F1354" i="1"/>
  <c r="G1354" i="1" s="1"/>
  <c r="F1346" i="1"/>
  <c r="G1346" i="1" s="1"/>
  <c r="F1338" i="1"/>
  <c r="G1338" i="1" s="1"/>
  <c r="F1330" i="1"/>
  <c r="G1330" i="1" s="1"/>
  <c r="F1322" i="1"/>
  <c r="G1322" i="1" s="1"/>
  <c r="F1314" i="1"/>
  <c r="G1314" i="1" s="1"/>
  <c r="F1306" i="1"/>
  <c r="G1306" i="1" s="1"/>
  <c r="F1298" i="1"/>
  <c r="G1298" i="1" s="1"/>
  <c r="F1290" i="1"/>
  <c r="G1290" i="1" s="1"/>
  <c r="F1282" i="1"/>
  <c r="G1282" i="1" s="1"/>
  <c r="F1274" i="1"/>
  <c r="G1274" i="1" s="1"/>
  <c r="F1266" i="1"/>
  <c r="G1266" i="1" s="1"/>
  <c r="F1258" i="1"/>
  <c r="G1258" i="1" s="1"/>
  <c r="F1250" i="1"/>
  <c r="G1250" i="1" s="1"/>
  <c r="F1242" i="1"/>
  <c r="G1242" i="1" s="1"/>
  <c r="F1234" i="1"/>
  <c r="G1234" i="1" s="1"/>
  <c r="F1226" i="1"/>
  <c r="G1226" i="1" s="1"/>
  <c r="F1218" i="1"/>
  <c r="G1218" i="1" s="1"/>
  <c r="F1210" i="1"/>
  <c r="G1210" i="1" s="1"/>
  <c r="F1202" i="1"/>
  <c r="G1202" i="1" s="1"/>
  <c r="F1194" i="1"/>
  <c r="G1194" i="1" s="1"/>
  <c r="F1186" i="1"/>
  <c r="G1186" i="1" s="1"/>
  <c r="F1177" i="1"/>
  <c r="G1177" i="1" s="1"/>
  <c r="F1169" i="1"/>
  <c r="G1169" i="1" s="1"/>
  <c r="F1161" i="1"/>
  <c r="G1161" i="1" s="1"/>
  <c r="F1153" i="1"/>
  <c r="G1153" i="1" s="1"/>
  <c r="F1145" i="1"/>
  <c r="G1145" i="1" s="1"/>
  <c r="F1137" i="1"/>
  <c r="G1137" i="1" s="1"/>
  <c r="F1129" i="1"/>
  <c r="G1129" i="1" s="1"/>
  <c r="F1121" i="1"/>
  <c r="G1121" i="1" s="1"/>
  <c r="F1112" i="1"/>
  <c r="G1112" i="1" s="1"/>
  <c r="F1104" i="1"/>
  <c r="G1104" i="1" s="1"/>
  <c r="F1096" i="1"/>
  <c r="G1096" i="1" s="1"/>
  <c r="F1088" i="1"/>
  <c r="G1088" i="1" s="1"/>
  <c r="F1080" i="1"/>
  <c r="G1080" i="1" s="1"/>
  <c r="F1072" i="1"/>
  <c r="G1072" i="1" s="1"/>
  <c r="F1064" i="1"/>
  <c r="G1064" i="1" s="1"/>
  <c r="F1057" i="1"/>
  <c r="G1057" i="1" s="1"/>
  <c r="F1049" i="1"/>
  <c r="G1049" i="1" s="1"/>
  <c r="F1041" i="1"/>
  <c r="G1041" i="1" s="1"/>
  <c r="F1033" i="1"/>
  <c r="G1033" i="1" s="1"/>
  <c r="F1026" i="1"/>
  <c r="G1026" i="1" s="1"/>
  <c r="F1018" i="1"/>
  <c r="G1018" i="1" s="1"/>
  <c r="F1010" i="1"/>
  <c r="G1010" i="1" s="1"/>
  <c r="F995" i="1"/>
  <c r="G995" i="1" s="1"/>
  <c r="F987" i="1"/>
  <c r="G987" i="1" s="1"/>
  <c r="F978" i="1"/>
  <c r="G978" i="1" s="1"/>
  <c r="F970" i="1"/>
  <c r="G970" i="1" s="1"/>
  <c r="F962" i="1"/>
  <c r="G962" i="1" s="1"/>
  <c r="F946" i="1"/>
  <c r="G946" i="1" s="1"/>
  <c r="F938" i="1"/>
  <c r="G938" i="1" s="1"/>
  <c r="F929" i="1"/>
  <c r="G929" i="1" s="1"/>
  <c r="F921" i="1"/>
  <c r="G921" i="1" s="1"/>
  <c r="F912" i="1"/>
  <c r="G912" i="1" s="1"/>
  <c r="F904" i="1"/>
  <c r="G904" i="1" s="1"/>
  <c r="F896" i="1"/>
  <c r="G896" i="1" s="1"/>
  <c r="F888" i="1"/>
  <c r="G888" i="1" s="1"/>
  <c r="F880" i="1"/>
  <c r="G880" i="1" s="1"/>
  <c r="F873" i="1"/>
  <c r="G873" i="1" s="1"/>
  <c r="F865" i="1"/>
  <c r="G865" i="1" s="1"/>
  <c r="F858" i="1"/>
  <c r="G858" i="1" s="1"/>
  <c r="F850" i="1"/>
  <c r="G850" i="1" s="1"/>
  <c r="F842" i="1"/>
  <c r="G842" i="1" s="1"/>
  <c r="F833" i="1"/>
  <c r="G833" i="1" s="1"/>
  <c r="F819" i="1"/>
  <c r="G819" i="1" s="1"/>
  <c r="F811" i="1"/>
  <c r="G811" i="1" s="1"/>
  <c r="F800" i="1"/>
  <c r="G800" i="1" s="1"/>
  <c r="F1469" i="1"/>
  <c r="G1469" i="1" s="1"/>
  <c r="F1448" i="1"/>
  <c r="F1440" i="1"/>
  <c r="G1440" i="1" s="1"/>
  <c r="F1433" i="1"/>
  <c r="G1433" i="1" s="1"/>
  <c r="F1425" i="1"/>
  <c r="G1425" i="1" s="1"/>
  <c r="F1417" i="1"/>
  <c r="G1417" i="1" s="1"/>
  <c r="F1409" i="1"/>
  <c r="G1409" i="1" s="1"/>
  <c r="F1401" i="1"/>
  <c r="G1401" i="1" s="1"/>
  <c r="F1393" i="1"/>
  <c r="G1393" i="1" s="1"/>
  <c r="F1385" i="1"/>
  <c r="G1385" i="1" s="1"/>
  <c r="F1377" i="1"/>
  <c r="G1377" i="1" s="1"/>
  <c r="F1369" i="1"/>
  <c r="G1369" i="1" s="1"/>
  <c r="F1361" i="1"/>
  <c r="G1361" i="1" s="1"/>
  <c r="F1353" i="1"/>
  <c r="G1353" i="1" s="1"/>
  <c r="F1345" i="1"/>
  <c r="G1345" i="1" s="1"/>
  <c r="F1337" i="1"/>
  <c r="G1337" i="1" s="1"/>
  <c r="F1329" i="1"/>
  <c r="G1329" i="1" s="1"/>
  <c r="F1321" i="1"/>
  <c r="G1321" i="1" s="1"/>
  <c r="F1313" i="1"/>
  <c r="G1313" i="1" s="1"/>
  <c r="F1305" i="1"/>
  <c r="G1305" i="1" s="1"/>
  <c r="F1297" i="1"/>
  <c r="G1297" i="1" s="1"/>
  <c r="F1289" i="1"/>
  <c r="G1289" i="1" s="1"/>
  <c r="F1281" i="1"/>
  <c r="G1281" i="1" s="1"/>
  <c r="F1273" i="1"/>
  <c r="G1273" i="1" s="1"/>
  <c r="F1265" i="1"/>
  <c r="G1265" i="1" s="1"/>
  <c r="F1257" i="1"/>
  <c r="G1257" i="1" s="1"/>
  <c r="F1249" i="1"/>
  <c r="G1249" i="1" s="1"/>
  <c r="F1241" i="1"/>
  <c r="G1241" i="1" s="1"/>
  <c r="F1233" i="1"/>
  <c r="G1233" i="1" s="1"/>
  <c r="F1225" i="1"/>
  <c r="G1225" i="1" s="1"/>
  <c r="F1217" i="1"/>
  <c r="G1217" i="1" s="1"/>
  <c r="F1209" i="1"/>
  <c r="G1209" i="1" s="1"/>
  <c r="F1201" i="1"/>
  <c r="G1201" i="1" s="1"/>
  <c r="F1193" i="1"/>
  <c r="G1193" i="1" s="1"/>
  <c r="F1185" i="1"/>
  <c r="G1185" i="1" s="1"/>
  <c r="F1176" i="1"/>
  <c r="G1176" i="1" s="1"/>
  <c r="F1168" i="1"/>
  <c r="G1168" i="1" s="1"/>
  <c r="F1160" i="1"/>
  <c r="G1160" i="1" s="1"/>
  <c r="F1152" i="1"/>
  <c r="G1152" i="1" s="1"/>
  <c r="F1144" i="1"/>
  <c r="G1144" i="1" s="1"/>
  <c r="F1136" i="1"/>
  <c r="G1136" i="1" s="1"/>
  <c r="F1128" i="1"/>
  <c r="G1128" i="1" s="1"/>
  <c r="F1120" i="1"/>
  <c r="G1120" i="1" s="1"/>
  <c r="F1111" i="1"/>
  <c r="G1111" i="1" s="1"/>
  <c r="F1103" i="1"/>
  <c r="G1103" i="1" s="1"/>
  <c r="F1095" i="1"/>
  <c r="G1095" i="1" s="1"/>
  <c r="F1087" i="1"/>
  <c r="G1087" i="1" s="1"/>
  <c r="F1079" i="1"/>
  <c r="G1079" i="1" s="1"/>
  <c r="F1071" i="1"/>
  <c r="G1071" i="1" s="1"/>
  <c r="F1063" i="1"/>
  <c r="G1063" i="1" s="1"/>
  <c r="F1056" i="1"/>
  <c r="G1056" i="1" s="1"/>
  <c r="F1048" i="1"/>
  <c r="G1048" i="1" s="1"/>
  <c r="F1040" i="1"/>
  <c r="G1040" i="1" s="1"/>
  <c r="F1032" i="1"/>
  <c r="G1032" i="1" s="1"/>
  <c r="F1025" i="1"/>
  <c r="G1025" i="1" s="1"/>
  <c r="F1017" i="1"/>
  <c r="G1017" i="1" s="1"/>
  <c r="F1009" i="1"/>
  <c r="G1009" i="1" s="1"/>
  <c r="F1002" i="1"/>
  <c r="G1002" i="1" s="1"/>
  <c r="F986" i="1"/>
  <c r="G986" i="1" s="1"/>
  <c r="F977" i="1"/>
  <c r="G977" i="1" s="1"/>
  <c r="F969" i="1"/>
  <c r="G969" i="1" s="1"/>
  <c r="F961" i="1"/>
  <c r="G961" i="1" s="1"/>
  <c r="F945" i="1"/>
  <c r="G945" i="1" s="1"/>
  <c r="F937" i="1"/>
  <c r="G937" i="1" s="1"/>
  <c r="F928" i="1"/>
  <c r="G928" i="1" s="1"/>
  <c r="F920" i="1"/>
  <c r="G920" i="1" s="1"/>
  <c r="F911" i="1"/>
  <c r="G911" i="1" s="1"/>
  <c r="F903" i="1"/>
  <c r="G903" i="1" s="1"/>
  <c r="F895" i="1"/>
  <c r="G895" i="1" s="1"/>
  <c r="F887" i="1"/>
  <c r="G887" i="1" s="1"/>
  <c r="F872" i="1"/>
  <c r="G872" i="1" s="1"/>
  <c r="F864" i="1"/>
  <c r="G864" i="1" s="1"/>
  <c r="F857" i="1"/>
  <c r="G857" i="1" s="1"/>
  <c r="F849" i="1"/>
  <c r="G849" i="1" s="1"/>
  <c r="F841" i="1"/>
  <c r="G841" i="1" s="1"/>
  <c r="F832" i="1"/>
  <c r="G832" i="1" s="1"/>
  <c r="F818" i="1"/>
  <c r="G818" i="1" s="1"/>
  <c r="F810" i="1"/>
  <c r="G810" i="1" s="1"/>
  <c r="F799" i="1"/>
  <c r="G799" i="1" s="1"/>
  <c r="G1459" i="1"/>
  <c r="F1447" i="1"/>
  <c r="G1447" i="1" s="1"/>
  <c r="F1439" i="1"/>
  <c r="G1439" i="1" s="1"/>
  <c r="F1432" i="1"/>
  <c r="G1432" i="1" s="1"/>
  <c r="F1424" i="1"/>
  <c r="G1424" i="1" s="1"/>
  <c r="F1416" i="1"/>
  <c r="G1416" i="1" s="1"/>
  <c r="F1408" i="1"/>
  <c r="G1408" i="1" s="1"/>
  <c r="F1400" i="1"/>
  <c r="G1400" i="1" s="1"/>
  <c r="F1392" i="1"/>
  <c r="G1392" i="1" s="1"/>
  <c r="F1384" i="1"/>
  <c r="G1384" i="1" s="1"/>
  <c r="F1376" i="1"/>
  <c r="G1376" i="1" s="1"/>
  <c r="F1368" i="1"/>
  <c r="G1368" i="1" s="1"/>
  <c r="F1360" i="1"/>
  <c r="G1360" i="1" s="1"/>
  <c r="F1352" i="1"/>
  <c r="G1352" i="1" s="1"/>
  <c r="F1344" i="1"/>
  <c r="G1344" i="1" s="1"/>
  <c r="F1336" i="1"/>
  <c r="G1336" i="1" s="1"/>
  <c r="F1328" i="1"/>
  <c r="G1328" i="1" s="1"/>
  <c r="F1320" i="1"/>
  <c r="G1320" i="1" s="1"/>
  <c r="F1312" i="1"/>
  <c r="G1312" i="1" s="1"/>
  <c r="F1304" i="1"/>
  <c r="G1304" i="1" s="1"/>
  <c r="F1296" i="1"/>
  <c r="G1296" i="1" s="1"/>
  <c r="F1288" i="1"/>
  <c r="G1288" i="1" s="1"/>
  <c r="F1280" i="1"/>
  <c r="G1280" i="1" s="1"/>
  <c r="F1272" i="1"/>
  <c r="G1272" i="1" s="1"/>
  <c r="F1264" i="1"/>
  <c r="G1264" i="1" s="1"/>
  <c r="F1256" i="1"/>
  <c r="G1256" i="1" s="1"/>
  <c r="F1248" i="1"/>
  <c r="G1248" i="1" s="1"/>
  <c r="F1240" i="1"/>
  <c r="G1240" i="1" s="1"/>
  <c r="F1232" i="1"/>
  <c r="G1232" i="1" s="1"/>
  <c r="F1224" i="1"/>
  <c r="G1224" i="1" s="1"/>
  <c r="F1216" i="1"/>
  <c r="G1216" i="1" s="1"/>
  <c r="F1208" i="1"/>
  <c r="G1208" i="1" s="1"/>
  <c r="F1200" i="1"/>
  <c r="G1200" i="1" s="1"/>
  <c r="F1192" i="1"/>
  <c r="G1192" i="1" s="1"/>
  <c r="F1184" i="1"/>
  <c r="G1184" i="1" s="1"/>
  <c r="F1175" i="1"/>
  <c r="G1175" i="1" s="1"/>
  <c r="F1167" i="1"/>
  <c r="G1167" i="1" s="1"/>
  <c r="F1159" i="1"/>
  <c r="G1159" i="1" s="1"/>
  <c r="F1151" i="1"/>
  <c r="G1151" i="1" s="1"/>
  <c r="F1143" i="1"/>
  <c r="G1143" i="1" s="1"/>
  <c r="F1135" i="1"/>
  <c r="G1135" i="1" s="1"/>
  <c r="F1127" i="1"/>
  <c r="G1127" i="1" s="1"/>
  <c r="F1119" i="1"/>
  <c r="G1119" i="1" s="1"/>
  <c r="F1110" i="1"/>
  <c r="G1110" i="1" s="1"/>
  <c r="F1102" i="1"/>
  <c r="G1102" i="1" s="1"/>
  <c r="F1094" i="1"/>
  <c r="G1094" i="1" s="1"/>
  <c r="F1086" i="1"/>
  <c r="G1086" i="1" s="1"/>
  <c r="F1078" i="1"/>
  <c r="G1078" i="1" s="1"/>
  <c r="F1070" i="1"/>
  <c r="G1070" i="1" s="1"/>
  <c r="F1062" i="1"/>
  <c r="G1062" i="1" s="1"/>
  <c r="F1055" i="1"/>
  <c r="G1055" i="1" s="1"/>
  <c r="F1047" i="1"/>
  <c r="G1047" i="1" s="1"/>
  <c r="F1039" i="1"/>
  <c r="G1039" i="1" s="1"/>
  <c r="F1031" i="1"/>
  <c r="G1031" i="1" s="1"/>
  <c r="F1024" i="1"/>
  <c r="G1024" i="1" s="1"/>
  <c r="F1016" i="1"/>
  <c r="G1016" i="1" s="1"/>
  <c r="F1001" i="1"/>
  <c r="G1001" i="1" s="1"/>
  <c r="F993" i="1"/>
  <c r="G993" i="1" s="1"/>
  <c r="F985" i="1"/>
  <c r="G985" i="1" s="1"/>
  <c r="F976" i="1"/>
  <c r="G976" i="1" s="1"/>
  <c r="F968" i="1"/>
  <c r="G968" i="1" s="1"/>
  <c r="F960" i="1"/>
  <c r="G960" i="1" s="1"/>
  <c r="F944" i="1"/>
  <c r="G944" i="1" s="1"/>
  <c r="F936" i="1"/>
  <c r="G936" i="1" s="1"/>
  <c r="F927" i="1"/>
  <c r="G927" i="1" s="1"/>
  <c r="F918" i="1"/>
  <c r="G918" i="1" s="1"/>
  <c r="F910" i="1"/>
  <c r="G910" i="1" s="1"/>
  <c r="F902" i="1"/>
  <c r="G902" i="1" s="1"/>
  <c r="F894" i="1"/>
  <c r="G894" i="1" s="1"/>
  <c r="F886" i="1"/>
  <c r="G886" i="1" s="1"/>
  <c r="F878" i="1"/>
  <c r="G878" i="1" s="1"/>
  <c r="F871" i="1"/>
  <c r="G871" i="1" s="1"/>
  <c r="F863" i="1"/>
  <c r="G863" i="1" s="1"/>
  <c r="F856" i="1"/>
  <c r="G856" i="1" s="1"/>
  <c r="F848" i="1"/>
  <c r="G848" i="1" s="1"/>
  <c r="F840" i="1"/>
  <c r="G840" i="1" s="1"/>
  <c r="F828" i="1"/>
  <c r="G828" i="1" s="1"/>
  <c r="G1458" i="1"/>
  <c r="F1446" i="1"/>
  <c r="G1446" i="1" s="1"/>
  <c r="F1431" i="1"/>
  <c r="G1431" i="1" s="1"/>
  <c r="F1423" i="1"/>
  <c r="G1423" i="1" s="1"/>
  <c r="F1415" i="1"/>
  <c r="G1415" i="1" s="1"/>
  <c r="F1407" i="1"/>
  <c r="G1407" i="1" s="1"/>
  <c r="F1399" i="1"/>
  <c r="G1399" i="1" s="1"/>
  <c r="F1391" i="1"/>
  <c r="G1391" i="1" s="1"/>
  <c r="F1383" i="1"/>
  <c r="G1383" i="1" s="1"/>
  <c r="F1375" i="1"/>
  <c r="G1375" i="1" s="1"/>
  <c r="F1367" i="1"/>
  <c r="G1367" i="1" s="1"/>
  <c r="F1359" i="1"/>
  <c r="G1359" i="1" s="1"/>
  <c r="F1351" i="1"/>
  <c r="G1351" i="1" s="1"/>
  <c r="F1343" i="1"/>
  <c r="G1343" i="1" s="1"/>
  <c r="F1335" i="1"/>
  <c r="G1335" i="1" s="1"/>
  <c r="F1327" i="1"/>
  <c r="G1327" i="1" s="1"/>
  <c r="F1319" i="1"/>
  <c r="G1319" i="1" s="1"/>
  <c r="F1311" i="1"/>
  <c r="G1311" i="1" s="1"/>
  <c r="F1303" i="1"/>
  <c r="G1303" i="1" s="1"/>
  <c r="F1295" i="1"/>
  <c r="G1295" i="1" s="1"/>
  <c r="F1279" i="1"/>
  <c r="G1279" i="1" s="1"/>
  <c r="F1271" i="1"/>
  <c r="G1271" i="1" s="1"/>
  <c r="F1263" i="1"/>
  <c r="G1263" i="1" s="1"/>
  <c r="F1255" i="1"/>
  <c r="G1255" i="1" s="1"/>
  <c r="F1247" i="1"/>
  <c r="G1247" i="1" s="1"/>
  <c r="F1239" i="1"/>
  <c r="G1239" i="1" s="1"/>
  <c r="F1231" i="1"/>
  <c r="G1231" i="1" s="1"/>
  <c r="F1223" i="1"/>
  <c r="G1223" i="1" s="1"/>
  <c r="F1215" i="1"/>
  <c r="G1215" i="1" s="1"/>
  <c r="F1207" i="1"/>
  <c r="G1207" i="1" s="1"/>
  <c r="F1199" i="1"/>
  <c r="G1199" i="1" s="1"/>
  <c r="F1191" i="1"/>
  <c r="G1191" i="1" s="1"/>
  <c r="F1183" i="1"/>
  <c r="G1183" i="1" s="1"/>
  <c r="F1174" i="1"/>
  <c r="G1174" i="1" s="1"/>
  <c r="F1166" i="1"/>
  <c r="G1166" i="1" s="1"/>
  <c r="F1158" i="1"/>
  <c r="G1158" i="1" s="1"/>
  <c r="F1150" i="1"/>
  <c r="G1150" i="1" s="1"/>
  <c r="F1142" i="1"/>
  <c r="G1142" i="1" s="1"/>
  <c r="F1134" i="1"/>
  <c r="G1134" i="1" s="1"/>
  <c r="F1126" i="1"/>
  <c r="G1126" i="1" s="1"/>
  <c r="F1117" i="1"/>
  <c r="G1117" i="1" s="1"/>
  <c r="F1109" i="1"/>
  <c r="G1109" i="1" s="1"/>
  <c r="F1101" i="1"/>
  <c r="G1101" i="1" s="1"/>
  <c r="F1093" i="1"/>
  <c r="G1093" i="1" s="1"/>
  <c r="F1077" i="1"/>
  <c r="G1077" i="1" s="1"/>
  <c r="F1069" i="1"/>
  <c r="G1069" i="1" s="1"/>
  <c r="F1054" i="1"/>
  <c r="G1054" i="1" s="1"/>
  <c r="F1046" i="1"/>
  <c r="G1046" i="1" s="1"/>
  <c r="F1038" i="1"/>
  <c r="G1038" i="1" s="1"/>
  <c r="F1030" i="1"/>
  <c r="G1030" i="1" s="1"/>
  <c r="F1023" i="1"/>
  <c r="G1023" i="1" s="1"/>
  <c r="F1015" i="1"/>
  <c r="G1015" i="1" s="1"/>
  <c r="F1000" i="1"/>
  <c r="G1000" i="1" s="1"/>
  <c r="F992" i="1"/>
  <c r="G992" i="1" s="1"/>
  <c r="F984" i="1"/>
  <c r="G984" i="1" s="1"/>
  <c r="F975" i="1"/>
  <c r="G975" i="1" s="1"/>
  <c r="F967" i="1"/>
  <c r="G967" i="1" s="1"/>
  <c r="F959" i="1"/>
  <c r="G959" i="1" s="1"/>
  <c r="F951" i="1"/>
  <c r="G951" i="1" s="1"/>
  <c r="F943" i="1"/>
  <c r="G943" i="1" s="1"/>
  <c r="F935" i="1"/>
  <c r="G935" i="1" s="1"/>
  <c r="F926" i="1"/>
  <c r="G926" i="1" s="1"/>
  <c r="F917" i="1"/>
  <c r="G917" i="1" s="1"/>
  <c r="F901" i="1"/>
  <c r="G901" i="1" s="1"/>
  <c r="F893" i="1"/>
  <c r="G893" i="1" s="1"/>
  <c r="F885" i="1"/>
  <c r="G885" i="1" s="1"/>
  <c r="F877" i="1"/>
  <c r="G877" i="1" s="1"/>
  <c r="F870" i="1"/>
  <c r="G870" i="1" s="1"/>
  <c r="F862" i="1"/>
  <c r="G862" i="1" s="1"/>
  <c r="F855" i="1"/>
  <c r="G855" i="1" s="1"/>
  <c r="F847" i="1"/>
  <c r="G847" i="1" s="1"/>
  <c r="F827" i="1"/>
  <c r="G827" i="1" s="1"/>
  <c r="F815" i="1"/>
  <c r="G815" i="1" s="1"/>
  <c r="F806" i="1"/>
  <c r="G806" i="1" s="1"/>
  <c r="G1457" i="1"/>
  <c r="F1445" i="1"/>
  <c r="G1445" i="1" s="1"/>
  <c r="F1430" i="1"/>
  <c r="G1430" i="1" s="1"/>
  <c r="F1422" i="1"/>
  <c r="G1422" i="1" s="1"/>
  <c r="F1414" i="1"/>
  <c r="G1414" i="1" s="1"/>
  <c r="F1406" i="1"/>
  <c r="G1406" i="1" s="1"/>
  <c r="F1398" i="1"/>
  <c r="G1398" i="1" s="1"/>
  <c r="F1390" i="1"/>
  <c r="G1390" i="1" s="1"/>
  <c r="F1382" i="1"/>
  <c r="G1382" i="1" s="1"/>
  <c r="F1374" i="1"/>
  <c r="G1374" i="1" s="1"/>
  <c r="F1366" i="1"/>
  <c r="G1366" i="1" s="1"/>
  <c r="F1358" i="1"/>
  <c r="G1358" i="1" s="1"/>
  <c r="F1350" i="1"/>
  <c r="G1350" i="1" s="1"/>
  <c r="F1342" i="1"/>
  <c r="G1342" i="1" s="1"/>
  <c r="F1334" i="1"/>
  <c r="G1334" i="1" s="1"/>
  <c r="F1326" i="1"/>
  <c r="G1326" i="1" s="1"/>
  <c r="F1318" i="1"/>
  <c r="G1318" i="1" s="1"/>
  <c r="F1310" i="1"/>
  <c r="G1310" i="1" s="1"/>
  <c r="F1302" i="1"/>
  <c r="G1302" i="1" s="1"/>
  <c r="F1294" i="1"/>
  <c r="G1294" i="1" s="1"/>
  <c r="F1286" i="1"/>
  <c r="G1286" i="1" s="1"/>
  <c r="F1278" i="1"/>
  <c r="G1278" i="1" s="1"/>
  <c r="F1270" i="1"/>
  <c r="G1270" i="1" s="1"/>
  <c r="F1262" i="1"/>
  <c r="G1262" i="1" s="1"/>
  <c r="F1254" i="1"/>
  <c r="G1254" i="1" s="1"/>
  <c r="F1246" i="1"/>
  <c r="G1246" i="1" s="1"/>
  <c r="F1238" i="1"/>
  <c r="G1238" i="1" s="1"/>
  <c r="F1230" i="1"/>
  <c r="G1230" i="1" s="1"/>
  <c r="F1222" i="1"/>
  <c r="G1222" i="1" s="1"/>
  <c r="F1214" i="1"/>
  <c r="G1214" i="1" s="1"/>
  <c r="F1206" i="1"/>
  <c r="G1206" i="1" s="1"/>
  <c r="F1198" i="1"/>
  <c r="G1198" i="1" s="1"/>
  <c r="F1190" i="1"/>
  <c r="G1190" i="1" s="1"/>
  <c r="F1182" i="1"/>
  <c r="G1182" i="1" s="1"/>
  <c r="F1173" i="1"/>
  <c r="G1173" i="1" s="1"/>
  <c r="F1165" i="1"/>
  <c r="G1165" i="1" s="1"/>
  <c r="F1157" i="1"/>
  <c r="G1157" i="1" s="1"/>
  <c r="F1149" i="1"/>
  <c r="G1149" i="1" s="1"/>
  <c r="F1141" i="1"/>
  <c r="G1141" i="1" s="1"/>
  <c r="F1133" i="1"/>
  <c r="G1133" i="1" s="1"/>
  <c r="F1125" i="1"/>
  <c r="G1125" i="1" s="1"/>
  <c r="F1116" i="1"/>
  <c r="G1116" i="1" s="1"/>
  <c r="F1108" i="1"/>
  <c r="G1108" i="1" s="1"/>
  <c r="F1100" i="1"/>
  <c r="G1100" i="1" s="1"/>
  <c r="F1092" i="1"/>
  <c r="G1092" i="1" s="1"/>
  <c r="F1084" i="1"/>
  <c r="G1084" i="1" s="1"/>
  <c r="F1076" i="1"/>
  <c r="G1076" i="1" s="1"/>
  <c r="F1068" i="1"/>
  <c r="G1068" i="1" s="1"/>
  <c r="F1053" i="1"/>
  <c r="G1053" i="1" s="1"/>
  <c r="F1045" i="1"/>
  <c r="G1045" i="1" s="1"/>
  <c r="F1037" i="1"/>
  <c r="G1037" i="1" s="1"/>
  <c r="F1029" i="1"/>
  <c r="G1029" i="1" s="1"/>
  <c r="F1022" i="1"/>
  <c r="G1022" i="1" s="1"/>
  <c r="F1014" i="1"/>
  <c r="G1014" i="1" s="1"/>
  <c r="F1006" i="1"/>
  <c r="G1006" i="1" s="1"/>
  <c r="F999" i="1"/>
  <c r="G999" i="1" s="1"/>
  <c r="F991" i="1"/>
  <c r="G991" i="1" s="1"/>
  <c r="F982" i="1"/>
  <c r="G982" i="1" s="1"/>
  <c r="F974" i="1"/>
  <c r="G974" i="1" s="1"/>
  <c r="F966" i="1"/>
  <c r="G966" i="1" s="1"/>
  <c r="F958" i="1"/>
  <c r="G958" i="1" s="1"/>
  <c r="F950" i="1"/>
  <c r="G950" i="1" s="1"/>
  <c r="F942" i="1"/>
  <c r="G942" i="1" s="1"/>
  <c r="F934" i="1"/>
  <c r="G934" i="1" s="1"/>
  <c r="F925" i="1"/>
  <c r="G925" i="1" s="1"/>
  <c r="F916" i="1"/>
  <c r="G916" i="1" s="1"/>
  <c r="F908" i="1"/>
  <c r="G908" i="1" s="1"/>
  <c r="F900" i="1"/>
  <c r="G900" i="1" s="1"/>
  <c r="F892" i="1"/>
  <c r="G892" i="1" s="1"/>
  <c r="F869" i="1"/>
  <c r="G869" i="1" s="1"/>
  <c r="F861" i="1"/>
  <c r="G861" i="1" s="1"/>
  <c r="F854" i="1"/>
  <c r="G854" i="1" s="1"/>
  <c r="F846" i="1"/>
  <c r="G846" i="1" s="1"/>
  <c r="F825" i="1"/>
  <c r="G825" i="1" s="1"/>
  <c r="F814" i="1"/>
  <c r="G814" i="1" s="1"/>
  <c r="F805" i="1"/>
  <c r="G805" i="1" s="1"/>
  <c r="F786" i="1"/>
  <c r="G786" i="1" s="1"/>
  <c r="G1452" i="1"/>
  <c r="F1444" i="1"/>
  <c r="G1444" i="1" s="1"/>
  <c r="F1429" i="1"/>
  <c r="G1429" i="1" s="1"/>
  <c r="F1421" i="1"/>
  <c r="G1421" i="1" s="1"/>
  <c r="F1413" i="1"/>
  <c r="G1413" i="1" s="1"/>
  <c r="F1405" i="1"/>
  <c r="G1405" i="1" s="1"/>
  <c r="F1397" i="1"/>
  <c r="G1397" i="1" s="1"/>
  <c r="F1389" i="1"/>
  <c r="G1389" i="1" s="1"/>
  <c r="F1381" i="1"/>
  <c r="G1381" i="1" s="1"/>
  <c r="F1373" i="1"/>
  <c r="G1373" i="1" s="1"/>
  <c r="F1365" i="1"/>
  <c r="G1365" i="1" s="1"/>
  <c r="F1357" i="1"/>
  <c r="G1357" i="1" s="1"/>
  <c r="F1349" i="1"/>
  <c r="G1349" i="1" s="1"/>
  <c r="F1341" i="1"/>
  <c r="G1341" i="1" s="1"/>
  <c r="F1333" i="1"/>
  <c r="G1333" i="1" s="1"/>
  <c r="F1325" i="1"/>
  <c r="G1325" i="1" s="1"/>
  <c r="F1317" i="1"/>
  <c r="G1317" i="1" s="1"/>
  <c r="F1309" i="1"/>
  <c r="G1309" i="1" s="1"/>
  <c r="F1301" i="1"/>
  <c r="G1301" i="1" s="1"/>
  <c r="F1293" i="1"/>
  <c r="G1293" i="1" s="1"/>
  <c r="F1285" i="1"/>
  <c r="G1285" i="1" s="1"/>
  <c r="F1277" i="1"/>
  <c r="G1277" i="1" s="1"/>
  <c r="F1269" i="1"/>
  <c r="G1269" i="1" s="1"/>
  <c r="F1261" i="1"/>
  <c r="G1261" i="1" s="1"/>
  <c r="F1253" i="1"/>
  <c r="G1253" i="1" s="1"/>
  <c r="F1245" i="1"/>
  <c r="G1245" i="1" s="1"/>
  <c r="F1237" i="1"/>
  <c r="G1237" i="1" s="1"/>
  <c r="F1229" i="1"/>
  <c r="G1229" i="1" s="1"/>
  <c r="F1221" i="1"/>
  <c r="G1221" i="1" s="1"/>
  <c r="F1213" i="1"/>
  <c r="G1213" i="1" s="1"/>
  <c r="F1205" i="1"/>
  <c r="G1205" i="1" s="1"/>
  <c r="F1197" i="1"/>
  <c r="G1197" i="1" s="1"/>
  <c r="F1189" i="1"/>
  <c r="G1189" i="1" s="1"/>
  <c r="F1180" i="1"/>
  <c r="G1180" i="1" s="1"/>
  <c r="F1172" i="1"/>
  <c r="G1172" i="1" s="1"/>
  <c r="F1164" i="1"/>
  <c r="G1164" i="1" s="1"/>
  <c r="F1156" i="1"/>
  <c r="G1156" i="1" s="1"/>
  <c r="F1148" i="1"/>
  <c r="G1148" i="1" s="1"/>
  <c r="F1140" i="1"/>
  <c r="G1140" i="1" s="1"/>
  <c r="F1132" i="1"/>
  <c r="G1132" i="1" s="1"/>
  <c r="F1124" i="1"/>
  <c r="G1124" i="1" s="1"/>
  <c r="F1115" i="1"/>
  <c r="G1115" i="1" s="1"/>
  <c r="F1107" i="1"/>
  <c r="G1107" i="1" s="1"/>
  <c r="F1099" i="1"/>
  <c r="G1099" i="1" s="1"/>
  <c r="F1091" i="1"/>
  <c r="G1091" i="1" s="1"/>
  <c r="F1083" i="1"/>
  <c r="G1083" i="1" s="1"/>
  <c r="F1075" i="1"/>
  <c r="G1075" i="1" s="1"/>
  <c r="F1067" i="1"/>
  <c r="G1067" i="1" s="1"/>
  <c r="F1052" i="1"/>
  <c r="G1052" i="1" s="1"/>
  <c r="F1044" i="1"/>
  <c r="G1044" i="1" s="1"/>
  <c r="F1036" i="1"/>
  <c r="G1036" i="1" s="1"/>
  <c r="F1021" i="1"/>
  <c r="G1021" i="1" s="1"/>
  <c r="F1013" i="1"/>
  <c r="G1013" i="1" s="1"/>
  <c r="F998" i="1"/>
  <c r="G998" i="1" s="1"/>
  <c r="F990" i="1"/>
  <c r="G990" i="1" s="1"/>
  <c r="F981" i="1"/>
  <c r="G981" i="1" s="1"/>
  <c r="F973" i="1"/>
  <c r="G973" i="1" s="1"/>
  <c r="F965" i="1"/>
  <c r="G965" i="1" s="1"/>
  <c r="F956" i="1"/>
  <c r="G956" i="1" s="1"/>
  <c r="F949" i="1"/>
  <c r="G949" i="1" s="1"/>
  <c r="F941" i="1"/>
  <c r="G941" i="1" s="1"/>
  <c r="F933" i="1"/>
  <c r="G933" i="1" s="1"/>
  <c r="F924" i="1"/>
  <c r="G924" i="1" s="1"/>
  <c r="F915" i="1"/>
  <c r="G915" i="1" s="1"/>
  <c r="F907" i="1"/>
  <c r="G907" i="1" s="1"/>
  <c r="F899" i="1"/>
  <c r="G899" i="1" s="1"/>
  <c r="F891" i="1"/>
  <c r="G891" i="1" s="1"/>
  <c r="F883" i="1"/>
  <c r="G883" i="1" s="1"/>
  <c r="F876" i="1"/>
  <c r="G876" i="1" s="1"/>
  <c r="F868" i="1"/>
  <c r="G868" i="1" s="1"/>
  <c r="F853" i="1"/>
  <c r="G853" i="1" s="1"/>
  <c r="F845" i="1"/>
  <c r="G845" i="1" s="1"/>
  <c r="G837" i="1"/>
  <c r="F823" i="1"/>
  <c r="G823" i="1" s="1"/>
  <c r="F1451" i="1"/>
  <c r="G1451" i="1" s="1"/>
  <c r="F1443" i="1"/>
  <c r="G1443" i="1" s="1"/>
  <c r="F1436" i="1"/>
  <c r="G1436" i="1" s="1"/>
  <c r="F1428" i="1"/>
  <c r="G1428" i="1" s="1"/>
  <c r="F1420" i="1"/>
  <c r="G1420" i="1" s="1"/>
  <c r="F1412" i="1"/>
  <c r="G1412" i="1" s="1"/>
  <c r="F1404" i="1"/>
  <c r="G1404" i="1" s="1"/>
  <c r="F1396" i="1"/>
  <c r="G1396" i="1" s="1"/>
  <c r="F1388" i="1"/>
  <c r="G1388" i="1" s="1"/>
  <c r="F1380" i="1"/>
  <c r="G1380" i="1" s="1"/>
  <c r="F1372" i="1"/>
  <c r="G1372" i="1" s="1"/>
  <c r="F1364" i="1"/>
  <c r="G1364" i="1" s="1"/>
  <c r="F1356" i="1"/>
  <c r="G1356" i="1" s="1"/>
  <c r="F1348" i="1"/>
  <c r="G1348" i="1" s="1"/>
  <c r="F1340" i="1"/>
  <c r="G1340" i="1" s="1"/>
  <c r="F1332" i="1"/>
  <c r="G1332" i="1" s="1"/>
  <c r="F1324" i="1"/>
  <c r="G1324" i="1" s="1"/>
  <c r="F1316" i="1"/>
  <c r="G1316" i="1" s="1"/>
  <c r="F1308" i="1"/>
  <c r="G1308" i="1" s="1"/>
  <c r="F1300" i="1"/>
  <c r="G1300" i="1" s="1"/>
  <c r="F1292" i="1"/>
  <c r="G1292" i="1" s="1"/>
  <c r="F1284" i="1"/>
  <c r="G1284" i="1" s="1"/>
  <c r="F1276" i="1"/>
  <c r="G1276" i="1" s="1"/>
  <c r="F1268" i="1"/>
  <c r="G1268" i="1" s="1"/>
  <c r="F1260" i="1"/>
  <c r="G1260" i="1" s="1"/>
  <c r="F1252" i="1"/>
  <c r="G1252" i="1" s="1"/>
  <c r="F1244" i="1"/>
  <c r="G1244" i="1" s="1"/>
  <c r="F1236" i="1"/>
  <c r="G1236" i="1" s="1"/>
  <c r="F1228" i="1"/>
  <c r="G1228" i="1" s="1"/>
  <c r="F1220" i="1"/>
  <c r="G1220" i="1" s="1"/>
  <c r="F1212" i="1"/>
  <c r="G1212" i="1" s="1"/>
  <c r="F1204" i="1"/>
  <c r="G1204" i="1" s="1"/>
  <c r="F1196" i="1"/>
  <c r="G1196" i="1" s="1"/>
  <c r="F1188" i="1"/>
  <c r="G1188" i="1" s="1"/>
  <c r="F1179" i="1"/>
  <c r="G1179" i="1" s="1"/>
  <c r="F1171" i="1"/>
  <c r="G1171" i="1" s="1"/>
  <c r="F1163" i="1"/>
  <c r="G1163" i="1" s="1"/>
  <c r="F1155" i="1"/>
  <c r="G1155" i="1" s="1"/>
  <c r="F1147" i="1"/>
  <c r="G1147" i="1" s="1"/>
  <c r="F1139" i="1"/>
  <c r="G1139" i="1" s="1"/>
  <c r="F1131" i="1"/>
  <c r="G1131" i="1" s="1"/>
  <c r="F1123" i="1"/>
  <c r="G1123" i="1" s="1"/>
  <c r="F1114" i="1"/>
  <c r="G1114" i="1" s="1"/>
  <c r="F1106" i="1"/>
  <c r="G1106" i="1" s="1"/>
  <c r="F1098" i="1"/>
  <c r="G1098" i="1" s="1"/>
  <c r="F1090" i="1"/>
  <c r="G1090" i="1" s="1"/>
  <c r="F1082" i="1"/>
  <c r="G1082" i="1" s="1"/>
  <c r="F1074" i="1"/>
  <c r="G1074" i="1" s="1"/>
  <c r="F1066" i="1"/>
  <c r="G1066" i="1" s="1"/>
  <c r="F1059" i="1"/>
  <c r="G1059" i="1" s="1"/>
  <c r="F1051" i="1"/>
  <c r="G1051" i="1" s="1"/>
  <c r="F1043" i="1"/>
  <c r="G1043" i="1" s="1"/>
  <c r="F1035" i="1"/>
  <c r="G1035" i="1" s="1"/>
  <c r="F1020" i="1"/>
  <c r="G1020" i="1" s="1"/>
  <c r="F1012" i="1"/>
  <c r="G1012" i="1" s="1"/>
  <c r="F997" i="1"/>
  <c r="G997" i="1" s="1"/>
  <c r="F989" i="1"/>
  <c r="G989" i="1" s="1"/>
  <c r="F980" i="1"/>
  <c r="G980" i="1" s="1"/>
  <c r="F972" i="1"/>
  <c r="G972" i="1" s="1"/>
  <c r="F964" i="1"/>
  <c r="G964" i="1" s="1"/>
  <c r="F955" i="1"/>
  <c r="G955" i="1" s="1"/>
  <c r="F948" i="1"/>
  <c r="G948" i="1" s="1"/>
  <c r="F940" i="1"/>
  <c r="G940" i="1" s="1"/>
  <c r="F932" i="1"/>
  <c r="G932" i="1" s="1"/>
  <c r="F923" i="1"/>
  <c r="G923" i="1" s="1"/>
  <c r="F914" i="1"/>
  <c r="G914" i="1" s="1"/>
  <c r="F906" i="1"/>
  <c r="G906" i="1" s="1"/>
  <c r="F898" i="1"/>
  <c r="G898" i="1" s="1"/>
  <c r="F890" i="1"/>
  <c r="G890" i="1" s="1"/>
  <c r="F882" i="1"/>
  <c r="G882" i="1" s="1"/>
  <c r="F875" i="1"/>
  <c r="G875" i="1" s="1"/>
  <c r="F867" i="1"/>
  <c r="G867" i="1" s="1"/>
  <c r="F1442" i="1"/>
  <c r="G1442" i="1" s="1"/>
  <c r="F1435" i="1"/>
  <c r="G1435" i="1" s="1"/>
  <c r="F1427" i="1"/>
  <c r="G1427" i="1" s="1"/>
  <c r="F1419" i="1"/>
  <c r="G1419" i="1" s="1"/>
  <c r="F1411" i="1"/>
  <c r="G1411" i="1" s="1"/>
  <c r="F1403" i="1"/>
  <c r="G1403" i="1" s="1"/>
  <c r="F1395" i="1"/>
  <c r="G1395" i="1" s="1"/>
  <c r="F1387" i="1"/>
  <c r="G1387" i="1" s="1"/>
  <c r="F1379" i="1"/>
  <c r="G1379" i="1" s="1"/>
  <c r="F1371" i="1"/>
  <c r="G1371" i="1" s="1"/>
  <c r="F1363" i="1"/>
  <c r="G1363" i="1" s="1"/>
  <c r="F1355" i="1"/>
  <c r="G1355" i="1" s="1"/>
  <c r="F1347" i="1"/>
  <c r="G1347" i="1" s="1"/>
  <c r="F1339" i="1"/>
  <c r="G1339" i="1" s="1"/>
  <c r="F1331" i="1"/>
  <c r="G1331" i="1" s="1"/>
  <c r="F1323" i="1"/>
  <c r="G1323" i="1" s="1"/>
  <c r="F1315" i="1"/>
  <c r="G1315" i="1" s="1"/>
  <c r="F1307" i="1"/>
  <c r="G1307" i="1" s="1"/>
  <c r="F1299" i="1"/>
  <c r="G1299" i="1" s="1"/>
  <c r="F1291" i="1"/>
  <c r="G1291" i="1" s="1"/>
  <c r="F1283" i="1"/>
  <c r="G1283" i="1" s="1"/>
  <c r="F1275" i="1"/>
  <c r="G1275" i="1" s="1"/>
  <c r="F1267" i="1"/>
  <c r="G1267" i="1" s="1"/>
  <c r="F1259" i="1"/>
  <c r="G1259" i="1" s="1"/>
  <c r="F1251" i="1"/>
  <c r="G1251" i="1" s="1"/>
  <c r="F1243" i="1"/>
  <c r="G1243" i="1" s="1"/>
  <c r="F1235" i="1"/>
  <c r="G1235" i="1" s="1"/>
  <c r="F1227" i="1"/>
  <c r="G1227" i="1" s="1"/>
  <c r="F1211" i="1"/>
  <c r="G1211" i="1" s="1"/>
  <c r="F1203" i="1"/>
  <c r="G1203" i="1" s="1"/>
  <c r="F1195" i="1"/>
  <c r="G1195" i="1" s="1"/>
  <c r="F1187" i="1"/>
  <c r="G1187" i="1" s="1"/>
  <c r="F1178" i="1"/>
  <c r="G1178" i="1" s="1"/>
  <c r="F1170" i="1"/>
  <c r="G1170" i="1" s="1"/>
  <c r="F1162" i="1"/>
  <c r="G1162" i="1" s="1"/>
  <c r="F1154" i="1"/>
  <c r="G1154" i="1" s="1"/>
  <c r="F1146" i="1"/>
  <c r="G1146" i="1" s="1"/>
  <c r="F1138" i="1"/>
  <c r="G1138" i="1" s="1"/>
  <c r="F1130" i="1"/>
  <c r="G1130" i="1" s="1"/>
  <c r="F1122" i="1"/>
  <c r="G1122" i="1" s="1"/>
  <c r="F1113" i="1"/>
  <c r="G1113" i="1" s="1"/>
  <c r="F1105" i="1"/>
  <c r="G1105" i="1" s="1"/>
  <c r="F1097" i="1"/>
  <c r="G1097" i="1" s="1"/>
  <c r="F1089" i="1"/>
  <c r="G1089" i="1" s="1"/>
  <c r="F1081" i="1"/>
  <c r="G1081" i="1" s="1"/>
  <c r="F1073" i="1"/>
  <c r="G1073" i="1" s="1"/>
  <c r="F1065" i="1"/>
  <c r="G1065" i="1" s="1"/>
  <c r="F1058" i="1"/>
  <c r="G1058" i="1" s="1"/>
  <c r="F1050" i="1"/>
  <c r="G1050" i="1" s="1"/>
  <c r="F1042" i="1"/>
  <c r="G1042" i="1" s="1"/>
  <c r="F1034" i="1"/>
  <c r="G1034" i="1" s="1"/>
  <c r="F1019" i="1"/>
  <c r="G1019" i="1" s="1"/>
  <c r="F1011" i="1"/>
  <c r="G1011" i="1" s="1"/>
  <c r="F996" i="1"/>
  <c r="G996" i="1" s="1"/>
  <c r="F988" i="1"/>
  <c r="G988" i="1" s="1"/>
  <c r="F979" i="1"/>
  <c r="G979" i="1" s="1"/>
  <c r="F971" i="1"/>
  <c r="G971" i="1" s="1"/>
  <c r="F963" i="1"/>
  <c r="G963" i="1" s="1"/>
  <c r="F954" i="1"/>
  <c r="G954" i="1" s="1"/>
  <c r="F947" i="1"/>
  <c r="G947" i="1" s="1"/>
  <c r="F939" i="1"/>
  <c r="G939" i="1" s="1"/>
  <c r="F930" i="1"/>
  <c r="G930" i="1" s="1"/>
  <c r="F922" i="1"/>
  <c r="G922" i="1" s="1"/>
  <c r="F913" i="1"/>
  <c r="D33" i="53" s="1"/>
  <c r="I33" i="53" s="1"/>
  <c r="I35" i="53" s="1"/>
  <c r="F905" i="1"/>
  <c r="G905" i="1" s="1"/>
  <c r="F897" i="1"/>
  <c r="G897" i="1" s="1"/>
  <c r="F889" i="1"/>
  <c r="G889" i="1" s="1"/>
  <c r="F881" i="1"/>
  <c r="G881" i="1" s="1"/>
  <c r="F874" i="1"/>
  <c r="G874" i="1" s="1"/>
  <c r="F859" i="1"/>
  <c r="G859" i="1" s="1"/>
  <c r="F822" i="1"/>
  <c r="G822" i="1" s="1"/>
  <c r="F792" i="1"/>
  <c r="G792" i="1" s="1"/>
  <c r="F777" i="1"/>
  <c r="G777" i="1" s="1"/>
  <c r="F769" i="1"/>
  <c r="G769" i="1" s="1"/>
  <c r="F760" i="1"/>
  <c r="G760" i="1" s="1"/>
  <c r="F752" i="1"/>
  <c r="G752" i="1" s="1"/>
  <c r="F743" i="1"/>
  <c r="G743" i="1" s="1"/>
  <c r="F724" i="1"/>
  <c r="G724" i="1" s="1"/>
  <c r="F714" i="1"/>
  <c r="G714" i="1" s="1"/>
  <c r="F703" i="1"/>
  <c r="G703" i="1" s="1"/>
  <c r="F696" i="1"/>
  <c r="G696" i="1" s="1"/>
  <c r="F685" i="1"/>
  <c r="G685" i="1" s="1"/>
  <c r="F676" i="1"/>
  <c r="G676" i="1" s="1"/>
  <c r="F658" i="1"/>
  <c r="G658" i="1" s="1"/>
  <c r="F647" i="1"/>
  <c r="G647" i="1" s="1"/>
  <c r="F639" i="1"/>
  <c r="G639" i="1" s="1"/>
  <c r="F631" i="1"/>
  <c r="G631" i="1" s="1"/>
  <c r="F623" i="1"/>
  <c r="G623" i="1" s="1"/>
  <c r="F614" i="1"/>
  <c r="G614" i="1" s="1"/>
  <c r="F606" i="1"/>
  <c r="G606" i="1" s="1"/>
  <c r="F597" i="1"/>
  <c r="G597" i="1" s="1"/>
  <c r="F582" i="1"/>
  <c r="G582" i="1" s="1"/>
  <c r="F574" i="1"/>
  <c r="G574" i="1" s="1"/>
  <c r="F562" i="1"/>
  <c r="F555" i="1"/>
  <c r="G555" i="1" s="1"/>
  <c r="F544" i="1"/>
  <c r="G544" i="1" s="1"/>
  <c r="F536" i="1"/>
  <c r="G536" i="1" s="1"/>
  <c r="F529" i="1"/>
  <c r="G529" i="1" s="1"/>
  <c r="F514" i="1"/>
  <c r="G514" i="1" s="1"/>
  <c r="F508" i="1"/>
  <c r="G508" i="1" s="1"/>
  <c r="F476" i="1"/>
  <c r="G476" i="1" s="1"/>
  <c r="F461" i="1"/>
  <c r="G461" i="1" s="1"/>
  <c r="F453" i="1"/>
  <c r="G453" i="1" s="1"/>
  <c r="F446" i="1"/>
  <c r="G446" i="1" s="1"/>
  <c r="F437" i="1"/>
  <c r="G437" i="1" s="1"/>
  <c r="F429" i="1"/>
  <c r="G429" i="1" s="1"/>
  <c r="G422" i="1"/>
  <c r="G406" i="1"/>
  <c r="G399" i="1"/>
  <c r="G390" i="1"/>
  <c r="G382" i="1"/>
  <c r="F367" i="1"/>
  <c r="G367" i="1" s="1"/>
  <c r="F359" i="1"/>
  <c r="G359" i="1" s="1"/>
  <c r="F342" i="1"/>
  <c r="G342" i="1" s="1"/>
  <c r="F335" i="1"/>
  <c r="G335" i="1" s="1"/>
  <c r="F322" i="1"/>
  <c r="G322" i="1" s="1"/>
  <c r="F314" i="1"/>
  <c r="G314" i="1" s="1"/>
  <c r="F289" i="1"/>
  <c r="G289" i="1" s="1"/>
  <c r="F249" i="1"/>
  <c r="G249" i="1" s="1"/>
  <c r="F241" i="1"/>
  <c r="G241" i="1" s="1"/>
  <c r="F221" i="1"/>
  <c r="G221" i="1" s="1"/>
  <c r="F209" i="1"/>
  <c r="G209" i="1" s="1"/>
  <c r="F200" i="1"/>
  <c r="G200" i="1" s="1"/>
  <c r="F191" i="1"/>
  <c r="G191" i="1" s="1"/>
  <c r="F182" i="1"/>
  <c r="G182" i="1" s="1"/>
  <c r="F174" i="1"/>
  <c r="G174" i="1" s="1"/>
  <c r="F165" i="1"/>
  <c r="G165" i="1" s="1"/>
  <c r="F157" i="1"/>
  <c r="G157" i="1" s="1"/>
  <c r="F149" i="1"/>
  <c r="G149" i="1" s="1"/>
  <c r="F140" i="1"/>
  <c r="G140" i="1" s="1"/>
  <c r="F124" i="1"/>
  <c r="G124" i="1" s="1"/>
  <c r="F116" i="1"/>
  <c r="G116" i="1" s="1"/>
  <c r="F108" i="1"/>
  <c r="G108" i="1" s="1"/>
  <c r="F99" i="1"/>
  <c r="G99" i="1" s="1"/>
  <c r="F821" i="1"/>
  <c r="F791" i="1"/>
  <c r="G791" i="1" s="1"/>
  <c r="F776" i="1"/>
  <c r="G776" i="1" s="1"/>
  <c r="F759" i="1"/>
  <c r="G759" i="1" s="1"/>
  <c r="F751" i="1"/>
  <c r="G751" i="1" s="1"/>
  <c r="F740" i="1"/>
  <c r="G740" i="1" s="1"/>
  <c r="F730" i="1"/>
  <c r="G730" i="1" s="1"/>
  <c r="F723" i="1"/>
  <c r="G723" i="1" s="1"/>
  <c r="F712" i="1"/>
  <c r="G712" i="1" s="1"/>
  <c r="F695" i="1"/>
  <c r="G695" i="1" s="1"/>
  <c r="F683" i="1"/>
  <c r="G683" i="1" s="1"/>
  <c r="F675" i="1"/>
  <c r="G675" i="1" s="1"/>
  <c r="F646" i="1"/>
  <c r="G646" i="1" s="1"/>
  <c r="F638" i="1"/>
  <c r="G638" i="1" s="1"/>
  <c r="F630" i="1"/>
  <c r="G630" i="1" s="1"/>
  <c r="F622" i="1"/>
  <c r="G622" i="1" s="1"/>
  <c r="F605" i="1"/>
  <c r="G605" i="1" s="1"/>
  <c r="F596" i="1"/>
  <c r="G596" i="1" s="1"/>
  <c r="F581" i="1"/>
  <c r="G581" i="1" s="1"/>
  <c r="F573" i="1"/>
  <c r="G573" i="1" s="1"/>
  <c r="F561" i="1"/>
  <c r="G561" i="1" s="1"/>
  <c r="F554" i="1"/>
  <c r="G554" i="1" s="1"/>
  <c r="F535" i="1"/>
  <c r="G535" i="1" s="1"/>
  <c r="F513" i="1"/>
  <c r="G513" i="1" s="1"/>
  <c r="F507" i="1"/>
  <c r="G507" i="1" s="1"/>
  <c r="F489" i="1"/>
  <c r="G489" i="1" s="1"/>
  <c r="F475" i="1"/>
  <c r="G475" i="1" s="1"/>
  <c r="F467" i="1"/>
  <c r="G467" i="1" s="1"/>
  <c r="F460" i="1"/>
  <c r="G460" i="1" s="1"/>
  <c r="F452" i="1"/>
  <c r="G452" i="1" s="1"/>
  <c r="F445" i="1"/>
  <c r="G445" i="1" s="1"/>
  <c r="F436" i="1"/>
  <c r="G436" i="1" s="1"/>
  <c r="F428" i="1"/>
  <c r="G428" i="1" s="1"/>
  <c r="G413" i="1"/>
  <c r="G405" i="1"/>
  <c r="G381" i="1"/>
  <c r="G374" i="1"/>
  <c r="F366" i="1"/>
  <c r="G366" i="1" s="1"/>
  <c r="F358" i="1"/>
  <c r="G358" i="1" s="1"/>
  <c r="F341" i="1"/>
  <c r="G341" i="1" s="1"/>
  <c r="F334" i="1"/>
  <c r="G334" i="1" s="1"/>
  <c r="F320" i="1"/>
  <c r="G320" i="1" s="1"/>
  <c r="F313" i="1"/>
  <c r="G313" i="1" s="1"/>
  <c r="F279" i="1"/>
  <c r="G279" i="1" s="1"/>
  <c r="F269" i="1"/>
  <c r="G269" i="1" s="1"/>
  <c r="F240" i="1"/>
  <c r="G240" i="1" s="1"/>
  <c r="F230" i="1"/>
  <c r="G230" i="1" s="1"/>
  <c r="F218" i="1"/>
  <c r="G218" i="1" s="1"/>
  <c r="F208" i="1"/>
  <c r="G208" i="1" s="1"/>
  <c r="F199" i="1"/>
  <c r="G199" i="1" s="1"/>
  <c r="F190" i="1"/>
  <c r="G190" i="1" s="1"/>
  <c r="F181" i="1"/>
  <c r="G181" i="1" s="1"/>
  <c r="F173" i="1"/>
  <c r="G173" i="1" s="1"/>
  <c r="F164" i="1"/>
  <c r="G164" i="1" s="1"/>
  <c r="F156" i="1"/>
  <c r="G156" i="1" s="1"/>
  <c r="F148" i="1"/>
  <c r="G148" i="1" s="1"/>
  <c r="F139" i="1"/>
  <c r="G139" i="1" s="1"/>
  <c r="F131" i="1"/>
  <c r="G131" i="1" s="1"/>
  <c r="F123" i="1"/>
  <c r="G123" i="1" s="1"/>
  <c r="F115" i="1"/>
  <c r="G115" i="1" s="1"/>
  <c r="F106" i="1"/>
  <c r="G106" i="1" s="1"/>
  <c r="F98" i="1"/>
  <c r="G98" i="1" s="1"/>
  <c r="F90" i="1"/>
  <c r="G90" i="1" s="1"/>
  <c r="F81" i="1"/>
  <c r="G81" i="1" s="1"/>
  <c r="F73" i="1"/>
  <c r="G73" i="1" s="1"/>
  <c r="F64" i="1"/>
  <c r="G64" i="1" s="1"/>
  <c r="F852" i="1"/>
  <c r="G852" i="1" s="1"/>
  <c r="F812" i="1"/>
  <c r="G812" i="1" s="1"/>
  <c r="F788" i="1"/>
  <c r="G788" i="1" s="1"/>
  <c r="F775" i="1"/>
  <c r="G775" i="1" s="1"/>
  <c r="F767" i="1"/>
  <c r="G767" i="1" s="1"/>
  <c r="F758" i="1"/>
  <c r="G758" i="1" s="1"/>
  <c r="F750" i="1"/>
  <c r="G750" i="1" s="1"/>
  <c r="F739" i="1"/>
  <c r="G739" i="1" s="1"/>
  <c r="F729" i="1"/>
  <c r="G729" i="1" s="1"/>
  <c r="F711" i="1"/>
  <c r="G711" i="1" s="1"/>
  <c r="F694" i="1"/>
  <c r="G694" i="1" s="1"/>
  <c r="F682" i="1"/>
  <c r="G682" i="1" s="1"/>
  <c r="F674" i="1"/>
  <c r="G674" i="1" s="1"/>
  <c r="F656" i="1"/>
  <c r="G656" i="1" s="1"/>
  <c r="F645" i="1"/>
  <c r="G645" i="1" s="1"/>
  <c r="F637" i="1"/>
  <c r="G637" i="1" s="1"/>
  <c r="F629" i="1"/>
  <c r="G629" i="1" s="1"/>
  <c r="F621" i="1"/>
  <c r="G621" i="1" s="1"/>
  <c r="F612" i="1"/>
  <c r="G612" i="1" s="1"/>
  <c r="F603" i="1"/>
  <c r="G603" i="1" s="1"/>
  <c r="F595" i="1"/>
  <c r="G595" i="1" s="1"/>
  <c r="F580" i="1"/>
  <c r="G580" i="1" s="1"/>
  <c r="F572" i="1"/>
  <c r="G572" i="1" s="1"/>
  <c r="F560" i="1"/>
  <c r="G560" i="1" s="1"/>
  <c r="F553" i="1"/>
  <c r="G553" i="1" s="1"/>
  <c r="F528" i="1"/>
  <c r="G528" i="1" s="1"/>
  <c r="F512" i="1"/>
  <c r="G512" i="1" s="1"/>
  <c r="F506" i="1"/>
  <c r="G506" i="1" s="1"/>
  <c r="F498" i="1"/>
  <c r="G498" i="1" s="1"/>
  <c r="F474" i="1"/>
  <c r="G474" i="1" s="1"/>
  <c r="F466" i="1"/>
  <c r="G466" i="1" s="1"/>
  <c r="F459" i="1"/>
  <c r="G459" i="1" s="1"/>
  <c r="F451" i="1"/>
  <c r="G451" i="1" s="1"/>
  <c r="F444" i="1"/>
  <c r="G444" i="1" s="1"/>
  <c r="F427" i="1"/>
  <c r="G427" i="1" s="1"/>
  <c r="G420" i="1"/>
  <c r="G412" i="1"/>
  <c r="G404" i="1"/>
  <c r="G397" i="1"/>
  <c r="G388" i="1"/>
  <c r="F372" i="1"/>
  <c r="G372" i="1" s="1"/>
  <c r="F365" i="1"/>
  <c r="G365" i="1" s="1"/>
  <c r="F357" i="1"/>
  <c r="G357" i="1" s="1"/>
  <c r="F349" i="1"/>
  <c r="G349" i="1" s="1"/>
  <c r="F340" i="1"/>
  <c r="G340" i="1" s="1"/>
  <c r="F333" i="1"/>
  <c r="G333" i="1" s="1"/>
  <c r="F312" i="1"/>
  <c r="G312" i="1" s="1"/>
  <c r="F288" i="1"/>
  <c r="G288" i="1" s="1"/>
  <c r="F268" i="1"/>
  <c r="G268" i="1" s="1"/>
  <c r="F258" i="1"/>
  <c r="G258" i="1" s="1"/>
  <c r="F229" i="1"/>
  <c r="G229" i="1" s="1"/>
  <c r="F217" i="1"/>
  <c r="G217" i="1" s="1"/>
  <c r="F207" i="1"/>
  <c r="G207" i="1" s="1"/>
  <c r="F198" i="1"/>
  <c r="G198" i="1" s="1"/>
  <c r="F189" i="1"/>
  <c r="G189" i="1" s="1"/>
  <c r="F180" i="1"/>
  <c r="G180" i="1" s="1"/>
  <c r="F172" i="1"/>
  <c r="G172" i="1" s="1"/>
  <c r="F163" i="1"/>
  <c r="G163" i="1" s="1"/>
  <c r="F155" i="1"/>
  <c r="G155" i="1" s="1"/>
  <c r="F146" i="1"/>
  <c r="G146" i="1" s="1"/>
  <c r="F138" i="1"/>
  <c r="G138" i="1" s="1"/>
  <c r="F130" i="1"/>
  <c r="G130" i="1" s="1"/>
  <c r="F122" i="1"/>
  <c r="G122" i="1" s="1"/>
  <c r="F114" i="1"/>
  <c r="G114" i="1" s="1"/>
  <c r="F105" i="1"/>
  <c r="G105" i="1" s="1"/>
  <c r="F97" i="1"/>
  <c r="G97" i="1" s="1"/>
  <c r="F89" i="1"/>
  <c r="G89" i="1" s="1"/>
  <c r="F851" i="1"/>
  <c r="G851" i="1" s="1"/>
  <c r="F784" i="1"/>
  <c r="G784" i="1" s="1"/>
  <c r="F774" i="1"/>
  <c r="G774" i="1" s="1"/>
  <c r="F766" i="1"/>
  <c r="G766" i="1" s="1"/>
  <c r="F757" i="1"/>
  <c r="G757" i="1" s="1"/>
  <c r="F749" i="1"/>
  <c r="G749" i="1" s="1"/>
  <c r="F738" i="1"/>
  <c r="G738" i="1" s="1"/>
  <c r="F721" i="1"/>
  <c r="G721" i="1" s="1"/>
  <c r="F707" i="1"/>
  <c r="G707" i="1" s="1"/>
  <c r="F693" i="1"/>
  <c r="G693" i="1" s="1"/>
  <c r="F655" i="1"/>
  <c r="G655" i="1" s="1"/>
  <c r="F644" i="1"/>
  <c r="G644" i="1" s="1"/>
  <c r="F636" i="1"/>
  <c r="G636" i="1" s="1"/>
  <c r="F628" i="1"/>
  <c r="G628" i="1" s="1"/>
  <c r="F620" i="1"/>
  <c r="G620" i="1" s="1"/>
  <c r="F611" i="1"/>
  <c r="G611" i="1" s="1"/>
  <c r="F590" i="1"/>
  <c r="F579" i="1"/>
  <c r="G579" i="1" s="1"/>
  <c r="F559" i="1"/>
  <c r="G559" i="1" s="1"/>
  <c r="F552" i="1"/>
  <c r="G552" i="1" s="1"/>
  <c r="F527" i="1"/>
  <c r="G527" i="1" s="1"/>
  <c r="F511" i="1"/>
  <c r="G511" i="1" s="1"/>
  <c r="F505" i="1"/>
  <c r="G505" i="1" s="1"/>
  <c r="F473" i="1"/>
  <c r="G473" i="1" s="1"/>
  <c r="F443" i="1"/>
  <c r="G443" i="1" s="1"/>
  <c r="F434" i="1"/>
  <c r="G434" i="1" s="1"/>
  <c r="G419" i="1"/>
  <c r="G411" i="1"/>
  <c r="G403" i="1"/>
  <c r="G396" i="1"/>
  <c r="G387" i="1"/>
  <c r="G379" i="1"/>
  <c r="F371" i="1"/>
  <c r="G371" i="1" s="1"/>
  <c r="F364" i="1"/>
  <c r="G364" i="1" s="1"/>
  <c r="F356" i="1"/>
  <c r="G356" i="1" s="1"/>
  <c r="F348" i="1"/>
  <c r="G348" i="1" s="1"/>
  <c r="F339" i="1"/>
  <c r="G339" i="1" s="1"/>
  <c r="F330" i="1"/>
  <c r="G330" i="1" s="1"/>
  <c r="F318" i="1"/>
  <c r="G318" i="1" s="1"/>
  <c r="F311" i="1"/>
  <c r="G311" i="1" s="1"/>
  <c r="F286" i="1"/>
  <c r="G286" i="1" s="1"/>
  <c r="F267" i="1"/>
  <c r="G267" i="1" s="1"/>
  <c r="F257" i="1"/>
  <c r="G257" i="1" s="1"/>
  <c r="F228" i="1"/>
  <c r="G228" i="1" s="1"/>
  <c r="F216" i="1"/>
  <c r="G216" i="1" s="1"/>
  <c r="G205" i="1"/>
  <c r="F197" i="1"/>
  <c r="G197" i="1" s="1"/>
  <c r="F188" i="1"/>
  <c r="F179" i="1"/>
  <c r="G179" i="1" s="1"/>
  <c r="F171" i="1"/>
  <c r="G171" i="1" s="1"/>
  <c r="F162" i="1"/>
  <c r="G162" i="1" s="1"/>
  <c r="F154" i="1"/>
  <c r="G154" i="1" s="1"/>
  <c r="F145" i="1"/>
  <c r="G145" i="1" s="1"/>
  <c r="F137" i="1"/>
  <c r="G137" i="1" s="1"/>
  <c r="F129" i="1"/>
  <c r="G129" i="1" s="1"/>
  <c r="F121" i="1"/>
  <c r="G121" i="1" s="1"/>
  <c r="F113" i="1"/>
  <c r="G113" i="1" s="1"/>
  <c r="F96" i="1"/>
  <c r="G96" i="1" s="1"/>
  <c r="F88" i="1"/>
  <c r="G88" i="1" s="1"/>
  <c r="F79" i="1"/>
  <c r="G79" i="1" s="1"/>
  <c r="F71" i="1"/>
  <c r="G71" i="1" s="1"/>
  <c r="F844" i="1"/>
  <c r="G844" i="1" s="1"/>
  <c r="F802" i="1"/>
  <c r="G802" i="1" s="1"/>
  <c r="F781" i="1"/>
  <c r="G781" i="1" s="1"/>
  <c r="F773" i="1"/>
  <c r="G773" i="1" s="1"/>
  <c r="F765" i="1"/>
  <c r="G765" i="1" s="1"/>
  <c r="F756" i="1"/>
  <c r="G756" i="1" s="1"/>
  <c r="F748" i="1"/>
  <c r="G748" i="1" s="1"/>
  <c r="F736" i="1"/>
  <c r="G736" i="1" s="1"/>
  <c r="F727" i="1"/>
  <c r="G727" i="1" s="1"/>
  <c r="F700" i="1"/>
  <c r="G700" i="1" s="1"/>
  <c r="F692" i="1"/>
  <c r="G692" i="1" s="1"/>
  <c r="F672" i="1"/>
  <c r="G672" i="1" s="1"/>
  <c r="F661" i="1"/>
  <c r="G661" i="1" s="1"/>
  <c r="F654" i="1"/>
  <c r="G654" i="1" s="1"/>
  <c r="F643" i="1"/>
  <c r="G643" i="1" s="1"/>
  <c r="F635" i="1"/>
  <c r="G635" i="1" s="1"/>
  <c r="F627" i="1"/>
  <c r="G627" i="1" s="1"/>
  <c r="F619" i="1"/>
  <c r="G619" i="1" s="1"/>
  <c r="F610" i="1"/>
  <c r="G610" i="1" s="1"/>
  <c r="F587" i="1"/>
  <c r="G587" i="1" s="1"/>
  <c r="F578" i="1"/>
  <c r="G578" i="1" s="1"/>
  <c r="F568" i="1"/>
  <c r="G568" i="1" s="1"/>
  <c r="F551" i="1"/>
  <c r="G551" i="1" s="1"/>
  <c r="F526" i="1"/>
  <c r="G526" i="1" s="1"/>
  <c r="F518" i="1"/>
  <c r="G518" i="1" s="1"/>
  <c r="F510" i="1"/>
  <c r="G510" i="1" s="1"/>
  <c r="F472" i="1"/>
  <c r="G472" i="1" s="1"/>
  <c r="F465" i="1"/>
  <c r="G465" i="1" s="1"/>
  <c r="F457" i="1"/>
  <c r="G457" i="1" s="1"/>
  <c r="F450" i="1"/>
  <c r="G450" i="1" s="1"/>
  <c r="F441" i="1"/>
  <c r="G441" i="1" s="1"/>
  <c r="F425" i="1"/>
  <c r="G425" i="1" s="1"/>
  <c r="G418" i="1"/>
  <c r="G395" i="1"/>
  <c r="G386" i="1"/>
  <c r="F363" i="1"/>
  <c r="G363" i="1" s="1"/>
  <c r="F355" i="1"/>
  <c r="G355" i="1" s="1"/>
  <c r="F347" i="1"/>
  <c r="G347" i="1" s="1"/>
  <c r="F338" i="1"/>
  <c r="G338" i="1" s="1"/>
  <c r="F317" i="1"/>
  <c r="G317" i="1" s="1"/>
  <c r="F310" i="1"/>
  <c r="G310" i="1" s="1"/>
  <c r="F302" i="1"/>
  <c r="G302" i="1" s="1"/>
  <c r="F293" i="1"/>
  <c r="G293" i="1" s="1"/>
  <c r="F285" i="1"/>
  <c r="G285" i="1" s="1"/>
  <c r="F264" i="1"/>
  <c r="G264" i="1" s="1"/>
  <c r="F245" i="1"/>
  <c r="G245" i="1" s="1"/>
  <c r="F225" i="1"/>
  <c r="G225" i="1" s="1"/>
  <c r="F215" i="1"/>
  <c r="G215" i="1" s="1"/>
  <c r="F196" i="1"/>
  <c r="G196" i="1" s="1"/>
  <c r="F187" i="1"/>
  <c r="G187" i="1" s="1"/>
  <c r="F178" i="1"/>
  <c r="G178" i="1" s="1"/>
  <c r="F170" i="1"/>
  <c r="G170" i="1" s="1"/>
  <c r="F161" i="1"/>
  <c r="G161" i="1" s="1"/>
  <c r="F153" i="1"/>
  <c r="G153" i="1" s="1"/>
  <c r="F144" i="1"/>
  <c r="G144" i="1" s="1"/>
  <c r="F136" i="1"/>
  <c r="G136" i="1" s="1"/>
  <c r="F128" i="1"/>
  <c r="G128" i="1" s="1"/>
  <c r="F120" i="1"/>
  <c r="G120" i="1" s="1"/>
  <c r="F112" i="1"/>
  <c r="G112" i="1" s="1"/>
  <c r="F104" i="1"/>
  <c r="G104" i="1" s="1"/>
  <c r="F95" i="1"/>
  <c r="G95" i="1" s="1"/>
  <c r="F87" i="1"/>
  <c r="G87" i="1" s="1"/>
  <c r="F78" i="1"/>
  <c r="G78" i="1" s="1"/>
  <c r="F70" i="1"/>
  <c r="G70" i="1" s="1"/>
  <c r="F61" i="1"/>
  <c r="G61" i="1" s="1"/>
  <c r="F843" i="1"/>
  <c r="G843" i="1" s="1"/>
  <c r="F801" i="1"/>
  <c r="G801" i="1" s="1"/>
  <c r="F780" i="1"/>
  <c r="G780" i="1" s="1"/>
  <c r="F772" i="1"/>
  <c r="G772" i="1" s="1"/>
  <c r="F755" i="1"/>
  <c r="G755" i="1" s="1"/>
  <c r="F746" i="1"/>
  <c r="G746" i="1" s="1"/>
  <c r="F726" i="1"/>
  <c r="G726" i="1" s="1"/>
  <c r="F699" i="1"/>
  <c r="G699" i="1" s="1"/>
  <c r="F691" i="1"/>
  <c r="G691" i="1" s="1"/>
  <c r="F679" i="1"/>
  <c r="G679" i="1" s="1"/>
  <c r="F670" i="1"/>
  <c r="G670" i="1" s="1"/>
  <c r="F653" i="1"/>
  <c r="G653" i="1" s="1"/>
  <c r="F642" i="1"/>
  <c r="G642" i="1" s="1"/>
  <c r="F634" i="1"/>
  <c r="G634" i="1" s="1"/>
  <c r="F626" i="1"/>
  <c r="G626" i="1" s="1"/>
  <c r="F609" i="1"/>
  <c r="G609" i="1" s="1"/>
  <c r="F600" i="1"/>
  <c r="G600" i="1" s="1"/>
  <c r="F585" i="1"/>
  <c r="F577" i="1"/>
  <c r="G577" i="1" s="1"/>
  <c r="F566" i="1"/>
  <c r="F558" i="1"/>
  <c r="G558" i="1" s="1"/>
  <c r="F549" i="1"/>
  <c r="F517" i="1"/>
  <c r="G517" i="1" s="1"/>
  <c r="F509" i="1"/>
  <c r="G509" i="1" s="1"/>
  <c r="F471" i="1"/>
  <c r="G471" i="1" s="1"/>
  <c r="F464" i="1"/>
  <c r="G464" i="1" s="1"/>
  <c r="F456" i="1"/>
  <c r="G456" i="1" s="1"/>
  <c r="F449" i="1"/>
  <c r="G449" i="1" s="1"/>
  <c r="F440" i="1"/>
  <c r="G440" i="1" s="1"/>
  <c r="F432" i="1"/>
  <c r="G432" i="1" s="1"/>
  <c r="G417" i="1"/>
  <c r="G409" i="1"/>
  <c r="G402" i="1"/>
  <c r="G394" i="1"/>
  <c r="G385" i="1"/>
  <c r="G378" i="1"/>
  <c r="F370" i="1"/>
  <c r="G370" i="1" s="1"/>
  <c r="F362" i="1"/>
  <c r="G362" i="1" s="1"/>
  <c r="F354" i="1"/>
  <c r="G354" i="1" s="1"/>
  <c r="F346" i="1"/>
  <c r="G346" i="1" s="1"/>
  <c r="F328" i="1"/>
  <c r="G328" i="1" s="1"/>
  <c r="F316" i="1"/>
  <c r="G316" i="1" s="1"/>
  <c r="F309" i="1"/>
  <c r="G309" i="1" s="1"/>
  <c r="F301" i="1"/>
  <c r="G301" i="1" s="1"/>
  <c r="F263" i="1"/>
  <c r="G263" i="1" s="1"/>
  <c r="F244" i="1"/>
  <c r="G244" i="1" s="1"/>
  <c r="F224" i="1"/>
  <c r="G224" i="1" s="1"/>
  <c r="G212" i="1"/>
  <c r="F195" i="1"/>
  <c r="G195" i="1" s="1"/>
  <c r="F185" i="1"/>
  <c r="G185" i="1" s="1"/>
  <c r="F177" i="1"/>
  <c r="G177" i="1" s="1"/>
  <c r="F169" i="1"/>
  <c r="G169" i="1" s="1"/>
  <c r="F160" i="1"/>
  <c r="G160" i="1" s="1"/>
  <c r="F152" i="1"/>
  <c r="G152" i="1" s="1"/>
  <c r="F143" i="1"/>
  <c r="G143" i="1" s="1"/>
  <c r="F135" i="1"/>
  <c r="F127" i="1"/>
  <c r="G127" i="1" s="1"/>
  <c r="F119" i="1"/>
  <c r="G119" i="1" s="1"/>
  <c r="F111" i="1"/>
  <c r="G111" i="1" s="1"/>
  <c r="F103" i="1"/>
  <c r="G103" i="1" s="1"/>
  <c r="F94" i="1"/>
  <c r="G94" i="1" s="1"/>
  <c r="F85" i="1"/>
  <c r="G85" i="1" s="1"/>
  <c r="F77" i="1"/>
  <c r="G77" i="1" s="1"/>
  <c r="F69" i="1"/>
  <c r="G69" i="1" s="1"/>
  <c r="F795" i="1"/>
  <c r="G795" i="1" s="1"/>
  <c r="F771" i="1"/>
  <c r="G771" i="1" s="1"/>
  <c r="F763" i="1"/>
  <c r="G763" i="1" s="1"/>
  <c r="F754" i="1"/>
  <c r="G754" i="1" s="1"/>
  <c r="F745" i="1"/>
  <c r="G745" i="1" s="1"/>
  <c r="F717" i="1"/>
  <c r="G717" i="1" s="1"/>
  <c r="F698" i="1"/>
  <c r="G698" i="1" s="1"/>
  <c r="F690" i="1"/>
  <c r="G690" i="1" s="1"/>
  <c r="F659" i="1"/>
  <c r="G659" i="1" s="1"/>
  <c r="F651" i="1"/>
  <c r="G651" i="1" s="1"/>
  <c r="F641" i="1"/>
  <c r="G641" i="1" s="1"/>
  <c r="F633" i="1"/>
  <c r="G633" i="1" s="1"/>
  <c r="F625" i="1"/>
  <c r="G625" i="1" s="1"/>
  <c r="F617" i="1"/>
  <c r="G617" i="1" s="1"/>
  <c r="F608" i="1"/>
  <c r="G608" i="1" s="1"/>
  <c r="F584" i="1"/>
  <c r="G584" i="1" s="1"/>
  <c r="F576" i="1"/>
  <c r="G576" i="1" s="1"/>
  <c r="F565" i="1"/>
  <c r="G565" i="1" s="1"/>
  <c r="F557" i="1"/>
  <c r="G557" i="1" s="1"/>
  <c r="F538" i="1"/>
  <c r="G538" i="1" s="1"/>
  <c r="F516" i="1"/>
  <c r="G516" i="1" s="1"/>
  <c r="F470" i="1"/>
  <c r="G470" i="1" s="1"/>
  <c r="F448" i="1"/>
  <c r="G448" i="1" s="1"/>
  <c r="F439" i="1"/>
  <c r="G439" i="1" s="1"/>
  <c r="F431" i="1"/>
  <c r="G431" i="1" s="1"/>
  <c r="G424" i="1"/>
  <c r="G401" i="1"/>
  <c r="G392" i="1"/>
  <c r="G384" i="1"/>
  <c r="F369" i="1"/>
  <c r="G369" i="1" s="1"/>
  <c r="F361" i="1"/>
  <c r="G361" i="1" s="1"/>
  <c r="F344" i="1"/>
  <c r="G344" i="1" s="1"/>
  <c r="F337" i="1"/>
  <c r="G337" i="1" s="1"/>
  <c r="F327" i="1"/>
  <c r="G327" i="1" s="1"/>
  <c r="F315" i="1"/>
  <c r="G315" i="1" s="1"/>
  <c r="F300" i="1"/>
  <c r="G300" i="1" s="1"/>
  <c r="F284" i="1"/>
  <c r="G284" i="1" s="1"/>
  <c r="F262" i="1"/>
  <c r="G262" i="1" s="1"/>
  <c r="F243" i="1"/>
  <c r="G243" i="1" s="1"/>
  <c r="F235" i="1"/>
  <c r="G235" i="1" s="1"/>
  <c r="F223" i="1"/>
  <c r="G223" i="1" s="1"/>
  <c r="G211" i="1"/>
  <c r="F193" i="1"/>
  <c r="G193" i="1" s="1"/>
  <c r="F184" i="1"/>
  <c r="G184" i="1" s="1"/>
  <c r="F176" i="1"/>
  <c r="G176" i="1" s="1"/>
  <c r="F168" i="1"/>
  <c r="G168" i="1" s="1"/>
  <c r="F159" i="1"/>
  <c r="G159" i="1" s="1"/>
  <c r="F151" i="1"/>
  <c r="G151" i="1" s="1"/>
  <c r="F142" i="1"/>
  <c r="G142" i="1" s="1"/>
  <c r="F134" i="1"/>
  <c r="G134" i="1" s="1"/>
  <c r="F126" i="1"/>
  <c r="G126" i="1" s="1"/>
  <c r="F118" i="1"/>
  <c r="G118" i="1" s="1"/>
  <c r="F110" i="1"/>
  <c r="G110" i="1" s="1"/>
  <c r="F102" i="1"/>
  <c r="G102" i="1" s="1"/>
  <c r="F93" i="1"/>
  <c r="G93" i="1" s="1"/>
  <c r="F84" i="1"/>
  <c r="G84" i="1" s="1"/>
  <c r="F794" i="1"/>
  <c r="G794" i="1" s="1"/>
  <c r="F761" i="1"/>
  <c r="G761" i="1" s="1"/>
  <c r="F753" i="1"/>
  <c r="G753" i="1" s="1"/>
  <c r="F733" i="1"/>
  <c r="G733" i="1" s="1"/>
  <c r="F725" i="1"/>
  <c r="G725" i="1" s="1"/>
  <c r="F715" i="1"/>
  <c r="G715" i="1" s="1"/>
  <c r="F686" i="1"/>
  <c r="G686" i="1" s="1"/>
  <c r="F677" i="1"/>
  <c r="G677" i="1" s="1"/>
  <c r="F648" i="1"/>
  <c r="G648" i="1" s="1"/>
  <c r="F640" i="1"/>
  <c r="G640" i="1" s="1"/>
  <c r="F632" i="1"/>
  <c r="G632" i="1" s="1"/>
  <c r="F607" i="1"/>
  <c r="G607" i="1" s="1"/>
  <c r="F583" i="1"/>
  <c r="F575" i="1"/>
  <c r="G575" i="1" s="1"/>
  <c r="F564" i="1"/>
  <c r="F556" i="1"/>
  <c r="G556" i="1" s="1"/>
  <c r="F515" i="1"/>
  <c r="G515" i="1" s="1"/>
  <c r="F469" i="1"/>
  <c r="G469" i="1" s="1"/>
  <c r="F462" i="1"/>
  <c r="G462" i="1" s="1"/>
  <c r="F454" i="1"/>
  <c r="G454" i="1" s="1"/>
  <c r="F438" i="1"/>
  <c r="G438" i="1" s="1"/>
  <c r="G423" i="1"/>
  <c r="G415" i="1"/>
  <c r="G407" i="1"/>
  <c r="G400" i="1"/>
  <c r="G391" i="1"/>
  <c r="G383" i="1"/>
  <c r="G376" i="1"/>
  <c r="F368" i="1"/>
  <c r="G368" i="1" s="1"/>
  <c r="F360" i="1"/>
  <c r="G360" i="1" s="1"/>
  <c r="F352" i="1"/>
  <c r="G352" i="1" s="1"/>
  <c r="F336" i="1"/>
  <c r="G336" i="1" s="1"/>
  <c r="F325" i="1"/>
  <c r="G325" i="1" s="1"/>
  <c r="F308" i="1"/>
  <c r="G308" i="1" s="1"/>
  <c r="F283" i="1"/>
  <c r="G283" i="1" s="1"/>
  <c r="F273" i="1"/>
  <c r="G273" i="1" s="1"/>
  <c r="F242" i="1"/>
  <c r="G242" i="1" s="1"/>
  <c r="F222" i="1"/>
  <c r="G222" i="1" s="1"/>
  <c r="G210" i="1"/>
  <c r="F201" i="1"/>
  <c r="G201" i="1" s="1"/>
  <c r="F192" i="1"/>
  <c r="G192" i="1" s="1"/>
  <c r="F183" i="1"/>
  <c r="G183" i="1" s="1"/>
  <c r="F175" i="1"/>
  <c r="G175" i="1" s="1"/>
  <c r="F166" i="1"/>
  <c r="G166" i="1" s="1"/>
  <c r="F158" i="1"/>
  <c r="G158" i="1" s="1"/>
  <c r="F150" i="1"/>
  <c r="G150" i="1" s="1"/>
  <c r="F141" i="1"/>
  <c r="G141" i="1" s="1"/>
  <c r="F133" i="1"/>
  <c r="G133" i="1" s="1"/>
  <c r="F125" i="1"/>
  <c r="G125" i="1" s="1"/>
  <c r="F117" i="1"/>
  <c r="G117" i="1" s="1"/>
  <c r="F109" i="1"/>
  <c r="G109" i="1" s="1"/>
  <c r="F101" i="1"/>
  <c r="G101" i="1" s="1"/>
  <c r="F83" i="1"/>
  <c r="G83" i="1" s="1"/>
  <c r="F75" i="1"/>
  <c r="G75" i="1" s="1"/>
  <c r="F67" i="1"/>
  <c r="G67" i="1" s="1"/>
  <c r="F91" i="1"/>
  <c r="G91" i="1" s="1"/>
  <c r="F63" i="1"/>
  <c r="G63" i="1" s="1"/>
  <c r="F41" i="1"/>
  <c r="G41" i="1" s="1"/>
  <c r="F31" i="1"/>
  <c r="G31" i="1" s="1"/>
  <c r="F23" i="1"/>
  <c r="G23" i="1" s="1"/>
  <c r="F15" i="1"/>
  <c r="G15" i="1" s="1"/>
  <c r="F5" i="1"/>
  <c r="G5" i="1" s="1"/>
  <c r="F82" i="1"/>
  <c r="G82" i="1" s="1"/>
  <c r="F62" i="1"/>
  <c r="G62" i="1" s="1"/>
  <c r="F52" i="1"/>
  <c r="G52" i="1" s="1"/>
  <c r="F40" i="1"/>
  <c r="G40" i="1" s="1"/>
  <c r="F30" i="1"/>
  <c r="G30" i="1" s="1"/>
  <c r="F22" i="1"/>
  <c r="G22" i="1" s="1"/>
  <c r="F14" i="1"/>
  <c r="G14" i="1" s="1"/>
  <c r="F13" i="1"/>
  <c r="G13" i="1" s="1"/>
  <c r="F6" i="1"/>
  <c r="G6" i="1" s="1"/>
  <c r="F80" i="1"/>
  <c r="G80" i="1" s="1"/>
  <c r="F60" i="1"/>
  <c r="G60" i="1" s="1"/>
  <c r="F51" i="1"/>
  <c r="G51" i="1" s="1"/>
  <c r="F39" i="1"/>
  <c r="G39" i="1" s="1"/>
  <c r="F29" i="1"/>
  <c r="G29" i="1" s="1"/>
  <c r="F21" i="1"/>
  <c r="G21" i="1" s="1"/>
  <c r="F32" i="1"/>
  <c r="G32" i="1" s="1"/>
  <c r="F76" i="1"/>
  <c r="G76" i="1" s="1"/>
  <c r="F59" i="1"/>
  <c r="G59" i="1" s="1"/>
  <c r="F49" i="1"/>
  <c r="G49" i="1" s="1"/>
  <c r="F38" i="1"/>
  <c r="G38" i="1" s="1"/>
  <c r="F28" i="1"/>
  <c r="G28" i="1" s="1"/>
  <c r="F20" i="1"/>
  <c r="G20" i="1" s="1"/>
  <c r="F74" i="1"/>
  <c r="G74" i="1" s="1"/>
  <c r="F57" i="1"/>
  <c r="G57" i="1" s="1"/>
  <c r="F47" i="1"/>
  <c r="G47" i="1" s="1"/>
  <c r="F35" i="1"/>
  <c r="G35" i="1" s="1"/>
  <c r="F27" i="1"/>
  <c r="G27" i="1" s="1"/>
  <c r="F19" i="1"/>
  <c r="G19" i="1" s="1"/>
  <c r="F9" i="1"/>
  <c r="G9" i="1" s="1"/>
  <c r="F65" i="1"/>
  <c r="G65" i="1" s="1"/>
  <c r="F24" i="1"/>
  <c r="G24" i="1" s="1"/>
  <c r="F72" i="1"/>
  <c r="G72" i="1" s="1"/>
  <c r="F56" i="1"/>
  <c r="G56" i="1" s="1"/>
  <c r="F46" i="1"/>
  <c r="G46" i="1" s="1"/>
  <c r="F34" i="1"/>
  <c r="G34" i="1" s="1"/>
  <c r="F26" i="1"/>
  <c r="G26" i="1" s="1"/>
  <c r="F18" i="1"/>
  <c r="G18" i="1" s="1"/>
  <c r="F8" i="1"/>
  <c r="G8" i="1" s="1"/>
  <c r="F54" i="1"/>
  <c r="G54" i="1" s="1"/>
  <c r="F16" i="1"/>
  <c r="G16" i="1" s="1"/>
  <c r="F68" i="1"/>
  <c r="G68" i="1" s="1"/>
  <c r="F55" i="1"/>
  <c r="G55" i="1" s="1"/>
  <c r="F45" i="1"/>
  <c r="G45" i="1" s="1"/>
  <c r="F33" i="1"/>
  <c r="G33" i="1" s="1"/>
  <c r="F25" i="1"/>
  <c r="G25" i="1" s="1"/>
  <c r="F17" i="1"/>
  <c r="G17" i="1" s="1"/>
  <c r="F7" i="1"/>
  <c r="G7" i="1" s="1"/>
  <c r="F43" i="1"/>
  <c r="G43" i="1" s="1"/>
  <c r="F1466" i="1"/>
  <c r="F1464" i="1"/>
  <c r="F1465" i="1"/>
  <c r="F706" i="1"/>
  <c r="F1463" i="1"/>
  <c r="G1453" i="1"/>
  <c r="F1461" i="1"/>
  <c r="G1461" i="1" s="1"/>
  <c r="F709" i="1"/>
  <c r="F1467" i="1"/>
  <c r="G1460" i="1"/>
  <c r="F1455" i="1"/>
  <c r="F1454" i="1"/>
  <c r="F50" i="1"/>
  <c r="G50" i="1" s="1"/>
  <c r="F708" i="1"/>
  <c r="F710" i="1"/>
  <c r="F716" i="1"/>
  <c r="F1456" i="1"/>
  <c r="D1870" i="52" l="1"/>
  <c r="I1870" i="52" s="1"/>
  <c r="G710" i="1"/>
  <c r="G821" i="1"/>
  <c r="F202" i="7"/>
  <c r="F198" i="7"/>
  <c r="F201" i="7"/>
  <c r="F197" i="7"/>
  <c r="F200" i="7"/>
  <c r="F196" i="7"/>
  <c r="F199" i="7"/>
  <c r="D2876" i="52"/>
  <c r="I2876" i="52" s="1"/>
  <c r="D2692" i="52"/>
  <c r="I2692" i="52" s="1"/>
  <c r="D2620" i="52"/>
  <c r="I2620" i="52" s="1"/>
  <c r="D2656" i="52"/>
  <c r="I2656" i="52" s="1"/>
  <c r="D2548" i="52"/>
  <c r="I2548" i="52" s="1"/>
  <c r="D2584" i="52"/>
  <c r="I2584" i="52" s="1"/>
  <c r="D2476" i="52"/>
  <c r="I2476" i="52" s="1"/>
  <c r="D2122" i="52"/>
  <c r="I2122" i="52" s="1"/>
  <c r="D2512" i="52"/>
  <c r="I2512" i="52" s="1"/>
  <c r="D2050" i="52"/>
  <c r="I2050" i="52" s="1"/>
  <c r="D2086" i="52"/>
  <c r="I2086" i="52" s="1"/>
  <c r="D1978" i="52"/>
  <c r="I1978" i="52" s="1"/>
  <c r="D1577" i="52"/>
  <c r="I1577" i="52" s="1"/>
  <c r="D1835" i="52"/>
  <c r="I1835" i="52" s="1"/>
  <c r="G709" i="1"/>
  <c r="G564" i="1"/>
  <c r="G562" i="1"/>
  <c r="G40" i="7"/>
  <c r="G706" i="1"/>
  <c r="G39" i="7"/>
  <c r="G566" i="1"/>
  <c r="G41" i="7"/>
  <c r="G716" i="1"/>
  <c r="G585" i="1"/>
  <c r="G708" i="1"/>
  <c r="G135" i="1"/>
  <c r="G188" i="1"/>
  <c r="G1464" i="1"/>
  <c r="G1466" i="1"/>
  <c r="G24" i="7"/>
  <c r="G1463" i="1"/>
  <c r="G1462" i="1"/>
  <c r="G583" i="1"/>
  <c r="G549" i="1"/>
  <c r="G1456" i="1"/>
  <c r="G1467" i="1"/>
  <c r="G590" i="1"/>
  <c r="G1454" i="1"/>
  <c r="G1455" i="1"/>
  <c r="G1465" i="1"/>
  <c r="G1448" i="1"/>
  <c r="G722" i="1"/>
  <c r="G913" i="1"/>
  <c r="D107" i="53"/>
  <c r="I107" i="53" s="1"/>
  <c r="I108" i="53" s="1"/>
  <c r="I114" i="53" s="1"/>
  <c r="D71" i="53"/>
  <c r="I71" i="53" s="1"/>
  <c r="I72" i="53" s="1"/>
  <c r="I78" i="53" s="1"/>
  <c r="G836" i="1"/>
  <c r="F830" i="1"/>
  <c r="F12" i="1"/>
  <c r="G12" i="1" s="1"/>
  <c r="F186" i="1"/>
  <c r="G186" i="1" s="1"/>
  <c r="F604" i="1"/>
  <c r="G604" i="1" s="1"/>
  <c r="F167" i="1"/>
  <c r="G167" i="1" s="1"/>
  <c r="F919" i="1"/>
  <c r="G919" i="1" s="1"/>
  <c r="F785" i="1"/>
  <c r="G785" i="1" s="1"/>
  <c r="F332" i="1"/>
  <c r="F194" i="1"/>
  <c r="G194" i="1" s="1"/>
  <c r="F326" i="1"/>
  <c r="F931" i="1"/>
  <c r="G931" i="1" s="1"/>
  <c r="F762" i="1"/>
  <c r="F831" i="1"/>
  <c r="G831" i="1" s="1"/>
  <c r="F586" i="1"/>
  <c r="F652" i="1"/>
  <c r="F594" i="1"/>
  <c r="F983" i="1"/>
  <c r="G983" i="1" s="1"/>
  <c r="F324" i="1"/>
  <c r="D1172" i="52" s="1"/>
  <c r="I1172" i="52" s="1"/>
  <c r="I1173" i="52" s="1"/>
  <c r="F782" i="1"/>
  <c r="G782" i="1" s="1"/>
  <c r="F563" i="1"/>
  <c r="F219" i="1"/>
  <c r="F650" i="1"/>
  <c r="F783" i="1"/>
  <c r="F591" i="1"/>
  <c r="F323" i="1"/>
  <c r="F592" i="1"/>
  <c r="F790" i="1"/>
  <c r="G790" i="1" s="1"/>
  <c r="F206" i="1"/>
  <c r="F826" i="1"/>
  <c r="G826" i="1" s="1"/>
  <c r="F809" i="1"/>
  <c r="G809" i="1" s="1"/>
  <c r="F48" i="1"/>
  <c r="G48" i="1" s="1"/>
  <c r="F793" i="1"/>
  <c r="F829" i="1"/>
  <c r="F100" i="1"/>
  <c r="G100" i="1" s="1"/>
  <c r="F649" i="1"/>
  <c r="F589" i="1"/>
  <c r="F202" i="1"/>
  <c r="F567" i="1"/>
  <c r="F147" i="1"/>
  <c r="G147" i="1" s="1"/>
  <c r="F593" i="1"/>
  <c r="F957" i="1"/>
  <c r="G957" i="1" s="1"/>
  <c r="F42" i="1"/>
  <c r="G42" i="1" s="1"/>
  <c r="F37" i="1"/>
  <c r="D1061" i="52" s="1"/>
  <c r="F824" i="1"/>
  <c r="G824" i="1" s="1"/>
  <c r="F107" i="1"/>
  <c r="G107" i="1" s="1"/>
  <c r="F11" i="1"/>
  <c r="G11" i="1" s="1"/>
  <c r="F66" i="1"/>
  <c r="G66" i="1" s="1"/>
  <c r="I1181" i="52" l="1"/>
  <c r="I1182" i="52" s="1"/>
  <c r="I1183" i="52" s="1"/>
  <c r="G94" i="7"/>
  <c r="G830" i="1"/>
  <c r="F209" i="7"/>
  <c r="F208" i="7"/>
  <c r="F206" i="7"/>
  <c r="F207" i="7"/>
  <c r="G829" i="1"/>
  <c r="F204" i="7"/>
  <c r="G199" i="7"/>
  <c r="G196" i="7"/>
  <c r="G200" i="7"/>
  <c r="G197" i="7"/>
  <c r="G201" i="7"/>
  <c r="G198" i="7"/>
  <c r="G202" i="7"/>
  <c r="D3234" i="52"/>
  <c r="I3234" i="52" s="1"/>
  <c r="D3308" i="52"/>
  <c r="I3308" i="52" s="1"/>
  <c r="D3307" i="52"/>
  <c r="I3307" i="52" s="1"/>
  <c r="D3168" i="52"/>
  <c r="I3168" i="52" s="1"/>
  <c r="D3236" i="52"/>
  <c r="I3236" i="52" s="1"/>
  <c r="D2874" i="52"/>
  <c r="I2874" i="52" s="1"/>
  <c r="D2913" i="52"/>
  <c r="I2913" i="52" s="1"/>
  <c r="D2836" i="52"/>
  <c r="I2836" i="52" s="1"/>
  <c r="D2838" i="52"/>
  <c r="I2838" i="52" s="1"/>
  <c r="D2690" i="52"/>
  <c r="I2690" i="52" s="1"/>
  <c r="D2653" i="52"/>
  <c r="I2653" i="52" s="1"/>
  <c r="D2689" i="52"/>
  <c r="I2689" i="52" s="1"/>
  <c r="D2618" i="52"/>
  <c r="I2618" i="52" s="1"/>
  <c r="D2654" i="52"/>
  <c r="I2654" i="52" s="1"/>
  <c r="D2581" i="52"/>
  <c r="I2581" i="52" s="1"/>
  <c r="D2617" i="52"/>
  <c r="I2617" i="52" s="1"/>
  <c r="D2546" i="52"/>
  <c r="I2546" i="52" s="1"/>
  <c r="D2582" i="52"/>
  <c r="I2582" i="52" s="1"/>
  <c r="D2509" i="52"/>
  <c r="I2509" i="52" s="1"/>
  <c r="D2545" i="52"/>
  <c r="I2545" i="52" s="1"/>
  <c r="D2474" i="52"/>
  <c r="I2474" i="52" s="1"/>
  <c r="D2510" i="52"/>
  <c r="I2510" i="52" s="1"/>
  <c r="D2438" i="52"/>
  <c r="I2438" i="52" s="1"/>
  <c r="D2473" i="52"/>
  <c r="I2473" i="52" s="1"/>
  <c r="D2437" i="52"/>
  <c r="I2437" i="52" s="1"/>
  <c r="D2403" i="52"/>
  <c r="I2403" i="52" s="1"/>
  <c r="D2439" i="52"/>
  <c r="I2439" i="52" s="1"/>
  <c r="D2368" i="52"/>
  <c r="I2368" i="52" s="1"/>
  <c r="D2402" i="52"/>
  <c r="I2402" i="52" s="1"/>
  <c r="D2300" i="52"/>
  <c r="I2300" i="52" s="1"/>
  <c r="D2334" i="52"/>
  <c r="I2334" i="52" s="1"/>
  <c r="D504" i="52"/>
  <c r="I504" i="52" s="1"/>
  <c r="D2230" i="52"/>
  <c r="I2230" i="52" s="1"/>
  <c r="G35" i="7"/>
  <c r="D500" i="52"/>
  <c r="I500" i="52" s="1"/>
  <c r="D1867" i="52"/>
  <c r="I1867" i="52" s="1"/>
  <c r="D501" i="52"/>
  <c r="I501" i="52" s="1"/>
  <c r="D1868" i="52"/>
  <c r="I1868" i="52" s="1"/>
  <c r="D1834" i="52"/>
  <c r="I1834" i="52" s="1"/>
  <c r="D1869" i="52"/>
  <c r="I1869" i="52" s="1"/>
  <c r="D1578" i="52"/>
  <c r="I1578" i="52" s="1"/>
  <c r="G37" i="1"/>
  <c r="I1100" i="52"/>
  <c r="I1101" i="52" s="1"/>
  <c r="D502" i="52"/>
  <c r="I502" i="52" s="1"/>
  <c r="D424" i="52"/>
  <c r="I424" i="52" s="1"/>
  <c r="G332" i="1"/>
  <c r="G88" i="7"/>
  <c r="G93" i="7"/>
  <c r="F112" i="7"/>
  <c r="G25" i="7"/>
  <c r="G28" i="7"/>
  <c r="G26" i="7"/>
  <c r="G27" i="7"/>
  <c r="D2950" i="52"/>
  <c r="I2950" i="52" s="1"/>
  <c r="D2952" i="52"/>
  <c r="I2952" i="52" s="1"/>
  <c r="D3057" i="52"/>
  <c r="I3057" i="52" s="1"/>
  <c r="G793" i="1"/>
  <c r="F216" i="7"/>
  <c r="G762" i="1"/>
  <c r="G649" i="1"/>
  <c r="G594" i="1"/>
  <c r="G567" i="1"/>
  <c r="D1500" i="52"/>
  <c r="I1500" i="52" s="1"/>
  <c r="D3274" i="52"/>
  <c r="I3274" i="52" s="1"/>
  <c r="G783" i="1"/>
  <c r="I3651" i="52"/>
  <c r="G202" i="1"/>
  <c r="G652" i="1"/>
  <c r="D1501" i="52"/>
  <c r="I1501" i="52" s="1"/>
  <c r="D3275" i="52"/>
  <c r="I3275" i="52" s="1"/>
  <c r="G206" i="1"/>
  <c r="G650" i="1"/>
  <c r="D468" i="52"/>
  <c r="I468" i="52" s="1"/>
  <c r="G586" i="1"/>
  <c r="G219" i="1"/>
  <c r="G592" i="1"/>
  <c r="D3134" i="52"/>
  <c r="I3134" i="52" s="1"/>
  <c r="D2266" i="52"/>
  <c r="I2266" i="52" s="1"/>
  <c r="D2194" i="52"/>
  <c r="I2194" i="52" s="1"/>
  <c r="D3096" i="52"/>
  <c r="I3096" i="52" s="1"/>
  <c r="D3022" i="52"/>
  <c r="I3022" i="52" s="1"/>
  <c r="D2158" i="52"/>
  <c r="I2158" i="52" s="1"/>
  <c r="D467" i="52"/>
  <c r="I467" i="52" s="1"/>
  <c r="G563" i="1"/>
  <c r="D3343" i="52"/>
  <c r="I3343" i="52" s="1"/>
  <c r="I3344" i="52" s="1"/>
  <c r="F879" i="1"/>
  <c r="G879" i="1" s="1"/>
  <c r="D103" i="52"/>
  <c r="I103" i="52" s="1"/>
  <c r="I104" i="52" s="1"/>
  <c r="I112" i="52" s="1"/>
  <c r="G593" i="1"/>
  <c r="D2014" i="52"/>
  <c r="I2014" i="52" s="1"/>
  <c r="D1942" i="52"/>
  <c r="I1942" i="52" s="1"/>
  <c r="D1906" i="52"/>
  <c r="I1906" i="52" s="1"/>
  <c r="G323" i="1"/>
  <c r="D464" i="52"/>
  <c r="I464" i="52" s="1"/>
  <c r="F306" i="1"/>
  <c r="G306" i="1" s="1"/>
  <c r="G324" i="1"/>
  <c r="D3094" i="52"/>
  <c r="I3094" i="52" s="1"/>
  <c r="D3927" i="52"/>
  <c r="I3927" i="52" s="1"/>
  <c r="I3928" i="52" s="1"/>
  <c r="I3934" i="52" s="1"/>
  <c r="I3935" i="52" s="1"/>
  <c r="I3936" i="52" s="1"/>
  <c r="K3902" i="52" s="1"/>
  <c r="D3413" i="52"/>
  <c r="I3413" i="52" s="1"/>
  <c r="D3020" i="52"/>
  <c r="I3020" i="52" s="1"/>
  <c r="D2762" i="52"/>
  <c r="I2762" i="52" s="1"/>
  <c r="D3166" i="52"/>
  <c r="I3166" i="52" s="1"/>
  <c r="D3200" i="52"/>
  <c r="I3200" i="52" s="1"/>
  <c r="D3132" i="52"/>
  <c r="I3132" i="52" s="1"/>
  <c r="D2799" i="52"/>
  <c r="I2799" i="52" s="1"/>
  <c r="G326" i="1"/>
  <c r="D465" i="52"/>
  <c r="I465" i="52" s="1"/>
  <c r="G589" i="1"/>
  <c r="D3202" i="52"/>
  <c r="I3202" i="52" s="1"/>
  <c r="G591" i="1"/>
  <c r="F817" i="1"/>
  <c r="G817" i="1" s="1"/>
  <c r="F588" i="1"/>
  <c r="F545" i="1"/>
  <c r="G545" i="1" s="1"/>
  <c r="F569" i="1"/>
  <c r="F287" i="1"/>
  <c r="F820" i="1"/>
  <c r="G820" i="1" s="1"/>
  <c r="F220" i="1"/>
  <c r="F36" i="1"/>
  <c r="G36" i="1" s="1"/>
  <c r="F742" i="1"/>
  <c r="F44" i="1"/>
  <c r="G44" i="1" s="1"/>
  <c r="F331" i="1"/>
  <c r="K1141" i="52" l="1"/>
  <c r="F87" i="7"/>
  <c r="F351" i="1"/>
  <c r="G351" i="1" s="1"/>
  <c r="F353" i="1"/>
  <c r="G353" i="1" s="1"/>
  <c r="I3350" i="52"/>
  <c r="I3351" i="52" s="1"/>
  <c r="I3352" i="52" s="1"/>
  <c r="K3319" i="52" s="1"/>
  <c r="G204" i="7"/>
  <c r="G207" i="7"/>
  <c r="G206" i="7"/>
  <c r="G208" i="7"/>
  <c r="G209" i="7"/>
  <c r="F132" i="1"/>
  <c r="I3309" i="52"/>
  <c r="I3314" i="52" s="1"/>
  <c r="I3315" i="52" s="1"/>
  <c r="I3316" i="52" s="1"/>
  <c r="K3288" i="52" s="1"/>
  <c r="F280" i="1" s="1"/>
  <c r="D2912" i="52"/>
  <c r="I2912" i="52" s="1"/>
  <c r="D3233" i="52"/>
  <c r="I3233" i="52" s="1"/>
  <c r="D2835" i="52"/>
  <c r="I2835" i="52" s="1"/>
  <c r="D2873" i="52"/>
  <c r="I2873" i="52" s="1"/>
  <c r="D2404" i="52"/>
  <c r="I2404" i="52" s="1"/>
  <c r="D2440" i="52"/>
  <c r="I2440" i="52" s="1"/>
  <c r="D1836" i="52"/>
  <c r="I1836" i="52" s="1"/>
  <c r="D1871" i="52"/>
  <c r="I1871" i="52" s="1"/>
  <c r="I1872" i="52" s="1"/>
  <c r="D1832" i="52"/>
  <c r="I1832" i="52" s="1"/>
  <c r="D1833" i="52"/>
  <c r="I1833" i="52" s="1"/>
  <c r="D1763" i="52"/>
  <c r="I1763" i="52" s="1"/>
  <c r="I1764" i="52" s="1"/>
  <c r="I1770" i="52" s="1"/>
  <c r="I1771" i="52" s="1"/>
  <c r="I1772" i="52" s="1"/>
  <c r="K1737" i="52" s="1"/>
  <c r="D1800" i="52"/>
  <c r="I1800" i="52" s="1"/>
  <c r="I1801" i="52" s="1"/>
  <c r="I1807" i="52" s="1"/>
  <c r="D1652" i="52"/>
  <c r="I1652" i="52" s="1"/>
  <c r="I1653" i="52" s="1"/>
  <c r="I1659" i="52" s="1"/>
  <c r="I1660" i="52" s="1"/>
  <c r="I1661" i="52" s="1"/>
  <c r="K1627" i="52" s="1"/>
  <c r="D1726" i="52"/>
  <c r="I1726" i="52" s="1"/>
  <c r="I1727" i="52" s="1"/>
  <c r="I1733" i="52" s="1"/>
  <c r="D1575" i="52"/>
  <c r="I1575" i="52" s="1"/>
  <c r="I1061" i="52"/>
  <c r="I1062" i="52" s="1"/>
  <c r="I1068" i="52" s="1"/>
  <c r="I1069" i="52" s="1"/>
  <c r="I1070" i="52" s="1"/>
  <c r="K1028" i="52" s="1"/>
  <c r="D1538" i="52"/>
  <c r="I1538" i="52" s="1"/>
  <c r="I1539" i="52" s="1"/>
  <c r="I1545" i="52" s="1"/>
  <c r="K1072" i="52"/>
  <c r="I913" i="52"/>
  <c r="I914" i="52" s="1"/>
  <c r="I915" i="52" s="1"/>
  <c r="K884" i="52" s="1"/>
  <c r="F53" i="1" s="1"/>
  <c r="G53" i="1" s="1"/>
  <c r="I982" i="52"/>
  <c r="D425" i="52"/>
  <c r="I425" i="52" s="1"/>
  <c r="D427" i="52"/>
  <c r="I427" i="52" s="1"/>
  <c r="G36" i="7"/>
  <c r="I3382" i="52"/>
  <c r="D2949" i="52"/>
  <c r="I2949" i="52" s="1"/>
  <c r="I3653" i="52"/>
  <c r="I3659" i="52" s="1"/>
  <c r="I3660" i="52" s="1"/>
  <c r="I3661" i="52" s="1"/>
  <c r="K3627" i="52" s="1"/>
  <c r="F770" i="1"/>
  <c r="G770" i="1" s="1"/>
  <c r="F702" i="1"/>
  <c r="G702" i="1" s="1"/>
  <c r="G331" i="1"/>
  <c r="F681" i="1"/>
  <c r="G681" i="1" s="1"/>
  <c r="G287" i="1"/>
  <c r="D3165" i="52"/>
  <c r="I3165" i="52" s="1"/>
  <c r="D3199" i="52"/>
  <c r="I3199" i="52" s="1"/>
  <c r="D3131" i="52"/>
  <c r="I3131" i="52" s="1"/>
  <c r="D2798" i="52"/>
  <c r="I2798" i="52" s="1"/>
  <c r="D3093" i="52"/>
  <c r="I3093" i="52" s="1"/>
  <c r="F1219" i="1"/>
  <c r="G1219" i="1" s="1"/>
  <c r="D2761" i="52"/>
  <c r="I2761" i="52" s="1"/>
  <c r="F92" i="1"/>
  <c r="G92" i="1" s="1"/>
  <c r="G569" i="1"/>
  <c r="I113" i="52"/>
  <c r="I114" i="52" s="1"/>
  <c r="G742" i="1"/>
  <c r="G588" i="1"/>
  <c r="G220" i="1"/>
  <c r="G380" i="1"/>
  <c r="D1615" i="52"/>
  <c r="I1615" i="52" s="1"/>
  <c r="I1616" i="52" s="1"/>
  <c r="I1622" i="52" s="1"/>
  <c r="D1689" i="52"/>
  <c r="D3412" i="52"/>
  <c r="I3412" i="52" s="1"/>
  <c r="I3414" i="52" s="1"/>
  <c r="I3420" i="52" s="1"/>
  <c r="I3421" i="52" s="1"/>
  <c r="I3422" i="52" s="1"/>
  <c r="K3387" i="52" s="1"/>
  <c r="D1498" i="52"/>
  <c r="I3276" i="52"/>
  <c r="G213" i="1"/>
  <c r="S7" i="6"/>
  <c r="O59" i="6"/>
  <c r="N57" i="6"/>
  <c r="O55" i="6"/>
  <c r="T53" i="6" s="1"/>
  <c r="N53" i="6"/>
  <c r="O51" i="6"/>
  <c r="N49" i="6"/>
  <c r="O47" i="6"/>
  <c r="N45" i="6"/>
  <c r="O43" i="6"/>
  <c r="N41" i="6"/>
  <c r="O39" i="6"/>
  <c r="N37" i="6"/>
  <c r="O35" i="6"/>
  <c r="N34" i="6"/>
  <c r="C34" i="6"/>
  <c r="C17" i="7" s="1"/>
  <c r="O32" i="6"/>
  <c r="N31" i="6"/>
  <c r="C31" i="6"/>
  <c r="O29" i="6"/>
  <c r="N28" i="6"/>
  <c r="C28" i="6"/>
  <c r="T25" i="6"/>
  <c r="O23" i="6"/>
  <c r="N22" i="6"/>
  <c r="C22" i="6"/>
  <c r="O613" i="6"/>
  <c r="N612" i="6"/>
  <c r="C612" i="6"/>
  <c r="C216" i="7" s="1"/>
  <c r="O610" i="6"/>
  <c r="N609" i="6"/>
  <c r="C609" i="6"/>
  <c r="O606" i="6"/>
  <c r="N605" i="6"/>
  <c r="C605" i="6"/>
  <c r="O375" i="6"/>
  <c r="N374" i="6"/>
  <c r="C374" i="6"/>
  <c r="C130" i="7" s="1"/>
  <c r="O372" i="6"/>
  <c r="C371" i="6"/>
  <c r="C129" i="7" s="1"/>
  <c r="O369" i="6"/>
  <c r="C368" i="6"/>
  <c r="C128" i="7" s="1"/>
  <c r="O366" i="6"/>
  <c r="C365" i="6"/>
  <c r="C127" i="7" s="1"/>
  <c r="O277" i="6"/>
  <c r="N276" i="6"/>
  <c r="O268" i="6"/>
  <c r="T261" i="6" s="1"/>
  <c r="N267" i="6"/>
  <c r="O265" i="6"/>
  <c r="N263" i="6"/>
  <c r="C263" i="6"/>
  <c r="C96" i="76" s="1"/>
  <c r="O255" i="6"/>
  <c r="N254" i="6"/>
  <c r="C254" i="6"/>
  <c r="O251" i="6"/>
  <c r="N249" i="6"/>
  <c r="O239" i="6"/>
  <c r="O233" i="6"/>
  <c r="T232" i="6" s="1"/>
  <c r="O236" i="6"/>
  <c r="T235" i="6" s="1"/>
  <c r="N235" i="6"/>
  <c r="C235" i="6"/>
  <c r="C73" i="7"/>
  <c r="O229" i="6"/>
  <c r="N228" i="6"/>
  <c r="C228" i="6"/>
  <c r="O224" i="6"/>
  <c r="N223" i="6"/>
  <c r="C72" i="7"/>
  <c r="O221" i="6"/>
  <c r="N219" i="6"/>
  <c r="O214" i="6"/>
  <c r="N213" i="6"/>
  <c r="C213" i="6"/>
  <c r="O363" i="6"/>
  <c r="C362" i="6"/>
  <c r="C126" i="7" s="1"/>
  <c r="O360" i="6"/>
  <c r="C359" i="6"/>
  <c r="O357" i="6"/>
  <c r="N356" i="6"/>
  <c r="C356" i="6"/>
  <c r="O354" i="6"/>
  <c r="N353" i="6"/>
  <c r="C353" i="6"/>
  <c r="C123" i="7" s="1"/>
  <c r="O351" i="6"/>
  <c r="N350" i="6"/>
  <c r="C350" i="6"/>
  <c r="O348" i="6"/>
  <c r="T200" i="6" s="1"/>
  <c r="N347" i="6"/>
  <c r="C347" i="6"/>
  <c r="O345" i="6"/>
  <c r="N344" i="6"/>
  <c r="C344" i="6"/>
  <c r="C120" i="7" s="1"/>
  <c r="O342" i="6"/>
  <c r="N341" i="6"/>
  <c r="C341" i="6"/>
  <c r="O339" i="6"/>
  <c r="T190" i="6" s="1"/>
  <c r="N338" i="6"/>
  <c r="C338" i="6"/>
  <c r="C118" i="7" s="1"/>
  <c r="O309" i="6"/>
  <c r="T308" i="6" s="1"/>
  <c r="N307" i="6"/>
  <c r="O305" i="6"/>
  <c r="N304" i="6"/>
  <c r="O336" i="6"/>
  <c r="N335" i="6"/>
  <c r="C335" i="6"/>
  <c r="C117" i="7" s="1"/>
  <c r="O333" i="6"/>
  <c r="N332" i="6"/>
  <c r="C332" i="6"/>
  <c r="C116" i="7" s="1"/>
  <c r="O330" i="6"/>
  <c r="N329" i="6"/>
  <c r="C329" i="6"/>
  <c r="C115" i="7" s="1"/>
  <c r="O327" i="6"/>
  <c r="T197" i="6" s="1"/>
  <c r="N326" i="6"/>
  <c r="C326" i="6"/>
  <c r="C114" i="7" s="1"/>
  <c r="O324" i="6"/>
  <c r="T175" i="6" s="1"/>
  <c r="N323" i="6"/>
  <c r="C323" i="6"/>
  <c r="C113" i="7" s="1"/>
  <c r="O321" i="6"/>
  <c r="T320" i="6" s="1"/>
  <c r="N319" i="6"/>
  <c r="O317" i="6"/>
  <c r="T316" i="6" s="1"/>
  <c r="N315" i="6"/>
  <c r="O313" i="6"/>
  <c r="N311" i="6"/>
  <c r="C110" i="7"/>
  <c r="O302" i="6"/>
  <c r="T301" i="6" s="1"/>
  <c r="N300" i="6"/>
  <c r="C107" i="7"/>
  <c r="O298" i="6"/>
  <c r="T297" i="6" s="1"/>
  <c r="N296" i="6"/>
  <c r="C106" i="7"/>
  <c r="O294" i="6"/>
  <c r="T293" i="6" s="1"/>
  <c r="N292" i="6"/>
  <c r="O290" i="6"/>
  <c r="T289" i="6" s="1"/>
  <c r="N288" i="6"/>
  <c r="O286" i="6"/>
  <c r="T285" i="6" s="1"/>
  <c r="N284" i="6"/>
  <c r="O283" i="6"/>
  <c r="T274" i="6" s="1"/>
  <c r="N281" i="6"/>
  <c r="O138" i="6"/>
  <c r="N137" i="6"/>
  <c r="C21" i="7"/>
  <c r="O135" i="6"/>
  <c r="Y134" i="6"/>
  <c r="X134" i="6"/>
  <c r="W134" i="6"/>
  <c r="N134" i="6"/>
  <c r="C20" i="7"/>
  <c r="O132" i="6"/>
  <c r="N131" i="6"/>
  <c r="C19" i="7"/>
  <c r="O129" i="6"/>
  <c r="Y128" i="6"/>
  <c r="X128" i="6"/>
  <c r="W128" i="6"/>
  <c r="N128" i="6"/>
  <c r="C18" i="7"/>
  <c r="O126" i="6"/>
  <c r="N125" i="6"/>
  <c r="O123" i="6"/>
  <c r="T122" i="6" s="1"/>
  <c r="N122" i="6"/>
  <c r="O120" i="6"/>
  <c r="T119" i="6" s="1"/>
  <c r="N119" i="6"/>
  <c r="C119" i="6"/>
  <c r="O117" i="6"/>
  <c r="N116" i="6"/>
  <c r="C116" i="6"/>
  <c r="C14" i="7" s="1"/>
  <c r="O114" i="6"/>
  <c r="T62" i="6" s="1"/>
  <c r="N113" i="6"/>
  <c r="B675" i="6"/>
  <c r="C675" i="6" s="1"/>
  <c r="N17" i="6"/>
  <c r="S17" i="6" s="1"/>
  <c r="N13" i="6"/>
  <c r="S13" i="6" s="1"/>
  <c r="S45" i="6"/>
  <c r="S31" i="6"/>
  <c r="S263" i="6"/>
  <c r="N362" i="6"/>
  <c r="N359" i="6"/>
  <c r="S335" i="6"/>
  <c r="E117" i="7" s="1"/>
  <c r="U134" i="6"/>
  <c r="C134" i="6" s="1"/>
  <c r="U128" i="6"/>
  <c r="C128" i="6" s="1"/>
  <c r="S95" i="6" s="1"/>
  <c r="B10" i="7"/>
  <c r="B9" i="7"/>
  <c r="C8" i="7"/>
  <c r="B7" i="7"/>
  <c r="C6" i="7"/>
  <c r="C5" i="7"/>
  <c r="A4" i="22" s="1"/>
  <c r="A5" i="75" s="1"/>
  <c r="B215" i="7"/>
  <c r="A213" i="7"/>
  <c r="B213" i="7" s="1"/>
  <c r="C211" i="7"/>
  <c r="A10" i="22" s="1"/>
  <c r="A23" i="75" s="1"/>
  <c r="B184" i="7"/>
  <c r="B183" i="7"/>
  <c r="B182" i="7"/>
  <c r="C180" i="7"/>
  <c r="A9" i="22" s="1"/>
  <c r="A20" i="75" s="1"/>
  <c r="B105" i="7"/>
  <c r="B104" i="7"/>
  <c r="B103" i="7"/>
  <c r="F103" i="7" s="1"/>
  <c r="C101" i="7"/>
  <c r="A8" i="22" s="1"/>
  <c r="A17" i="75" s="1"/>
  <c r="B80" i="7"/>
  <c r="F80" i="7" s="1"/>
  <c r="B79" i="7"/>
  <c r="F79" i="7" s="1"/>
  <c r="B78" i="7"/>
  <c r="F78" i="7" s="1"/>
  <c r="B77" i="7"/>
  <c r="F77" i="7" s="1"/>
  <c r="C76" i="7"/>
  <c r="A7" i="22" s="1"/>
  <c r="A14" i="75" s="1"/>
  <c r="B73" i="7"/>
  <c r="F73" i="7" s="1"/>
  <c r="B72" i="7"/>
  <c r="B71" i="7"/>
  <c r="F71" i="7" s="1"/>
  <c r="B70" i="7"/>
  <c r="B69" i="7"/>
  <c r="F69" i="7" s="1"/>
  <c r="B68" i="7"/>
  <c r="F68" i="7" s="1"/>
  <c r="B67" i="7"/>
  <c r="F67" i="7" s="1"/>
  <c r="B66" i="7"/>
  <c r="F66" i="7" s="1"/>
  <c r="B65" i="7"/>
  <c r="F65" i="7" s="1"/>
  <c r="B64" i="7"/>
  <c r="F64" i="7" s="1"/>
  <c r="B63" i="7"/>
  <c r="F63" i="7" s="1"/>
  <c r="B62" i="7"/>
  <c r="F62" i="7" s="1"/>
  <c r="B61" i="7"/>
  <c r="F61" i="7" s="1"/>
  <c r="B60" i="7"/>
  <c r="F60" i="7" s="1"/>
  <c r="B59" i="7"/>
  <c r="F59" i="7" s="1"/>
  <c r="B58" i="7"/>
  <c r="F58" i="7" s="1"/>
  <c r="B57" i="7"/>
  <c r="F57" i="7" s="1"/>
  <c r="B56" i="7"/>
  <c r="F56" i="7" s="1"/>
  <c r="B55" i="7"/>
  <c r="F55" i="7" s="1"/>
  <c r="B54" i="7"/>
  <c r="F54" i="7" s="1"/>
  <c r="B53" i="7"/>
  <c r="F53" i="7" s="1"/>
  <c r="B52" i="7"/>
  <c r="F52" i="7" s="1"/>
  <c r="B51" i="7"/>
  <c r="B50" i="7"/>
  <c r="F50" i="7" s="1"/>
  <c r="B49" i="7"/>
  <c r="B48" i="7"/>
  <c r="F48" i="7" s="1"/>
  <c r="B47" i="7"/>
  <c r="F47" i="7" s="1"/>
  <c r="B46" i="7"/>
  <c r="F46" i="7" s="1"/>
  <c r="B45" i="7"/>
  <c r="F45" i="7" s="1"/>
  <c r="B44" i="7"/>
  <c r="F44" i="7" s="1"/>
  <c r="C43" i="7"/>
  <c r="A6" i="22" s="1"/>
  <c r="A11" i="75" s="1"/>
  <c r="B21" i="7"/>
  <c r="F21" i="7" s="1"/>
  <c r="B20" i="7"/>
  <c r="F20" i="7" s="1"/>
  <c r="B19" i="7"/>
  <c r="F19" i="7" s="1"/>
  <c r="B18" i="7"/>
  <c r="F18" i="7" s="1"/>
  <c r="B17" i="7"/>
  <c r="F17" i="7" s="1"/>
  <c r="B15" i="7"/>
  <c r="F15" i="7" s="1"/>
  <c r="B14" i="7"/>
  <c r="B13" i="7"/>
  <c r="C12" i="7"/>
  <c r="A5" i="22" s="1"/>
  <c r="A8" i="75" s="1"/>
  <c r="A2" i="7"/>
  <c r="K76" i="52" l="1"/>
  <c r="F813" i="1" s="1"/>
  <c r="G813" i="1" s="1"/>
  <c r="F16" i="7"/>
  <c r="F307" i="1"/>
  <c r="G307" i="1" s="1"/>
  <c r="F798" i="1"/>
  <c r="G798" i="1" s="1"/>
  <c r="F804" i="1"/>
  <c r="G804" i="1" s="1"/>
  <c r="F909" i="1"/>
  <c r="G909" i="1" s="1"/>
  <c r="F994" i="1"/>
  <c r="G994" i="1" s="1"/>
  <c r="F884" i="1"/>
  <c r="G884" i="1" s="1"/>
  <c r="F398" i="1"/>
  <c r="G398" i="1" s="1"/>
  <c r="F435" i="1"/>
  <c r="G435" i="1" s="1"/>
  <c r="F1005" i="1"/>
  <c r="F1085" i="1"/>
  <c r="G1085" i="1" s="1"/>
  <c r="F421" i="1"/>
  <c r="G421" i="1" s="1"/>
  <c r="F463" i="1"/>
  <c r="G463" i="1" s="1"/>
  <c r="F860" i="1"/>
  <c r="G860" i="1" s="1"/>
  <c r="F866" i="1"/>
  <c r="G866" i="1" s="1"/>
  <c r="T282" i="6"/>
  <c r="T271" i="6"/>
  <c r="I1498" i="52"/>
  <c r="F615" i="1"/>
  <c r="G615" i="1" s="1"/>
  <c r="F618" i="1"/>
  <c r="G618" i="1" s="1"/>
  <c r="F807" i="1"/>
  <c r="G807" i="1" s="1"/>
  <c r="T95" i="6"/>
  <c r="G132" i="1"/>
  <c r="G280" i="1"/>
  <c r="F666" i="1"/>
  <c r="G666" i="1" s="1"/>
  <c r="F663" i="1"/>
  <c r="G663" i="1" s="1"/>
  <c r="F697" i="1"/>
  <c r="I2441" i="52"/>
  <c r="I2447" i="52" s="1"/>
  <c r="I2448" i="52" s="1"/>
  <c r="I2449" i="52" s="1"/>
  <c r="K2416" i="52" s="1"/>
  <c r="F256" i="1" s="1"/>
  <c r="I1877" i="52"/>
  <c r="I1878" i="52" s="1"/>
  <c r="I1879" i="52" s="1"/>
  <c r="K1846" i="52" s="1"/>
  <c r="I1837" i="52"/>
  <c r="I1842" i="52" s="1"/>
  <c r="I1843" i="52" s="1"/>
  <c r="I1844" i="52" s="1"/>
  <c r="K1811" i="52" s="1"/>
  <c r="F447" i="1" s="1"/>
  <c r="I1808" i="52"/>
  <c r="I1809" i="52" s="1"/>
  <c r="K1774" i="52" s="1"/>
  <c r="I1734" i="52"/>
  <c r="I1735" i="52" s="1"/>
  <c r="K1700" i="52" s="1"/>
  <c r="F458" i="1" s="1"/>
  <c r="G458" i="1" s="1"/>
  <c r="I1546" i="52"/>
  <c r="I1547" i="52" s="1"/>
  <c r="K1513" i="52" s="1"/>
  <c r="T184" i="6"/>
  <c r="T312" i="6"/>
  <c r="T249" i="6"/>
  <c r="D90" i="7" s="1"/>
  <c r="T250" i="6"/>
  <c r="S251" i="6"/>
  <c r="S253" i="6"/>
  <c r="C84" i="7"/>
  <c r="C84" i="76"/>
  <c r="T601" i="6"/>
  <c r="S601" i="6"/>
  <c r="I983" i="52"/>
  <c r="I984" i="52" s="1"/>
  <c r="K954" i="52" s="1"/>
  <c r="F10" i="1" s="1"/>
  <c r="G89" i="7"/>
  <c r="T607" i="6"/>
  <c r="S607" i="6"/>
  <c r="T603" i="6"/>
  <c r="S603" i="6"/>
  <c r="S547" i="6"/>
  <c r="T547" i="6"/>
  <c r="T595" i="6"/>
  <c r="T572" i="6"/>
  <c r="T550" i="6"/>
  <c r="T544" i="6"/>
  <c r="S595" i="6"/>
  <c r="S572" i="6"/>
  <c r="S550" i="6"/>
  <c r="S544" i="6"/>
  <c r="T581" i="6"/>
  <c r="T562" i="6"/>
  <c r="S581" i="6"/>
  <c r="S562" i="6"/>
  <c r="T598" i="6"/>
  <c r="T575" i="6"/>
  <c r="S598" i="6"/>
  <c r="S575" i="6"/>
  <c r="S559" i="6"/>
  <c r="T584" i="6"/>
  <c r="T578" i="6"/>
  <c r="T559" i="6"/>
  <c r="S584" i="6"/>
  <c r="S578" i="6"/>
  <c r="C215" i="7"/>
  <c r="T556" i="6"/>
  <c r="S556" i="6"/>
  <c r="T553" i="6"/>
  <c r="S553" i="6"/>
  <c r="T525" i="6"/>
  <c r="S525" i="6"/>
  <c r="T534" i="6"/>
  <c r="S534" i="6"/>
  <c r="D675" i="6"/>
  <c r="E675" i="6" s="1"/>
  <c r="F675" i="6" s="1"/>
  <c r="G675" i="6" s="1"/>
  <c r="H675" i="6" s="1"/>
  <c r="I675" i="6" s="1"/>
  <c r="J675" i="6" s="1"/>
  <c r="K675" i="6" s="1"/>
  <c r="L675" i="6" s="1"/>
  <c r="M675" i="6" s="1"/>
  <c r="N675" i="6" s="1"/>
  <c r="O675" i="6" s="1"/>
  <c r="P675" i="6" s="1"/>
  <c r="Q675" i="6" s="1"/>
  <c r="R675" i="6" s="1"/>
  <c r="S675" i="6" s="1"/>
  <c r="T675" i="6" s="1"/>
  <c r="U675" i="6" s="1"/>
  <c r="V675" i="6" s="1"/>
  <c r="T426" i="6"/>
  <c r="S426" i="6"/>
  <c r="T520" i="6"/>
  <c r="S520" i="6"/>
  <c r="T514" i="6"/>
  <c r="S514" i="6"/>
  <c r="T517" i="6"/>
  <c r="S517" i="6"/>
  <c r="T508" i="6"/>
  <c r="S508" i="6"/>
  <c r="T496" i="6"/>
  <c r="S496" i="6"/>
  <c r="C112" i="7"/>
  <c r="T454" i="6"/>
  <c r="S454" i="6"/>
  <c r="T417" i="6"/>
  <c r="S417" i="6"/>
  <c r="C181" i="7"/>
  <c r="T414" i="6"/>
  <c r="S414" i="6"/>
  <c r="C32" i="7"/>
  <c r="C125" i="7"/>
  <c r="C31" i="7"/>
  <c r="C124" i="7"/>
  <c r="C122" i="7"/>
  <c r="C28" i="76"/>
  <c r="C121" i="7"/>
  <c r="C27" i="76"/>
  <c r="C119" i="7"/>
  <c r="C103" i="7"/>
  <c r="C95" i="7"/>
  <c r="C95" i="76"/>
  <c r="C85" i="7"/>
  <c r="C83" i="76"/>
  <c r="E95" i="7"/>
  <c r="E95" i="76"/>
  <c r="S248" i="6"/>
  <c r="C74" i="7"/>
  <c r="C83" i="7"/>
  <c r="C82" i="76"/>
  <c r="C93" i="76"/>
  <c r="C92" i="7"/>
  <c r="T264" i="6"/>
  <c r="T258" i="6"/>
  <c r="T254" i="6"/>
  <c r="T248" i="6"/>
  <c r="C45" i="7"/>
  <c r="C69" i="7"/>
  <c r="T102" i="6"/>
  <c r="S102" i="6"/>
  <c r="T111" i="6"/>
  <c r="S111" i="6"/>
  <c r="T98" i="6"/>
  <c r="S98" i="6"/>
  <c r="T85" i="6"/>
  <c r="S85" i="6"/>
  <c r="C65" i="7"/>
  <c r="C29" i="76"/>
  <c r="C30" i="7"/>
  <c r="C33" i="76"/>
  <c r="C34" i="7"/>
  <c r="T88" i="6"/>
  <c r="S88" i="6"/>
  <c r="T75" i="6"/>
  <c r="S75" i="6"/>
  <c r="C60" i="7"/>
  <c r="C26" i="76"/>
  <c r="C37" i="76"/>
  <c r="C22" i="76"/>
  <c r="C31" i="76"/>
  <c r="C23" i="7"/>
  <c r="E25" i="76"/>
  <c r="E35" i="76"/>
  <c r="C25" i="76"/>
  <c r="C35" i="76"/>
  <c r="C48" i="7"/>
  <c r="C24" i="76"/>
  <c r="C34" i="76"/>
  <c r="C62" i="7"/>
  <c r="C21" i="76"/>
  <c r="C30" i="76"/>
  <c r="C22" i="7"/>
  <c r="D21" i="76"/>
  <c r="D22" i="7"/>
  <c r="C46" i="7"/>
  <c r="T335" i="6"/>
  <c r="D117" i="7" s="1"/>
  <c r="T207" i="6"/>
  <c r="T162" i="6"/>
  <c r="T181" i="6"/>
  <c r="T150" i="6"/>
  <c r="T168" i="6"/>
  <c r="C44" i="7"/>
  <c r="T156" i="6"/>
  <c r="S156" i="6"/>
  <c r="T120" i="6"/>
  <c r="C51" i="7"/>
  <c r="I1623" i="52"/>
  <c r="I1624" i="52" s="1"/>
  <c r="K1590" i="52" s="1"/>
  <c r="F430" i="1" s="1"/>
  <c r="G430" i="1" s="1"/>
  <c r="C184" i="7"/>
  <c r="C183" i="7"/>
  <c r="C182" i="7"/>
  <c r="C78" i="7"/>
  <c r="T210" i="6"/>
  <c r="D77" i="7" s="1"/>
  <c r="C54" i="7"/>
  <c r="C57" i="7"/>
  <c r="C59" i="7"/>
  <c r="C58" i="7"/>
  <c r="C56" i="7"/>
  <c r="T134" i="6"/>
  <c r="I3283" i="52"/>
  <c r="I3284" i="52" s="1"/>
  <c r="I3285" i="52" s="1"/>
  <c r="K3248" i="52" s="1"/>
  <c r="F329" i="1"/>
  <c r="G329" i="1" s="1"/>
  <c r="I1689" i="52"/>
  <c r="I1690" i="52" s="1"/>
  <c r="F728" i="1"/>
  <c r="G728" i="1" s="1"/>
  <c r="F601" i="1"/>
  <c r="F570" i="1"/>
  <c r="G570" i="1" s="1"/>
  <c r="T311" i="6"/>
  <c r="D110" i="7" s="1"/>
  <c r="S29" i="6"/>
  <c r="V128" i="6"/>
  <c r="F49" i="7" s="1"/>
  <c r="T374" i="6"/>
  <c r="D130" i="7" s="1"/>
  <c r="T19" i="6"/>
  <c r="C64" i="7"/>
  <c r="T612" i="6"/>
  <c r="D216" i="7" s="1"/>
  <c r="T45" i="6"/>
  <c r="T366" i="6"/>
  <c r="T375" i="6"/>
  <c r="T52" i="6"/>
  <c r="T368" i="6"/>
  <c r="D128" i="7" s="1"/>
  <c r="T609" i="6"/>
  <c r="D215" i="7" s="1"/>
  <c r="T36" i="6"/>
  <c r="T37" i="6"/>
  <c r="T367" i="6"/>
  <c r="T59" i="6"/>
  <c r="T371" i="6"/>
  <c r="D129" i="7" s="1"/>
  <c r="T5" i="6"/>
  <c r="T29" i="6"/>
  <c r="T6" i="6"/>
  <c r="T30" i="6"/>
  <c r="T7" i="6"/>
  <c r="T352" i="6"/>
  <c r="T31" i="6"/>
  <c r="D16" i="7" s="1"/>
  <c r="T8" i="6"/>
  <c r="T307" i="6"/>
  <c r="F234" i="1"/>
  <c r="G234" i="1" s="1"/>
  <c r="S298" i="6"/>
  <c r="T35" i="6"/>
  <c r="T238" i="6"/>
  <c r="T365" i="6"/>
  <c r="D127" i="7" s="1"/>
  <c r="T323" i="6"/>
  <c r="D113" i="7" s="1"/>
  <c r="T284" i="6"/>
  <c r="T338" i="6"/>
  <c r="D118" i="7" s="1"/>
  <c r="T283" i="6"/>
  <c r="T322" i="6"/>
  <c r="T337" i="6"/>
  <c r="T341" i="6"/>
  <c r="S22" i="6"/>
  <c r="S300" i="6"/>
  <c r="E107" i="7" s="1"/>
  <c r="G107" i="7" s="1"/>
  <c r="S114" i="6"/>
  <c r="S119" i="6"/>
  <c r="S41" i="6"/>
  <c r="S296" i="6"/>
  <c r="E106" i="7" s="1"/>
  <c r="G106" i="7" s="1"/>
  <c r="S371" i="6"/>
  <c r="E129" i="7" s="1"/>
  <c r="S49" i="6"/>
  <c r="S30" i="6"/>
  <c r="S113" i="6"/>
  <c r="S332" i="6"/>
  <c r="E116" i="7" s="1"/>
  <c r="S128" i="6"/>
  <c r="V134" i="6"/>
  <c r="F51" i="7" s="1"/>
  <c r="S344" i="6"/>
  <c r="S353" i="6"/>
  <c r="S362" i="6"/>
  <c r="E126" i="7" s="1"/>
  <c r="T263" i="6"/>
  <c r="S122" i="6"/>
  <c r="E16" i="7" s="1"/>
  <c r="S341" i="6"/>
  <c r="S28" i="6"/>
  <c r="S16" i="6"/>
  <c r="S135" i="6"/>
  <c r="S295" i="6"/>
  <c r="S311" i="6"/>
  <c r="E110" i="7" s="1"/>
  <c r="G110" i="7" s="1"/>
  <c r="S326" i="6"/>
  <c r="E114" i="7" s="1"/>
  <c r="S8" i="6"/>
  <c r="S40" i="6"/>
  <c r="S136" i="6"/>
  <c r="S323" i="6"/>
  <c r="E113" i="7" s="1"/>
  <c r="S346" i="6"/>
  <c r="S350" i="6"/>
  <c r="E122" i="7" s="1"/>
  <c r="S264" i="6"/>
  <c r="S137" i="6"/>
  <c r="S338" i="6"/>
  <c r="E118" i="7" s="1"/>
  <c r="S347" i="6"/>
  <c r="S329" i="6"/>
  <c r="S25" i="6"/>
  <c r="S24" i="6"/>
  <c r="S23" i="6"/>
  <c r="S609" i="6"/>
  <c r="E215" i="7" s="1"/>
  <c r="S116" i="6"/>
  <c r="S317" i="6"/>
  <c r="S292" i="6"/>
  <c r="S315" i="6"/>
  <c r="E111" i="7" s="1"/>
  <c r="G111" i="7" s="1"/>
  <c r="S319" i="6"/>
  <c r="E112" i="7" s="1"/>
  <c r="G112" i="7" s="1"/>
  <c r="S612" i="6"/>
  <c r="E216" i="7" s="1"/>
  <c r="G216" i="7" s="1"/>
  <c r="S359" i="6"/>
  <c r="S610" i="6"/>
  <c r="S37" i="6"/>
  <c r="S36" i="6"/>
  <c r="S605" i="6"/>
  <c r="E213" i="7" s="1"/>
  <c r="S343" i="6"/>
  <c r="S229" i="6"/>
  <c r="S35" i="6"/>
  <c r="S302" i="6"/>
  <c r="S262" i="6"/>
  <c r="S43" i="6"/>
  <c r="S115" i="6"/>
  <c r="S331" i="6"/>
  <c r="S345" i="6"/>
  <c r="S57" i="6"/>
  <c r="S5" i="6"/>
  <c r="S325" i="6"/>
  <c r="S340" i="6"/>
  <c r="S6" i="6"/>
  <c r="S118" i="6"/>
  <c r="S334" i="6"/>
  <c r="S318" i="6"/>
  <c r="T116" i="6"/>
  <c r="D14" i="7" s="1"/>
  <c r="T346" i="6"/>
  <c r="T26" i="6"/>
  <c r="T332" i="6"/>
  <c r="D116" i="7" s="1"/>
  <c r="C52" i="7"/>
  <c r="T326" i="6"/>
  <c r="D114" i="7" s="1"/>
  <c r="T127" i="6"/>
  <c r="S309" i="6"/>
  <c r="T128" i="6"/>
  <c r="S321" i="6"/>
  <c r="T329" i="6"/>
  <c r="D115" i="76" s="1"/>
  <c r="T226" i="6"/>
  <c r="T325" i="6"/>
  <c r="T361" i="6"/>
  <c r="S337" i="6"/>
  <c r="T112" i="6"/>
  <c r="T292" i="6"/>
  <c r="C61" i="7"/>
  <c r="C102" i="7"/>
  <c r="T113" i="6"/>
  <c r="T344" i="6"/>
  <c r="C53" i="7"/>
  <c r="T321" i="6"/>
  <c r="S322" i="6"/>
  <c r="T324" i="6"/>
  <c r="T295" i="6"/>
  <c r="S330" i="6"/>
  <c r="T304" i="6"/>
  <c r="S294" i="6"/>
  <c r="T353" i="6"/>
  <c r="C66" i="7"/>
  <c r="T300" i="6"/>
  <c r="D107" i="7" s="1"/>
  <c r="T231" i="6"/>
  <c r="D85" i="7" s="1"/>
  <c r="T213" i="6"/>
  <c r="D69" i="7" s="1"/>
  <c r="T372" i="6"/>
  <c r="T356" i="6"/>
  <c r="T610" i="6"/>
  <c r="C63" i="7"/>
  <c r="T118" i="6"/>
  <c r="T350" i="6"/>
  <c r="T299" i="6"/>
  <c r="T349" i="6"/>
  <c r="C81" i="7"/>
  <c r="T310" i="6"/>
  <c r="S351" i="6"/>
  <c r="T328" i="6"/>
  <c r="C50" i="7"/>
  <c r="T279" i="6"/>
  <c r="T281" i="6"/>
  <c r="T136" i="6"/>
  <c r="T318" i="6"/>
  <c r="T223" i="6"/>
  <c r="T302" i="6"/>
  <c r="T319" i="6"/>
  <c r="D112" i="7" s="1"/>
  <c r="S342" i="6"/>
  <c r="S327" i="6"/>
  <c r="T342" i="6"/>
  <c r="T327" i="6"/>
  <c r="C55" i="7"/>
  <c r="S328" i="6"/>
  <c r="T280" i="6"/>
  <c r="S310" i="6"/>
  <c r="T44" i="6"/>
  <c r="T126" i="6"/>
  <c r="T137" i="6"/>
  <c r="T343" i="6"/>
  <c r="T351" i="6"/>
  <c r="T373" i="6"/>
  <c r="S352" i="6"/>
  <c r="T276" i="6"/>
  <c r="D100" i="76" s="1"/>
  <c r="T317" i="6"/>
  <c r="T309" i="6"/>
  <c r="T605" i="6"/>
  <c r="D213" i="7" s="1"/>
  <c r="T23" i="6"/>
  <c r="T278" i="6"/>
  <c r="T222" i="6"/>
  <c r="S44" i="6"/>
  <c r="T43" i="6"/>
  <c r="T51" i="6"/>
  <c r="T24" i="6"/>
  <c r="T133" i="6"/>
  <c r="T315" i="6"/>
  <c r="S324" i="6"/>
  <c r="T334" i="6"/>
  <c r="T340" i="6"/>
  <c r="T345" i="6"/>
  <c r="T355" i="6"/>
  <c r="T209" i="6"/>
  <c r="T115" i="6"/>
  <c r="S117" i="6"/>
  <c r="T294" i="6"/>
  <c r="T331" i="6"/>
  <c r="T130" i="6"/>
  <c r="T132" i="6"/>
  <c r="T298" i="6"/>
  <c r="T347" i="6"/>
  <c r="S348" i="6"/>
  <c r="T296" i="6"/>
  <c r="D106" i="7" s="1"/>
  <c r="S299" i="6"/>
  <c r="S333" i="6"/>
  <c r="S339" i="6"/>
  <c r="T348" i="6"/>
  <c r="S360" i="6"/>
  <c r="T229" i="6"/>
  <c r="C49" i="7"/>
  <c r="T333" i="6"/>
  <c r="T339" i="6"/>
  <c r="S349" i="6"/>
  <c r="S361" i="6"/>
  <c r="T330" i="6"/>
  <c r="T32" i="6"/>
  <c r="T124" i="6"/>
  <c r="C13" i="7"/>
  <c r="C15" i="7"/>
  <c r="S21" i="6"/>
  <c r="S20" i="6"/>
  <c r="S19" i="6"/>
  <c r="T21" i="6"/>
  <c r="T20" i="6"/>
  <c r="T22" i="6"/>
  <c r="S27" i="6"/>
  <c r="S26" i="6"/>
  <c r="T27" i="6"/>
  <c r="T28" i="6"/>
  <c r="D15" i="7" s="1"/>
  <c r="T34" i="6"/>
  <c r="T40" i="6"/>
  <c r="T39" i="6"/>
  <c r="S39" i="6"/>
  <c r="T41" i="6"/>
  <c r="T48" i="6"/>
  <c r="T47" i="6"/>
  <c r="S47" i="6"/>
  <c r="T49" i="6"/>
  <c r="S55" i="6"/>
  <c r="C7" i="7"/>
  <c r="T33" i="6"/>
  <c r="S48" i="6"/>
  <c r="T57" i="6"/>
  <c r="S357" i="6"/>
  <c r="T359" i="6"/>
  <c r="T358" i="6"/>
  <c r="T362" i="6"/>
  <c r="D126" i="7" s="1"/>
  <c r="S307" i="6"/>
  <c r="S304" i="6"/>
  <c r="E108" i="7" s="1"/>
  <c r="G108" i="7" s="1"/>
  <c r="T114" i="6"/>
  <c r="T117" i="6"/>
  <c r="T123" i="6"/>
  <c r="T125" i="6"/>
  <c r="T129" i="6"/>
  <c r="T131" i="6"/>
  <c r="T135" i="6"/>
  <c r="T138" i="6"/>
  <c r="T288" i="6"/>
  <c r="T357" i="6"/>
  <c r="T360" i="6"/>
  <c r="T363" i="6"/>
  <c r="T208" i="6"/>
  <c r="T212" i="6"/>
  <c r="T211" i="6"/>
  <c r="T221" i="6"/>
  <c r="T225" i="6"/>
  <c r="T224" i="6"/>
  <c r="T234" i="6"/>
  <c r="T227" i="6"/>
  <c r="T251" i="6"/>
  <c r="T370" i="6"/>
  <c r="T369" i="6"/>
  <c r="S370" i="6"/>
  <c r="S369" i="6"/>
  <c r="T521" i="6"/>
  <c r="T522" i="6"/>
  <c r="T219" i="6"/>
  <c r="T228" i="6"/>
  <c r="T253" i="6"/>
  <c r="T277" i="6"/>
  <c r="S367" i="6"/>
  <c r="S366" i="6"/>
  <c r="S368" i="6"/>
  <c r="E128" i="7" s="1"/>
  <c r="S51" i="6"/>
  <c r="T262" i="6"/>
  <c r="T255" i="6"/>
  <c r="T267" i="6"/>
  <c r="T608" i="6"/>
  <c r="T606" i="6"/>
  <c r="S608" i="6"/>
  <c r="S606" i="6"/>
  <c r="T602" i="6"/>
  <c r="S602" i="6"/>
  <c r="S12" i="6"/>
  <c r="S53" i="6"/>
  <c r="S52" i="6"/>
  <c r="T56" i="6"/>
  <c r="S56" i="6"/>
  <c r="T55" i="6"/>
  <c r="C213" i="7"/>
  <c r="C12" i="22"/>
  <c r="B10" i="76"/>
  <c r="B9" i="76"/>
  <c r="C8" i="76"/>
  <c r="C7" i="76"/>
  <c r="B7" i="76"/>
  <c r="C6" i="76"/>
  <c r="C5" i="76"/>
  <c r="C130" i="76"/>
  <c r="B130" i="76"/>
  <c r="C129" i="76"/>
  <c r="B129" i="76"/>
  <c r="C128" i="76"/>
  <c r="B128" i="76"/>
  <c r="C127" i="76"/>
  <c r="B127" i="76"/>
  <c r="C126" i="76"/>
  <c r="B126" i="76"/>
  <c r="C125" i="76"/>
  <c r="B125" i="76"/>
  <c r="C124" i="76"/>
  <c r="B124" i="76"/>
  <c r="C123" i="76"/>
  <c r="B123" i="76"/>
  <c r="C122" i="76"/>
  <c r="B122" i="76"/>
  <c r="B121" i="76"/>
  <c r="C120" i="76"/>
  <c r="B120" i="76"/>
  <c r="B119" i="76"/>
  <c r="C118" i="76"/>
  <c r="B118" i="76"/>
  <c r="C117" i="76"/>
  <c r="B117" i="76"/>
  <c r="C116" i="76"/>
  <c r="B116" i="76"/>
  <c r="C115" i="76"/>
  <c r="B115" i="76"/>
  <c r="C114" i="76"/>
  <c r="B114" i="76"/>
  <c r="C113" i="76"/>
  <c r="B113" i="76"/>
  <c r="C112" i="76"/>
  <c r="B112" i="76"/>
  <c r="B111" i="76"/>
  <c r="C110" i="76"/>
  <c r="B110" i="76"/>
  <c r="B109" i="76"/>
  <c r="B108" i="76"/>
  <c r="C107" i="76"/>
  <c r="B107" i="76"/>
  <c r="C106" i="76"/>
  <c r="B106" i="76"/>
  <c r="C214" i="76"/>
  <c r="B214" i="76"/>
  <c r="C213" i="76"/>
  <c r="B213" i="76"/>
  <c r="A211" i="76"/>
  <c r="C209" i="76"/>
  <c r="C185" i="76"/>
  <c r="C179" i="76"/>
  <c r="B105" i="76"/>
  <c r="B104" i="76"/>
  <c r="C103" i="76"/>
  <c r="B103" i="76"/>
  <c r="C102" i="76"/>
  <c r="B102" i="76"/>
  <c r="C101" i="76"/>
  <c r="C79" i="76"/>
  <c r="B79" i="76"/>
  <c r="B78" i="76"/>
  <c r="B77" i="76"/>
  <c r="C76" i="76"/>
  <c r="B76" i="76"/>
  <c r="C74" i="76"/>
  <c r="B74" i="76"/>
  <c r="C73" i="76"/>
  <c r="B71" i="76"/>
  <c r="B70" i="76"/>
  <c r="D69" i="76"/>
  <c r="C69" i="76"/>
  <c r="B69" i="76"/>
  <c r="C68" i="76"/>
  <c r="B68" i="76"/>
  <c r="C67" i="76"/>
  <c r="B67" i="76"/>
  <c r="C66" i="76"/>
  <c r="B66" i="76"/>
  <c r="C65" i="76"/>
  <c r="B65" i="76"/>
  <c r="C64" i="76"/>
  <c r="B64" i="76"/>
  <c r="C63" i="76"/>
  <c r="B63" i="76"/>
  <c r="C62" i="76"/>
  <c r="B62" i="76"/>
  <c r="C61" i="76"/>
  <c r="B61" i="76"/>
  <c r="C60" i="76"/>
  <c r="B60" i="76"/>
  <c r="C59" i="76"/>
  <c r="B59" i="76"/>
  <c r="C58" i="76"/>
  <c r="B58" i="76"/>
  <c r="C57" i="76"/>
  <c r="B57" i="76"/>
  <c r="C56" i="76"/>
  <c r="B56" i="76"/>
  <c r="C55" i="76"/>
  <c r="B55" i="76"/>
  <c r="C54" i="76"/>
  <c r="B54" i="76"/>
  <c r="C53" i="76"/>
  <c r="B53" i="76"/>
  <c r="C52" i="76"/>
  <c r="B52" i="76"/>
  <c r="C51" i="76"/>
  <c r="B51" i="76"/>
  <c r="C50" i="76"/>
  <c r="B50" i="76"/>
  <c r="C49" i="76"/>
  <c r="B49" i="76"/>
  <c r="C48" i="76"/>
  <c r="B48" i="76"/>
  <c r="C47" i="76"/>
  <c r="B47" i="76"/>
  <c r="C46" i="76"/>
  <c r="B46" i="76"/>
  <c r="B45" i="76"/>
  <c r="C44" i="76"/>
  <c r="B44" i="76"/>
  <c r="C43" i="76"/>
  <c r="B43" i="76"/>
  <c r="C42" i="76"/>
  <c r="B42" i="76"/>
  <c r="C41" i="76"/>
  <c r="C20" i="76"/>
  <c r="B20" i="76"/>
  <c r="C19" i="76"/>
  <c r="B19" i="76"/>
  <c r="C18" i="76"/>
  <c r="B18" i="76"/>
  <c r="C17" i="76"/>
  <c r="B17" i="76"/>
  <c r="C16" i="76"/>
  <c r="B16" i="76"/>
  <c r="B15" i="76"/>
  <c r="C14" i="76"/>
  <c r="B14" i="76"/>
  <c r="C13" i="76"/>
  <c r="B13" i="76"/>
  <c r="C12" i="76"/>
  <c r="C11" i="76"/>
  <c r="A2" i="76"/>
  <c r="F175" i="7" l="1"/>
  <c r="G175" i="7" s="1"/>
  <c r="G10" i="1"/>
  <c r="F120" i="7"/>
  <c r="G1005" i="1"/>
  <c r="F117" i="7"/>
  <c r="G117" i="7" s="1"/>
  <c r="F426" i="1"/>
  <c r="G426" i="1" s="1"/>
  <c r="F468" i="1"/>
  <c r="G468" i="1" s="1"/>
  <c r="F520" i="1"/>
  <c r="G520" i="1" s="1"/>
  <c r="F571" i="1"/>
  <c r="G571" i="1" s="1"/>
  <c r="F455" i="1"/>
  <c r="G455" i="1" s="1"/>
  <c r="F502" i="1"/>
  <c r="G502" i="1" s="1"/>
  <c r="G601" i="1"/>
  <c r="D3235" i="52"/>
  <c r="I3235" i="52" s="1"/>
  <c r="I3237" i="52" s="1"/>
  <c r="I3243" i="52" s="1"/>
  <c r="I3244" i="52" s="1"/>
  <c r="I3245" i="52" s="1"/>
  <c r="K3214" i="52" s="1"/>
  <c r="D2875" i="52"/>
  <c r="I2875" i="52" s="1"/>
  <c r="I2877" i="52" s="1"/>
  <c r="I2883" i="52" s="1"/>
  <c r="I2884" i="52" s="1"/>
  <c r="I2885" i="52" s="1"/>
  <c r="K2850" i="52" s="1"/>
  <c r="F678" i="1" s="1"/>
  <c r="G678" i="1" s="1"/>
  <c r="D2583" i="52"/>
  <c r="I2583" i="52" s="1"/>
  <c r="D503" i="52"/>
  <c r="I503" i="52" s="1"/>
  <c r="I505" i="52" s="1"/>
  <c r="I511" i="52" s="1"/>
  <c r="I512" i="52" s="1"/>
  <c r="I513" i="52" s="1"/>
  <c r="K479" i="52" s="1"/>
  <c r="F1450" i="1" s="1"/>
  <c r="G1450" i="1" s="1"/>
  <c r="D2691" i="52"/>
  <c r="I2691" i="52" s="1"/>
  <c r="D2914" i="52"/>
  <c r="I2914" i="52" s="1"/>
  <c r="I2915" i="52" s="1"/>
  <c r="I2921" i="52" s="1"/>
  <c r="I2922" i="52" s="1"/>
  <c r="I2923" i="52" s="1"/>
  <c r="K2888" i="52" s="1"/>
  <c r="F735" i="1" s="1"/>
  <c r="G735" i="1" s="1"/>
  <c r="D2511" i="52"/>
  <c r="I2511" i="52" s="1"/>
  <c r="D2951" i="52"/>
  <c r="I2951" i="52" s="1"/>
  <c r="I2953" i="52" s="1"/>
  <c r="I2959" i="52" s="1"/>
  <c r="I2960" i="52" s="1"/>
  <c r="I2961" i="52" s="1"/>
  <c r="K2926" i="52" s="1"/>
  <c r="F734" i="1" s="1"/>
  <c r="G734" i="1" s="1"/>
  <c r="D3058" i="52"/>
  <c r="I3058" i="52" s="1"/>
  <c r="I3059" i="52" s="1"/>
  <c r="I3065" i="52" s="1"/>
  <c r="I3066" i="52" s="1"/>
  <c r="I3067" i="52" s="1"/>
  <c r="K3034" i="52" s="1"/>
  <c r="F764" i="1" s="1"/>
  <c r="G764" i="1" s="1"/>
  <c r="D2985" i="52"/>
  <c r="I2985" i="52" s="1"/>
  <c r="D2619" i="52"/>
  <c r="I2619" i="52" s="1"/>
  <c r="D2655" i="52"/>
  <c r="I2655" i="52" s="1"/>
  <c r="D2837" i="52"/>
  <c r="I2837" i="52" s="1"/>
  <c r="I2839" i="52" s="1"/>
  <c r="I2845" i="52" s="1"/>
  <c r="I2846" i="52" s="1"/>
  <c r="I2847" i="52" s="1"/>
  <c r="K2812" i="52" s="1"/>
  <c r="F680" i="1" s="1"/>
  <c r="D2547" i="52"/>
  <c r="I2547" i="52" s="1"/>
  <c r="D3167" i="52"/>
  <c r="I3167" i="52" s="1"/>
  <c r="I3169" i="52" s="1"/>
  <c r="I3175" i="52" s="1"/>
  <c r="I3176" i="52" s="1"/>
  <c r="I3177" i="52" s="1"/>
  <c r="K3146" i="52" s="1"/>
  <c r="F532" i="1" s="1"/>
  <c r="G532" i="1" s="1"/>
  <c r="D3201" i="52"/>
  <c r="I3201" i="52" s="1"/>
  <c r="I3203" i="52" s="1"/>
  <c r="I3209" i="52" s="1"/>
  <c r="I3210" i="52" s="1"/>
  <c r="I3211" i="52" s="1"/>
  <c r="K3180" i="52" s="1"/>
  <c r="F533" i="1" s="1"/>
  <c r="G533" i="1" s="1"/>
  <c r="D3133" i="52"/>
  <c r="I3133" i="52" s="1"/>
  <c r="D1499" i="52"/>
  <c r="I1499" i="52" s="1"/>
  <c r="I1502" i="52" s="1"/>
  <c r="I1508" i="52" s="1"/>
  <c r="I1509" i="52" s="1"/>
  <c r="I1510" i="52" s="1"/>
  <c r="K1473" i="52" s="1"/>
  <c r="D2800" i="52"/>
  <c r="I2800" i="52" s="1"/>
  <c r="I2801" i="52" s="1"/>
  <c r="I2807" i="52" s="1"/>
  <c r="I2808" i="52" s="1"/>
  <c r="I2809" i="52" s="1"/>
  <c r="K2775" i="52" s="1"/>
  <c r="D3095" i="52"/>
  <c r="I3095" i="52" s="1"/>
  <c r="D2763" i="52"/>
  <c r="I2763" i="52" s="1"/>
  <c r="I2764" i="52" s="1"/>
  <c r="I2770" i="52" s="1"/>
  <c r="I2771" i="52" s="1"/>
  <c r="I2772" i="52" s="1"/>
  <c r="K2738" i="52" s="1"/>
  <c r="D3021" i="52"/>
  <c r="I3021" i="52" s="1"/>
  <c r="I3023" i="52" s="1"/>
  <c r="I3029" i="52" s="1"/>
  <c r="I3030" i="52" s="1"/>
  <c r="I3031" i="52" s="1"/>
  <c r="K2997" i="52" s="1"/>
  <c r="F768" i="1" s="1"/>
  <c r="G768" i="1" s="1"/>
  <c r="D426" i="52"/>
  <c r="I426" i="52" s="1"/>
  <c r="I428" i="52" s="1"/>
  <c r="I434" i="52" s="1"/>
  <c r="I435" i="52" s="1"/>
  <c r="I436" i="52" s="1"/>
  <c r="K400" i="52" s="1"/>
  <c r="D466" i="52"/>
  <c r="I466" i="52" s="1"/>
  <c r="D2475" i="52"/>
  <c r="I2475" i="52" s="1"/>
  <c r="D1576" i="52"/>
  <c r="I1576" i="52" s="1"/>
  <c r="I1579" i="52" s="1"/>
  <c r="I1585" i="52" s="1"/>
  <c r="I1586" i="52" s="1"/>
  <c r="I1587" i="52" s="1"/>
  <c r="K1550" i="52" s="1"/>
  <c r="D99" i="7"/>
  <c r="D98" i="7"/>
  <c r="F668" i="1"/>
  <c r="G668" i="1" s="1"/>
  <c r="F664" i="1"/>
  <c r="G664" i="1" s="1"/>
  <c r="F667" i="1"/>
  <c r="G667" i="1" s="1"/>
  <c r="F486" i="1"/>
  <c r="G486" i="1" s="1"/>
  <c r="G697" i="1"/>
  <c r="F662" i="1"/>
  <c r="G662" i="1" s="1"/>
  <c r="F701" i="1"/>
  <c r="G256" i="1"/>
  <c r="G447" i="1"/>
  <c r="F416" i="1"/>
  <c r="F119" i="7" s="1"/>
  <c r="F389" i="1"/>
  <c r="F433" i="1"/>
  <c r="G433" i="1" s="1"/>
  <c r="F393" i="1"/>
  <c r="C105" i="7"/>
  <c r="C104" i="7"/>
  <c r="D91" i="76"/>
  <c r="D83" i="76"/>
  <c r="D184" i="7"/>
  <c r="D181" i="7"/>
  <c r="D114" i="76"/>
  <c r="S402" i="6"/>
  <c r="T402" i="6"/>
  <c r="D32" i="7"/>
  <c r="D125" i="7"/>
  <c r="E32" i="7"/>
  <c r="G32" i="7" s="1"/>
  <c r="E125" i="7"/>
  <c r="D31" i="7"/>
  <c r="D124" i="7"/>
  <c r="E30" i="7"/>
  <c r="E123" i="7"/>
  <c r="D30" i="7"/>
  <c r="D123" i="7"/>
  <c r="D122" i="7"/>
  <c r="E28" i="76"/>
  <c r="E121" i="7"/>
  <c r="D28" i="76"/>
  <c r="D121" i="7"/>
  <c r="D110" i="76"/>
  <c r="D120" i="7"/>
  <c r="E120" i="7"/>
  <c r="E27" i="76"/>
  <c r="E119" i="7"/>
  <c r="D27" i="76"/>
  <c r="D119" i="7"/>
  <c r="D55" i="76"/>
  <c r="D115" i="7"/>
  <c r="E55" i="76"/>
  <c r="E115" i="7"/>
  <c r="D111" i="7"/>
  <c r="D109" i="7"/>
  <c r="E59" i="7"/>
  <c r="E109" i="7"/>
  <c r="G109" i="7" s="1"/>
  <c r="T290" i="6"/>
  <c r="D108" i="7"/>
  <c r="S291" i="6"/>
  <c r="T291" i="6"/>
  <c r="D82" i="7"/>
  <c r="D81" i="76"/>
  <c r="D105" i="7"/>
  <c r="D93" i="76"/>
  <c r="D92" i="7"/>
  <c r="D95" i="7"/>
  <c r="D95" i="76"/>
  <c r="F97" i="7"/>
  <c r="D102" i="7"/>
  <c r="C77" i="7"/>
  <c r="C90" i="7"/>
  <c r="C91" i="76"/>
  <c r="D96" i="7"/>
  <c r="D96" i="76"/>
  <c r="D86" i="76"/>
  <c r="D86" i="7"/>
  <c r="D104" i="7"/>
  <c r="D74" i="7"/>
  <c r="D83" i="7"/>
  <c r="D82" i="76"/>
  <c r="D84" i="7"/>
  <c r="D84" i="76"/>
  <c r="D103" i="7"/>
  <c r="D97" i="7"/>
  <c r="D97" i="76"/>
  <c r="C45" i="76"/>
  <c r="D74" i="76"/>
  <c r="C47" i="7"/>
  <c r="D71" i="7"/>
  <c r="S217" i="6"/>
  <c r="D78" i="7"/>
  <c r="D45" i="7"/>
  <c r="E47" i="7"/>
  <c r="C71" i="7"/>
  <c r="D34" i="7"/>
  <c r="D33" i="76"/>
  <c r="D30" i="76"/>
  <c r="E68" i="7"/>
  <c r="E34" i="7"/>
  <c r="E33" i="76"/>
  <c r="D19" i="7"/>
  <c r="D15" i="76"/>
  <c r="E21" i="7"/>
  <c r="G21" i="7" s="1"/>
  <c r="E34" i="76"/>
  <c r="E24" i="76"/>
  <c r="D22" i="76"/>
  <c r="D31" i="76"/>
  <c r="D23" i="7"/>
  <c r="D24" i="76"/>
  <c r="D34" i="76"/>
  <c r="E58" i="76"/>
  <c r="E37" i="76"/>
  <c r="E26" i="76"/>
  <c r="E31" i="76"/>
  <c r="E22" i="76"/>
  <c r="E23" i="7"/>
  <c r="G23" i="7" s="1"/>
  <c r="E62" i="76"/>
  <c r="D60" i="7"/>
  <c r="D26" i="76"/>
  <c r="D37" i="76"/>
  <c r="D25" i="76"/>
  <c r="D35" i="76"/>
  <c r="D29" i="76"/>
  <c r="E21" i="76"/>
  <c r="E22" i="7"/>
  <c r="G22" i="7" s="1"/>
  <c r="D21" i="7"/>
  <c r="E29" i="76"/>
  <c r="D18" i="7"/>
  <c r="E18" i="7"/>
  <c r="G18" i="7" s="1"/>
  <c r="D20" i="7"/>
  <c r="D71" i="76"/>
  <c r="D49" i="7"/>
  <c r="D14" i="76"/>
  <c r="D17" i="7"/>
  <c r="D47" i="7"/>
  <c r="E49" i="7"/>
  <c r="D48" i="7"/>
  <c r="E14" i="7"/>
  <c r="E15" i="7"/>
  <c r="D46" i="7"/>
  <c r="D44" i="7"/>
  <c r="E13" i="7"/>
  <c r="D13" i="7"/>
  <c r="D59" i="7"/>
  <c r="C15" i="76"/>
  <c r="S120" i="6"/>
  <c r="S121" i="6"/>
  <c r="C16" i="7"/>
  <c r="T121" i="6"/>
  <c r="I1696" i="52"/>
  <c r="I1697" i="52" s="1"/>
  <c r="I1698" i="52" s="1"/>
  <c r="K1663" i="52" s="1"/>
  <c r="D7" i="7"/>
  <c r="F1287" i="1"/>
  <c r="G1287" i="1" s="1"/>
  <c r="E7" i="7"/>
  <c r="E10" i="7"/>
  <c r="D183" i="7"/>
  <c r="E183" i="7"/>
  <c r="E184" i="7"/>
  <c r="D182" i="7"/>
  <c r="D52" i="7"/>
  <c r="D78" i="76"/>
  <c r="D80" i="7"/>
  <c r="D19" i="76"/>
  <c r="D70" i="76"/>
  <c r="S363" i="6"/>
  <c r="D51" i="7"/>
  <c r="E67" i="7"/>
  <c r="D64" i="7"/>
  <c r="D66" i="7"/>
  <c r="D65" i="7"/>
  <c r="E65" i="7"/>
  <c r="E64" i="7"/>
  <c r="E62" i="7"/>
  <c r="D63" i="7"/>
  <c r="E63" i="7"/>
  <c r="E58" i="7"/>
  <c r="D62" i="7"/>
  <c r="D61" i="7"/>
  <c r="E61" i="7"/>
  <c r="E60" i="7"/>
  <c r="E55" i="7"/>
  <c r="D58" i="7"/>
  <c r="D55" i="7"/>
  <c r="D57" i="7"/>
  <c r="E57" i="7"/>
  <c r="D56" i="7"/>
  <c r="E56" i="7"/>
  <c r="D54" i="7"/>
  <c r="E54" i="7"/>
  <c r="D53" i="7"/>
  <c r="E52" i="7"/>
  <c r="E53" i="7"/>
  <c r="D50" i="7"/>
  <c r="S365" i="6"/>
  <c r="E127" i="7" s="1"/>
  <c r="S277" i="6"/>
  <c r="E182" i="7"/>
  <c r="T265" i="6"/>
  <c r="F673" i="1"/>
  <c r="G673" i="1" s="1"/>
  <c r="F613" i="1"/>
  <c r="S372" i="6"/>
  <c r="S131" i="6"/>
  <c r="E19" i="7" s="1"/>
  <c r="G19" i="7" s="1"/>
  <c r="S373" i="6"/>
  <c r="S288" i="6"/>
  <c r="E46" i="7" s="1"/>
  <c r="S286" i="6"/>
  <c r="S129" i="6"/>
  <c r="S59" i="6"/>
  <c r="S133" i="6"/>
  <c r="S132" i="6"/>
  <c r="E120" i="76"/>
  <c r="S358" i="6"/>
  <c r="S355" i="6"/>
  <c r="S356" i="6"/>
  <c r="S130" i="6"/>
  <c r="S134" i="6"/>
  <c r="E20" i="7" s="1"/>
  <c r="G20" i="7" s="1"/>
  <c r="S138" i="6"/>
  <c r="D64" i="76"/>
  <c r="D48" i="76"/>
  <c r="E213" i="76"/>
  <c r="E113" i="76"/>
  <c r="D59" i="76"/>
  <c r="E59" i="76"/>
  <c r="D185" i="76"/>
  <c r="D119" i="76"/>
  <c r="D106" i="76"/>
  <c r="D127" i="76"/>
  <c r="E52" i="76"/>
  <c r="D213" i="76"/>
  <c r="D125" i="76"/>
  <c r="D105" i="76"/>
  <c r="S374" i="6"/>
  <c r="D103" i="76"/>
  <c r="S226" i="6"/>
  <c r="S234" i="6"/>
  <c r="S227" i="6"/>
  <c r="S235" i="6"/>
  <c r="E85" i="7" s="1"/>
  <c r="D104" i="76"/>
  <c r="S125" i="6"/>
  <c r="D73" i="7"/>
  <c r="S283" i="6"/>
  <c r="S284" i="6"/>
  <c r="E45" i="7" s="1"/>
  <c r="D57" i="76"/>
  <c r="D51" i="76"/>
  <c r="E53" i="76"/>
  <c r="E47" i="76"/>
  <c r="E54" i="76"/>
  <c r="D43" i="76"/>
  <c r="E60" i="76"/>
  <c r="D79" i="76"/>
  <c r="D81" i="7"/>
  <c r="E45" i="76"/>
  <c r="E20" i="76"/>
  <c r="E14" i="76"/>
  <c r="D12" i="76"/>
  <c r="E13" i="76"/>
  <c r="D60" i="76"/>
  <c r="E185" i="76"/>
  <c r="D102" i="76"/>
  <c r="E15" i="76"/>
  <c r="D72" i="7"/>
  <c r="E51" i="76"/>
  <c r="E114" i="76"/>
  <c r="E214" i="76"/>
  <c r="E121" i="76"/>
  <c r="E7" i="76"/>
  <c r="E118" i="76"/>
  <c r="S281" i="6"/>
  <c r="E44" i="7" s="1"/>
  <c r="S123" i="6"/>
  <c r="S124" i="6"/>
  <c r="E117" i="76"/>
  <c r="S278" i="6"/>
  <c r="S126" i="6"/>
  <c r="S112" i="6"/>
  <c r="E63" i="76"/>
  <c r="S279" i="6"/>
  <c r="S127" i="6"/>
  <c r="D54" i="76"/>
  <c r="S280" i="6"/>
  <c r="S32" i="6"/>
  <c r="S208" i="6"/>
  <c r="E109" i="76"/>
  <c r="S33" i="6"/>
  <c r="S209" i="6"/>
  <c r="S34" i="6"/>
  <c r="E110" i="76" s="1"/>
  <c r="S210" i="6"/>
  <c r="E77" i="7" s="1"/>
  <c r="E10" i="76"/>
  <c r="E61" i="76"/>
  <c r="E50" i="76"/>
  <c r="E211" i="76"/>
  <c r="D56" i="76"/>
  <c r="D52" i="76"/>
  <c r="D61" i="76"/>
  <c r="D53" i="76"/>
  <c r="D16" i="76"/>
  <c r="D13" i="76"/>
  <c r="D122" i="76"/>
  <c r="D67" i="76"/>
  <c r="D62" i="76"/>
  <c r="D109" i="76"/>
  <c r="D17" i="76"/>
  <c r="D76" i="76"/>
  <c r="E12" i="76"/>
  <c r="D44" i="76"/>
  <c r="D107" i="76"/>
  <c r="E17" i="76"/>
  <c r="D45" i="76"/>
  <c r="D63" i="76"/>
  <c r="D42" i="76"/>
  <c r="E123" i="76"/>
  <c r="D113" i="76"/>
  <c r="D123" i="76"/>
  <c r="D47" i="76"/>
  <c r="D46" i="76"/>
  <c r="D7" i="76"/>
  <c r="D108" i="76"/>
  <c r="D214" i="76"/>
  <c r="D118" i="76"/>
  <c r="D18" i="76"/>
  <c r="D124" i="76"/>
  <c r="D50" i="76"/>
  <c r="E116" i="76"/>
  <c r="D20" i="76"/>
  <c r="D58" i="76"/>
  <c r="E56" i="76"/>
  <c r="D49" i="76"/>
  <c r="E57" i="76"/>
  <c r="D120" i="76"/>
  <c r="D129" i="76"/>
  <c r="D116" i="76"/>
  <c r="D128" i="76"/>
  <c r="D66" i="76"/>
  <c r="D117" i="76"/>
  <c r="D126" i="76"/>
  <c r="D130" i="76"/>
  <c r="D65" i="76"/>
  <c r="D111" i="76"/>
  <c r="D68" i="76"/>
  <c r="D112" i="76"/>
  <c r="D211" i="76"/>
  <c r="S522" i="6"/>
  <c r="S521" i="6"/>
  <c r="S375" i="6"/>
  <c r="T275" i="6"/>
  <c r="T268" i="6"/>
  <c r="S223" i="6"/>
  <c r="S222" i="6"/>
  <c r="S219" i="6"/>
  <c r="S216" i="6"/>
  <c r="E79" i="7" s="1"/>
  <c r="B211" i="76"/>
  <c r="S225" i="6"/>
  <c r="S228" i="6"/>
  <c r="E83" i="7" s="1"/>
  <c r="S224" i="6"/>
  <c r="S212" i="6"/>
  <c r="S213" i="6"/>
  <c r="S211" i="6"/>
  <c r="S275" i="6"/>
  <c r="C211" i="76"/>
  <c r="G120" i="7" l="1"/>
  <c r="F123" i="7"/>
  <c r="G123" i="7" s="1"/>
  <c r="F168" i="7"/>
  <c r="G168" i="7" s="1"/>
  <c r="F121" i="7"/>
  <c r="G121" i="7" s="1"/>
  <c r="F488" i="1"/>
  <c r="G488" i="1" s="1"/>
  <c r="F534" i="1"/>
  <c r="G534" i="1" s="1"/>
  <c r="F377" i="1"/>
  <c r="G377" i="1" s="1"/>
  <c r="F414" i="1"/>
  <c r="G414" i="1" s="1"/>
  <c r="F731" i="1"/>
  <c r="G731" i="1" s="1"/>
  <c r="F803" i="1"/>
  <c r="F343" i="1"/>
  <c r="G343" i="1" s="1"/>
  <c r="F375" i="1"/>
  <c r="G375" i="1" s="1"/>
  <c r="G408" i="1"/>
  <c r="F410" i="1"/>
  <c r="G410" i="1" s="1"/>
  <c r="F598" i="1"/>
  <c r="G680" i="1"/>
  <c r="F157" i="7"/>
  <c r="F602" i="1"/>
  <c r="G602" i="1" s="1"/>
  <c r="F599" i="1"/>
  <c r="G599" i="1" s="1"/>
  <c r="F164" i="7"/>
  <c r="G701" i="1"/>
  <c r="F167" i="7"/>
  <c r="G119" i="7"/>
  <c r="G389" i="1"/>
  <c r="F114" i="7"/>
  <c r="G114" i="7" s="1"/>
  <c r="G416" i="1"/>
  <c r="S287" i="6"/>
  <c r="C105" i="76"/>
  <c r="S290" i="6"/>
  <c r="T287" i="6"/>
  <c r="T286" i="6"/>
  <c r="C104" i="76"/>
  <c r="G613" i="1"/>
  <c r="S218" i="6"/>
  <c r="E105" i="7"/>
  <c r="E130" i="7"/>
  <c r="E30" i="76"/>
  <c r="E124" i="7"/>
  <c r="C111" i="7"/>
  <c r="S314" i="6"/>
  <c r="S313" i="6"/>
  <c r="T313" i="6"/>
  <c r="C111" i="76"/>
  <c r="T314" i="6"/>
  <c r="C109" i="7"/>
  <c r="C109" i="76"/>
  <c r="T306" i="6"/>
  <c r="S306" i="6"/>
  <c r="S305" i="6"/>
  <c r="T305" i="6"/>
  <c r="C108" i="7"/>
  <c r="T336" i="6"/>
  <c r="C108" i="76"/>
  <c r="S303" i="6"/>
  <c r="S336" i="6"/>
  <c r="T303" i="6"/>
  <c r="E103" i="76"/>
  <c r="E102" i="7"/>
  <c r="G83" i="7"/>
  <c r="F85" i="7" s="1"/>
  <c r="E82" i="76"/>
  <c r="E104" i="7"/>
  <c r="E103" i="7"/>
  <c r="E82" i="7"/>
  <c r="E81" i="76"/>
  <c r="E104" i="76"/>
  <c r="T218" i="6"/>
  <c r="T217" i="6"/>
  <c r="E50" i="7"/>
  <c r="E51" i="7"/>
  <c r="E48" i="76"/>
  <c r="E49" i="76"/>
  <c r="E64" i="76"/>
  <c r="E31" i="7"/>
  <c r="E17" i="7"/>
  <c r="G17" i="7" s="1"/>
  <c r="E46" i="76"/>
  <c r="E48" i="7"/>
  <c r="E9" i="7"/>
  <c r="E128" i="76"/>
  <c r="C80" i="7"/>
  <c r="C78" i="76"/>
  <c r="C71" i="76"/>
  <c r="E66" i="7"/>
  <c r="E102" i="76"/>
  <c r="T266" i="6"/>
  <c r="E122" i="76"/>
  <c r="E124" i="76"/>
  <c r="E125" i="76"/>
  <c r="E106" i="76"/>
  <c r="E9" i="76"/>
  <c r="E126" i="76"/>
  <c r="E44" i="76"/>
  <c r="E130" i="76"/>
  <c r="E18" i="76"/>
  <c r="E127" i="76"/>
  <c r="E74" i="76"/>
  <c r="E19" i="76"/>
  <c r="E16" i="76"/>
  <c r="E105" i="76"/>
  <c r="E43" i="76"/>
  <c r="E69" i="76"/>
  <c r="E42" i="76"/>
  <c r="E129" i="76"/>
  <c r="E115" i="76"/>
  <c r="S238" i="6"/>
  <c r="E86" i="7" s="1"/>
  <c r="S267" i="6"/>
  <c r="E111" i="76"/>
  <c r="E108" i="76"/>
  <c r="E71" i="7"/>
  <c r="E65" i="76"/>
  <c r="E74" i="7"/>
  <c r="E68" i="76"/>
  <c r="S266" i="6"/>
  <c r="E70" i="7"/>
  <c r="E107" i="76"/>
  <c r="S276" i="6"/>
  <c r="E100" i="76" s="1"/>
  <c r="E69" i="7"/>
  <c r="S221" i="6"/>
  <c r="E73" i="7"/>
  <c r="E67" i="76"/>
  <c r="S268" i="6"/>
  <c r="E181" i="7"/>
  <c r="E112" i="76"/>
  <c r="F115" i="7" l="1"/>
  <c r="F118" i="7"/>
  <c r="G118" i="7" s="1"/>
  <c r="G157" i="7"/>
  <c r="G803" i="1"/>
  <c r="G598" i="1"/>
  <c r="F155" i="7"/>
  <c r="E99" i="7"/>
  <c r="G99" i="7" s="1"/>
  <c r="E98" i="7"/>
  <c r="G98" i="7" s="1"/>
  <c r="E96" i="7"/>
  <c r="G164" i="7"/>
  <c r="G167" i="7"/>
  <c r="E86" i="76"/>
  <c r="G86" i="7"/>
  <c r="E96" i="76"/>
  <c r="E97" i="7"/>
  <c r="G97" i="7" s="1"/>
  <c r="E97" i="76"/>
  <c r="E93" i="76"/>
  <c r="G92" i="7"/>
  <c r="F95" i="7" s="1"/>
  <c r="E81" i="7"/>
  <c r="E79" i="76"/>
  <c r="E72" i="7"/>
  <c r="E66" i="76"/>
  <c r="E80" i="7"/>
  <c r="E78" i="76"/>
  <c r="S265" i="6"/>
  <c r="E71" i="76"/>
  <c r="T237" i="6"/>
  <c r="S237" i="6"/>
  <c r="G115" i="7" l="1"/>
  <c r="G155" i="7"/>
  <c r="G30" i="7"/>
  <c r="G95" i="7"/>
  <c r="S231" i="6"/>
  <c r="E78" i="7"/>
  <c r="E76" i="76"/>
  <c r="E119" i="76"/>
  <c r="E77" i="76"/>
  <c r="F84" i="7"/>
  <c r="G96" i="7" l="1"/>
  <c r="G85" i="7"/>
  <c r="E83" i="76"/>
  <c r="E84" i="7"/>
  <c r="G84" i="7" s="1"/>
  <c r="E84" i="76"/>
  <c r="E70" i="76"/>
  <c r="C70" i="76"/>
  <c r="T236" i="6"/>
  <c r="S236" i="6"/>
  <c r="C119" i="76"/>
  <c r="T230" i="6"/>
  <c r="S230" i="6"/>
  <c r="T239" i="6"/>
  <c r="I4" i="53" l="1"/>
  <c r="I3" i="53"/>
  <c r="F762" i="53" l="1"/>
  <c r="D715" i="53"/>
  <c r="I715" i="53" s="1"/>
  <c r="D755" i="53"/>
  <c r="I755" i="53" s="1"/>
  <c r="D754" i="53"/>
  <c r="I754" i="53" s="1"/>
  <c r="D649" i="53"/>
  <c r="I649" i="53" s="1"/>
  <c r="D682" i="53"/>
  <c r="I682" i="53" s="1"/>
  <c r="F689" i="53"/>
  <c r="F722" i="53"/>
  <c r="D713" i="53"/>
  <c r="I713" i="53" s="1"/>
  <c r="D714" i="53"/>
  <c r="I714" i="53" s="1"/>
  <c r="D680" i="53"/>
  <c r="I680" i="53" s="1"/>
  <c r="D681" i="53"/>
  <c r="I681" i="53" s="1"/>
  <c r="F623" i="53"/>
  <c r="F656" i="53"/>
  <c r="D647" i="53"/>
  <c r="I647" i="53" s="1"/>
  <c r="D648" i="53"/>
  <c r="I648" i="53" s="1"/>
  <c r="D615" i="53"/>
  <c r="I615" i="53" s="1"/>
  <c r="D584" i="53"/>
  <c r="I584" i="53" s="1"/>
  <c r="D583" i="53"/>
  <c r="I583" i="53" s="1"/>
  <c r="F555" i="53"/>
  <c r="F591" i="53"/>
  <c r="D581" i="53"/>
  <c r="I581" i="53" s="1"/>
  <c r="D582" i="53"/>
  <c r="I582" i="53" s="1"/>
  <c r="D580" i="53"/>
  <c r="I580" i="53" s="1"/>
  <c r="D547" i="53"/>
  <c r="I547" i="53" s="1"/>
  <c r="D548" i="53"/>
  <c r="I548" i="53" s="1"/>
  <c r="D546" i="53"/>
  <c r="I546" i="53" s="1"/>
  <c r="F489" i="53"/>
  <c r="F522" i="53"/>
  <c r="D514" i="53"/>
  <c r="I514" i="53" s="1"/>
  <c r="D515" i="53"/>
  <c r="I515" i="53" s="1"/>
  <c r="D513" i="53"/>
  <c r="I513" i="53" s="1"/>
  <c r="D481" i="53"/>
  <c r="I481" i="53" s="1"/>
  <c r="D482" i="53"/>
  <c r="I482" i="53" s="1"/>
  <c r="D480" i="53"/>
  <c r="I480" i="53" s="1"/>
  <c r="D446" i="53"/>
  <c r="I446" i="53" s="1"/>
  <c r="D450" i="53"/>
  <c r="I450" i="53" s="1"/>
  <c r="F423" i="53"/>
  <c r="F457" i="53"/>
  <c r="D448" i="53"/>
  <c r="I448" i="53" s="1"/>
  <c r="D447" i="53"/>
  <c r="I447" i="53" s="1"/>
  <c r="D381" i="53"/>
  <c r="I381" i="53" s="1"/>
  <c r="D415" i="53"/>
  <c r="I415" i="53" s="1"/>
  <c r="D416" i="53"/>
  <c r="I416" i="53" s="1"/>
  <c r="D414" i="53"/>
  <c r="I414" i="53" s="1"/>
  <c r="F325" i="53"/>
  <c r="F390" i="53"/>
  <c r="F357" i="53"/>
  <c r="D382" i="53"/>
  <c r="I382" i="53" s="1"/>
  <c r="D349" i="53"/>
  <c r="I349" i="53" s="1"/>
  <c r="D383" i="53"/>
  <c r="I383" i="53" s="1"/>
  <c r="D350" i="53"/>
  <c r="I350" i="53" s="1"/>
  <c r="D317" i="53"/>
  <c r="I317" i="53" s="1"/>
  <c r="D318" i="53"/>
  <c r="I318" i="53" s="1"/>
  <c r="D285" i="53"/>
  <c r="I285" i="53" s="1"/>
  <c r="D286" i="53"/>
  <c r="I286" i="53" s="1"/>
  <c r="F261" i="53"/>
  <c r="F293" i="53"/>
  <c r="I261" i="53"/>
  <c r="I262" i="53" s="1"/>
  <c r="F82" i="7" s="1"/>
  <c r="F183" i="53"/>
  <c r="F215" i="53"/>
  <c r="I183" i="53"/>
  <c r="I184" i="53" s="1"/>
  <c r="I215" i="53"/>
  <c r="I216" i="53" s="1"/>
  <c r="F72" i="7" s="1"/>
  <c r="F151" i="53"/>
  <c r="I151" i="53"/>
  <c r="I152" i="53" s="1"/>
  <c r="F14" i="7" s="1"/>
  <c r="F115" i="53"/>
  <c r="F79" i="53"/>
  <c r="F42" i="53"/>
  <c r="I115" i="53"/>
  <c r="I116" i="53" s="1"/>
  <c r="F10" i="7" s="1"/>
  <c r="I79" i="53"/>
  <c r="I80" i="53" s="1"/>
  <c r="F9" i="7" s="1"/>
  <c r="I516" i="53" l="1"/>
  <c r="I521" i="53" s="1"/>
  <c r="I585" i="53"/>
  <c r="I590" i="53" s="1"/>
  <c r="I549" i="53"/>
  <c r="I554" i="53" s="1"/>
  <c r="I555" i="53" s="1"/>
  <c r="I556" i="53" s="1"/>
  <c r="I483" i="53"/>
  <c r="I488" i="53" s="1"/>
  <c r="I489" i="53" s="1"/>
  <c r="I490" i="53" s="1"/>
  <c r="I756" i="53"/>
  <c r="I761" i="53" s="1"/>
  <c r="I762" i="53" s="1"/>
  <c r="I763" i="53" s="1"/>
  <c r="I716" i="53"/>
  <c r="I721" i="53" s="1"/>
  <c r="I722" i="53" s="1"/>
  <c r="I723" i="53" s="1"/>
  <c r="I683" i="53"/>
  <c r="I688" i="53" s="1"/>
  <c r="I650" i="53"/>
  <c r="I655" i="53" s="1"/>
  <c r="I417" i="53"/>
  <c r="I422" i="53" s="1"/>
  <c r="I423" i="53" s="1"/>
  <c r="I424" i="53" s="1"/>
  <c r="I384" i="53"/>
  <c r="I389" i="53" s="1"/>
  <c r="I351" i="53"/>
  <c r="I356" i="53" s="1"/>
  <c r="I357" i="53" s="1"/>
  <c r="I358" i="53" s="1"/>
  <c r="I287" i="53"/>
  <c r="I292" i="53" s="1"/>
  <c r="I293" i="53" s="1"/>
  <c r="I294" i="53" s="1"/>
  <c r="I319" i="53"/>
  <c r="I324" i="53" s="1"/>
  <c r="I325" i="53" s="1"/>
  <c r="I326" i="53" s="1"/>
  <c r="K219" i="53"/>
  <c r="G82" i="7" s="1"/>
  <c r="K155" i="53"/>
  <c r="K187" i="53"/>
  <c r="K119" i="53"/>
  <c r="K46" i="53"/>
  <c r="K83" i="53"/>
  <c r="K726" i="53" l="1"/>
  <c r="F181" i="7"/>
  <c r="K693" i="53"/>
  <c r="F178" i="7"/>
  <c r="K526" i="53"/>
  <c r="F162" i="7"/>
  <c r="K461" i="53"/>
  <c r="F158" i="7"/>
  <c r="K297" i="53"/>
  <c r="F141" i="7"/>
  <c r="K265" i="53"/>
  <c r="F140" i="7"/>
  <c r="K394" i="53"/>
  <c r="F144" i="7"/>
  <c r="G144" i="7" s="1"/>
  <c r="K329" i="53"/>
  <c r="F142" i="7"/>
  <c r="F190" i="7"/>
  <c r="F188" i="7"/>
  <c r="F189" i="7"/>
  <c r="F191" i="7"/>
  <c r="F187" i="7"/>
  <c r="F194" i="7"/>
  <c r="F186" i="7"/>
  <c r="F192" i="7"/>
  <c r="F193" i="7"/>
  <c r="I689" i="53"/>
  <c r="I690" i="53" s="1"/>
  <c r="F177" i="7" s="1"/>
  <c r="I656" i="53"/>
  <c r="I657" i="53" s="1"/>
  <c r="I591" i="53"/>
  <c r="I592" i="53" s="1"/>
  <c r="I522" i="53"/>
  <c r="I523" i="53" s="1"/>
  <c r="I390" i="53"/>
  <c r="I391" i="53" s="1"/>
  <c r="G178" i="7" l="1"/>
  <c r="K627" i="53"/>
  <c r="F176" i="7"/>
  <c r="G176" i="7" s="1"/>
  <c r="K660" i="53"/>
  <c r="G162" i="7"/>
  <c r="K559" i="53"/>
  <c r="F163" i="7"/>
  <c r="G158" i="7"/>
  <c r="G141" i="7"/>
  <c r="K493" i="53"/>
  <c r="F159" i="7"/>
  <c r="G140" i="7"/>
  <c r="K361" i="53"/>
  <c r="F143" i="7"/>
  <c r="G143" i="7" s="1"/>
  <c r="G142" i="7"/>
  <c r="G188" i="7"/>
  <c r="G192" i="7"/>
  <c r="G194" i="7"/>
  <c r="G190" i="7"/>
  <c r="G187" i="7"/>
  <c r="G191" i="7"/>
  <c r="G193" i="7"/>
  <c r="G186" i="7"/>
  <c r="G189" i="7"/>
  <c r="G80" i="7"/>
  <c r="G69" i="7"/>
  <c r="G57" i="7"/>
  <c r="G177" i="7" l="1"/>
  <c r="G163" i="7"/>
  <c r="G159" i="7"/>
  <c r="F741" i="1"/>
  <c r="F747" i="1"/>
  <c r="G747" i="1" s="1"/>
  <c r="G741" i="1" l="1"/>
  <c r="G45" i="7"/>
  <c r="F808" i="1"/>
  <c r="G808" i="1" l="1"/>
  <c r="F737" i="1"/>
  <c r="G737" i="1" s="1"/>
  <c r="G73" i="7" l="1"/>
  <c r="F86" i="1" l="1"/>
  <c r="G87" i="7" l="1"/>
  <c r="G86" i="1"/>
  <c r="F345" i="1"/>
  <c r="G345" i="1" s="1"/>
  <c r="G393" i="1" l="1"/>
  <c r="F116" i="7"/>
  <c r="F350" i="1"/>
  <c r="G350" i="1" s="1"/>
  <c r="G116" i="7" l="1"/>
  <c r="I41" i="53"/>
  <c r="I42" i="53" s="1"/>
  <c r="I43" i="53" l="1"/>
  <c r="I3383" i="52"/>
  <c r="I3384" i="52" s="1"/>
  <c r="K3355" i="52" s="1"/>
  <c r="F816" i="1" s="1"/>
  <c r="G816" i="1" s="1"/>
  <c r="G48" i="7"/>
  <c r="F789" i="1"/>
  <c r="K7" i="53" l="1"/>
  <c r="F7" i="7"/>
  <c r="F624" i="1"/>
  <c r="G624" i="1" s="1"/>
  <c r="F744" i="1"/>
  <c r="G744" i="1" s="1"/>
  <c r="G789" i="1"/>
  <c r="F215" i="7"/>
  <c r="F542" i="1"/>
  <c r="G542" i="1" s="1"/>
  <c r="O217" i="6"/>
  <c r="C216" i="6"/>
  <c r="N216" i="6"/>
  <c r="G215" i="7" l="1"/>
  <c r="C79" i="7"/>
  <c r="C77" i="76"/>
  <c r="G34" i="7"/>
  <c r="C10" i="7"/>
  <c r="C10" i="76"/>
  <c r="C9" i="7"/>
  <c r="C9" i="76"/>
  <c r="G70" i="7"/>
  <c r="T9" i="6"/>
  <c r="S11" i="6"/>
  <c r="S9" i="6"/>
  <c r="T11" i="6"/>
  <c r="T10" i="6"/>
  <c r="S10" i="6"/>
  <c r="T354" i="6"/>
  <c r="S354" i="6"/>
  <c r="C70" i="7"/>
  <c r="T215" i="6"/>
  <c r="T214" i="6"/>
  <c r="S215" i="6"/>
  <c r="S214" i="6"/>
  <c r="T613" i="6"/>
  <c r="S613" i="6"/>
  <c r="C121" i="76"/>
  <c r="T16" i="6"/>
  <c r="T17" i="6"/>
  <c r="C68" i="7"/>
  <c r="T13" i="6"/>
  <c r="T12" i="6"/>
  <c r="C67" i="7"/>
  <c r="T216" i="6"/>
  <c r="S14" i="6"/>
  <c r="T14" i="6"/>
  <c r="T15" i="6"/>
  <c r="S15" i="6"/>
  <c r="D77" i="76" l="1"/>
  <c r="D79" i="7"/>
  <c r="D10" i="76"/>
  <c r="D10" i="7"/>
  <c r="D9" i="7"/>
  <c r="D9" i="76"/>
  <c r="D121" i="76"/>
  <c r="D67" i="7"/>
  <c r="D70" i="7"/>
  <c r="D68" i="7"/>
  <c r="G9" i="7" l="1"/>
  <c r="G10" i="7" l="1"/>
  <c r="G77" i="7" l="1"/>
  <c r="F1181" i="1"/>
  <c r="G1181" i="1" s="1"/>
  <c r="F281" i="1"/>
  <c r="G281" i="1" s="1"/>
  <c r="F13" i="7"/>
  <c r="G7" i="7" l="1"/>
  <c r="G11" i="7" s="1"/>
  <c r="G44" i="7"/>
  <c r="G16" i="7"/>
  <c r="G15" i="7"/>
  <c r="G46" i="7"/>
  <c r="G13" i="7"/>
  <c r="F282" i="1"/>
  <c r="G282" i="1" s="1"/>
  <c r="F373" i="1"/>
  <c r="F113" i="7" s="1"/>
  <c r="F183" i="7"/>
  <c r="B4" i="22" l="1"/>
  <c r="G373" i="1"/>
  <c r="G181" i="7"/>
  <c r="G183" i="7"/>
  <c r="G14" i="7"/>
  <c r="G72" i="7"/>
  <c r="G71" i="7"/>
  <c r="F548" i="1"/>
  <c r="G548" i="1" s="1"/>
  <c r="F321" i="1"/>
  <c r="D4432" i="52" s="1"/>
  <c r="I4432" i="52" s="1"/>
  <c r="I4433" i="52" s="1"/>
  <c r="I4439" i="52" s="1"/>
  <c r="I4440" i="52" s="1"/>
  <c r="I4441" i="52" s="1"/>
  <c r="K4408" i="52" s="1"/>
  <c r="F616" i="1"/>
  <c r="F732" i="1"/>
  <c r="F184" i="7" s="1"/>
  <c r="F669" i="1"/>
  <c r="G669" i="1" s="1"/>
  <c r="F1118" i="1"/>
  <c r="G1118" i="1" s="1"/>
  <c r="F671" i="1"/>
  <c r="G671" i="1" s="1"/>
  <c r="F665" i="1"/>
  <c r="F684" i="1"/>
  <c r="G684" i="1" s="1"/>
  <c r="F214" i="1" l="1"/>
  <c r="F236" i="1"/>
  <c r="G236" i="1" s="1"/>
  <c r="G616" i="1"/>
  <c r="F160" i="7"/>
  <c r="Q8" i="77"/>
  <c r="M8" i="77"/>
  <c r="H8" i="77"/>
  <c r="E8" i="77"/>
  <c r="G8" i="77"/>
  <c r="C8" i="77"/>
  <c r="R8" i="77"/>
  <c r="K8" i="77"/>
  <c r="D8" i="77"/>
  <c r="S8" i="77"/>
  <c r="N8" i="77"/>
  <c r="O8" i="77"/>
  <c r="I8" i="77"/>
  <c r="F8" i="77"/>
  <c r="P8" i="77"/>
  <c r="L8" i="77"/>
  <c r="J8" i="77"/>
  <c r="I2733" i="52"/>
  <c r="I2734" i="52" s="1"/>
  <c r="I2735" i="52" s="1"/>
  <c r="K2704" i="52" s="1"/>
  <c r="D2401" i="52"/>
  <c r="I2401" i="52" s="1"/>
  <c r="I2405" i="52" s="1"/>
  <c r="I2411" i="52" s="1"/>
  <c r="I2412" i="52" s="1"/>
  <c r="I2413" i="52" s="1"/>
  <c r="K2380" i="52" s="1"/>
  <c r="F274" i="1" s="1"/>
  <c r="G274" i="1" s="1"/>
  <c r="D2333" i="52"/>
  <c r="I2333" i="52" s="1"/>
  <c r="I2335" i="52" s="1"/>
  <c r="I2341" i="52" s="1"/>
  <c r="I2342" i="52" s="1"/>
  <c r="I2343" i="52" s="1"/>
  <c r="K2312" i="52" s="1"/>
  <c r="F304" i="1" s="1"/>
  <c r="G304" i="1" s="1"/>
  <c r="D2367" i="52"/>
  <c r="I2367" i="52" s="1"/>
  <c r="I2369" i="52" s="1"/>
  <c r="I2375" i="52" s="1"/>
  <c r="D2229" i="52"/>
  <c r="I2229" i="52" s="1"/>
  <c r="I2231" i="52" s="1"/>
  <c r="I2237" i="52" s="1"/>
  <c r="I2238" i="52" s="1"/>
  <c r="I2239" i="52" s="1"/>
  <c r="K2206" i="52" s="1"/>
  <c r="D2299" i="52"/>
  <c r="I2299" i="52" s="1"/>
  <c r="I2301" i="52" s="1"/>
  <c r="D2085" i="52"/>
  <c r="I2085" i="52" s="1"/>
  <c r="I2087" i="52" s="1"/>
  <c r="I2093" i="52" s="1"/>
  <c r="I2094" i="52" s="1"/>
  <c r="I2095" i="52" s="1"/>
  <c r="K2062" i="52" s="1"/>
  <c r="D2121" i="52"/>
  <c r="I2121" i="52" s="1"/>
  <c r="I2123" i="52" s="1"/>
  <c r="I2129" i="52" s="1"/>
  <c r="D1977" i="52"/>
  <c r="I1977" i="52" s="1"/>
  <c r="I1979" i="52" s="1"/>
  <c r="I1985" i="52" s="1"/>
  <c r="I1986" i="52" s="1"/>
  <c r="I1987" i="52" s="1"/>
  <c r="K1954" i="52" s="1"/>
  <c r="D2049" i="52"/>
  <c r="I2049" i="52" s="1"/>
  <c r="I2051" i="52" s="1"/>
  <c r="I2057" i="52" s="1"/>
  <c r="G184" i="7"/>
  <c r="G665" i="1"/>
  <c r="F161" i="7"/>
  <c r="F156" i="7"/>
  <c r="G113" i="7"/>
  <c r="G732" i="1"/>
  <c r="G321" i="1"/>
  <c r="D2265" i="52"/>
  <c r="I2265" i="52" s="1"/>
  <c r="I2267" i="52" s="1"/>
  <c r="I2273" i="52" s="1"/>
  <c r="I2274" i="52" s="1"/>
  <c r="I2275" i="52" s="1"/>
  <c r="K2242" i="52" s="1"/>
  <c r="F292" i="1" s="1"/>
  <c r="G292" i="1" s="1"/>
  <c r="D2013" i="52"/>
  <c r="I2013" i="52" s="1"/>
  <c r="I2015" i="52" s="1"/>
  <c r="I2021" i="52" s="1"/>
  <c r="I2022" i="52" s="1"/>
  <c r="I2023" i="52" s="1"/>
  <c r="K1990" i="52" s="1"/>
  <c r="F248" i="1" s="1"/>
  <c r="G248" i="1" s="1"/>
  <c r="D2193" i="52"/>
  <c r="D1941" i="52"/>
  <c r="I1941" i="52" s="1"/>
  <c r="I1943" i="52" s="1"/>
  <c r="I1949" i="52" s="1"/>
  <c r="I1950" i="52" s="1"/>
  <c r="I1951" i="52" s="1"/>
  <c r="K1918" i="52" s="1"/>
  <c r="F254" i="1" s="1"/>
  <c r="G254" i="1" s="1"/>
  <c r="D1905" i="52"/>
  <c r="I1905" i="52" s="1"/>
  <c r="D2157" i="52"/>
  <c r="I2157" i="52" s="1"/>
  <c r="F105" i="7"/>
  <c r="D616" i="53" l="1"/>
  <c r="I616" i="53" s="1"/>
  <c r="I617" i="53" s="1"/>
  <c r="I622" i="53" s="1"/>
  <c r="I623" i="53" s="1"/>
  <c r="I624" i="53" s="1"/>
  <c r="K595" i="53" s="1"/>
  <c r="D2544" i="52"/>
  <c r="I2544" i="52" s="1"/>
  <c r="I2549" i="52" s="1"/>
  <c r="I2555" i="52" s="1"/>
  <c r="I2556" i="52" s="1"/>
  <c r="I2557" i="52" s="1"/>
  <c r="K2524" i="52" s="1"/>
  <c r="D2508" i="52"/>
  <c r="I2508" i="52" s="1"/>
  <c r="I2513" i="52" s="1"/>
  <c r="I2519" i="52" s="1"/>
  <c r="I2520" i="52" s="1"/>
  <c r="I2521" i="52" s="1"/>
  <c r="K2488" i="52" s="1"/>
  <c r="F539" i="1" s="1"/>
  <c r="G539" i="1" s="1"/>
  <c r="D2472" i="52"/>
  <c r="I2472" i="52" s="1"/>
  <c r="D2984" i="52"/>
  <c r="I2984" i="52" s="1"/>
  <c r="I2986" i="52" s="1"/>
  <c r="I2992" i="52" s="1"/>
  <c r="I2993" i="52" s="1"/>
  <c r="I2994" i="52" s="1"/>
  <c r="K2964" i="52" s="1"/>
  <c r="F550" i="1" s="1"/>
  <c r="G550" i="1" s="1"/>
  <c r="F238" i="1"/>
  <c r="G238" i="1" s="1"/>
  <c r="F260" i="1"/>
  <c r="G260" i="1" s="1"/>
  <c r="F272" i="1"/>
  <c r="G272" i="1" s="1"/>
  <c r="F299" i="1"/>
  <c r="G299" i="1" s="1"/>
  <c r="D2616" i="52"/>
  <c r="I2616" i="52" s="1"/>
  <c r="I2621" i="52" s="1"/>
  <c r="I2627" i="52" s="1"/>
  <c r="I2628" i="52" s="1"/>
  <c r="I2629" i="52" s="1"/>
  <c r="K2596" i="52" s="1"/>
  <c r="F543" i="1" s="1"/>
  <c r="G543" i="1" s="1"/>
  <c r="D2580" i="52"/>
  <c r="I2580" i="52" s="1"/>
  <c r="I2585" i="52" s="1"/>
  <c r="I2591" i="52" s="1"/>
  <c r="I2592" i="52" s="1"/>
  <c r="I2593" i="52" s="1"/>
  <c r="K2560" i="52" s="1"/>
  <c r="D449" i="53"/>
  <c r="I449" i="53" s="1"/>
  <c r="D2688" i="52"/>
  <c r="I2688" i="52" s="1"/>
  <c r="I2693" i="52" s="1"/>
  <c r="I2699" i="52" s="1"/>
  <c r="I2700" i="52" s="1"/>
  <c r="I2701" i="52" s="1"/>
  <c r="K2668" i="52" s="1"/>
  <c r="F233" i="1"/>
  <c r="G233" i="1" s="1"/>
  <c r="F255" i="1"/>
  <c r="G255" i="1" s="1"/>
  <c r="G214" i="1"/>
  <c r="D2652" i="52"/>
  <c r="I2652" i="52" s="1"/>
  <c r="I2657" i="52" s="1"/>
  <c r="I2663" i="52" s="1"/>
  <c r="I2664" i="52" s="1"/>
  <c r="I2665" i="52" s="1"/>
  <c r="K2632" i="52" s="1"/>
  <c r="F546" i="1" s="1"/>
  <c r="G546" i="1" s="1"/>
  <c r="F657" i="1"/>
  <c r="G657" i="1" s="1"/>
  <c r="F660" i="1"/>
  <c r="G660" i="1" s="1"/>
  <c r="G160" i="7"/>
  <c r="F492" i="1"/>
  <c r="G492" i="1" s="1"/>
  <c r="T8" i="77"/>
  <c r="I451" i="53"/>
  <c r="I456" i="53" s="1"/>
  <c r="I457" i="53" s="1"/>
  <c r="I458" i="53" s="1"/>
  <c r="I2477" i="52"/>
  <c r="I2483" i="52" s="1"/>
  <c r="I2484" i="52" s="1"/>
  <c r="I2485" i="52" s="1"/>
  <c r="K2452" i="52" s="1"/>
  <c r="F537" i="1" s="1"/>
  <c r="G537" i="1" s="1"/>
  <c r="I2376" i="52"/>
  <c r="I2377" i="52" s="1"/>
  <c r="K2346" i="52" s="1"/>
  <c r="I2130" i="52"/>
  <c r="I2131" i="52" s="1"/>
  <c r="K2098" i="52" s="1"/>
  <c r="I2058" i="52"/>
  <c r="I2059" i="52" s="1"/>
  <c r="K2026" i="52" s="1"/>
  <c r="G156" i="7"/>
  <c r="G161" i="7"/>
  <c r="I1907" i="52"/>
  <c r="I1913" i="52" s="1"/>
  <c r="I1914" i="52" s="1"/>
  <c r="I1915" i="52" s="1"/>
  <c r="K1882" i="52" s="1"/>
  <c r="F253" i="1" s="1"/>
  <c r="G253" i="1" s="1"/>
  <c r="I2193" i="52"/>
  <c r="I2195" i="52" s="1"/>
  <c r="I2201" i="52" s="1"/>
  <c r="I2202" i="52" s="1"/>
  <c r="I2203" i="52" s="1"/>
  <c r="K2170" i="52" s="1"/>
  <c r="I2159" i="52"/>
  <c r="I2165" i="52" s="1"/>
  <c r="I2166" i="52" s="1"/>
  <c r="I2167" i="52" s="1"/>
  <c r="K2134" i="52" s="1"/>
  <c r="F266" i="1"/>
  <c r="F291" i="1"/>
  <c r="G291" i="1" s="1"/>
  <c r="F296" i="1"/>
  <c r="G296" i="1" s="1"/>
  <c r="F232" i="1"/>
  <c r="F125" i="7" s="1"/>
  <c r="F226" i="1"/>
  <c r="F246" i="1"/>
  <c r="G246" i="1" s="1"/>
  <c r="F319" i="1"/>
  <c r="G319" i="1" s="1"/>
  <c r="F295" i="1"/>
  <c r="G295" i="1" s="1"/>
  <c r="F265" i="1"/>
  <c r="F290" i="1"/>
  <c r="G290" i="1" s="1"/>
  <c r="F247" i="1"/>
  <c r="G247" i="1" s="1"/>
  <c r="G105" i="7"/>
  <c r="G47" i="7"/>
  <c r="F133" i="7" l="1"/>
  <c r="G133" i="7" s="1"/>
  <c r="F126" i="7"/>
  <c r="G126" i="7" s="1"/>
  <c r="F166" i="7"/>
  <c r="F129" i="7"/>
  <c r="F239" i="1"/>
  <c r="G239" i="1" s="1"/>
  <c r="F261" i="1"/>
  <c r="G261" i="1" s="1"/>
  <c r="F501" i="1"/>
  <c r="G501" i="1" s="1"/>
  <c r="F547" i="1"/>
  <c r="G547" i="1" s="1"/>
  <c r="F270" i="1"/>
  <c r="F297" i="1"/>
  <c r="G297" i="1" s="1"/>
  <c r="F271" i="1"/>
  <c r="F298" i="1"/>
  <c r="G298" i="1" s="1"/>
  <c r="F278" i="1"/>
  <c r="F139" i="7" s="1"/>
  <c r="F305" i="1"/>
  <c r="G305" i="1" s="1"/>
  <c r="F495" i="1"/>
  <c r="G495" i="1" s="1"/>
  <c r="F541" i="1"/>
  <c r="G541" i="1" s="1"/>
  <c r="F237" i="1"/>
  <c r="G237" i="1" s="1"/>
  <c r="F259" i="1"/>
  <c r="G259" i="1" s="1"/>
  <c r="F494" i="1"/>
  <c r="G494" i="1" s="1"/>
  <c r="F540" i="1"/>
  <c r="G540" i="1" s="1"/>
  <c r="F153" i="7"/>
  <c r="F146" i="7"/>
  <c r="F497" i="1"/>
  <c r="G497" i="1" s="1"/>
  <c r="F496" i="1"/>
  <c r="G496" i="1" s="1"/>
  <c r="F504" i="1"/>
  <c r="G504" i="1" s="1"/>
  <c r="F503" i="1"/>
  <c r="G503" i="1" s="1"/>
  <c r="F500" i="1"/>
  <c r="G500" i="1" s="1"/>
  <c r="F499" i="1"/>
  <c r="G499" i="1" s="1"/>
  <c r="F491" i="1"/>
  <c r="G491" i="1" s="1"/>
  <c r="F490" i="1"/>
  <c r="G490" i="1" s="1"/>
  <c r="F493" i="1"/>
  <c r="G493" i="1" s="1"/>
  <c r="K427" i="53"/>
  <c r="F151" i="7"/>
  <c r="G151" i="7" s="1"/>
  <c r="G129" i="7"/>
  <c r="G271" i="1"/>
  <c r="F132" i="7"/>
  <c r="G125" i="7"/>
  <c r="G52" i="7"/>
  <c r="F127" i="7"/>
  <c r="G265" i="1"/>
  <c r="F134" i="7"/>
  <c r="F227" i="1"/>
  <c r="G227" i="1" s="1"/>
  <c r="F519" i="1"/>
  <c r="G232" i="1"/>
  <c r="G266" i="1"/>
  <c r="G226" i="1"/>
  <c r="D463" i="52"/>
  <c r="F231" i="1"/>
  <c r="F124" i="7" s="1"/>
  <c r="C4" i="75"/>
  <c r="D4" i="75" s="1"/>
  <c r="E4" i="75" s="1"/>
  <c r="F4" i="75" s="1"/>
  <c r="G4" i="75" s="1"/>
  <c r="H4" i="75" s="1"/>
  <c r="I4" i="75" s="1"/>
  <c r="J4" i="75" s="1"/>
  <c r="K4" i="75" s="1"/>
  <c r="L4" i="75" s="1"/>
  <c r="M4" i="75" s="1"/>
  <c r="N4" i="75" s="1"/>
  <c r="O4" i="75" s="1"/>
  <c r="P4" i="75" s="1"/>
  <c r="Q4" i="75" s="1"/>
  <c r="R4" i="75" s="1"/>
  <c r="S4" i="75" s="1"/>
  <c r="F130" i="7" l="1"/>
  <c r="G130" i="7" s="1"/>
  <c r="F137" i="7"/>
  <c r="G137" i="7" s="1"/>
  <c r="G278" i="1"/>
  <c r="F128" i="7"/>
  <c r="G128" i="7" s="1"/>
  <c r="F131" i="7"/>
  <c r="G270" i="1"/>
  <c r="G166" i="7"/>
  <c r="F148" i="7"/>
  <c r="F122" i="7"/>
  <c r="G139" i="7"/>
  <c r="I463" i="52"/>
  <c r="F152" i="7"/>
  <c r="G153" i="7"/>
  <c r="G146" i="7"/>
  <c r="F149" i="7"/>
  <c r="F165" i="7"/>
  <c r="F147" i="7"/>
  <c r="F145" i="7"/>
  <c r="F150" i="7"/>
  <c r="G519" i="1"/>
  <c r="F174" i="7"/>
  <c r="G124" i="7"/>
  <c r="G134" i="7"/>
  <c r="G127" i="7"/>
  <c r="G132" i="7"/>
  <c r="I2307" i="52"/>
  <c r="I2308" i="52" s="1"/>
  <c r="I2309" i="52" s="1"/>
  <c r="K2278" i="52" s="1"/>
  <c r="G231" i="1"/>
  <c r="G54" i="7"/>
  <c r="G51" i="7"/>
  <c r="G61" i="7"/>
  <c r="I3135" i="52"/>
  <c r="I3141" i="52" s="1"/>
  <c r="I3142" i="52" s="1"/>
  <c r="I3143" i="52" s="1"/>
  <c r="K3108" i="52" s="1"/>
  <c r="F531" i="1" s="1"/>
  <c r="G531" i="1" s="1"/>
  <c r="F480" i="1"/>
  <c r="G480" i="1" s="1"/>
  <c r="F252" i="1"/>
  <c r="F442" i="1"/>
  <c r="G442" i="1" s="1"/>
  <c r="G59" i="7"/>
  <c r="G60" i="7"/>
  <c r="F524" i="1"/>
  <c r="G524" i="1" s="1"/>
  <c r="F481" i="1"/>
  <c r="G481" i="1" s="1"/>
  <c r="F275" i="1"/>
  <c r="G275" i="1" s="1"/>
  <c r="F250" i="1"/>
  <c r="G250" i="1" s="1"/>
  <c r="F521" i="1"/>
  <c r="F525" i="1"/>
  <c r="G525" i="1" s="1"/>
  <c r="F482" i="1"/>
  <c r="G482" i="1" s="1"/>
  <c r="F523" i="1"/>
  <c r="G523" i="1" s="1"/>
  <c r="F277" i="1"/>
  <c r="F522" i="1"/>
  <c r="G522" i="1" s="1"/>
  <c r="F479" i="1"/>
  <c r="G479" i="1" s="1"/>
  <c r="F487" i="1"/>
  <c r="F173" i="7" s="1"/>
  <c r="G55" i="7"/>
  <c r="F787" i="1"/>
  <c r="G787" i="1" s="1"/>
  <c r="F720" i="1"/>
  <c r="G720" i="1" s="1"/>
  <c r="G68" i="7"/>
  <c r="G56" i="7"/>
  <c r="G131" i="7" l="1"/>
  <c r="F294" i="1"/>
  <c r="G294" i="1" s="1"/>
  <c r="F303" i="1"/>
  <c r="G303" i="1" s="1"/>
  <c r="G122" i="7"/>
  <c r="G148" i="7"/>
  <c r="I469" i="52"/>
  <c r="G152" i="7"/>
  <c r="G165" i="7"/>
  <c r="G149" i="7"/>
  <c r="G147" i="7"/>
  <c r="G150" i="7"/>
  <c r="G145" i="7"/>
  <c r="G173" i="7"/>
  <c r="F478" i="1"/>
  <c r="G478" i="1" s="1"/>
  <c r="F485" i="1"/>
  <c r="F171" i="7" s="1"/>
  <c r="G277" i="1"/>
  <c r="F136" i="7"/>
  <c r="G252" i="1"/>
  <c r="F138" i="7"/>
  <c r="G174" i="7"/>
  <c r="G487" i="1"/>
  <c r="F172" i="7"/>
  <c r="I3097" i="52"/>
  <c r="I3103" i="52" s="1"/>
  <c r="I3104" i="52" s="1"/>
  <c r="I3105" i="52" s="1"/>
  <c r="K3070" i="52" s="1"/>
  <c r="G50" i="7"/>
  <c r="F276" i="1"/>
  <c r="F251" i="1"/>
  <c r="G251" i="1" s="1"/>
  <c r="G58" i="7"/>
  <c r="F104" i="7"/>
  <c r="G104" i="7" s="1"/>
  <c r="G521" i="1"/>
  <c r="M47" i="46"/>
  <c r="L47" i="46"/>
  <c r="K47" i="46"/>
  <c r="A47" i="46"/>
  <c r="M46" i="46"/>
  <c r="L46" i="46"/>
  <c r="K46" i="46"/>
  <c r="A46" i="46"/>
  <c r="M45" i="46"/>
  <c r="L45" i="46"/>
  <c r="K45" i="46"/>
  <c r="A45" i="46"/>
  <c r="H34" i="46"/>
  <c r="J34" i="46" s="1"/>
  <c r="G34" i="46"/>
  <c r="A34" i="46"/>
  <c r="H33" i="46"/>
  <c r="J33" i="46" s="1"/>
  <c r="G33" i="46"/>
  <c r="A33" i="46"/>
  <c r="H32" i="46"/>
  <c r="J32" i="46" s="1"/>
  <c r="G32" i="46"/>
  <c r="A32" i="46"/>
  <c r="I20" i="46"/>
  <c r="J20" i="46" s="1"/>
  <c r="A20" i="46"/>
  <c r="I19" i="46"/>
  <c r="J19" i="46" s="1"/>
  <c r="A19" i="46"/>
  <c r="I18" i="46"/>
  <c r="J18" i="46" s="1"/>
  <c r="A18" i="46"/>
  <c r="I9" i="46"/>
  <c r="H9" i="46"/>
  <c r="A9" i="46"/>
  <c r="I8" i="46"/>
  <c r="H8" i="46"/>
  <c r="A8" i="46"/>
  <c r="I7" i="46"/>
  <c r="H7" i="46"/>
  <c r="A7" i="46"/>
  <c r="M46" i="45"/>
  <c r="L46" i="45"/>
  <c r="K46" i="45"/>
  <c r="A46" i="45"/>
  <c r="M45" i="45"/>
  <c r="L45" i="45"/>
  <c r="K45" i="45"/>
  <c r="A45" i="45"/>
  <c r="H32" i="45"/>
  <c r="J32" i="45" s="1"/>
  <c r="G32" i="45"/>
  <c r="A32" i="45"/>
  <c r="I19" i="45"/>
  <c r="J19" i="45" s="1"/>
  <c r="A19" i="45"/>
  <c r="I18" i="45"/>
  <c r="J18" i="45" s="1"/>
  <c r="A18" i="45"/>
  <c r="M47" i="47"/>
  <c r="L47" i="47"/>
  <c r="K47" i="47"/>
  <c r="A47" i="47"/>
  <c r="M46" i="47"/>
  <c r="L46" i="47"/>
  <c r="K46" i="47"/>
  <c r="A46" i="47"/>
  <c r="M45" i="47"/>
  <c r="L45" i="47"/>
  <c r="K45" i="47"/>
  <c r="A45" i="47"/>
  <c r="H35" i="47"/>
  <c r="J35" i="47" s="1"/>
  <c r="G35" i="47"/>
  <c r="A35" i="47"/>
  <c r="H34" i="47"/>
  <c r="J34" i="47" s="1"/>
  <c r="G34" i="47"/>
  <c r="A34" i="47"/>
  <c r="H33" i="47"/>
  <c r="J33" i="47" s="1"/>
  <c r="G33" i="47"/>
  <c r="A33" i="47"/>
  <c r="H32" i="47"/>
  <c r="J32" i="47" s="1"/>
  <c r="G32" i="47"/>
  <c r="A32" i="47"/>
  <c r="I19" i="47"/>
  <c r="J19" i="47" s="1"/>
  <c r="A19" i="47"/>
  <c r="I18" i="47"/>
  <c r="J18" i="47" s="1"/>
  <c r="A18" i="47"/>
  <c r="I7" i="47"/>
  <c r="H7" i="47"/>
  <c r="G7" i="47"/>
  <c r="A7" i="47"/>
  <c r="M46" i="41"/>
  <c r="L46" i="41"/>
  <c r="K46" i="41"/>
  <c r="A46" i="41"/>
  <c r="M45" i="41"/>
  <c r="L45" i="41"/>
  <c r="K45" i="41"/>
  <c r="A45" i="41"/>
  <c r="H33" i="41"/>
  <c r="J33" i="41" s="1"/>
  <c r="G33" i="41"/>
  <c r="A33" i="41"/>
  <c r="H32" i="41"/>
  <c r="J32" i="41" s="1"/>
  <c r="G32" i="41"/>
  <c r="A32" i="41"/>
  <c r="I19" i="41"/>
  <c r="J19" i="41" s="1"/>
  <c r="A19" i="41"/>
  <c r="I18" i="41"/>
  <c r="J18" i="41" s="1"/>
  <c r="A18" i="41"/>
  <c r="I8" i="41"/>
  <c r="H8" i="41"/>
  <c r="A8" i="41"/>
  <c r="B3" i="41"/>
  <c r="A3" i="41"/>
  <c r="V32" i="23"/>
  <c r="W30" i="23"/>
  <c r="Y30" i="23" s="1"/>
  <c r="V30" i="23"/>
  <c r="R30" i="23"/>
  <c r="S30" i="23" s="1"/>
  <c r="Q30" i="23"/>
  <c r="K30" i="23"/>
  <c r="W29" i="23"/>
  <c r="Y29" i="23" s="1"/>
  <c r="V29" i="23"/>
  <c r="R29" i="23"/>
  <c r="Q29" i="23"/>
  <c r="K29" i="23"/>
  <c r="W28" i="23"/>
  <c r="Y28" i="23" s="1"/>
  <c r="V28" i="23"/>
  <c r="R28" i="23"/>
  <c r="Q28" i="23"/>
  <c r="K28" i="23"/>
  <c r="W27" i="23"/>
  <c r="Y27" i="23" s="1"/>
  <c r="V27" i="23"/>
  <c r="R27" i="23"/>
  <c r="Q27" i="23"/>
  <c r="K27" i="23"/>
  <c r="W26" i="23"/>
  <c r="Y26" i="23" s="1"/>
  <c r="V26" i="23"/>
  <c r="R26" i="23"/>
  <c r="Q26" i="23"/>
  <c r="K26" i="23"/>
  <c r="W25" i="23"/>
  <c r="Y25" i="23" s="1"/>
  <c r="V25" i="23"/>
  <c r="R25" i="23"/>
  <c r="Q25" i="23"/>
  <c r="K25" i="23"/>
  <c r="W24" i="23"/>
  <c r="Y24" i="23" s="1"/>
  <c r="V24" i="23"/>
  <c r="R24" i="23"/>
  <c r="Q24" i="23"/>
  <c r="K24" i="23"/>
  <c r="W23" i="23"/>
  <c r="Y23" i="23" s="1"/>
  <c r="V23" i="23"/>
  <c r="R23" i="23"/>
  <c r="Q23" i="23"/>
  <c r="K23" i="23"/>
  <c r="G23" i="23"/>
  <c r="G24" i="23" s="1"/>
  <c r="W22" i="23"/>
  <c r="Y22" i="23" s="1"/>
  <c r="V22" i="23"/>
  <c r="R22" i="23"/>
  <c r="Q22" i="23"/>
  <c r="K22" i="23"/>
  <c r="H22" i="23"/>
  <c r="J49" i="28"/>
  <c r="O43" i="28"/>
  <c r="J42" i="28"/>
  <c r="J19" i="28"/>
  <c r="J18" i="28"/>
  <c r="J7" i="28"/>
  <c r="J15" i="28" s="1"/>
  <c r="J53" i="31"/>
  <c r="J37" i="31"/>
  <c r="I36" i="31"/>
  <c r="J36" i="31" s="1"/>
  <c r="J23" i="31"/>
  <c r="J22" i="31"/>
  <c r="J53" i="29"/>
  <c r="J46" i="29"/>
  <c r="J22" i="29"/>
  <c r="J31" i="29" s="1"/>
  <c r="J49" i="44"/>
  <c r="J27" i="44"/>
  <c r="H10" i="44" s="1"/>
  <c r="J10" i="44" s="1"/>
  <c r="J15" i="44" s="1"/>
  <c r="J28" i="44" s="1"/>
  <c r="J29" i="44" s="1"/>
  <c r="J49" i="40"/>
  <c r="J27" i="40"/>
  <c r="M45" i="42"/>
  <c r="L45" i="42"/>
  <c r="K45" i="42"/>
  <c r="A45" i="42"/>
  <c r="H32" i="42"/>
  <c r="J32" i="42" s="1"/>
  <c r="G32" i="42"/>
  <c r="A32" i="42"/>
  <c r="I20" i="42"/>
  <c r="J20" i="42" s="1"/>
  <c r="A20" i="42"/>
  <c r="I19" i="42"/>
  <c r="J19" i="42" s="1"/>
  <c r="A19" i="42"/>
  <c r="I18" i="42"/>
  <c r="J18" i="42" s="1"/>
  <c r="A18" i="42"/>
  <c r="I7" i="42"/>
  <c r="H7" i="42"/>
  <c r="A7" i="42"/>
  <c r="M45" i="39"/>
  <c r="L45" i="39"/>
  <c r="K45" i="39"/>
  <c r="A45" i="39"/>
  <c r="H32" i="39"/>
  <c r="J32" i="39" s="1"/>
  <c r="G32" i="39"/>
  <c r="A32" i="39"/>
  <c r="I20" i="39"/>
  <c r="J20" i="39" s="1"/>
  <c r="A20" i="39"/>
  <c r="I19" i="39"/>
  <c r="J19" i="39" s="1"/>
  <c r="A19" i="39"/>
  <c r="I18" i="39"/>
  <c r="J18" i="39" s="1"/>
  <c r="A18" i="39"/>
  <c r="M45" i="38"/>
  <c r="L45" i="38"/>
  <c r="K45" i="38"/>
  <c r="A45" i="38"/>
  <c r="J32" i="38"/>
  <c r="I19" i="38"/>
  <c r="J19" i="38" s="1"/>
  <c r="A19" i="38"/>
  <c r="I18" i="38"/>
  <c r="J18" i="38" s="1"/>
  <c r="A18" i="38"/>
  <c r="I8" i="38"/>
  <c r="H8" i="38"/>
  <c r="A8" i="38"/>
  <c r="I7" i="38"/>
  <c r="H7" i="38"/>
  <c r="A7" i="38"/>
  <c r="M45" i="37"/>
  <c r="L45" i="37"/>
  <c r="K45" i="37"/>
  <c r="A45" i="37"/>
  <c r="H32" i="37"/>
  <c r="J32" i="37" s="1"/>
  <c r="I19" i="37"/>
  <c r="J19" i="37" s="1"/>
  <c r="A19" i="37"/>
  <c r="I18" i="37"/>
  <c r="J18" i="37" s="1"/>
  <c r="A18" i="37"/>
  <c r="I8" i="37"/>
  <c r="H8" i="37"/>
  <c r="A8" i="37"/>
  <c r="I7" i="37"/>
  <c r="H7" i="37"/>
  <c r="A7" i="37"/>
  <c r="M47" i="36"/>
  <c r="L47" i="36"/>
  <c r="K47" i="36"/>
  <c r="A47" i="36"/>
  <c r="M46" i="36"/>
  <c r="L46" i="36"/>
  <c r="K46" i="36"/>
  <c r="A46" i="36"/>
  <c r="M45" i="36"/>
  <c r="L45" i="36"/>
  <c r="K45" i="36"/>
  <c r="A45" i="36"/>
  <c r="H34" i="36"/>
  <c r="J34" i="36" s="1"/>
  <c r="G34" i="36"/>
  <c r="A34" i="36"/>
  <c r="H33" i="36"/>
  <c r="J33" i="36" s="1"/>
  <c r="G33" i="36"/>
  <c r="A33" i="36"/>
  <c r="H32" i="36"/>
  <c r="J32" i="36" s="1"/>
  <c r="G32" i="36"/>
  <c r="A32" i="36"/>
  <c r="I20" i="36"/>
  <c r="J20" i="36" s="1"/>
  <c r="A20" i="36"/>
  <c r="I19" i="36"/>
  <c r="J19" i="36" s="1"/>
  <c r="A19" i="36"/>
  <c r="I18" i="36"/>
  <c r="J18" i="36" s="1"/>
  <c r="A18" i="36"/>
  <c r="I9" i="36"/>
  <c r="H9" i="36"/>
  <c r="A9" i="36"/>
  <c r="I8" i="36"/>
  <c r="H8" i="36"/>
  <c r="A8" i="36"/>
  <c r="I7" i="36"/>
  <c r="H7" i="36"/>
  <c r="A7" i="36"/>
  <c r="M47" i="35"/>
  <c r="L47" i="35"/>
  <c r="K47" i="35"/>
  <c r="A47" i="35"/>
  <c r="M46" i="35"/>
  <c r="L46" i="35"/>
  <c r="K46" i="35"/>
  <c r="A46" i="35"/>
  <c r="M45" i="35"/>
  <c r="L45" i="35"/>
  <c r="K45" i="35"/>
  <c r="A45" i="35"/>
  <c r="H35" i="35"/>
  <c r="J35" i="35" s="1"/>
  <c r="G35" i="35"/>
  <c r="A35" i="35"/>
  <c r="H34" i="35"/>
  <c r="J34" i="35" s="1"/>
  <c r="G34" i="35"/>
  <c r="A34" i="35"/>
  <c r="H33" i="35"/>
  <c r="J33" i="35" s="1"/>
  <c r="G33" i="35"/>
  <c r="A33" i="35"/>
  <c r="H32" i="35"/>
  <c r="J32" i="35" s="1"/>
  <c r="G32" i="35"/>
  <c r="A32" i="35"/>
  <c r="I19" i="35"/>
  <c r="J19" i="35" s="1"/>
  <c r="A19" i="35"/>
  <c r="I18" i="35"/>
  <c r="J18" i="35" s="1"/>
  <c r="A18" i="35"/>
  <c r="B64" i="24"/>
  <c r="J56" i="24"/>
  <c r="E55" i="24"/>
  <c r="L55" i="24" s="1"/>
  <c r="J52" i="24"/>
  <c r="I19" i="24"/>
  <c r="J19" i="24" s="1"/>
  <c r="A19" i="24"/>
  <c r="I18" i="24"/>
  <c r="J18" i="24" s="1"/>
  <c r="A18" i="24"/>
  <c r="I17" i="24"/>
  <c r="J17" i="24" s="1"/>
  <c r="A17" i="24"/>
  <c r="I6" i="24"/>
  <c r="H6" i="24"/>
  <c r="A6" i="24"/>
  <c r="A2" i="24"/>
  <c r="F483" i="1" l="1"/>
  <c r="G483" i="1" s="1"/>
  <c r="F530" i="1"/>
  <c r="G530" i="1" s="1"/>
  <c r="I475" i="52"/>
  <c r="I476" i="52" s="1"/>
  <c r="I477" i="52" s="1"/>
  <c r="K439" i="52" s="1"/>
  <c r="F1468" i="1" s="1"/>
  <c r="G171" i="7"/>
  <c r="G485" i="1"/>
  <c r="F477" i="1"/>
  <c r="G477" i="1" s="1"/>
  <c r="F484" i="1"/>
  <c r="F170" i="7" s="1"/>
  <c r="G276" i="1"/>
  <c r="F135" i="7"/>
  <c r="G138" i="7"/>
  <c r="G136" i="7"/>
  <c r="G172" i="7"/>
  <c r="G53" i="7"/>
  <c r="G63" i="7"/>
  <c r="G67" i="7"/>
  <c r="G66" i="7"/>
  <c r="G49" i="7"/>
  <c r="G64" i="7"/>
  <c r="S27" i="23"/>
  <c r="J27" i="36"/>
  <c r="H10" i="36" s="1"/>
  <c r="J10" i="36" s="1"/>
  <c r="B3" i="35"/>
  <c r="J9" i="36"/>
  <c r="H46" i="46"/>
  <c r="J46" i="46" s="1"/>
  <c r="J27" i="41"/>
  <c r="H10" i="41" s="1"/>
  <c r="J10" i="41" s="1"/>
  <c r="S26" i="23"/>
  <c r="H47" i="36"/>
  <c r="J47" i="36" s="1"/>
  <c r="J27" i="37"/>
  <c r="H10" i="37" s="1"/>
  <c r="J10" i="37" s="1"/>
  <c r="A55" i="24"/>
  <c r="J31" i="31"/>
  <c r="H11" i="31" s="1"/>
  <c r="J11" i="31" s="1"/>
  <c r="J19" i="31" s="1"/>
  <c r="J32" i="31" s="1"/>
  <c r="J33" i="31" s="1"/>
  <c r="K55" i="24"/>
  <c r="M55" i="24"/>
  <c r="S22" i="23"/>
  <c r="H47" i="46"/>
  <c r="J47" i="46" s="1"/>
  <c r="J7" i="42"/>
  <c r="S24" i="23"/>
  <c r="J27" i="28"/>
  <c r="J28" i="28" s="1"/>
  <c r="J29" i="28" s="1"/>
  <c r="J50" i="28" s="1"/>
  <c r="J51" i="28" s="1"/>
  <c r="J52" i="28" s="1"/>
  <c r="S29" i="23"/>
  <c r="J27" i="47"/>
  <c r="H13" i="47" s="1"/>
  <c r="J13" i="47" s="1"/>
  <c r="S25" i="23"/>
  <c r="J27" i="35"/>
  <c r="H7" i="35" s="1"/>
  <c r="J7" i="35" s="1"/>
  <c r="J15" i="35" s="1"/>
  <c r="J28" i="35" s="1"/>
  <c r="J29" i="35" s="1"/>
  <c r="J46" i="31"/>
  <c r="S28" i="23"/>
  <c r="J37" i="24"/>
  <c r="J27" i="45"/>
  <c r="H10" i="45" s="1"/>
  <c r="J10" i="45" s="1"/>
  <c r="J15" i="45" s="1"/>
  <c r="J28" i="45" s="1"/>
  <c r="J29" i="45" s="1"/>
  <c r="S23" i="23"/>
  <c r="J27" i="39"/>
  <c r="H10" i="39" s="1"/>
  <c r="J10" i="39" s="1"/>
  <c r="J15" i="39" s="1"/>
  <c r="J28" i="39" s="1"/>
  <c r="J29" i="39" s="1"/>
  <c r="J27" i="46"/>
  <c r="H13" i="46" s="1"/>
  <c r="J13" i="46" s="1"/>
  <c r="H45" i="36"/>
  <c r="J45" i="36" s="1"/>
  <c r="H47" i="35"/>
  <c r="J47" i="35" s="1"/>
  <c r="H47" i="47"/>
  <c r="J47" i="47" s="1"/>
  <c r="H45" i="35"/>
  <c r="J45" i="35" s="1"/>
  <c r="H46" i="36"/>
  <c r="J46" i="36" s="1"/>
  <c r="H45" i="47"/>
  <c r="J45" i="47" s="1"/>
  <c r="H46" i="47"/>
  <c r="J46" i="47" s="1"/>
  <c r="H46" i="35"/>
  <c r="J46" i="35" s="1"/>
  <c r="H45" i="37"/>
  <c r="J45" i="37" s="1"/>
  <c r="J49" i="37" s="1"/>
  <c r="H46" i="45"/>
  <c r="J46" i="45" s="1"/>
  <c r="H45" i="38"/>
  <c r="J45" i="38" s="1"/>
  <c r="J49" i="38" s="1"/>
  <c r="H45" i="42"/>
  <c r="J45" i="42" s="1"/>
  <c r="J49" i="42" s="1"/>
  <c r="H45" i="41"/>
  <c r="J45" i="41" s="1"/>
  <c r="H45" i="45"/>
  <c r="J45" i="45" s="1"/>
  <c r="H45" i="39"/>
  <c r="J45" i="39" s="1"/>
  <c r="J49" i="39" s="1"/>
  <c r="H46" i="41"/>
  <c r="J46" i="41" s="1"/>
  <c r="H45" i="46"/>
  <c r="J45" i="46" s="1"/>
  <c r="A3" i="35"/>
  <c r="A3" i="40"/>
  <c r="A3" i="38"/>
  <c r="A3" i="44"/>
  <c r="A3" i="39"/>
  <c r="A3" i="36"/>
  <c r="A3" i="42"/>
  <c r="A3" i="37"/>
  <c r="J42" i="35"/>
  <c r="J42" i="41"/>
  <c r="J42" i="46"/>
  <c r="J42" i="36"/>
  <c r="H11" i="29"/>
  <c r="J11" i="29" s="1"/>
  <c r="J19" i="29" s="1"/>
  <c r="J32" i="29" s="1"/>
  <c r="J33" i="29" s="1"/>
  <c r="J54" i="29" s="1"/>
  <c r="J55" i="29" s="1"/>
  <c r="J56" i="29" s="1"/>
  <c r="G25" i="23"/>
  <c r="H24" i="23"/>
  <c r="J42" i="47"/>
  <c r="J27" i="38"/>
  <c r="H10" i="38" s="1"/>
  <c r="J10" i="38" s="1"/>
  <c r="J27" i="42"/>
  <c r="H10" i="42" s="1"/>
  <c r="J10" i="42" s="1"/>
  <c r="J7" i="37"/>
  <c r="J7" i="38"/>
  <c r="J7" i="47"/>
  <c r="J8" i="46"/>
  <c r="H10" i="40"/>
  <c r="J10" i="40" s="1"/>
  <c r="J15" i="40" s="1"/>
  <c r="J28" i="40" s="1"/>
  <c r="J29" i="40" s="1"/>
  <c r="H23" i="23"/>
  <c r="B3" i="44"/>
  <c r="B3" i="40"/>
  <c r="B2" i="24"/>
  <c r="B3" i="37"/>
  <c r="J9" i="46"/>
  <c r="J7" i="36"/>
  <c r="J8" i="38"/>
  <c r="J6" i="24"/>
  <c r="J14" i="24" s="1"/>
  <c r="J8" i="41"/>
  <c r="J7" i="46"/>
  <c r="J8" i="37"/>
  <c r="J8" i="36"/>
  <c r="G1468" i="1" l="1"/>
  <c r="G170" i="7"/>
  <c r="G484" i="1"/>
  <c r="F169" i="7"/>
  <c r="G135" i="7"/>
  <c r="G62" i="7"/>
  <c r="G65" i="7"/>
  <c r="H55" i="24"/>
  <c r="J55" i="24" s="1"/>
  <c r="J59" i="24" s="1"/>
  <c r="G78" i="7"/>
  <c r="J15" i="41"/>
  <c r="J28" i="41" s="1"/>
  <c r="J29" i="41" s="1"/>
  <c r="J49" i="46"/>
  <c r="J15" i="42"/>
  <c r="J28" i="42" s="1"/>
  <c r="J29" i="42" s="1"/>
  <c r="J54" i="31"/>
  <c r="J55" i="31" s="1"/>
  <c r="J56" i="31" s="1"/>
  <c r="J15" i="46"/>
  <c r="J28" i="46" s="1"/>
  <c r="J29" i="46" s="1"/>
  <c r="J38" i="24"/>
  <c r="J39" i="24" s="1"/>
  <c r="J15" i="47"/>
  <c r="J28" i="47" s="1"/>
  <c r="J29" i="47" s="1"/>
  <c r="J49" i="45"/>
  <c r="J49" i="36"/>
  <c r="J49" i="41"/>
  <c r="J49" i="35"/>
  <c r="J50" i="35" s="1"/>
  <c r="J51" i="35" s="1"/>
  <c r="J52" i="35" s="1"/>
  <c r="J15" i="37"/>
  <c r="J28" i="37" s="1"/>
  <c r="J29" i="37" s="1"/>
  <c r="J15" i="38"/>
  <c r="J28" i="38" s="1"/>
  <c r="J29" i="38" s="1"/>
  <c r="J15" i="36"/>
  <c r="J28" i="36" s="1"/>
  <c r="J29" i="36" s="1"/>
  <c r="J49" i="47"/>
  <c r="G26" i="23"/>
  <c r="H25" i="23"/>
  <c r="G31" i="7" l="1"/>
  <c r="G42" i="7" s="1"/>
  <c r="G169" i="7"/>
  <c r="J60" i="24"/>
  <c r="J61" i="24" s="1"/>
  <c r="J62" i="24" s="1"/>
  <c r="J50" i="47"/>
  <c r="J51" i="47" s="1"/>
  <c r="J52" i="47" s="1"/>
  <c r="J50" i="41"/>
  <c r="H39" i="42" s="1"/>
  <c r="J39" i="42" s="1"/>
  <c r="J42" i="42" s="1"/>
  <c r="J50" i="42" s="1"/>
  <c r="J51" i="42" s="1"/>
  <c r="J52" i="42" s="1"/>
  <c r="J50" i="46"/>
  <c r="H38" i="45" s="1"/>
  <c r="J38" i="45" s="1"/>
  <c r="J42" i="45" s="1"/>
  <c r="J50" i="45" s="1"/>
  <c r="J51" i="45" s="1"/>
  <c r="J52" i="45" s="1"/>
  <c r="J50" i="36"/>
  <c r="J51" i="36" s="1"/>
  <c r="J52" i="36" s="1"/>
  <c r="I3" i="35"/>
  <c r="G27" i="23"/>
  <c r="H26" i="23"/>
  <c r="B5" i="22" l="1"/>
  <c r="G79" i="7"/>
  <c r="H39" i="39"/>
  <c r="J39" i="39" s="1"/>
  <c r="J42" i="39" s="1"/>
  <c r="J50" i="39" s="1"/>
  <c r="J51" i="39" s="1"/>
  <c r="J52" i="39" s="1"/>
  <c r="J51" i="41"/>
  <c r="J52" i="41" s="1"/>
  <c r="H40" i="44"/>
  <c r="J40" i="44" s="1"/>
  <c r="H40" i="40"/>
  <c r="J40" i="40" s="1"/>
  <c r="H33" i="38"/>
  <c r="J33" i="38" s="1"/>
  <c r="J42" i="38" s="1"/>
  <c r="J50" i="38" s="1"/>
  <c r="J51" i="38" s="1"/>
  <c r="J52" i="38" s="1"/>
  <c r="H33" i="37"/>
  <c r="J33" i="37" s="1"/>
  <c r="J42" i="37" s="1"/>
  <c r="J50" i="37" s="1"/>
  <c r="J51" i="37" s="1"/>
  <c r="J52" i="37" s="1"/>
  <c r="J51" i="46"/>
  <c r="J52" i="46" s="1"/>
  <c r="H39" i="40"/>
  <c r="J39" i="40" s="1"/>
  <c r="H39" i="44"/>
  <c r="J39" i="44" s="1"/>
  <c r="G28" i="23"/>
  <c r="H27" i="23"/>
  <c r="F81" i="7" l="1"/>
  <c r="G81" i="7" s="1"/>
  <c r="G100" i="7" s="1"/>
  <c r="N11" i="77"/>
  <c r="G11" i="77"/>
  <c r="P11" i="77"/>
  <c r="I11" i="77"/>
  <c r="Q11" i="77"/>
  <c r="C11" i="77"/>
  <c r="R11" i="77"/>
  <c r="K11" i="77"/>
  <c r="M11" i="77"/>
  <c r="O11" i="77"/>
  <c r="H11" i="77"/>
  <c r="S11" i="77"/>
  <c r="J11" i="77"/>
  <c r="D11" i="77"/>
  <c r="L11" i="77"/>
  <c r="E11" i="77"/>
  <c r="F11" i="77"/>
  <c r="C5" i="22"/>
  <c r="J42" i="40"/>
  <c r="J50" i="40" s="1"/>
  <c r="J51" i="40" s="1"/>
  <c r="J52" i="40" s="1"/>
  <c r="J42" i="44"/>
  <c r="J50" i="44" s="1"/>
  <c r="J51" i="44" s="1"/>
  <c r="J52" i="44" s="1"/>
  <c r="G29" i="23"/>
  <c r="H28" i="23"/>
  <c r="T11" i="77" l="1"/>
  <c r="B7" i="22"/>
  <c r="Q17" i="77" s="1"/>
  <c r="G30" i="23"/>
  <c r="H30" i="23" s="1"/>
  <c r="H29" i="23"/>
  <c r="H17" i="77" l="1"/>
  <c r="P17" i="77"/>
  <c r="I17" i="77"/>
  <c r="J17" i="77"/>
  <c r="F17" i="77"/>
  <c r="K17" i="77"/>
  <c r="L17" i="77"/>
  <c r="M17" i="77"/>
  <c r="N17" i="77"/>
  <c r="G17" i="77"/>
  <c r="O17" i="77"/>
  <c r="B3" i="39"/>
  <c r="B3" i="36"/>
  <c r="T17" i="77" l="1"/>
  <c r="I3" i="41"/>
  <c r="B3" i="42"/>
  <c r="B3" i="38"/>
  <c r="I3" i="36" l="1"/>
  <c r="G103" i="7" l="1"/>
  <c r="F213" i="7"/>
  <c r="G213" i="7" l="1"/>
  <c r="G217" i="7" s="1"/>
  <c r="B10" i="22" l="1"/>
  <c r="G74" i="7"/>
  <c r="G75" i="7" l="1"/>
  <c r="B6" i="22" s="1"/>
  <c r="J14" i="77" s="1"/>
  <c r="P26" i="77"/>
  <c r="Q26" i="77"/>
  <c r="L26" i="77"/>
  <c r="R26" i="77"/>
  <c r="K26" i="77"/>
  <c r="M26" i="77"/>
  <c r="S26" i="77"/>
  <c r="N26" i="77"/>
  <c r="J26" i="77"/>
  <c r="E26" i="77"/>
  <c r="O26" i="77"/>
  <c r="G102" i="7"/>
  <c r="G179" i="7" s="1"/>
  <c r="B8" i="22" l="1"/>
  <c r="T26" i="77"/>
  <c r="G14" i="77"/>
  <c r="H14" i="77"/>
  <c r="I14" i="77"/>
  <c r="B14" i="77"/>
  <c r="C14" i="77"/>
  <c r="D14" i="77"/>
  <c r="E14" i="77"/>
  <c r="F14" i="77"/>
  <c r="C6" i="22"/>
  <c r="C7" i="22"/>
  <c r="G20" i="77" l="1"/>
  <c r="G27" i="77" s="1"/>
  <c r="C20" i="77"/>
  <c r="C27" i="77" s="1"/>
  <c r="J20" i="77"/>
  <c r="J27" i="77" s="1"/>
  <c r="K20" i="77"/>
  <c r="L20" i="77"/>
  <c r="D20" i="77"/>
  <c r="D27" i="77" s="1"/>
  <c r="M20" i="77"/>
  <c r="N20" i="77"/>
  <c r="I20" i="77"/>
  <c r="I27" i="77" s="1"/>
  <c r="H20" i="77"/>
  <c r="H27" i="77" s="1"/>
  <c r="E20" i="77"/>
  <c r="E27" i="77" s="1"/>
  <c r="F20" i="77"/>
  <c r="F27" i="77" s="1"/>
  <c r="O20" i="77"/>
  <c r="C8" i="22"/>
  <c r="T14" i="77"/>
  <c r="B27" i="77"/>
  <c r="F182" i="7"/>
  <c r="T20" i="77" l="1"/>
  <c r="B28" i="77"/>
  <c r="C28" i="77" s="1"/>
  <c r="D28" i="77" s="1"/>
  <c r="E28" i="77" s="1"/>
  <c r="F28" i="77" s="1"/>
  <c r="G28" i="77" s="1"/>
  <c r="H28" i="77" s="1"/>
  <c r="I28" i="77" s="1"/>
  <c r="J28" i="77" s="1"/>
  <c r="C4" i="22"/>
  <c r="G182" i="7"/>
  <c r="G210" i="7" s="1"/>
  <c r="G218" i="7" l="1"/>
  <c r="B13" i="22" s="1"/>
  <c r="D13" i="22" s="1"/>
  <c r="B9" i="22"/>
  <c r="B11" i="22" l="1"/>
  <c r="D4" i="22" s="1"/>
  <c r="N23" i="77"/>
  <c r="N27" i="77" s="1"/>
  <c r="R23" i="77"/>
  <c r="R27" i="77" s="1"/>
  <c r="S23" i="77"/>
  <c r="S27" i="77" s="1"/>
  <c r="L23" i="77"/>
  <c r="L27" i="77" s="1"/>
  <c r="K23" i="77"/>
  <c r="M23" i="77"/>
  <c r="M27" i="77" s="1"/>
  <c r="O23" i="77"/>
  <c r="O27" i="77" s="1"/>
  <c r="P23" i="77"/>
  <c r="P27" i="77" s="1"/>
  <c r="Q23" i="77"/>
  <c r="Q27" i="77" s="1"/>
  <c r="B12" i="22"/>
  <c r="D12" i="22" s="1"/>
  <c r="C9" i="22"/>
  <c r="G220" i="7"/>
  <c r="C10" i="22"/>
  <c r="T23" i="77" l="1"/>
  <c r="T29" i="77" s="1"/>
  <c r="K27" i="77"/>
  <c r="D8" i="22"/>
  <c r="D6" i="22"/>
  <c r="D5" i="22"/>
  <c r="D10" i="22"/>
  <c r="C11" i="22"/>
  <c r="D7" i="22"/>
  <c r="D9" i="22"/>
  <c r="K28" i="77" l="1"/>
  <c r="L28" i="77" s="1"/>
  <c r="M28" i="77" s="1"/>
  <c r="N28" i="77" s="1"/>
  <c r="D11" i="22"/>
  <c r="O28" i="77" l="1"/>
  <c r="P28" i="77" s="1"/>
  <c r="Q28" i="77" s="1"/>
  <c r="R28" i="77" s="1"/>
  <c r="S28" i="77" s="1"/>
  <c r="T28" i="77" s="1"/>
</calcChain>
</file>

<file path=xl/sharedStrings.xml><?xml version="1.0" encoding="utf-8"?>
<sst xmlns="http://schemas.openxmlformats.org/spreadsheetml/2006/main" count="16513" uniqueCount="2944">
  <si>
    <t xml:space="preserve">Código </t>
  </si>
  <si>
    <t>Unidade</t>
  </si>
  <si>
    <t>Total</t>
  </si>
  <si>
    <t>t</t>
  </si>
  <si>
    <t>TOTAL DA ESTIMATIVA DE ORÇAMENTO</t>
  </si>
  <si>
    <t>ITEM</t>
  </si>
  <si>
    <t>QUANT.</t>
  </si>
  <si>
    <t>Estaca</t>
  </si>
  <si>
    <t>+</t>
  </si>
  <si>
    <t>EXTENSÃO (km)</t>
  </si>
  <si>
    <t>ESTIMATIVA R$/km</t>
  </si>
  <si>
    <t>CÓDIGO</t>
  </si>
  <si>
    <t>SERVIÇOS</t>
  </si>
  <si>
    <t>UND</t>
  </si>
  <si>
    <t>UNITÁRIOS</t>
  </si>
  <si>
    <t>TOTAIS</t>
  </si>
  <si>
    <t>R$/km</t>
  </si>
  <si>
    <t>%</t>
  </si>
  <si>
    <t>TOTAL DO ORÇAMENTO</t>
  </si>
  <si>
    <t>CE-01</t>
  </si>
  <si>
    <t>XR</t>
  </si>
  <si>
    <t>XP</t>
  </si>
  <si>
    <t>CE-02</t>
  </si>
  <si>
    <t>CE-03</t>
  </si>
  <si>
    <t>CAIXA</t>
  </si>
  <si>
    <t>ARMAÇÃO TAMPA (Kg)</t>
  </si>
  <si>
    <t>FORMA (m²)</t>
  </si>
  <si>
    <t>CONCRETO CICLÓPICO fck 20 Mpa (m³)</t>
  </si>
  <si>
    <t>CONCRETO ESTRUTURAL TAMPA fck 30 Mpa (m³)</t>
  </si>
  <si>
    <t xml:space="preserve">TABELA DE QUANTIDADES </t>
  </si>
  <si>
    <t>CE-04</t>
  </si>
  <si>
    <t>CE-05</t>
  </si>
  <si>
    <t>CE-06</t>
  </si>
  <si>
    <t>CE-07</t>
  </si>
  <si>
    <t>CE-08</t>
  </si>
  <si>
    <t>CE-09</t>
  </si>
  <si>
    <t xml:space="preserve">ÁREA </t>
  </si>
  <si>
    <t>VOLUME</t>
  </si>
  <si>
    <t>CONCRETO CICLÓPICO</t>
  </si>
  <si>
    <t>ALT</t>
  </si>
  <si>
    <t>FORMAS PLANAS DE MADEIRA</t>
  </si>
  <si>
    <t>PERIM PAREDE</t>
  </si>
  <si>
    <t>ÁREA TAMPA</t>
  </si>
  <si>
    <t>PERIM TAMPA</t>
  </si>
  <si>
    <t xml:space="preserve">ALT PAREDE </t>
  </si>
  <si>
    <t>ALT TAMPA</t>
  </si>
  <si>
    <t>ÁREA LATERAL TAMPA</t>
  </si>
  <si>
    <t>ÁREA PAREDE</t>
  </si>
  <si>
    <t>ÁREA TOTAL</t>
  </si>
  <si>
    <t>CONCRETO DE REGULARIZAÇÃO</t>
  </si>
  <si>
    <t>ARMAÇÃO TAMPA</t>
  </si>
  <si>
    <t xml:space="preserve">COMPRIMENTO </t>
  </si>
  <si>
    <t>Kg/m</t>
  </si>
  <si>
    <t>PESO</t>
  </si>
  <si>
    <t>CONCRETO ESTRUTURAL 30 Mpa</t>
  </si>
  <si>
    <t>ALTURA</t>
  </si>
  <si>
    <t>envelopamento</t>
  </si>
  <si>
    <t xml:space="preserve">por m </t>
  </si>
  <si>
    <t>Concreto de regularização</t>
  </si>
  <si>
    <t>Código</t>
  </si>
  <si>
    <t>Automóvel - VW/ Gol (flex)</t>
  </si>
  <si>
    <t>m</t>
  </si>
  <si>
    <t>Material</t>
  </si>
  <si>
    <t>Custo Unitário</t>
  </si>
  <si>
    <t>Servente</t>
  </si>
  <si>
    <t>Desenhista projetista</t>
  </si>
  <si>
    <t>m²</t>
  </si>
  <si>
    <t>m³</t>
  </si>
  <si>
    <t>CUSTOS UNITÁRIOS</t>
  </si>
  <si>
    <t>Código:</t>
  </si>
  <si>
    <t>Serviço:</t>
  </si>
  <si>
    <t>Unidade:</t>
  </si>
  <si>
    <t>Data:</t>
  </si>
  <si>
    <t>EQUIPAMENTOS</t>
  </si>
  <si>
    <t>Quant</t>
  </si>
  <si>
    <t>Utilização</t>
  </si>
  <si>
    <t>Custo operacional</t>
  </si>
  <si>
    <t>Custo horário</t>
  </si>
  <si>
    <t>Produtivo</t>
  </si>
  <si>
    <t>Improdutivo</t>
  </si>
  <si>
    <t>Total - A</t>
  </si>
  <si>
    <t>MÃO DE OBRA SUPLEMENTAR</t>
  </si>
  <si>
    <t>K ou R</t>
  </si>
  <si>
    <t>Salário base</t>
  </si>
  <si>
    <t>Total - B</t>
  </si>
  <si>
    <t>PRODUÇÃO DA EQUIPE - C</t>
  </si>
  <si>
    <t>CUSTO TOTAL - D = (A+B)</t>
  </si>
  <si>
    <t>CUSTO UNITÁRIO DA EXECUÇÃO (A+B)/C = D</t>
  </si>
  <si>
    <t>MATERIAIS COMPLEMENTARES</t>
  </si>
  <si>
    <t>Consumo</t>
  </si>
  <si>
    <t>Custo Total</t>
  </si>
  <si>
    <t>Total - E</t>
  </si>
  <si>
    <t>TRANSPORTE</t>
  </si>
  <si>
    <t>DMT</t>
  </si>
  <si>
    <t>Custo</t>
  </si>
  <si>
    <t>Consumo (T)</t>
  </si>
  <si>
    <t>Total - G</t>
  </si>
  <si>
    <t>CUSTO DIRETO TOTAL</t>
  </si>
  <si>
    <t>D+E+F</t>
  </si>
  <si>
    <t>R$</t>
  </si>
  <si>
    <t>BONIFICAÇÃO</t>
  </si>
  <si>
    <t>CUSTO UNITÁRIO TOTAL</t>
  </si>
  <si>
    <t>OBSERVAÇÃO</t>
  </si>
  <si>
    <t>S/COD</t>
  </si>
  <si>
    <t>ud</t>
  </si>
  <si>
    <t>Cotação: Premobras - (028) 2102 2735</t>
  </si>
  <si>
    <t>10676</t>
  </si>
  <si>
    <t>Anel pre-moldado para bueiro celular 2,00x2,00x1,00, Classe 45</t>
  </si>
  <si>
    <t>ST 003</t>
  </si>
  <si>
    <t>Vistoria previa de edificações</t>
  </si>
  <si>
    <t>unid</t>
  </si>
  <si>
    <t>Produto Pétreo</t>
  </si>
  <si>
    <t>Fornecedor</t>
  </si>
  <si>
    <t>Areia</t>
  </si>
  <si>
    <t>Pré-moldados de concreto</t>
  </si>
  <si>
    <t>Madeira em Geral</t>
  </si>
  <si>
    <t>Insumos sinalização</t>
  </si>
  <si>
    <t>Local</t>
  </si>
  <si>
    <t>Serra-ES</t>
  </si>
  <si>
    <t>Diversos</t>
  </si>
  <si>
    <t>Sinales</t>
  </si>
  <si>
    <t>Sub total 03</t>
  </si>
  <si>
    <t>Sub total 04</t>
  </si>
  <si>
    <t>Sub total 05</t>
  </si>
  <si>
    <t>2.1</t>
  </si>
  <si>
    <t>2.2</t>
  </si>
  <si>
    <t>Desempenamento de superficie de concreto, acabamento camurçado</t>
  </si>
  <si>
    <t>Ferramentas manuais</t>
  </si>
  <si>
    <t xml:space="preserve">Pedreiro de O.A.C. </t>
  </si>
  <si>
    <t>(XP)</t>
  </si>
  <si>
    <t>(XR)</t>
  </si>
  <si>
    <t>(XS)</t>
  </si>
  <si>
    <t xml:space="preserve">Ladrilho hidráulico podotátil </t>
  </si>
  <si>
    <t>10781</t>
  </si>
  <si>
    <t xml:space="preserve">Argamassa cimento e areia traço 1:4 </t>
  </si>
  <si>
    <t>40348</t>
  </si>
  <si>
    <t>42611</t>
  </si>
  <si>
    <t>Rampa de pedestres com largura de 3,80m, piso em ladrilho hidráulico podotátil  (Rampa de acesso 01)</t>
  </si>
  <si>
    <t>ST 005</t>
  </si>
  <si>
    <t>6.1</t>
  </si>
  <si>
    <t>meses</t>
  </si>
  <si>
    <t>6.2</t>
  </si>
  <si>
    <t>Sub total 06</t>
  </si>
  <si>
    <t>mês</t>
  </si>
  <si>
    <t>ST 006</t>
  </si>
  <si>
    <t>Engennheiro consultor</t>
  </si>
  <si>
    <t>Anel pre-moldado para bueiro celular 2,00x1,00x1,00, Classe 45</t>
  </si>
  <si>
    <t xml:space="preserve">Argamassa cimento e areia traço 1:4 em Vias Urbanas </t>
  </si>
  <si>
    <t xml:space="preserve">x1 = DMT em km (rodovia pavimentada) </t>
  </si>
  <si>
    <t xml:space="preserve">x2 = DMT em km (rodovia não pavimentada) </t>
  </si>
  <si>
    <t xml:space="preserve">Fórmula de Transporte (R$/t) </t>
  </si>
  <si>
    <t xml:space="preserve">Fórmula de Transporte c/ BDI (R$/t) </t>
  </si>
  <si>
    <t>K</t>
  </si>
  <si>
    <t>11/2013</t>
  </si>
  <si>
    <t>Remoção bueiros</t>
  </si>
  <si>
    <t>Caibros</t>
  </si>
  <si>
    <t>Madeira roliça</t>
  </si>
  <si>
    <t xml:space="preserve"> Taipá</t>
  </si>
  <si>
    <t>Ferramnetas manuais</t>
  </si>
  <si>
    <t>Cimento</t>
  </si>
  <si>
    <t>Pedra</t>
  </si>
  <si>
    <t>42714</t>
  </si>
  <si>
    <t>Galeria</t>
  </si>
  <si>
    <t>Nassau</t>
  </si>
  <si>
    <t>Tubos</t>
  </si>
  <si>
    <t>Concreto ciclópico com 70% concreto 15,0 MPa e 30% de pedra de mão, tudo incluído</t>
  </si>
  <si>
    <t>Concreto estrutural fck = 15,0 MPa, tudo incluído</t>
  </si>
  <si>
    <t>40358</t>
  </si>
  <si>
    <t>Formas planas de madeira com 04 (quatro) reaproveitamentos, inclusive fornecimento e transporte das madeiras
transporte das madeiras</t>
  </si>
  <si>
    <t>Caibro</t>
  </si>
  <si>
    <t>Sarrafo</t>
  </si>
  <si>
    <t>Tábuas</t>
  </si>
  <si>
    <t>40313</t>
  </si>
  <si>
    <t>Formas planas de madeira com 04 (quatro) reaproveitamentos, inclusive fornecimento e transporte das madeiras</t>
  </si>
  <si>
    <t>40351</t>
  </si>
  <si>
    <t>Prod.</t>
  </si>
  <si>
    <t>Imp.</t>
  </si>
  <si>
    <t>(A) Equipamento</t>
  </si>
  <si>
    <t>CT</t>
  </si>
  <si>
    <t>Ut. Pr.</t>
  </si>
  <si>
    <t>Ut. Imp</t>
  </si>
  <si>
    <t>Vl. Hr. Prod</t>
  </si>
  <si>
    <t>Vl. Hr. Imp.</t>
  </si>
  <si>
    <t>Custo Horário</t>
  </si>
  <si>
    <t>(A) Total:</t>
  </si>
  <si>
    <t>(B) Mão-de-Obra</t>
  </si>
  <si>
    <t>Eq. Salarial</t>
  </si>
  <si>
    <t>Sal/Hora</t>
  </si>
  <si>
    <t>(B) Total:</t>
  </si>
  <si>
    <t>(C) Itens de Incidência</t>
  </si>
  <si>
    <t>M. O.</t>
  </si>
  <si>
    <t>Equip.</t>
  </si>
  <si>
    <t>Mat.</t>
  </si>
  <si>
    <t>Custo Horário da Execução (A) + (B) + (C)</t>
  </si>
  <si>
    <t>(D) Produção da Equipe</t>
  </si>
  <si>
    <t>(F) Materiais</t>
  </si>
  <si>
    <t>Unid.</t>
  </si>
  <si>
    <t>(F) Total:</t>
  </si>
  <si>
    <t>(G) Serviços</t>
  </si>
  <si>
    <t>(G) Total:</t>
  </si>
  <si>
    <t>(H) Itens de Transporte</t>
  </si>
  <si>
    <t>Fórmula</t>
  </si>
  <si>
    <t>X1</t>
  </si>
  <si>
    <t>X2</t>
  </si>
  <si>
    <t>Custo Unit.</t>
  </si>
  <si>
    <t>(H) Total:</t>
  </si>
  <si>
    <t>Custo Direto Total (E) + (F) + (G) + (H)</t>
  </si>
  <si>
    <t>Preço Unitário Total</t>
  </si>
  <si>
    <t>X</t>
  </si>
  <si>
    <t>Transp. de Taipá de 1ª com 2,5 cm</t>
  </si>
  <si>
    <t>Transp. de Cimento</t>
  </si>
  <si>
    <t>Transp. de Pedra britada p/ concreto</t>
  </si>
  <si>
    <t>Transp</t>
  </si>
  <si>
    <t>COMPOSIÇÃO DE CUSTOS UNITÁRIOS</t>
  </si>
  <si>
    <t>Tabela Referencial de Preços - DER-ES</t>
  </si>
  <si>
    <t>Preço com transporte</t>
  </si>
  <si>
    <t>(E) Custo Unit da Execução [(A) + (B) + (C)] / (D)</t>
  </si>
  <si>
    <t>Custo Unit</t>
  </si>
  <si>
    <t>Transp. de Micro-esfera (preço médio)</t>
  </si>
  <si>
    <t>Transp. de Tinta</t>
  </si>
  <si>
    <t>7.1</t>
  </si>
  <si>
    <t>7.2</t>
  </si>
  <si>
    <t>Sub total 07</t>
  </si>
  <si>
    <t>1.1</t>
  </si>
  <si>
    <t>2.3</t>
  </si>
  <si>
    <t>2.4</t>
  </si>
  <si>
    <t>2.5</t>
  </si>
  <si>
    <t>2.6</t>
  </si>
  <si>
    <t>2.7</t>
  </si>
  <si>
    <t>2.8</t>
  </si>
  <si>
    <t>2.9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</si>
  <si>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</si>
  <si>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</si>
  <si>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</si>
  <si>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</si>
  <si>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</si>
  <si>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</si>
  <si>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</si>
  <si>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</si>
  <si>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</si>
  <si>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</si>
  <si>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2.20</t>
  </si>
  <si>
    <t>2.21</t>
  </si>
  <si>
    <t>2.22</t>
  </si>
  <si>
    <t>2.23</t>
  </si>
  <si>
    <t>2.24</t>
  </si>
  <si>
    <t>3.1</t>
  </si>
  <si>
    <t>3.2</t>
  </si>
  <si>
    <t>3.3</t>
  </si>
  <si>
    <t>3.4</t>
  </si>
  <si>
    <t>3.5</t>
  </si>
  <si>
    <t>3.6</t>
  </si>
  <si>
    <t>3.7</t>
  </si>
  <si>
    <t>4.1</t>
  </si>
  <si>
    <t>4.2</t>
  </si>
  <si>
    <t>4.3</t>
  </si>
  <si>
    <t>4.4</t>
  </si>
  <si>
    <t>4.5</t>
  </si>
  <si>
    <t>REF.</t>
  </si>
  <si>
    <t>Ref.</t>
  </si>
  <si>
    <t>Serviço</t>
  </si>
  <si>
    <t>Tacha refletiva birrefletorizada, fornecimento e aplicação</t>
  </si>
  <si>
    <t xml:space="preserve"> t  </t>
  </si>
  <si>
    <t>Fórmula de Transporte (R$/t)</t>
  </si>
  <si>
    <t>Valores sem BDI</t>
  </si>
  <si>
    <t xml:space="preserve">x  = DMT em km </t>
  </si>
  <si>
    <t>Pos.</t>
  </si>
  <si>
    <t>Área (m²)</t>
  </si>
  <si>
    <t>Prof. (m)</t>
  </si>
  <si>
    <t>XP (km)</t>
  </si>
  <si>
    <t>XR (km)</t>
  </si>
  <si>
    <t>Largura (m)</t>
  </si>
  <si>
    <t>Altura (m)</t>
  </si>
  <si>
    <t>Quant. (un)</t>
  </si>
  <si>
    <t>Extensão (m)</t>
  </si>
  <si>
    <t>Estaca Inicial</t>
  </si>
  <si>
    <t>Estaca Final</t>
  </si>
  <si>
    <t>Observações</t>
  </si>
  <si>
    <t>Volume (m³)</t>
  </si>
  <si>
    <t>SINALIZAÇÃO</t>
  </si>
  <si>
    <t>Espessura (m)</t>
  </si>
  <si>
    <t>Taxa (t/m²)</t>
  </si>
  <si>
    <t>DESCRIÇÃO DOS SERVIÇOS PREVISTOS</t>
  </si>
  <si>
    <t>1.1.1</t>
  </si>
  <si>
    <t>PAVIMENTAÇÃO</t>
  </si>
  <si>
    <t>TERRAPLENAGEM</t>
  </si>
  <si>
    <t>DRENAGEM E OAC</t>
  </si>
  <si>
    <t>MEMÓRIA DE CÁLCULO</t>
  </si>
  <si>
    <t>Distâncias</t>
  </si>
  <si>
    <t>CUSTOS</t>
  </si>
  <si>
    <t>TOTAIS (R$)</t>
  </si>
  <si>
    <t>ITENS DE SERVIÇOS</t>
  </si>
  <si>
    <t>Administração local</t>
  </si>
  <si>
    <t>PREÇOS (R$)</t>
  </si>
  <si>
    <t>Brita</t>
  </si>
  <si>
    <t xml:space="preserve">Pedreira </t>
  </si>
  <si>
    <t xml:space="preserve">Mourão </t>
  </si>
  <si>
    <t>Arame</t>
  </si>
  <si>
    <t>Massa Específica</t>
  </si>
  <si>
    <t>Consumo (m²/und)</t>
  </si>
  <si>
    <t xml:space="preserve"> Transp. de Tubo de concreto armado D=0,80m CA-1 PB</t>
  </si>
  <si>
    <t>Comp (m)</t>
  </si>
  <si>
    <t>Quant (und)</t>
  </si>
  <si>
    <t xml:space="preserve"> Transp. de Mourao p/ cerca (2,20 m - D=0,10m) m. branca</t>
  </si>
  <si>
    <t xml:space="preserve"> Transp. de Mourao p/ cerca (2,50 m - D=0,10m) m. branca (estic)</t>
  </si>
  <si>
    <t>RECUPERAÇÃO AMBIENTAL</t>
  </si>
  <si>
    <t>DIAS</t>
  </si>
  <si>
    <t>QUANTITATIVOS</t>
  </si>
  <si>
    <t>7.3</t>
  </si>
  <si>
    <t>2.25</t>
  </si>
  <si>
    <t>Transp. de Areia grossa jazida c/ carreg.mecânico</t>
  </si>
  <si>
    <t>Transp. de Tubo poroso D=0,20 m (preço médio)</t>
  </si>
  <si>
    <t>Ferramentas manuis</t>
  </si>
  <si>
    <t>x</t>
  </si>
  <si>
    <r>
      <t>m</t>
    </r>
    <r>
      <rPr>
        <vertAlign val="superscript"/>
        <sz val="8"/>
        <rFont val="Arial"/>
        <family val="2"/>
      </rPr>
      <t>2</t>
    </r>
  </si>
  <si>
    <t>Custo Adotado</t>
  </si>
  <si>
    <t>Hidrossemeadura simples</t>
  </si>
  <si>
    <t>Massa Específica (t/m³)</t>
  </si>
  <si>
    <t>Areal (A1)</t>
  </si>
  <si>
    <t>Pedreira (P1)</t>
  </si>
  <si>
    <t>Itapemirim - ES</t>
  </si>
  <si>
    <t>Cach. Itapemirim - ES</t>
  </si>
  <si>
    <t>Este serviço não tem BDI</t>
  </si>
  <si>
    <t>VALORES SEM BDI</t>
  </si>
  <si>
    <t>Aluguel mensal de laboratório de solos</t>
  </si>
  <si>
    <t>Equipe de Topografia</t>
  </si>
  <si>
    <t>Equipe de Laboratório</t>
  </si>
  <si>
    <t>(C) Total:</t>
  </si>
  <si>
    <t>Transporte de pó de pedra (Incl. 0% IUM) s/ frete</t>
  </si>
  <si>
    <t>Transporte de Pedra de mao (incl. 0% IUM) s/ frete</t>
  </si>
  <si>
    <t>Transporte de Caibros 8 X 8 cm (pontalete)</t>
  </si>
  <si>
    <t>Transporte de Sarrafo 10 X 2,5 cm</t>
  </si>
  <si>
    <t>Transporte de Tábuas de 2,5 cm</t>
  </si>
  <si>
    <t>Transp. de Tubo de concreto armado D=1,00m CA-1 PB</t>
  </si>
  <si>
    <t>Transp. de Brita 0 (incl. 0% IUM) s/ frete</t>
  </si>
  <si>
    <t>Transp. de Brita 1 (incl. 0% IUM) s/ frete</t>
  </si>
  <si>
    <t>Transp. de Tinta borracha clorada (preço médio)</t>
  </si>
  <si>
    <t>Transp. de Madeira roliça</t>
  </si>
  <si>
    <t>Transp. de Arame ovalado liso (cerca) 45 kg - 1000 m</t>
  </si>
  <si>
    <t>Transp. de Mourao p/ cerca (2,20m - D=0,10m) m. branca</t>
  </si>
  <si>
    <t>Transp. de Mourao p/ cerca (2,50m - D=0,20m) m. bran (estic.)</t>
  </si>
  <si>
    <t>Transp. de Defensa (lâmina 4 m) - semi maleável</t>
  </si>
  <si>
    <t>Transp. de Ripao de 2.5 X 7.0 cm</t>
  </si>
  <si>
    <t>BDI (%)</t>
  </si>
  <si>
    <t>BDI:</t>
  </si>
  <si>
    <t>Posição</t>
  </si>
  <si>
    <t>5.1</t>
  </si>
  <si>
    <t>5.2</t>
  </si>
  <si>
    <t>Transp. De Brita 2 (incl. 0% IUM) s/ frete</t>
  </si>
  <si>
    <t>Transporte de Material Asfáltico (DNIT), inclusive BDI diferenciado</t>
  </si>
  <si>
    <t>ADMINISTRAÇÃO LOCAL E SERVIÇOS AUXILIARES</t>
  </si>
  <si>
    <t>Aluguel mensal de automóvel utilitário, inclusive combustível</t>
  </si>
  <si>
    <t>Estação Total Leica/Wild</t>
  </si>
  <si>
    <t>Nivel</t>
  </si>
  <si>
    <t>Administração Local</t>
  </si>
  <si>
    <t>Controle Tecnológico dos Serviços</t>
  </si>
  <si>
    <t>L</t>
  </si>
  <si>
    <t>Eq. Sal.</t>
  </si>
  <si>
    <t>Pos. Montante</t>
  </si>
  <si>
    <t>Prof. Média (m)</t>
  </si>
  <si>
    <t>Consumo (m³/m)</t>
  </si>
  <si>
    <t>Vol. (m³)</t>
  </si>
  <si>
    <t>Total (t)</t>
  </si>
  <si>
    <t>γ (t/m³)</t>
  </si>
  <si>
    <t>Vol x XP</t>
  </si>
  <si>
    <t>Vol x XR</t>
  </si>
  <si>
    <t>3.8</t>
  </si>
  <si>
    <t>Tabela Referencial de Preços - DER-ES - sem desoneração</t>
  </si>
  <si>
    <t>5.3</t>
  </si>
  <si>
    <t>Quantidade (un)</t>
  </si>
  <si>
    <t>3.9</t>
  </si>
  <si>
    <t>3.10</t>
  </si>
  <si>
    <t>5.4</t>
  </si>
  <si>
    <t/>
  </si>
  <si>
    <t>T</t>
  </si>
  <si>
    <t>TR-201-00 (Comercial - Caminhão basculante)</t>
  </si>
  <si>
    <t>TR-202-00 (Comercial - Caminhão basculante)</t>
  </si>
  <si>
    <t>TR-203-00 (Comercial - Caminhão carroceria)</t>
  </si>
  <si>
    <t>TR-204-00 (Comercial - Carreta prancha)</t>
  </si>
  <si>
    <t>TR-301-00 (Massa Asfáltica)</t>
  </si>
  <si>
    <t>Transporte Local de Materiais (TR-101-01) (Vias urbanas - Caminhão basculante)</t>
  </si>
  <si>
    <t>TR-202-01 (Comercial - Caminhão basculante)</t>
  </si>
  <si>
    <t>TR-203-01 (Comercial - Caminhão carroceria)</t>
  </si>
  <si>
    <t>TR-204-01 (Comercial - Carreta com Prancha)</t>
  </si>
  <si>
    <t>LOCAL COM DMT ATÉ 3,0 KM (Caminhão basculante)</t>
  </si>
  <si>
    <t>LOCAL COM DMT DE 3,1 A 5,0 KM (Caminhão basculante)</t>
  </si>
  <si>
    <t>LOCAL COM DMT DE 5,1 A 10,0 KM (Caminhão basculante)</t>
  </si>
  <si>
    <t>LOCAL COM DMT DE 10,1 A 15,0 KM (Caminhão basculante)</t>
  </si>
  <si>
    <t>Transporte de materiais para DMT acima de 15 KM (Caminhão basculante)</t>
  </si>
  <si>
    <t>vb</t>
  </si>
  <si>
    <r>
      <rPr>
        <b/>
        <sz val="7"/>
        <rFont val="Arial"/>
        <family val="2"/>
      </rPr>
      <t>004 - CONSULTORIA</t>
    </r>
  </si>
  <si>
    <t>23,32</t>
  </si>
  <si>
    <t>Descrição com BDI (23,32%)</t>
  </si>
  <si>
    <t xml:space="preserve"> (Incluindo BDI= 23,32%)</t>
  </si>
  <si>
    <t>M2</t>
  </si>
  <si>
    <t>M3</t>
  </si>
  <si>
    <t>Ud</t>
  </si>
  <si>
    <t>M</t>
  </si>
  <si>
    <t>Mes</t>
  </si>
  <si>
    <t>Tacha refletiva monodirecional, fornecimento e aplicação</t>
  </si>
  <si>
    <t>Aluguel de tubo equipado completo para andaime com h=10,0 m</t>
  </si>
  <si>
    <t>Aluguel mensal de escritório até 50m2</t>
  </si>
  <si>
    <t>Aluguel mensal de GPS Geodésico dupla frequência (L1/L2)</t>
  </si>
  <si>
    <t>Aluguel mensal de instrumento de topografia ( Estação Total )</t>
  </si>
  <si>
    <t>Aluguel mensal de laboratório de betume</t>
  </si>
  <si>
    <t>Aluguel mensal de laboratório de concreto</t>
  </si>
  <si>
    <t>Aluguel mensal de utilitário exclusive motorista e combustível</t>
  </si>
  <si>
    <t>m3</t>
  </si>
  <si>
    <t>ARMCO BDTM D=1,20 m - T.L. esp. 2,7 mm</t>
  </si>
  <si>
    <t>ARMCO BDTM D=1,40 m - T.L. esp. 2,7 mm</t>
  </si>
  <si>
    <t>ARMCO BDTM D=1,60 m - T.L. esp. 2,7 mm</t>
  </si>
  <si>
    <t>ARMCO BDTM D=2,00 m - T.L. esp. 2,7 mm</t>
  </si>
  <si>
    <t>ARMCO BDTM D=2,20 m - T.L. esp. 2,7 mm</t>
  </si>
  <si>
    <t>ARMCO BDTM D=2,40 m - T.L. esp. 2,7 mm</t>
  </si>
  <si>
    <t>ARMCO BDTM D=2,60 m - T.L. esp. 3,4 mm</t>
  </si>
  <si>
    <t>ARMCO BSTM D=1,20 m - T.L. esp. 2,7 mm</t>
  </si>
  <si>
    <t>ARMCO BSTM D=1,40 m - T.L. esp. 2,7 mm</t>
  </si>
  <si>
    <t>ARMCO BSTM D=1,60 m - T.L. esp. 2,7 mm</t>
  </si>
  <si>
    <t>ARMCO BSTM D=2,00 m - T.L. esp. 2,7 mm</t>
  </si>
  <si>
    <t>ARMCO BSTM D=2,20 m - T.L. esp. 2,7 mm</t>
  </si>
  <si>
    <t>ARMCO BSTM D=2,40 m - T.L. esp. 2,7 mm</t>
  </si>
  <si>
    <t>ARMCO BSTM D=2,60 m - T.L. esp. 3,4 mm</t>
  </si>
  <si>
    <t>ARMCO BSTM D=3,00 m - T.L. esp. 2,7 mm</t>
  </si>
  <si>
    <t>ARMCO STACO BDTM D=3,05 m - MPI52 esp.2,7mm</t>
  </si>
  <si>
    <t>ARMCO STACO BSTM D=3,05 m - MPI52 esp.2,7mm</t>
  </si>
  <si>
    <t>PÇ</t>
  </si>
  <si>
    <t>Terramesh System malha hexagonal 8x10mm, PVC, diâmetro 2,7 mm, 0,50x1,00x6,00m</t>
  </si>
  <si>
    <t>Terramesh System malha hexagonal 8x10mm, PVC, diâmetro 2,7mm, 0,50x1,00x4,00m</t>
  </si>
  <si>
    <t>Terramesh System malha hexagonal 8x10mm, PVC, diâmetro 2,7mm, 0,50x1,00x7,00m</t>
  </si>
  <si>
    <t>Terramesh System malha hexagonal, 8x10mm, PVC, diâmetro 2,7mm, 1,00x1,00x4,00m</t>
  </si>
  <si>
    <t>Terramesh System malha hexagonal 8x10mm, PVC, diâmetro 2,7mm, 1,00x1,00x5,00m</t>
  </si>
  <si>
    <t>Tinta à base de epóxi, Coral (Wandepóxi), Suvinil (Esmalte Epóxi) ou equivalente</t>
  </si>
  <si>
    <t>Tubo de PVC rígido, PBV, Série R, vara com 3m, diâmetro nominal de 50mm</t>
  </si>
  <si>
    <t>Tubo de PVC rígido, roscável, vara com 6m de 3/4"</t>
  </si>
  <si>
    <t>Tubo de PVC rígido, série R NBR5688, diam.100mm</t>
  </si>
  <si>
    <t>Nivel (planilha jan 2017)</t>
  </si>
  <si>
    <t>,</t>
  </si>
  <si>
    <t>Total (M2)</t>
  </si>
  <si>
    <t>Total (M3)</t>
  </si>
  <si>
    <t>Bica corrida sem frete, fornecimento e transporte</t>
  </si>
  <si>
    <t>Pedra de mao (incl. 0% IUM) s/ frete, fornecimento e transporte</t>
  </si>
  <si>
    <t>1.2</t>
  </si>
  <si>
    <t>1.2.1</t>
  </si>
  <si>
    <t>1.2.2</t>
  </si>
  <si>
    <t>Brita 0, fornecimento e espalhamento</t>
  </si>
  <si>
    <t>(Guarita)</t>
  </si>
  <si>
    <t>(Segurança do Trabalho)</t>
  </si>
  <si>
    <t>(Administração)</t>
  </si>
  <si>
    <t>(Almoxarifado)</t>
  </si>
  <si>
    <t>(Sala Técnica)</t>
  </si>
  <si>
    <t>(Laboratório)</t>
  </si>
  <si>
    <t>(Oficina Mecânica)</t>
  </si>
  <si>
    <t>2.26</t>
  </si>
  <si>
    <t>2.27</t>
  </si>
  <si>
    <t>Bacia de Contenção para tanques de materiaias betuminosos</t>
  </si>
  <si>
    <t>Mobilização de desmobilização</t>
  </si>
  <si>
    <t>3.11</t>
  </si>
  <si>
    <t>3.12</t>
  </si>
  <si>
    <t>3.13</t>
  </si>
  <si>
    <t>3.14</t>
  </si>
  <si>
    <t>3.15</t>
  </si>
  <si>
    <t>3.16</t>
  </si>
  <si>
    <t>3.17</t>
  </si>
  <si>
    <t>3.18</t>
  </si>
  <si>
    <t>3.19</t>
  </si>
  <si>
    <t>3.20</t>
  </si>
  <si>
    <t>3.21</t>
  </si>
  <si>
    <t>3.22</t>
  </si>
  <si>
    <t>3.23</t>
  </si>
  <si>
    <t>3.24</t>
  </si>
  <si>
    <t>3.25</t>
  </si>
  <si>
    <t>3.26</t>
  </si>
  <si>
    <t>3.27</t>
  </si>
  <si>
    <t>3.28</t>
  </si>
  <si>
    <t>3.29</t>
  </si>
  <si>
    <t>3.30</t>
  </si>
  <si>
    <t>3.31</t>
  </si>
  <si>
    <t>4.6</t>
  </si>
  <si>
    <t>4.7</t>
  </si>
  <si>
    <t>4.8</t>
  </si>
  <si>
    <t>4.9</t>
  </si>
  <si>
    <t>4.10</t>
  </si>
  <si>
    <t>Base de solo brita, 30% de solo, 30% de brita 2, 10% de brita 0 e 30% de pó de pedra, inclusive fornecimento da brita e transporte</t>
  </si>
  <si>
    <t xml:space="preserve">Transporte de material de jazida para base </t>
  </si>
  <si>
    <t>4.11</t>
  </si>
  <si>
    <t>4.12</t>
  </si>
  <si>
    <t>4.13</t>
  </si>
  <si>
    <t>4.14</t>
  </si>
  <si>
    <t>4.15</t>
  </si>
  <si>
    <t>4.16</t>
  </si>
  <si>
    <t>4.17</t>
  </si>
  <si>
    <t>4.18</t>
  </si>
  <si>
    <t>4.19</t>
  </si>
  <si>
    <t>5.5</t>
  </si>
  <si>
    <t>5.6</t>
  </si>
  <si>
    <t>5.7</t>
  </si>
  <si>
    <t>5.8</t>
  </si>
  <si>
    <t>5.9</t>
  </si>
  <si>
    <t>5.10</t>
  </si>
  <si>
    <t>5.11</t>
  </si>
  <si>
    <t>5.12</t>
  </si>
  <si>
    <t>5.13</t>
  </si>
  <si>
    <t>5.14</t>
  </si>
  <si>
    <t>5.15</t>
  </si>
  <si>
    <t>5.16</t>
  </si>
  <si>
    <t>5.17</t>
  </si>
  <si>
    <t>5.18</t>
  </si>
  <si>
    <t>5.19</t>
  </si>
  <si>
    <t>5.20</t>
  </si>
  <si>
    <t>5.21</t>
  </si>
  <si>
    <t>5.22</t>
  </si>
  <si>
    <t>5.23</t>
  </si>
  <si>
    <t>5.24</t>
  </si>
  <si>
    <t>5.25</t>
  </si>
  <si>
    <t>5.26</t>
  </si>
  <si>
    <t>5.27</t>
  </si>
  <si>
    <t>5.28</t>
  </si>
  <si>
    <t>5.29</t>
  </si>
  <si>
    <t>5.30</t>
  </si>
  <si>
    <t>5.31</t>
  </si>
  <si>
    <t>5.32</t>
  </si>
  <si>
    <t>5.33</t>
  </si>
  <si>
    <t>5.34</t>
  </si>
  <si>
    <t>5.35</t>
  </si>
  <si>
    <t>5.36</t>
  </si>
  <si>
    <t>5.37</t>
  </si>
  <si>
    <t>5.38</t>
  </si>
  <si>
    <t>5.39</t>
  </si>
  <si>
    <t>5.40</t>
  </si>
  <si>
    <t>5.41</t>
  </si>
  <si>
    <t>5.42</t>
  </si>
  <si>
    <t>Caixa Coletora  para BSTC  Ø 0,80  H-&gt; 1,60m</t>
  </si>
  <si>
    <t>Um</t>
  </si>
  <si>
    <t>Total (Ud)</t>
  </si>
  <si>
    <t>Caixa Coletora para BSTC  Ø 0,80  H-&gt; 2,20m</t>
  </si>
  <si>
    <t>5.43</t>
  </si>
  <si>
    <t>5.44</t>
  </si>
  <si>
    <t>5.45</t>
  </si>
  <si>
    <t>Caixa Coletora para BSTC  Ø 0,80 H-&gt; 2,40m</t>
  </si>
  <si>
    <t>Caixa coletora de talvegue - CCT 03</t>
  </si>
  <si>
    <t>5.46</t>
  </si>
  <si>
    <t>5.47</t>
  </si>
  <si>
    <t>5.48</t>
  </si>
  <si>
    <t>5.49</t>
  </si>
  <si>
    <t>5.50</t>
  </si>
  <si>
    <t>5.51</t>
  </si>
  <si>
    <t>5.52</t>
  </si>
  <si>
    <t>5.53</t>
  </si>
  <si>
    <t>Dissipador de energia aplicado a saída de bueiro/descida d'agua de aterro (DEB-11)</t>
  </si>
  <si>
    <t xml:space="preserve"> </t>
  </si>
  <si>
    <t>5.54</t>
  </si>
  <si>
    <t>5.55</t>
  </si>
  <si>
    <t>5.56</t>
  </si>
  <si>
    <t>5.57</t>
  </si>
  <si>
    <t>5.58</t>
  </si>
  <si>
    <t>5.59</t>
  </si>
  <si>
    <t>5.60</t>
  </si>
  <si>
    <t>5.61</t>
  </si>
  <si>
    <t>Meio fio tipo DP-3</t>
  </si>
  <si>
    <t>Total (M)</t>
  </si>
  <si>
    <t>Meio fio de concreto MFC 04</t>
  </si>
  <si>
    <t>5.62</t>
  </si>
  <si>
    <t>Sarjeta retangular de concreto - Tipo SRC-01: incl. escavação de mat. 1ª categoria</t>
  </si>
  <si>
    <t>5.63</t>
  </si>
  <si>
    <t>5.64</t>
  </si>
  <si>
    <t>5.66</t>
  </si>
  <si>
    <t>5.65</t>
  </si>
  <si>
    <t>Dissipador de energia aplicado a saída de sarjeta/valeta (DES-04)</t>
  </si>
  <si>
    <t>Total (Ud))</t>
  </si>
  <si>
    <t>5.67</t>
  </si>
  <si>
    <t>5.68</t>
  </si>
  <si>
    <t>5.69</t>
  </si>
  <si>
    <t>5.70</t>
  </si>
  <si>
    <t>5.71</t>
  </si>
  <si>
    <t>5.72</t>
  </si>
  <si>
    <t>5.73</t>
  </si>
  <si>
    <t>5.74</t>
  </si>
  <si>
    <t>5.75</t>
  </si>
  <si>
    <t>5.76</t>
  </si>
  <si>
    <t>5.77</t>
  </si>
  <si>
    <t>Descida D'Água Tipo  DSC-01 entrada</t>
  </si>
  <si>
    <t>Descida D'Água Tipo  DSC-01 canal</t>
  </si>
  <si>
    <t>Descida D'Água Tipo  DSC-01 degrau</t>
  </si>
  <si>
    <t>6.3</t>
  </si>
  <si>
    <t>Cerca Arame farpado, 4 fios,  mourões de madeira e esticador de concreto a cada 40m</t>
  </si>
  <si>
    <t>6.4</t>
  </si>
  <si>
    <t>6.5</t>
  </si>
  <si>
    <t>6.6</t>
  </si>
  <si>
    <t>6.7</t>
  </si>
  <si>
    <t>6.8</t>
  </si>
  <si>
    <t>6.9</t>
  </si>
  <si>
    <t>6.10</t>
  </si>
  <si>
    <t>6.11</t>
  </si>
  <si>
    <t>6.12</t>
  </si>
  <si>
    <t>6.13</t>
  </si>
  <si>
    <t>6.14</t>
  </si>
  <si>
    <t>6.15</t>
  </si>
  <si>
    <t>6.16</t>
  </si>
  <si>
    <t>6.17</t>
  </si>
  <si>
    <t>6.18</t>
  </si>
  <si>
    <t>6.19</t>
  </si>
  <si>
    <t>6.20</t>
  </si>
  <si>
    <t>6.21</t>
  </si>
  <si>
    <t>Sinalização vertical com chapa revestida em película</t>
  </si>
  <si>
    <t>Circular -  Ø  0,75m</t>
  </si>
  <si>
    <t>Quadrada - 0,60 x 0,60m</t>
  </si>
  <si>
    <t>Retangular -  2,00 x 0,50m</t>
  </si>
  <si>
    <t>Retangular -  2,00 x 1,00m</t>
  </si>
  <si>
    <t>Retangular -  2,50 x 1,00m</t>
  </si>
  <si>
    <t>Retangular -  0,50 x 0,80m</t>
  </si>
  <si>
    <t>6.22</t>
  </si>
  <si>
    <t>6.23</t>
  </si>
  <si>
    <t>6.24</t>
  </si>
  <si>
    <t>Octogonal - L = 0,35m</t>
  </si>
  <si>
    <t>Delineador  - 0,50 x 0,60m</t>
  </si>
  <si>
    <t>Marcador de Obstáculos - 0,30 x 0,90m</t>
  </si>
  <si>
    <t>Sinalização horizontal TMD-&gt;600, vida útil 2 a 3 anos, taxa-&gt;0,80 L/m²</t>
  </si>
  <si>
    <t>6.25</t>
  </si>
  <si>
    <t>Eixo - Rodovia</t>
  </si>
  <si>
    <t>Bordo - Rodovia</t>
  </si>
  <si>
    <t>Zebrado</t>
  </si>
  <si>
    <t>Eixo - Interseção Água Pretinha</t>
  </si>
  <si>
    <t>Bordo -  Interseção Água Pretinha</t>
  </si>
  <si>
    <t>Zebrado - Interseção Água Pretinha</t>
  </si>
  <si>
    <t>Inscrições no Pavimento - Interseção Água Pretinha</t>
  </si>
  <si>
    <t>Bordo - Acesso a Comunidade</t>
  </si>
  <si>
    <t>Eixo - Acesso a Comunidade</t>
  </si>
  <si>
    <t>Limpeza</t>
  </si>
  <si>
    <t>Revestimento de Talude</t>
  </si>
  <si>
    <t xml:space="preserve">Limpeza </t>
  </si>
  <si>
    <t>Revestimento de talude</t>
  </si>
  <si>
    <t>Transporte de Brita 0</t>
  </si>
  <si>
    <t>(Material de 1ª cat. - Bota-fora)</t>
  </si>
  <si>
    <t>Bica corrida</t>
  </si>
  <si>
    <t>Transporte de bica corrida</t>
  </si>
  <si>
    <t>Pedra de mão</t>
  </si>
  <si>
    <t xml:space="preserve">Transporte de material de jazida para sub base </t>
  </si>
  <si>
    <t>Brita 0 / Brita 2</t>
  </si>
  <si>
    <t>Pó de pedra</t>
  </si>
  <si>
    <t>Transporte de areia para colchão areia 5cm</t>
  </si>
  <si>
    <t>Transporte de blocos de concreto para pavimentação</t>
  </si>
  <si>
    <t>(Implantação)</t>
  </si>
  <si>
    <t>Transporte para bota fora</t>
  </si>
  <si>
    <t>Material de empréstimo</t>
  </si>
  <si>
    <t>(Demolição)</t>
  </si>
  <si>
    <t>Envelopamento de tubos</t>
  </si>
  <si>
    <t>Material para bota fora</t>
  </si>
  <si>
    <t>Transp. de Tubo de concreto armado D=1,20m CA-1 PB</t>
  </si>
  <si>
    <t>Transp. de Tubo de concreto armado D=1,50m CA-1 PB</t>
  </si>
  <si>
    <t>Madeira em geral</t>
  </si>
  <si>
    <t>Caixa coletora de talvegue - CCT 07</t>
  </si>
  <si>
    <t>encaminhamento dos tubos ao BF</t>
  </si>
  <si>
    <t>Transposição de Sarjeta do tipo TSS-02 - inclusive caiação</t>
  </si>
  <si>
    <t>Defensa (Lâmina)</t>
  </si>
  <si>
    <t>Bloco de concreto</t>
  </si>
  <si>
    <t>Sub total 1</t>
  </si>
  <si>
    <t>Sub total 02</t>
  </si>
  <si>
    <t>INSTALAÇÃO DE CANTEIRO. MOBILIZAÇÃO E DESMOBILIZAÇÃO</t>
  </si>
  <si>
    <t>Trecho 06 - São Paulo - Água Pretinha</t>
  </si>
  <si>
    <t>PR-001</t>
  </si>
  <si>
    <t>PR-002</t>
  </si>
  <si>
    <t>PR-003</t>
  </si>
  <si>
    <t>PR-004</t>
  </si>
  <si>
    <t>PR-005</t>
  </si>
  <si>
    <t>PR-006</t>
  </si>
  <si>
    <t>PR-007</t>
  </si>
  <si>
    <t>Areia grossa</t>
  </si>
  <si>
    <t>Brita 0 / Brita 1</t>
  </si>
  <si>
    <t>Lavagem de brita para tratamento</t>
  </si>
  <si>
    <t>Serviço: 42229  Lavagem de brita para tratamento</t>
  </si>
  <si>
    <t>PR-008</t>
  </si>
  <si>
    <t>PR-009</t>
  </si>
  <si>
    <t>PR-010</t>
  </si>
  <si>
    <t>PR-011</t>
  </si>
  <si>
    <t>PR-012</t>
  </si>
  <si>
    <t>PR-013</t>
  </si>
  <si>
    <t>PR-014</t>
  </si>
  <si>
    <t>PR-015</t>
  </si>
  <si>
    <t>PR-016</t>
  </si>
  <si>
    <t>PR-017</t>
  </si>
  <si>
    <t>PR-018</t>
  </si>
  <si>
    <t>PR-019</t>
  </si>
  <si>
    <t>PR-020</t>
  </si>
  <si>
    <t>PR-021</t>
  </si>
  <si>
    <t>PR-022</t>
  </si>
  <si>
    <t>Material Betuminoso</t>
  </si>
  <si>
    <t>DESCRIÇÃO DOS SERVIÇOS</t>
  </si>
  <si>
    <t>TOTAL</t>
  </si>
  <si>
    <t>INSTALAÇÃO DE CANTEIRO, MOBILIZAÇÃO E DESMOBILIZAÇÃO</t>
  </si>
  <si>
    <t>ADMINISTRAÇÃO LOCAL</t>
  </si>
  <si>
    <t>Totais</t>
  </si>
  <si>
    <t>Totais acumulados</t>
  </si>
  <si>
    <r>
      <rPr>
        <b/>
        <sz val="14"/>
        <color theme="1"/>
        <rFont val="Arial"/>
        <family val="2"/>
      </rPr>
      <t>CRONOGRAMA FÍSICO FINANCEIRO</t>
    </r>
    <r>
      <rPr>
        <sz val="14"/>
        <color theme="1"/>
        <rFont val="Arial"/>
        <family val="2"/>
      </rPr>
      <t xml:space="preserve"> - SÃO PAULO - ÁGUA PRETINHA</t>
    </r>
  </si>
  <si>
    <r>
      <rPr>
        <b/>
        <sz val="7"/>
        <rFont val="Arial"/>
        <family val="2"/>
      </rPr>
      <t>029 - ALUGUEIS</t>
    </r>
  </si>
  <si>
    <t>Aluguel computador com : Processador 2,80 GHz , Memória RAM 4,00 GB, Sistema Operacional 32 Bits, Windows
com Pacote Office</t>
  </si>
  <si>
    <t>m²xmês</t>
  </si>
  <si>
    <t>Aluguel mensal de mobiliário - escritório (nº ocupantes x mês)</t>
  </si>
  <si>
    <t>Nxmês</t>
  </si>
  <si>
    <t>Aluguel mensal de residência - engenheiro, incluindo despesas gerais e mobiliário</t>
  </si>
  <si>
    <t>Aluguel mensal de veículos tipo Gol  1.6, exclusive motorista e combustível</t>
  </si>
  <si>
    <t>Aluguel multifuncional A4  monocromática</t>
  </si>
  <si>
    <r>
      <rPr>
        <b/>
        <sz val="7"/>
        <rFont val="Arial"/>
        <family val="2"/>
      </rPr>
      <t>030 - BUEIROS METALICOS</t>
    </r>
  </si>
  <si>
    <t>0,663XP+0,691XR+2,765</t>
  </si>
  <si>
    <t>4.20</t>
  </si>
  <si>
    <t>4.21</t>
  </si>
  <si>
    <t xml:space="preserve">Transporte de Oleo Combustível BPF - baixo pto fusao </t>
  </si>
  <si>
    <t>Transp. De Filler</t>
  </si>
  <si>
    <t>4.22</t>
  </si>
  <si>
    <r>
      <rPr>
        <sz val="8"/>
        <rFont val="Arial"/>
        <family val="2"/>
      </rPr>
      <t>Tabela de preços  : 234 - Referencial de Preços Novembro 2020 sem desoneração                                                                        Data base: Novembro/2020</t>
    </r>
  </si>
  <si>
    <r>
      <rPr>
        <sz val="8"/>
        <rFont val="Arial"/>
        <family val="2"/>
      </rPr>
      <t>BDI                        : 23,32%</t>
    </r>
  </si>
  <si>
    <r>
      <rPr>
        <sz val="7"/>
        <rFont val="Arial"/>
        <family val="2"/>
      </rPr>
      <t>Grupo de serviço: TERRAPLENAGEM</t>
    </r>
  </si>
  <si>
    <r>
      <rPr>
        <b/>
        <sz val="7"/>
        <rFont val="Arial"/>
        <family val="2"/>
      </rPr>
      <t>Cód. Padrão</t>
    </r>
  </si>
  <si>
    <r>
      <rPr>
        <b/>
        <sz val="7"/>
        <rFont val="Arial"/>
        <family val="2"/>
      </rPr>
      <t>Descrição do serviço</t>
    </r>
  </si>
  <si>
    <r>
      <rPr>
        <b/>
        <sz val="7"/>
        <rFont val="Arial"/>
        <family val="2"/>
      </rPr>
      <t>Unidade</t>
    </r>
  </si>
  <si>
    <r>
      <rPr>
        <b/>
        <sz val="7"/>
        <rFont val="Arial"/>
        <family val="2"/>
      </rPr>
      <t>Preço unitário</t>
    </r>
  </si>
  <si>
    <r>
      <rPr>
        <b/>
        <sz val="7"/>
        <rFont val="Arial"/>
        <family val="2"/>
      </rPr>
      <t>Transporte</t>
    </r>
  </si>
  <si>
    <r>
      <rPr>
        <sz val="7"/>
        <rFont val="Arial"/>
        <family val="2"/>
      </rPr>
      <t>Capina manual, inclusive limpeza</t>
    </r>
  </si>
  <si>
    <r>
      <rPr>
        <sz val="7"/>
        <rFont val="Arial"/>
        <family val="2"/>
      </rPr>
      <t>M2</t>
    </r>
  </si>
  <si>
    <r>
      <rPr>
        <sz val="7"/>
        <rFont val="Arial"/>
        <family val="2"/>
      </rPr>
      <t>Carga de escoria de aciaria de vagão ferroviário supervisionado</t>
    </r>
  </si>
  <si>
    <r>
      <rPr>
        <sz val="7"/>
        <rFont val="Arial"/>
        <family val="2"/>
      </rPr>
      <t>M3</t>
    </r>
  </si>
  <si>
    <r>
      <rPr>
        <sz val="7"/>
        <rFont val="Arial"/>
        <family val="2"/>
      </rPr>
      <t>Carga de material de 1ª categoria</t>
    </r>
  </si>
  <si>
    <r>
      <rPr>
        <sz val="7"/>
        <rFont val="Arial"/>
        <family val="2"/>
      </rPr>
      <t>Carga de material de 2ª categoria (solo, areia, brita, excl. rocha escavada)</t>
    </r>
  </si>
  <si>
    <r>
      <rPr>
        <sz val="7"/>
        <rFont val="Arial"/>
        <family val="2"/>
      </rPr>
      <t>Carga de material de 3ª categoria (rocha)</t>
    </r>
  </si>
  <si>
    <r>
      <rPr>
        <sz val="7"/>
        <rFont val="Arial"/>
        <family val="2"/>
      </rPr>
      <t>Compactação de aterros em rocha</t>
    </r>
  </si>
  <si>
    <r>
      <rPr>
        <sz val="7"/>
        <rFont val="Arial"/>
        <family val="2"/>
      </rPr>
      <t>Compactação de aterros 100% P.I.</t>
    </r>
  </si>
  <si>
    <r>
      <rPr>
        <sz val="7"/>
        <rFont val="Arial"/>
        <family val="2"/>
      </rPr>
      <t>Compactação de aterros 100% PN</t>
    </r>
  </si>
  <si>
    <r>
      <rPr>
        <sz val="7"/>
        <rFont val="Arial"/>
        <family val="2"/>
      </rPr>
      <t>Decapagem de pedreira, 1ª categoria, com escavadeira</t>
    </r>
  </si>
  <si>
    <r>
      <rPr>
        <sz val="7"/>
        <rFont val="Arial"/>
        <family val="2"/>
      </rPr>
      <t>Decapagem de pedreira, 1ª categoria, com trator de esteiras</t>
    </r>
  </si>
  <si>
    <r>
      <rPr>
        <sz val="7"/>
        <rFont val="Arial"/>
        <family val="2"/>
      </rPr>
      <t>Demolição de material de 3ª categoria com fio diamantado</t>
    </r>
  </si>
  <si>
    <r>
      <rPr>
        <sz val="7"/>
        <rFont val="Arial"/>
        <family val="2"/>
      </rPr>
      <t>m³</t>
    </r>
  </si>
  <si>
    <r>
      <rPr>
        <sz val="7"/>
        <rFont val="Arial"/>
        <family val="2"/>
      </rPr>
      <t>Demolição de rocha a frio, até altura de 3,0m, com argamassa expansiva, inclusive remoção com escavadeira</t>
    </r>
  </si>
  <si>
    <r>
      <rPr>
        <sz val="7"/>
        <rFont val="Arial"/>
        <family val="2"/>
      </rPr>
      <t>Demolição de rocha a frio até 3 metros com utilização de argamassa expansiva, inclusive remoção com trator de esteiras</t>
    </r>
  </si>
  <si>
    <r>
      <rPr>
        <sz val="7"/>
        <rFont val="Arial"/>
        <family val="2"/>
      </rPr>
      <t>Desmonte de rocha</t>
    </r>
  </si>
  <si>
    <r>
      <rPr>
        <sz val="7"/>
        <rFont val="Arial"/>
        <family val="2"/>
      </rPr>
      <t>Destocamento de árvores com diâmetro &gt; 30 cm, com trator de esteira</t>
    </r>
  </si>
  <si>
    <r>
      <rPr>
        <sz val="7"/>
        <rFont val="Arial"/>
        <family val="2"/>
      </rPr>
      <t>Ud</t>
    </r>
  </si>
  <si>
    <r>
      <rPr>
        <sz val="7"/>
        <rFont val="Arial"/>
        <family val="2"/>
      </rPr>
      <t>Destocamento de árvores com diâmetro de 15 a 30 cm, com trator de esteira</t>
    </r>
  </si>
  <si>
    <r>
      <rPr>
        <sz val="7"/>
        <rFont val="Arial"/>
        <family val="2"/>
      </rPr>
      <t>Escalonamento de taludes com escavadeira</t>
    </r>
  </si>
  <si>
    <r>
      <rPr>
        <sz val="7"/>
        <rFont val="Arial"/>
        <family val="2"/>
      </rPr>
      <t>Escalonamento de taludes, com trator de esteiras</t>
    </r>
  </si>
  <si>
    <r>
      <rPr>
        <sz val="7"/>
        <rFont val="Arial"/>
        <family val="2"/>
      </rPr>
      <t>Escavação, carga e transporte de material de 1ª cat. até 200 m com moto-escavo- transportador</t>
    </r>
  </si>
  <si>
    <r>
      <rPr>
        <sz val="7"/>
        <rFont val="Arial"/>
        <family val="2"/>
      </rPr>
      <t>Escavação, carga e transporte de material de 1ª cat. 1000 a 1200 m com moto-escavo- transportador</t>
    </r>
  </si>
  <si>
    <r>
      <rPr>
        <sz val="7"/>
        <rFont val="Arial"/>
        <family val="2"/>
      </rPr>
      <t>Escavação, carga e transporte de material de 1ª cat. 200 a 400 m com moto-escavo- transportador</t>
    </r>
  </si>
  <si>
    <r>
      <rPr>
        <sz val="7"/>
        <rFont val="Arial"/>
        <family val="2"/>
      </rPr>
      <t>Escavação, carga e transporte de material de 1ª cat. 400 a 600 m com moto-escavo- transportador</t>
    </r>
  </si>
  <si>
    <r>
      <rPr>
        <sz val="7"/>
        <rFont val="Arial"/>
        <family val="2"/>
      </rPr>
      <t>Escavação, carga e transporte de material de 1ª cat. 600 a 800 m com moto-escavo- transportador</t>
    </r>
  </si>
  <si>
    <r>
      <rPr>
        <sz val="7"/>
        <rFont val="Arial"/>
        <family val="2"/>
      </rPr>
      <t>Escavação, carga e transporte de material de 1ª cat. 800 a 1000 m com moto-escavo- transportador</t>
    </r>
  </si>
  <si>
    <r>
      <rPr>
        <sz val="7"/>
        <rFont val="Arial"/>
        <family val="2"/>
      </rPr>
      <t>Escavação, carga e transporte de material de 2ª cat. até 200 m com moto-escavo- transportador</t>
    </r>
  </si>
  <si>
    <r>
      <rPr>
        <sz val="7"/>
        <rFont val="Arial"/>
        <family val="2"/>
      </rPr>
      <t>Escavação, carga e transporte de material de 2ª cat. 1000 a 1200 m com moto-escavo- transportador</t>
    </r>
  </si>
  <si>
    <r>
      <rPr>
        <sz val="7"/>
        <rFont val="Arial"/>
        <family val="2"/>
      </rPr>
      <t>Escavação, carga e transporte de material de 2ª cat. 200 a 400 m com moto-escavo- transportador</t>
    </r>
  </si>
  <si>
    <r>
      <rPr>
        <sz val="7"/>
        <rFont val="Arial"/>
        <family val="2"/>
      </rPr>
      <t>Escavação, carga e transporte de material de 2ª cat. 400 a 600 m com moto-escavo- transportador</t>
    </r>
  </si>
  <si>
    <r>
      <rPr>
        <sz val="7"/>
        <rFont val="Arial"/>
        <family val="2"/>
      </rPr>
      <t>Escavação, carga e transporte de material de 2ª cat. 600 a 800 m com moto-escavo- transportador</t>
    </r>
  </si>
  <si>
    <r>
      <rPr>
        <sz val="7"/>
        <rFont val="Arial"/>
        <family val="2"/>
      </rPr>
      <t>Escavação, carga e transporte de material de 2ª cat. 800 a 1000 m com moto-escavo- transportador</t>
    </r>
  </si>
  <si>
    <r>
      <rPr>
        <sz val="7"/>
        <rFont val="Arial"/>
        <family val="2"/>
      </rPr>
      <t>Escavação e carga de material de barreira (remoção)</t>
    </r>
  </si>
  <si>
    <r>
      <rPr>
        <sz val="7"/>
        <rFont val="Arial"/>
        <family val="2"/>
      </rPr>
      <t>Escavação e carga de material de 1ª categoria com escavadeira</t>
    </r>
  </si>
  <si>
    <r>
      <rPr>
        <sz val="7"/>
        <rFont val="Arial"/>
        <family val="2"/>
      </rPr>
      <t>Escavação e carga de material de 1ª categoria, com trator de esteira e pá carregadeira</t>
    </r>
  </si>
  <si>
    <r>
      <rPr>
        <sz val="7"/>
        <rFont val="Arial"/>
        <family val="2"/>
      </rPr>
      <t>Escavação e carga de material de 2ª categoria com escavadeira</t>
    </r>
  </si>
  <si>
    <r>
      <rPr>
        <sz val="7"/>
        <rFont val="Arial"/>
        <family val="2"/>
      </rPr>
      <t>Escavação e carga de material de 2ª categoria, com trator de esteira e pá carregadeira</t>
    </r>
  </si>
  <si>
    <r>
      <rPr>
        <sz val="7"/>
        <rFont val="Arial"/>
        <family val="2"/>
      </rPr>
      <t>Escavação e carga de material de 3ª categoria (fogo controlado)</t>
    </r>
  </si>
  <si>
    <r>
      <rPr>
        <sz val="7"/>
        <rFont val="Arial"/>
        <family val="2"/>
      </rPr>
      <t>Escavação e carga de material de 3ª categoria (H bancada &gt;1,0 m)</t>
    </r>
  </si>
  <si>
    <r>
      <rPr>
        <sz val="7"/>
        <rFont val="Arial"/>
        <family val="2"/>
      </rPr>
      <t>Espalhamento / regularização / compactação de material em bota-fora</t>
    </r>
  </si>
  <si>
    <r>
      <rPr>
        <sz val="7"/>
        <rFont val="Arial"/>
        <family val="2"/>
      </rPr>
      <t>Espalhamento de material de 1ª categoria com motoniveladora</t>
    </r>
  </si>
  <si>
    <r>
      <rPr>
        <sz val="7"/>
        <rFont val="Arial"/>
        <family val="2"/>
      </rPr>
      <t>Espalhamento de material de 1ª categoria com trator de esteiras</t>
    </r>
  </si>
  <si>
    <r>
      <rPr>
        <sz val="7"/>
        <rFont val="Arial"/>
        <family val="2"/>
      </rPr>
      <t>Forro de regularização sobre plataforma de enrocamento para tráfego de caminhões, inclusive fornecimento do pó de pedra e da pedra demão</t>
    </r>
  </si>
  <si>
    <r>
      <rPr>
        <sz val="7"/>
        <rFont val="Arial"/>
        <family val="2"/>
      </rPr>
      <t>Fragmentação de rocha (fogacheamento)</t>
    </r>
  </si>
  <si>
    <r>
      <rPr>
        <sz val="7"/>
        <rFont val="Arial"/>
        <family val="2"/>
      </rPr>
      <t>Limpeza de acostamento</t>
    </r>
  </si>
  <si>
    <r>
      <rPr>
        <sz val="7"/>
        <rFont val="Arial"/>
        <family val="2"/>
      </rPr>
      <t>Limpeza, desmatamento e destocamento de árvores com diâmetro até 15 cm, com trator de esteira</t>
    </r>
  </si>
  <si>
    <r>
      <rPr>
        <sz val="7"/>
        <rFont val="Arial"/>
        <family val="2"/>
      </rPr>
      <t>Limpeza, desmatamento e destocamento de jazida com remoçao 15 cm solo orgânico</t>
    </r>
  </si>
  <si>
    <r>
      <rPr>
        <sz val="7"/>
        <rFont val="Arial"/>
        <family val="2"/>
      </rPr>
      <t>Limpeza e desmatamento em área alagada (pântano) com ferramentas manuais, inclusive moto serra</t>
    </r>
  </si>
  <si>
    <r>
      <rPr>
        <sz val="7"/>
        <rFont val="Arial"/>
        <family val="2"/>
      </rPr>
      <t>Limpeza em superfície de concreto com jateamento d'água sob pressão</t>
    </r>
  </si>
  <si>
    <r>
      <rPr>
        <sz val="7"/>
        <rFont val="Arial"/>
        <family val="2"/>
      </rPr>
      <t>m2</t>
    </r>
  </si>
  <si>
    <r>
      <rPr>
        <sz val="7"/>
        <rFont val="Arial"/>
        <family val="2"/>
      </rPr>
      <t>Pré-fissuramento de taludes de rocha</t>
    </r>
  </si>
  <si>
    <r>
      <rPr>
        <sz val="7"/>
        <rFont val="Arial"/>
        <family val="2"/>
      </rPr>
      <t>Remoção de solos moles, incluindo carregamento mecânico com escavadeira hidráulica</t>
    </r>
  </si>
  <si>
    <r>
      <rPr>
        <sz val="7"/>
        <rFont val="Arial"/>
        <family val="2"/>
      </rPr>
      <t>Roçada manual com roçadeira costal, ferramentas manuais, inclusive limpeza e remoção com retroescavadeira</t>
    </r>
  </si>
  <si>
    <r>
      <rPr>
        <sz val="7"/>
        <rFont val="Arial"/>
        <family val="2"/>
      </rPr>
      <t>Roçada manual com roçadeira costal, ferramentas manuais, inclusive limpeza manual</t>
    </r>
  </si>
  <si>
    <r>
      <rPr>
        <sz val="7"/>
        <rFont val="Arial"/>
        <family val="2"/>
      </rPr>
      <t>Roçada mecânica</t>
    </r>
  </si>
  <si>
    <r>
      <rPr>
        <sz val="7"/>
        <rFont val="Arial"/>
        <family val="2"/>
      </rPr>
      <t>*O valor correspondente ao transporte será calculado por ocasião do orçamento, quando serão informadas as distâncias.</t>
    </r>
  </si>
  <si>
    <r>
      <rPr>
        <sz val="7"/>
        <rFont val="Arial"/>
        <family val="2"/>
      </rPr>
      <t>Transporte horizontal com trator de lâmina de material de 1ª cat. DMTaté 50m</t>
    </r>
  </si>
  <si>
    <r>
      <rPr>
        <sz val="7"/>
        <rFont val="Arial"/>
        <family val="2"/>
      </rPr>
      <t>Grupo de serviço: PAVIMENTAÇÃO</t>
    </r>
  </si>
  <si>
    <r>
      <rPr>
        <sz val="7"/>
        <rFont val="Arial"/>
        <family val="2"/>
      </rPr>
      <t>Base com mistura de argila, areia e escória de aciaria, 30%,30%,40%, inclusive fornecim. transp.areia e escória, exclusive fornecim. transp. da argila</t>
    </r>
  </si>
  <si>
    <r>
      <rPr>
        <sz val="7"/>
        <rFont val="Arial"/>
        <family val="2"/>
      </rPr>
      <t>A incluir</t>
    </r>
  </si>
  <si>
    <r>
      <rPr>
        <sz val="7"/>
        <rFont val="Arial"/>
        <family val="2"/>
      </rPr>
      <t>Base com mistura de argila, areia e escória de aciaria, 50%,20%,30%, inclusive fornecim.e transp. areia e escória, exclusive fornecim. e transp.argila</t>
    </r>
  </si>
  <si>
    <r>
      <rPr>
        <sz val="7"/>
        <rFont val="Arial"/>
        <family val="2"/>
      </rPr>
      <t>Base com mistura de argila 30%, pó de pedra 30% e brita 40%, inclusive fornecimento e transporte do pó de pedra e da brita</t>
    </r>
  </si>
  <si>
    <r>
      <rPr>
        <sz val="7"/>
        <rFont val="Arial"/>
        <family val="2"/>
      </rPr>
      <t>Base com mistura de argila 70% e escória de aciaria 30%, inclusive fornecim. e transporte da escória, exclusive fornecimento e transporte da argila</t>
    </r>
  </si>
  <si>
    <r>
      <rPr>
        <sz val="7"/>
        <rFont val="Arial"/>
        <family val="2"/>
      </rPr>
      <t>Base com mistura de Saibro, Argila e Brita, 45%, 15% e 40%, exclusive transporte</t>
    </r>
  </si>
  <si>
    <r>
      <rPr>
        <sz val="7"/>
        <rFont val="Arial"/>
        <family val="2"/>
      </rPr>
      <t>Base com mistura de solo 80% e areia 20%, inclusive transporte da areia</t>
    </r>
  </si>
  <si>
    <r>
      <rPr>
        <sz val="7"/>
        <rFont val="Arial"/>
        <family val="2"/>
      </rPr>
      <t>Base de brita graduada, inclusive fornecimento e transporte da brita</t>
    </r>
  </si>
  <si>
    <r>
      <rPr>
        <sz val="7"/>
        <rFont val="Arial"/>
        <family val="2"/>
      </rPr>
      <t>Base de brita graduada, inclusive fornecimento, exclusive transporte da brita</t>
    </r>
  </si>
  <si>
    <r>
      <rPr>
        <sz val="7"/>
        <rFont val="Arial"/>
        <family val="2"/>
      </rPr>
      <t>Base de brita 1, inclusive fornecimento, exclusive transporte da brita</t>
    </r>
  </si>
  <si>
    <r>
      <rPr>
        <sz val="7"/>
        <rFont val="Arial"/>
        <family val="2"/>
      </rPr>
      <t>Base de escória de aciaria, inclusive fornecimento e transporte da escória</t>
    </r>
  </si>
  <si>
    <r>
      <rPr>
        <sz val="7"/>
        <rFont val="Arial"/>
        <family val="2"/>
      </rPr>
      <t>Base de escória/argila na proporção 80:20, inclusive aquisição e transporte da escória, exclusive argila</t>
    </r>
  </si>
  <si>
    <r>
      <rPr>
        <sz val="7"/>
        <rFont val="Arial"/>
        <family val="2"/>
      </rPr>
      <t>Base de escória/solo na proporção 75:25, inclusive fornecimento da escória, exceto fornecimento do solo e transporte do solo e escória</t>
    </r>
  </si>
  <si>
    <r>
      <rPr>
        <sz val="7"/>
        <rFont val="Arial"/>
        <family val="2"/>
      </rPr>
      <t>Base de solo brita, 20% em peso, inclusive fornecim. da brita, exclusive transporte da brita e do solo (100% P.IM)</t>
    </r>
  </si>
  <si>
    <r>
      <rPr>
        <sz val="7"/>
        <rFont val="Arial"/>
        <family val="2"/>
      </rPr>
      <t>Base de solo brita, 40% em peso, inclusive fornecimento, exclusive transporte da brita</t>
    </r>
  </si>
  <si>
    <r>
      <rPr>
        <sz val="7"/>
        <rFont val="Arial"/>
        <family val="2"/>
      </rPr>
      <t>Base de solo brita, 50% em peso, inclusive fornecimento, exclusive transporte da brita</t>
    </r>
  </si>
  <si>
    <r>
      <rPr>
        <sz val="7"/>
        <rFont val="Arial"/>
        <family val="2"/>
      </rPr>
      <t>Base de solo brita, 70% em peso, inclusive fornecimento, exclusive transporte da brita</t>
    </r>
  </si>
  <si>
    <r>
      <rPr>
        <sz val="7"/>
        <rFont val="Arial"/>
        <family val="2"/>
      </rPr>
      <t>Base de solo brita, 80% em peso, inclusive fornecimento e transporte da brita</t>
    </r>
  </si>
  <si>
    <r>
      <rPr>
        <sz val="7"/>
        <rFont val="Arial"/>
        <family val="2"/>
      </rPr>
      <t>Base estabilizada granulométricamente. com mistura de escória de aciaria 80% e argila exceto fornecimento da argila e transporte da argila e escória</t>
    </r>
  </si>
  <si>
    <r>
      <rPr>
        <sz val="7"/>
        <rFont val="Arial"/>
        <family val="2"/>
      </rPr>
      <t>Base solo brita, 20% em peso, inclusive fornecimento e transporte da brita</t>
    </r>
  </si>
  <si>
    <r>
      <rPr>
        <sz val="7"/>
        <rFont val="Arial"/>
        <family val="2"/>
      </rPr>
      <t>Base solo brita, 30% em peso, inclusive fornecimento e transporte da brita</t>
    </r>
  </si>
  <si>
    <r>
      <rPr>
        <sz val="7"/>
        <rFont val="Arial"/>
        <family val="2"/>
      </rPr>
      <t>Base solo brita, 50% em peso, inclusive fornecimento e transporte da brita</t>
    </r>
  </si>
  <si>
    <r>
      <rPr>
        <sz val="7"/>
        <rFont val="Arial"/>
        <family val="2"/>
      </rPr>
      <t>Base solo brita, 70% em peso, inclusive fornecimento e transporte da brita</t>
    </r>
  </si>
  <si>
    <r>
      <rPr>
        <sz val="7"/>
        <rFont val="Arial"/>
        <family val="2"/>
      </rPr>
      <t>Base solo brita, 80% em peso, inclusive fornecimento, exclusive transporte da brita</t>
    </r>
  </si>
  <si>
    <r>
      <rPr>
        <sz val="7"/>
        <rFont val="Arial"/>
        <family val="2"/>
      </rPr>
      <t>Capa selante (emulsão e areia) exclusive fornecimento e transporte comercial da emulsão, inclusive transporte da areia</t>
    </r>
  </si>
  <si>
    <r>
      <rPr>
        <sz val="7"/>
        <rFont val="Arial"/>
        <family val="2"/>
      </rPr>
      <t>Capa selante (emulsão e areia) inclusive fornecimento e transporte comercial da emulsão</t>
    </r>
  </si>
  <si>
    <r>
      <rPr>
        <sz val="7"/>
        <rFont val="Arial"/>
        <family val="2"/>
      </rPr>
      <t>CBUQ (camada pronta - binder) exclusive fornecimento e transportes do CAP e massa, inclusive fornecimento e transporte da brita e pó de pedra</t>
    </r>
  </si>
  <si>
    <r>
      <rPr>
        <sz val="7"/>
        <rFont val="Arial"/>
        <family val="2"/>
      </rPr>
      <t>t</t>
    </r>
  </si>
  <si>
    <r>
      <rPr>
        <sz val="7"/>
        <rFont val="Arial"/>
        <family val="2"/>
      </rPr>
      <t>CBUQ (camada pronta - binder) inclusive fornecimento e transporte comercial do CAP, exclusive transporte da massa</t>
    </r>
  </si>
  <si>
    <r>
      <rPr>
        <sz val="7"/>
        <rFont val="Arial"/>
        <family val="2"/>
      </rPr>
      <t>CBUQ (camada pronta - capa) exclusive fornecimento e transportes do CAP e massa</t>
    </r>
  </si>
  <si>
    <r>
      <rPr>
        <sz val="7"/>
        <rFont val="Arial"/>
        <family val="2"/>
      </rPr>
      <t>CBUQ (camada pronta - capa) inclusive fornecimento e transporte comercial do CAP, exclusive transporte da massa</t>
    </r>
  </si>
  <si>
    <r>
      <rPr>
        <sz val="7"/>
        <rFont val="Arial"/>
        <family val="2"/>
      </rPr>
      <t>CBUQ (camada pronta Faixa "B" para revestimento) exclusive fornecimento do CAP e transp. de todos os materiais</t>
    </r>
  </si>
  <si>
    <r>
      <rPr>
        <sz val="7"/>
        <rFont val="Arial"/>
        <family val="2"/>
      </rPr>
      <t>CBUQ (camada pronta-faixa "C") , exclusive fornecimento do CAP e transporte de todos os materiais (traço padrão areia e brita)</t>
    </r>
  </si>
  <si>
    <r>
      <rPr>
        <sz val="7"/>
        <rFont val="Arial"/>
        <family val="2"/>
      </rPr>
      <t>CBUQ (camada pronta-faixa"C") exclusive fornecimento do CAP e transporte de todos os materiais</t>
    </r>
  </si>
  <si>
    <r>
      <rPr>
        <sz val="7"/>
        <rFont val="Arial"/>
        <family val="2"/>
      </rPr>
      <t>CBUQ (massa asfáltica) exclusive fornecimento e transporte comercial do CAP, (Usinagem)</t>
    </r>
  </si>
  <si>
    <r>
      <rPr>
        <sz val="7"/>
        <rFont val="Arial"/>
        <family val="2"/>
      </rPr>
      <t>CBUQ (massa asfáltica) inclusive fornecimento e transporte comercial do CAP (Usinagem)</t>
    </r>
  </si>
  <si>
    <r>
      <rPr>
        <sz val="7"/>
        <rFont val="Arial"/>
        <family val="2"/>
      </rPr>
      <t>CBUQ (massa asfáltica-faixa"C") exclusive fornecimento CAP e transporte de todos os materiais</t>
    </r>
  </si>
  <si>
    <r>
      <rPr>
        <sz val="7"/>
        <rFont val="Arial"/>
        <family val="2"/>
      </rPr>
      <t>CBUQ (massa fina - faixa"D") exclusive fornecimento do CAP e transp.de todos os materiais</t>
    </r>
  </si>
  <si>
    <r>
      <rPr>
        <sz val="7"/>
        <rFont val="Arial"/>
        <family val="2"/>
      </rPr>
      <t>CBUQ (massa fina-faixa"D"), exclusive fornecimento do CAP e transporte de todos os materiais (traço padrão areia e brita)</t>
    </r>
  </si>
  <si>
    <r>
      <rPr>
        <sz val="7"/>
        <rFont val="Arial"/>
        <family val="2"/>
      </rPr>
      <t>Demolição e remoção de pavimento asfáltico</t>
    </r>
  </si>
  <si>
    <r>
      <rPr>
        <sz val="7"/>
        <rFont val="Arial"/>
        <family val="2"/>
      </rPr>
      <t>Escarificação de base H = 0,10m e capa asfáltica</t>
    </r>
  </si>
  <si>
    <r>
      <rPr>
        <sz val="7"/>
        <rFont val="Arial"/>
        <family val="2"/>
      </rPr>
      <t>Escarificação e compactação de base (100% P.I.) H=0,20m</t>
    </r>
  </si>
  <si>
    <r>
      <rPr>
        <sz val="7"/>
        <rFont val="Arial"/>
        <family val="2"/>
      </rPr>
      <t>Estabilização granulométrica de solo s/ mistura 100% P.I.</t>
    </r>
  </si>
  <si>
    <r>
      <rPr>
        <sz val="7"/>
        <rFont val="Arial"/>
        <family val="2"/>
      </rPr>
      <t>Estabilização granulométrica de solo s/ mistura 100% P.M.</t>
    </r>
  </si>
  <si>
    <r>
      <rPr>
        <sz val="7"/>
        <rFont val="Arial"/>
        <family val="2"/>
      </rPr>
      <t>Estabilização granulométrica de solos c/ mistura de areia na pista 100% P.M. (80%, 20%) exclusive transporte</t>
    </r>
  </si>
  <si>
    <r>
      <rPr>
        <sz val="7"/>
        <rFont val="Arial"/>
        <family val="2"/>
      </rPr>
      <t>Estabilização granulométrica de solos c/ mistura na pista 100 % P.I.</t>
    </r>
  </si>
  <si>
    <r>
      <rPr>
        <sz val="7"/>
        <rFont val="Arial"/>
        <family val="2"/>
      </rPr>
      <t>Estabilização granulométrica de solos c/ mistura na pista 100% P.M.</t>
    </r>
  </si>
  <si>
    <r>
      <rPr>
        <sz val="7"/>
        <rFont val="Arial"/>
        <family val="2"/>
      </rPr>
      <t>Fresagem de pavimento asfáltico a frio, esp. até 15cm, exclusive transporte de materiais</t>
    </r>
  </si>
  <si>
    <r>
      <rPr>
        <sz val="7"/>
        <rFont val="Arial"/>
        <family val="2"/>
      </rPr>
      <t>Fresagem de pavimento asfáltico a frio, esp=5cm, exclusive transporte de materiais</t>
    </r>
  </si>
  <si>
    <r>
      <rPr>
        <sz val="7"/>
        <rFont val="Arial"/>
        <family val="2"/>
      </rPr>
      <t>Fresagem de pavimento asfáltico a frio, esp.=5cm inclusive transporte do material</t>
    </r>
  </si>
  <si>
    <r>
      <rPr>
        <sz val="7"/>
        <rFont val="Arial"/>
        <family val="2"/>
      </rPr>
      <t>Imprimação exclusive fornecimento e transporte comercial do material betuminoso</t>
    </r>
  </si>
  <si>
    <r>
      <rPr>
        <sz val="7"/>
        <rFont val="Arial"/>
        <family val="2"/>
      </rPr>
      <t>Imprimação inclusive fornecimento e transporte comercial do material betuminoso</t>
    </r>
  </si>
  <si>
    <r>
      <rPr>
        <sz val="7"/>
        <rFont val="Arial"/>
        <family val="2"/>
      </rPr>
      <t>Lama asfáltica (faixa I - ISSA) exclusive fornecimento e transporte comercial da emulsão</t>
    </r>
  </si>
  <si>
    <r>
      <rPr>
        <sz val="7"/>
        <rFont val="Arial"/>
        <family val="2"/>
      </rPr>
      <t>Lama asfáltica (faixa I - ISSA) inclusive fornecimento e transporte comercial da emulsão</t>
    </r>
  </si>
  <si>
    <r>
      <rPr>
        <sz val="7"/>
        <rFont val="Arial"/>
        <family val="2"/>
      </rPr>
      <t>Lama asfáltica (faixa II - ISSA) exclusive fornecimento e transporte comercial da emulsão</t>
    </r>
  </si>
  <si>
    <r>
      <rPr>
        <sz val="7"/>
        <rFont val="Arial"/>
        <family val="2"/>
      </rPr>
      <t>Lama asfáltica (faixa II - ISSA) inclusive fornecimento e transporte comercial da emulsão</t>
    </r>
  </si>
  <si>
    <r>
      <rPr>
        <sz val="7"/>
        <rFont val="Arial"/>
        <family val="2"/>
      </rPr>
      <t>Lama asfáltica (faixa III - ISSA) exclusive fornecimento e transporte comercial da emulsão</t>
    </r>
  </si>
  <si>
    <r>
      <rPr>
        <sz val="7"/>
        <rFont val="Arial"/>
        <family val="2"/>
      </rPr>
      <t>Lama asfáltica (faixa III - ISSA) inclusive fornecimento e transporte comercial da emulsão</t>
    </r>
  </si>
  <si>
    <r>
      <rPr>
        <sz val="7"/>
        <rFont val="Arial"/>
        <family val="2"/>
      </rPr>
      <t>Lama asfáltica (faixa IV - ISSA) exclusive fornecimento e transporte comercial da emulsão</t>
    </r>
  </si>
  <si>
    <r>
      <rPr>
        <sz val="7"/>
        <rFont val="Arial"/>
        <family val="2"/>
      </rPr>
      <t>Lama asfáltica (faixa IV - ISSA) inclusive fornecimento e transporte comercial da emulsão</t>
    </r>
  </si>
  <si>
    <r>
      <rPr>
        <sz val="7"/>
        <rFont val="Arial"/>
        <family val="2"/>
      </rPr>
      <t>Lavagem de brita para tratamento</t>
    </r>
  </si>
  <si>
    <r>
      <rPr>
        <sz val="7"/>
        <rFont val="Arial"/>
        <family val="2"/>
      </rPr>
      <t>Meio fio (assentamento), inclusive caiação</t>
    </r>
  </si>
  <si>
    <r>
      <rPr>
        <sz val="7"/>
        <rFont val="Arial"/>
        <family val="2"/>
      </rPr>
      <t>M</t>
    </r>
  </si>
  <si>
    <r>
      <rPr>
        <sz val="7"/>
        <rFont val="Arial"/>
        <family val="2"/>
      </rPr>
      <t>Meio fio (remoção e reassentamento),  inclusive caiação</t>
    </r>
  </si>
  <si>
    <r>
      <rPr>
        <sz val="7"/>
        <rFont val="Arial"/>
        <family val="2"/>
      </rPr>
      <t>Micro revestimento asfáltico à frio exclusive fornecimento e transporte comercial do material betuminoso</t>
    </r>
  </si>
  <si>
    <r>
      <rPr>
        <sz val="7"/>
        <rFont val="Arial"/>
        <family val="2"/>
      </rPr>
      <t>Micro revestimento asfáltico à frio exclusive fornecimento emulsão e transp. de todos os materiais</t>
    </r>
  </si>
  <si>
    <r>
      <rPr>
        <sz val="7"/>
        <rFont val="Arial"/>
        <family val="2"/>
      </rPr>
      <t>Micro revestimento asfáltico à frio inclusive fornecimento e transporte comercial do material betuminoso</t>
    </r>
  </si>
  <si>
    <r>
      <rPr>
        <sz val="7"/>
        <rFont val="Arial"/>
        <family val="2"/>
      </rPr>
      <t>Obturação de buracos c/ CBUQ exclusive fornecimento e transporte comercial dos materiais betuminosos</t>
    </r>
  </si>
  <si>
    <r>
      <rPr>
        <sz val="7"/>
        <rFont val="Arial"/>
        <family val="2"/>
      </rPr>
      <t>Obturação de buracos c/ CBUQ exclusive fornecimento e transporte dos materiais betuminosos</t>
    </r>
  </si>
  <si>
    <r>
      <rPr>
        <sz val="7"/>
        <rFont val="Arial"/>
        <family val="2"/>
      </rPr>
      <t>Obturação de buracos c/ CBUQ inclusive fornecimento e transporte comercial dos materiais betuminosos</t>
    </r>
  </si>
  <si>
    <r>
      <rPr>
        <sz val="7"/>
        <rFont val="Arial"/>
        <family val="2"/>
      </rPr>
      <t>Obturação de buracos c/ CBUQ inclusive fornecimento e transporte dos materiais betuminosos</t>
    </r>
  </si>
  <si>
    <r>
      <rPr>
        <sz val="7"/>
        <rFont val="Arial"/>
        <family val="2"/>
      </rPr>
      <t>Obturação de buracos c/ CBUQ-faixa "C", exclusive forn.do CAP e transporte de todos os materiais</t>
    </r>
  </si>
  <si>
    <r>
      <rPr>
        <sz val="7"/>
        <rFont val="Arial"/>
        <family val="2"/>
      </rPr>
      <t>Obturação de buracos c/ PMF exclusive fornecimento e transporte comercial da emulsão</t>
    </r>
  </si>
  <si>
    <r>
      <rPr>
        <sz val="7"/>
        <rFont val="Arial"/>
        <family val="2"/>
      </rPr>
      <t>Obturação de buracos c/ PMF exclusive fornecimento e transporte dos materiais betuminosos</t>
    </r>
  </si>
  <si>
    <r>
      <rPr>
        <sz val="7"/>
        <rFont val="Arial"/>
        <family val="2"/>
      </rPr>
      <t>Obturação de buracos c/ PMF inclusive fornecimento e transporte comercial da emulsão</t>
    </r>
  </si>
  <si>
    <r>
      <rPr>
        <sz val="7"/>
        <rFont val="Arial"/>
        <family val="2"/>
      </rPr>
      <t>Obturação de buracos c/ PMF inclusive fornecimento e transporte dos materiais betuminosos</t>
    </r>
  </si>
  <si>
    <r>
      <rPr>
        <sz val="7"/>
        <rFont val="Arial"/>
        <family val="2"/>
      </rPr>
      <t>Pavimentação com blocos de concreto (35 MPa), esp.= 06 cm, sobre colchão areia esp.= 5 cm, inclusive fornecimento e transporte dos blocos e areia</t>
    </r>
  </si>
  <si>
    <r>
      <rPr>
        <sz val="7"/>
        <rFont val="Arial"/>
        <family val="2"/>
      </rPr>
      <t xml:space="preserve">Pavimentação com blocos de concreto (35 MPa), esp. = 10 cm, sobre colchão areia esp.= 5cm
</t>
    </r>
    <r>
      <rPr>
        <sz val="7"/>
        <rFont val="Arial"/>
        <family val="2"/>
      </rPr>
      <t>, inclusive fornecimento e transporte dos blocos e areia</t>
    </r>
  </si>
  <si>
    <r>
      <rPr>
        <sz val="7"/>
        <rFont val="Arial"/>
        <family val="2"/>
      </rPr>
      <t>Pavimentação com blocos de concreto (35 MPa), esp.= 06cm, sobre colchão areia esp.=5cm, inclusive fornecim. do bloco e areia, exclus. transp.materiais</t>
    </r>
  </si>
  <si>
    <r>
      <rPr>
        <sz val="7"/>
        <rFont val="Arial"/>
        <family val="2"/>
      </rPr>
      <t>Pavimentação com blocos de concreto (35 MPa), esp.= 08 cm, colchão areia esp.= 5cm, inclusive fornecimento e transporte dos blocos e areia</t>
    </r>
  </si>
  <si>
    <r>
      <rPr>
        <sz val="7"/>
        <rFont val="Arial"/>
        <family val="2"/>
      </rPr>
      <t>Pavimentação com blocos de concreto (35 MPa) esp.=08 cm,colchão areia esp.=5cm, inclusive fornecim. do bloco e areia, exclusive transp. blocos e areia</t>
    </r>
  </si>
  <si>
    <r>
      <rPr>
        <sz val="7"/>
        <rFont val="Arial"/>
        <family val="2"/>
      </rPr>
      <t>Pavimentação com blocos de concreto (35MPa), esp.=10 cm, sobre colchão de areia esp.= 5cm, inclusive fornecim. do bloco e areia , exclusive transportes</t>
    </r>
  </si>
  <si>
    <r>
      <rPr>
        <sz val="7"/>
        <rFont val="Arial"/>
        <family val="2"/>
      </rPr>
      <t>Pavimentação com paralelepípedo, sobre colchão areia esp.= 5cm, inclus. fornecimento e transport. da areia, exclus. fornecim. e transp. paralelepípedo</t>
    </r>
  </si>
  <si>
    <r>
      <rPr>
        <sz val="7"/>
        <rFont val="Arial"/>
        <family val="2"/>
      </rPr>
      <t>Pavimentação com paralelepípedo, sobre colchão areia esp.= 5cm, inclusive fornecimento e transporte do paralelepípedo e areia</t>
    </r>
  </si>
  <si>
    <r>
      <rPr>
        <sz val="7"/>
        <rFont val="Arial"/>
        <family val="2"/>
      </rPr>
      <t>Pavimentação com paralelepípedo, sobre colchão pó de pedra esp.= 5cm, inclusive fornecimento e transporte do paralelepípedo e pó de pedra</t>
    </r>
  </si>
  <si>
    <r>
      <rPr>
        <sz val="7"/>
        <rFont val="Arial"/>
        <family val="2"/>
      </rPr>
      <t>Pavimentação com pedra portuguesa, inclusive fornecimento e transporte da pedra portuguesa, cimento e areia</t>
    </r>
  </si>
  <si>
    <r>
      <rPr>
        <sz val="7"/>
        <rFont val="Arial"/>
        <family val="2"/>
      </rPr>
      <t>Pintura de ligação exclusive fornecimento e transporte comercial do material betuminoso</t>
    </r>
  </si>
  <si>
    <r>
      <rPr>
        <sz val="7"/>
        <rFont val="Arial"/>
        <family val="2"/>
      </rPr>
      <t>Pintura de ligação inclusive fornecimento e transporte comercial do material betuminoso</t>
    </r>
  </si>
  <si>
    <r>
      <rPr>
        <sz val="7"/>
        <rFont val="Arial"/>
        <family val="2"/>
      </rPr>
      <t>PMF camada pronta exclusive fornecimento e transporte comercial da emulsão</t>
    </r>
  </si>
  <si>
    <r>
      <rPr>
        <sz val="7"/>
        <rFont val="Arial"/>
        <family val="2"/>
      </rPr>
      <t>PMF (massa asfáltica) exclusive fornecimento e transporte comercial da emulsão</t>
    </r>
  </si>
  <si>
    <r>
      <rPr>
        <sz val="7"/>
        <rFont val="Arial"/>
        <family val="2"/>
      </rPr>
      <t>PMF (massa asfáltica) inclusive fornecimento e transporte comercial da emulsão</t>
    </r>
  </si>
  <si>
    <r>
      <rPr>
        <sz val="7"/>
        <rFont val="Arial"/>
        <family val="2"/>
      </rPr>
      <t>Pó de pedra, fornecimento</t>
    </r>
  </si>
  <si>
    <r>
      <rPr>
        <sz val="7"/>
        <rFont val="Arial"/>
        <family val="2"/>
      </rPr>
      <t>Pó de pedra inclusive fornecimento, espalhamento e transporte</t>
    </r>
  </si>
  <si>
    <r>
      <rPr>
        <sz val="7"/>
        <rFont val="Arial"/>
        <family val="2"/>
      </rPr>
      <t>Produção de brita no canteiro, exclusive o desmonte e fragmentação de rocha</t>
    </r>
  </si>
  <si>
    <r>
      <rPr>
        <sz val="7"/>
        <rFont val="Arial"/>
        <family val="2"/>
      </rPr>
      <t>Produção de brita no canteiro, inclusive o desmonte e fragmentação de rocha</t>
    </r>
  </si>
  <si>
    <r>
      <rPr>
        <sz val="7"/>
        <rFont val="Arial"/>
        <family val="2"/>
      </rPr>
      <t>Reciclagem de pavimento (base) c/ adição de 20% de brita1, 10% de brita 0 e 2% de cimento, inclusive fornecimento e transportes dos materiais</t>
    </r>
  </si>
  <si>
    <r>
      <rPr>
        <sz val="7"/>
        <rFont val="Arial"/>
        <family val="2"/>
      </rPr>
      <t>Reciclagem de pavimento (Base existente + CBUQ) sem adição de materiais</t>
    </r>
  </si>
  <si>
    <r>
      <rPr>
        <sz val="7"/>
        <rFont val="Arial"/>
        <family val="2"/>
      </rPr>
      <t>Reciclagem de pavimento (Base existente + T.S.D.) c/ adição de 30% de brita, inclusive fornecimento e transporte da brita</t>
    </r>
  </si>
  <si>
    <r>
      <rPr>
        <sz val="7"/>
        <rFont val="Arial"/>
        <family val="2"/>
      </rPr>
      <t>Reciclagem de pavimento (Base existente + T.S.D.) c/ adição de 30% de brita, inclusive fornecimento, exclusive transporte da brita</t>
    </r>
  </si>
  <si>
    <r>
      <rPr>
        <sz val="7"/>
        <rFont val="Arial"/>
        <family val="2"/>
      </rPr>
      <t>Reciclagem de pavimento (Base existente + T.S.D.) com adição de 20% de brita, inclusive fornecimento e transporte da brita.</t>
    </r>
  </si>
  <si>
    <r>
      <rPr>
        <sz val="7"/>
        <rFont val="Arial"/>
        <family val="2"/>
      </rPr>
      <t>Reciclagem de pavimento (Base existente + T.S.D.) com adição de 3% de cimento, inclusive fornecimento e tarnsporte do cimento</t>
    </r>
  </si>
  <si>
    <r>
      <rPr>
        <sz val="7"/>
        <rFont val="Arial"/>
        <family val="2"/>
      </rPr>
      <t>Reciclagem de pavimento (Base existente + T.S.D.) com adição de 40% de brita, inclusive fornecimento e transporte da brita.</t>
    </r>
  </si>
  <si>
    <r>
      <rPr>
        <sz val="7"/>
        <rFont val="Arial"/>
        <family val="2"/>
      </rPr>
      <t>Reciclagem de pavimento (Base existente + T.S.D.) sem adição de materiais</t>
    </r>
  </si>
  <si>
    <r>
      <rPr>
        <sz val="7"/>
        <rFont val="Arial"/>
        <family val="2"/>
      </rPr>
      <t>Reciclagem de pavimento (Base existente+TSD) com adição de Ligante Betuminoso, inclusive fornecimento e transporte da emulsão</t>
    </r>
  </si>
  <si>
    <r>
      <rPr>
        <sz val="7"/>
        <rFont val="Arial"/>
        <family val="2"/>
      </rPr>
      <t>Reciclagem de pavimento com adição de 2% de cimento, inclusive fornecimento e transporte do cimento</t>
    </r>
  </si>
  <si>
    <r>
      <rPr>
        <sz val="7"/>
        <rFont val="Arial"/>
        <family val="2"/>
      </rPr>
      <t>Reciclagem de pavimento(Base existente + T.S.D.) com adição de 40% de brita, inclusive fornecimento, exclusive transporte da brita</t>
    </r>
  </si>
  <si>
    <r>
      <rPr>
        <sz val="7"/>
        <rFont val="Arial"/>
        <family val="2"/>
      </rPr>
      <t>Recuperação de base de acostamento exclusive transporte do material (solo)</t>
    </r>
  </si>
  <si>
    <r>
      <rPr>
        <sz val="7"/>
        <rFont val="Arial"/>
        <family val="2"/>
      </rPr>
      <t>Recuperação de base de acostamentos, inclusive fornecimento e transporte da brita</t>
    </r>
  </si>
  <si>
    <r>
      <rPr>
        <sz val="7"/>
        <rFont val="Arial"/>
        <family val="2"/>
      </rPr>
      <t>Reestabilização da base com adição de 50% de brita, inclusive fonecimento, exclusive transporte da brita</t>
    </r>
  </si>
  <si>
    <r>
      <rPr>
        <sz val="7"/>
        <rFont val="Arial"/>
        <family val="2"/>
      </rPr>
      <t>Reestabilização de base com adição de 50% de brita, inclusive fornecimento e transporte da brita</t>
    </r>
  </si>
  <si>
    <r>
      <rPr>
        <sz val="7"/>
        <rFont val="Arial"/>
        <family val="2"/>
      </rPr>
      <t>Reforço do sub leito 100% P.I.</t>
    </r>
  </si>
  <si>
    <r>
      <rPr>
        <sz val="7"/>
        <rFont val="Arial"/>
        <family val="2"/>
      </rPr>
      <t>Regularização e compactação do sub-leito (100% P.I.) H = 0,20 m</t>
    </r>
  </si>
  <si>
    <r>
      <rPr>
        <sz val="7"/>
        <rFont val="Arial"/>
        <family val="2"/>
      </rPr>
      <t>Remoção de capa asfáltica em TSS, TSD, ou TST exclusive transporte</t>
    </r>
  </si>
  <si>
    <r>
      <rPr>
        <sz val="7"/>
        <rFont val="Arial"/>
        <family val="2"/>
      </rPr>
      <t>Remoção de meio fio</t>
    </r>
  </si>
  <si>
    <r>
      <rPr>
        <sz val="7"/>
        <rFont val="Arial"/>
        <family val="2"/>
      </rPr>
      <t>Remoção de pavimentação poliédrica</t>
    </r>
  </si>
  <si>
    <r>
      <rPr>
        <sz val="7"/>
        <rFont val="Arial"/>
        <family val="2"/>
      </rPr>
      <t>Remoção e reassentamento de blocos de concreto, inclusive perdas</t>
    </r>
  </si>
  <si>
    <r>
      <rPr>
        <sz val="7"/>
        <rFont val="Arial"/>
        <family val="2"/>
      </rPr>
      <t>Remoção e reassentamento de paralelepípedos, inclusive perdas, colchão de areia e transportes de areia e paralelepípedo</t>
    </r>
  </si>
  <si>
    <r>
      <rPr>
        <sz val="7"/>
        <rFont val="Arial"/>
        <family val="2"/>
      </rPr>
      <t>Revestimento em estradas vicinais (saibro)</t>
    </r>
  </si>
  <si>
    <r>
      <rPr>
        <sz val="7"/>
        <rFont val="Arial"/>
        <family val="2"/>
      </rPr>
      <t>Revestimento primário, espalhamento e compactação (espessura até 0,15m)</t>
    </r>
  </si>
  <si>
    <r>
      <rPr>
        <sz val="7"/>
        <rFont val="Arial"/>
        <family val="2"/>
      </rPr>
      <t>Sub-base c/ mistura de argila 30%, pó de pedra 30% e brita 40%, inclusive fornecimento e transporte do pó de pedra e da brita</t>
    </r>
  </si>
  <si>
    <r>
      <rPr>
        <sz val="7"/>
        <rFont val="Arial"/>
        <family val="2"/>
      </rPr>
      <t>Sub-base c/ mistura de solo 80% e areia 20%, inclusive transporte da areia</t>
    </r>
  </si>
  <si>
    <r>
      <rPr>
        <sz val="7"/>
        <rFont val="Arial"/>
        <family val="2"/>
      </rPr>
      <t>Sub-base com mistura de argila 70% e escória de aciaria 30%, inclusive fornecim. e transporte da escória, exceto fornecimento e transporte da argila</t>
    </r>
  </si>
  <si>
    <r>
      <rPr>
        <sz val="7"/>
        <rFont val="Arial"/>
        <family val="2"/>
      </rPr>
      <t>Sub-base com solo/escória na proporção 70:30, inclusive fornecimento da escória, exceto fornecimento do solo e transporte do solo e escória</t>
    </r>
  </si>
  <si>
    <r>
      <rPr>
        <sz val="7"/>
        <rFont val="Arial"/>
        <family val="2"/>
      </rPr>
      <t>Sub-base de brita graduada, inclusive fornecimento e transporte da brita</t>
    </r>
  </si>
  <si>
    <r>
      <rPr>
        <sz val="7"/>
        <rFont val="Arial"/>
        <family val="2"/>
      </rPr>
      <t>Sub-base de brita graduada, inclusive fornecimento, exclusive transporte da brita</t>
    </r>
  </si>
  <si>
    <r>
      <rPr>
        <sz val="7"/>
        <rFont val="Arial"/>
        <family val="2"/>
      </rPr>
      <t>Sub-base de brita 1, inclusive fornecimento, exclusive transporte da brita</t>
    </r>
  </si>
  <si>
    <r>
      <rPr>
        <sz val="7"/>
        <rFont val="Arial"/>
        <family val="2"/>
      </rPr>
      <t>Sub-base de escória de aciaria, inclusive fornecimento e transporte da escória</t>
    </r>
  </si>
  <si>
    <r>
      <rPr>
        <sz val="7"/>
        <rFont val="Arial"/>
        <family val="2"/>
      </rPr>
      <t>Sub-base de solo brita, 50% em peso, inclusive fornecimento, exclusive transporte da brita</t>
    </r>
  </si>
  <si>
    <r>
      <rPr>
        <sz val="7"/>
        <rFont val="Arial"/>
        <family val="2"/>
      </rPr>
      <t>Sub-base solo brita, 20% em peso, inclusive fornecimento e transporte da brita.</t>
    </r>
  </si>
  <si>
    <r>
      <rPr>
        <sz val="7"/>
        <rFont val="Arial"/>
        <family val="2"/>
      </rPr>
      <t>Sub-base solo brita, 30% em peso, inclusive fornecimento e transporte da brita</t>
    </r>
  </si>
  <si>
    <r>
      <rPr>
        <sz val="7"/>
        <rFont val="Arial"/>
        <family val="2"/>
      </rPr>
      <t>Sub-base solo brita, 50% em peso, inclusive fornecimento e transporte da brita</t>
    </r>
  </si>
  <si>
    <r>
      <rPr>
        <sz val="7"/>
        <rFont val="Arial"/>
        <family val="2"/>
      </rPr>
      <t>Sub-base solo brita, 70% em peso, inclusive fornecimento e transporte da brita</t>
    </r>
  </si>
  <si>
    <r>
      <rPr>
        <sz val="7"/>
        <rFont val="Arial"/>
        <family val="2"/>
      </rPr>
      <t>T.S.B.D. com capa selante exclusive fornecimento e transporte comercial da emulsão, inclusive lavagem da brita e transporte da areia e brita</t>
    </r>
  </si>
  <si>
    <r>
      <rPr>
        <sz val="7"/>
        <rFont val="Arial"/>
        <family val="2"/>
      </rPr>
      <t>T.S.B.D. com capa selante, executado c/ Multidistribuidor exclus. forn. e transp. com. da emulsão, inclus. lavagem brita e transp. comerc.areia, brita</t>
    </r>
  </si>
  <si>
    <r>
      <rPr>
        <sz val="7"/>
        <rFont val="Arial"/>
        <family val="2"/>
      </rPr>
      <t>T.S.B.D. com capa selante executado c/ Multidistribuidor,inclus.fornec.areia/brita e lavagem brita, excl.fornec.da emulsão e trnasp.todos os materiais</t>
    </r>
  </si>
  <si>
    <r>
      <rPr>
        <sz val="7"/>
        <rFont val="Arial"/>
        <family val="2"/>
      </rPr>
      <t>T.S.B.D. com capa selante, executado com Multidistribuidor inclusive fornecimento, transporte comercial dos materiais e lavagem da brita</t>
    </r>
  </si>
  <si>
    <r>
      <rPr>
        <sz val="7"/>
        <rFont val="Arial"/>
        <family val="2"/>
      </rPr>
      <t>T.S.B.D. com capa selante inclusive fornecimento e transporte comercial dos materiais e lavagem da brita</t>
    </r>
  </si>
  <si>
    <r>
      <rPr>
        <sz val="7"/>
        <rFont val="Arial"/>
        <family val="2"/>
      </rPr>
      <t>T.S.B.D. sem capa selante, inclusive fornecimento e transporte comercial dos materiais e lavagem de brita</t>
    </r>
  </si>
  <si>
    <r>
      <rPr>
        <sz val="7"/>
        <rFont val="Arial"/>
        <family val="2"/>
      </rPr>
      <t>T.S.B.D. sem capa selante exclusive fornecimento e transporte comercial da emulsão, inclusive lavagem e transporte comercial da brita</t>
    </r>
  </si>
  <si>
    <r>
      <rPr>
        <sz val="7"/>
        <rFont val="Arial"/>
        <family val="2"/>
      </rPr>
      <t>T.S.B.D. sem capa selante, executado c/ Multidistribuidor exclusive fornec.e transp. comercial da emulsão, inclusive lavagem e transp. comerc.da brita</t>
    </r>
  </si>
  <si>
    <r>
      <rPr>
        <sz val="7"/>
        <rFont val="Arial"/>
        <family val="2"/>
      </rPr>
      <t>T.S.B.D. sem capa selante executado com Multidistribuidor excl. forn. da emulsão e transp. comerciais da emulsão e da brita, inclus. lavagem da brita</t>
    </r>
  </si>
  <si>
    <r>
      <rPr>
        <sz val="7"/>
        <rFont val="Arial"/>
        <family val="2"/>
      </rPr>
      <t>T.S.B.D. sem capa selante inclusive fornecimento e transporte comercial dos materiais e lavagem da brita</t>
    </r>
  </si>
  <si>
    <r>
      <rPr>
        <sz val="7"/>
        <rFont val="Arial"/>
        <family val="2"/>
      </rPr>
      <t>T.S.B.S. com capa selante exclusive fornecimento e transporte comercial da emulsão, inclusive lavagem e transporte comercial da brita</t>
    </r>
  </si>
  <si>
    <r>
      <rPr>
        <sz val="7"/>
        <rFont val="Arial"/>
        <family val="2"/>
      </rPr>
      <t>T.S.B.S. com capa selante inclusive fornecimento e transporte comercial dos materiais e lavagem da brita</t>
    </r>
  </si>
  <si>
    <r>
      <rPr>
        <sz val="7"/>
        <rFont val="Arial"/>
        <family val="2"/>
      </rPr>
      <t>T.S.B.S. exclusive fornecimento e transporte comercial do material betuminoso, inclusive fornecimento, transporte e lavagem da brita</t>
    </r>
  </si>
  <si>
    <r>
      <rPr>
        <sz val="7"/>
        <rFont val="Arial"/>
        <family val="2"/>
      </rPr>
      <t>T.S.B.S. inclusive fornecimento e transporte comercial dos materiais e lavagem da brita</t>
    </r>
  </si>
  <si>
    <r>
      <rPr>
        <sz val="7"/>
        <rFont val="Arial"/>
        <family val="2"/>
      </rPr>
      <t>Usinagem de concreto betuminoso usinado a quente (CBUQ), inclusive transporte comercial do oleo combustível</t>
    </r>
  </si>
  <si>
    <r>
      <rPr>
        <sz val="7"/>
        <rFont val="Arial"/>
        <family val="2"/>
      </rPr>
      <t>Usinagem de mistura de solo brita</t>
    </r>
  </si>
  <si>
    <r>
      <rPr>
        <sz val="7"/>
        <rFont val="Arial"/>
        <family val="2"/>
      </rPr>
      <t>Grupo de serviço: OBRAS DE ARTE CORRENTES E DRENAGEM</t>
    </r>
  </si>
  <si>
    <r>
      <rPr>
        <sz val="7"/>
        <rFont val="Arial"/>
        <family val="2"/>
      </rPr>
      <t>Aço CA-25, fornecimento, dobragem e colocação nas formas</t>
    </r>
  </si>
  <si>
    <r>
      <rPr>
        <sz val="7"/>
        <rFont val="Arial"/>
        <family val="2"/>
      </rPr>
      <t>kg</t>
    </r>
  </si>
  <si>
    <r>
      <rPr>
        <sz val="7"/>
        <rFont val="Arial"/>
        <family val="2"/>
      </rPr>
      <t>Aço CA-50, fornecimento, dobragem e colocação nas formas (preço médio das bitolas)</t>
    </r>
  </si>
  <si>
    <r>
      <rPr>
        <sz val="7"/>
        <rFont val="Arial"/>
        <family val="2"/>
      </rPr>
      <t>Aço CA-50 grossa, diâmetro de 12.5 a 25 mm, fornecimento, dobragem e colocação nas formas</t>
    </r>
  </si>
  <si>
    <r>
      <rPr>
        <sz val="7"/>
        <rFont val="Arial"/>
        <family val="2"/>
      </rPr>
      <t>Aço CA-50 média, diâmetro de 6.3 a 10 mm, fornecimento, dobragem e colocação nas formas</t>
    </r>
  </si>
  <si>
    <r>
      <rPr>
        <sz val="7"/>
        <rFont val="Arial"/>
        <family val="2"/>
      </rPr>
      <t>Aço CA-60 fina, diâmetro de 4.2 a 5.0 mm, fornecimento, dobragem e colocação nas formas</t>
    </r>
  </si>
  <si>
    <r>
      <rPr>
        <sz val="7"/>
        <rFont val="Arial"/>
        <family val="2"/>
      </rPr>
      <t>Aluguel mensal de escoramento tubular com tubos metálicos com até 10 metros de altura</t>
    </r>
  </si>
  <si>
    <r>
      <rPr>
        <sz val="7"/>
        <rFont val="Arial"/>
        <family val="2"/>
      </rPr>
      <t>Alvenaria de bloco (39 x 19 x 09) cm espessura 09 cm, inclusive transporte da areia, cimento e bloco</t>
    </r>
  </si>
  <si>
    <r>
      <rPr>
        <sz val="7"/>
        <rFont val="Arial"/>
        <family val="2"/>
      </rPr>
      <t>Alvenaria de bloco (39 x 19 x 19) cm espessura 19 cm, inclusive fornecimento e transporte do bloco, areia e cimento</t>
    </r>
  </si>
  <si>
    <r>
      <rPr>
        <sz val="7"/>
        <rFont val="Arial"/>
        <family val="2"/>
      </rPr>
      <t>Alvenaria de lajota (20 x 20 x 10) cm espessura 10 cm, inclusive transporte de areia, lajota e cimento</t>
    </r>
  </si>
  <si>
    <r>
      <rPr>
        <sz val="7"/>
        <rFont val="Arial"/>
        <family val="2"/>
      </rPr>
      <t>Alvenaria de pedra de mão argamassada (argamassa cimento areia 1:4), inclusive transporte da pedra</t>
    </r>
  </si>
  <si>
    <r>
      <rPr>
        <sz val="7"/>
        <rFont val="Arial"/>
        <family val="2"/>
      </rPr>
      <t>Alvenaria de pedra de mão (junta seca), inclusive transporte da pedra</t>
    </r>
  </si>
  <si>
    <r>
      <rPr>
        <sz val="7"/>
        <rFont val="Arial"/>
        <family val="2"/>
      </rPr>
      <t>Andaime de madeira para altura até 7 m, compreendendo montagem e desmontagem</t>
    </r>
  </si>
  <si>
    <r>
      <rPr>
        <sz val="7"/>
        <rFont val="Arial"/>
        <family val="2"/>
      </rPr>
      <t>Andaime suspenso em madeira, inclusive montagem e desmontagem</t>
    </r>
  </si>
  <si>
    <r>
      <rPr>
        <sz val="7"/>
        <rFont val="Arial"/>
        <family val="2"/>
      </rPr>
      <t>Apicoamento manual de superfície de concreto</t>
    </r>
  </si>
  <si>
    <r>
      <rPr>
        <sz val="7"/>
        <rFont val="Arial"/>
        <family val="2"/>
      </rPr>
      <t>Apiloamento manual</t>
    </r>
  </si>
  <si>
    <r>
      <rPr>
        <sz val="7"/>
        <rFont val="Arial"/>
        <family val="2"/>
      </rPr>
      <t>Argamassa cimento e areia traço 1:4, tudo incluído</t>
    </r>
  </si>
  <si>
    <r>
      <rPr>
        <sz val="7"/>
        <rFont val="Arial"/>
        <family val="2"/>
      </rPr>
      <t>Argamassa cimento (nata), inclusive transporte de cimento</t>
    </r>
  </si>
  <si>
    <r>
      <rPr>
        <sz val="7"/>
        <rFont val="Arial"/>
        <family val="2"/>
      </rPr>
      <t>Argamassa de cimento e areia, traço 1:4, consumo de cimento 400 kg/m³</t>
    </r>
  </si>
  <si>
    <r>
      <rPr>
        <sz val="7"/>
        <rFont val="Arial"/>
        <family val="2"/>
      </rPr>
      <t>Aterro com areia, exceto fornecimento da areia</t>
    </r>
  </si>
  <si>
    <r>
      <rPr>
        <sz val="7"/>
        <rFont val="Arial"/>
        <family val="2"/>
      </rPr>
      <t>Berço de concreto ciclópico para BDTC diâmetro 0,60 m</t>
    </r>
  </si>
  <si>
    <r>
      <rPr>
        <sz val="7"/>
        <rFont val="Arial"/>
        <family val="2"/>
      </rPr>
      <t>Berço de concreto ciclópico para BDTC diâmetro 0,80 m</t>
    </r>
  </si>
  <si>
    <r>
      <rPr>
        <sz val="7"/>
        <rFont val="Arial"/>
        <family val="2"/>
      </rPr>
      <t>Berço de concreto ciclópico para BDTC diâmetro 1,00 m</t>
    </r>
  </si>
  <si>
    <r>
      <rPr>
        <sz val="7"/>
        <rFont val="Arial"/>
        <family val="2"/>
      </rPr>
      <t>Berço de concreto ciclópico para BDTC diâmetro 1,20 m</t>
    </r>
  </si>
  <si>
    <r>
      <rPr>
        <sz val="7"/>
        <rFont val="Arial"/>
        <family val="2"/>
      </rPr>
      <t>Berço de concreto ciclópico para BDTC diâmetro 1,50 m</t>
    </r>
  </si>
  <si>
    <r>
      <rPr>
        <sz val="7"/>
        <rFont val="Arial"/>
        <family val="2"/>
      </rPr>
      <t>Berço de concreto ciclópico para BSTC diâmetro 0,40 m</t>
    </r>
  </si>
  <si>
    <r>
      <rPr>
        <sz val="7"/>
        <rFont val="Arial"/>
        <family val="2"/>
      </rPr>
      <t>Berço de concreto ciclópico para BSTC diâmetro 0,60 m</t>
    </r>
  </si>
  <si>
    <r>
      <rPr>
        <sz val="7"/>
        <rFont val="Arial"/>
        <family val="2"/>
      </rPr>
      <t>Berço de concreto ciclópico para BSTC diâmetro 0,80 m</t>
    </r>
  </si>
  <si>
    <r>
      <rPr>
        <sz val="7"/>
        <rFont val="Arial"/>
        <family val="2"/>
      </rPr>
      <t>Berço de concreto ciclópico para BSTC diâmetro 1,00 m</t>
    </r>
  </si>
  <si>
    <r>
      <rPr>
        <sz val="7"/>
        <rFont val="Arial"/>
        <family val="2"/>
      </rPr>
      <t>Berço de concreto ciclópico para BSTC diâmetro 1,20 m</t>
    </r>
  </si>
  <si>
    <r>
      <rPr>
        <sz val="7"/>
        <rFont val="Arial"/>
        <family val="2"/>
      </rPr>
      <t>Berço de concreto ciclópico para BSTC diâmetro 1,50 m</t>
    </r>
  </si>
  <si>
    <r>
      <rPr>
        <sz val="7"/>
        <rFont val="Arial"/>
        <family val="2"/>
      </rPr>
      <t>Berço de concreto ciclópico para BTTC diâmetro 0,60 m</t>
    </r>
  </si>
  <si>
    <r>
      <rPr>
        <sz val="7"/>
        <rFont val="Arial"/>
        <family val="2"/>
      </rPr>
      <t>Berço de concreto ciclópico para BTTC diâmetro 0,80 m</t>
    </r>
  </si>
  <si>
    <r>
      <rPr>
        <sz val="7"/>
        <rFont val="Arial"/>
        <family val="2"/>
      </rPr>
      <t>Berço de concreto ciclópico para BTTC diâmetro 1,00 m</t>
    </r>
  </si>
  <si>
    <r>
      <rPr>
        <sz val="7"/>
        <rFont val="Arial"/>
        <family val="2"/>
      </rPr>
      <t>Berço de concreto ciclópico para BTTC diâmetro 1,20 m</t>
    </r>
  </si>
  <si>
    <r>
      <rPr>
        <sz val="7"/>
        <rFont val="Arial"/>
        <family val="2"/>
      </rPr>
      <t>Berço de concreto ciclópico para BTTC diâmetro 1,50 m</t>
    </r>
  </si>
  <si>
    <r>
      <rPr>
        <sz val="7"/>
        <rFont val="Arial"/>
        <family val="2"/>
      </rPr>
      <t>Berço em brita para BSTC diâm. = 1,00 m</t>
    </r>
  </si>
  <si>
    <r>
      <rPr>
        <sz val="7"/>
        <rFont val="Arial"/>
        <family val="2"/>
      </rPr>
      <t>Berço em brita para BSTC diâm.=1,20 m</t>
    </r>
  </si>
  <si>
    <r>
      <rPr>
        <sz val="7"/>
        <rFont val="Arial"/>
        <family val="2"/>
      </rPr>
      <t>Berço em concreto ciclópico para BSTC diâm. = 0,30m</t>
    </r>
  </si>
  <si>
    <r>
      <rPr>
        <sz val="7"/>
        <rFont val="Arial"/>
        <family val="2"/>
      </rPr>
      <t>Boca de BDCC 1,50 x 1,50 m projeto DNIT</t>
    </r>
  </si>
  <si>
    <r>
      <rPr>
        <sz val="7"/>
        <rFont val="Arial"/>
        <family val="2"/>
      </rPr>
      <t>Boca de BDCC 2,00 x 1,20 m conforme projeto</t>
    </r>
  </si>
  <si>
    <r>
      <rPr>
        <sz val="7"/>
        <rFont val="Arial"/>
        <family val="2"/>
      </rPr>
      <t>Boca de BDCC 2,00 x 2,00 m projeto DNIT</t>
    </r>
  </si>
  <si>
    <r>
      <rPr>
        <sz val="7"/>
        <rFont val="Arial"/>
        <family val="2"/>
      </rPr>
      <t>Boca de BDCC 2,00 x 3,00 m projeto DNIT</t>
    </r>
  </si>
  <si>
    <r>
      <rPr>
        <sz val="7"/>
        <rFont val="Arial"/>
        <family val="2"/>
      </rPr>
      <t>Boca de BDCC 2,50 x 2,00 m conforme projeto</t>
    </r>
  </si>
  <si>
    <r>
      <rPr>
        <sz val="7"/>
        <rFont val="Arial"/>
        <family val="2"/>
      </rPr>
      <t>Boca de BDCC 2,50 x 2,50 m projeto DNIT</t>
    </r>
  </si>
  <si>
    <r>
      <rPr>
        <sz val="7"/>
        <rFont val="Arial"/>
        <family val="2"/>
      </rPr>
      <t>Boca de BDCC 2,50 x 3,00 m projeto DNIT</t>
    </r>
  </si>
  <si>
    <r>
      <rPr>
        <sz val="7"/>
        <rFont val="Arial"/>
        <family val="2"/>
      </rPr>
      <t>Boca de BDCC 3,00 x 3,00 m projeto DNIT</t>
    </r>
  </si>
  <si>
    <r>
      <rPr>
        <sz val="7"/>
        <rFont val="Arial"/>
        <family val="2"/>
      </rPr>
      <t>Boca de BSCC 1,50 x 1,50 m projeto DNIT</t>
    </r>
  </si>
  <si>
    <r>
      <rPr>
        <sz val="7"/>
        <rFont val="Arial"/>
        <family val="2"/>
      </rPr>
      <t>Boca de BSCC 2,00 x 2,00 m projeto DNIT</t>
    </r>
  </si>
  <si>
    <r>
      <rPr>
        <sz val="7"/>
        <rFont val="Arial"/>
        <family val="2"/>
      </rPr>
      <t>Boca de BSCC 2,00 x 3,00 m projeto DNIT</t>
    </r>
  </si>
  <si>
    <r>
      <rPr>
        <sz val="7"/>
        <rFont val="Arial"/>
        <family val="2"/>
      </rPr>
      <t>Boca de BSCC 2,50 x 2,50 m projeto DNIT</t>
    </r>
  </si>
  <si>
    <r>
      <rPr>
        <sz val="7"/>
        <rFont val="Arial"/>
        <family val="2"/>
      </rPr>
      <t>Boca de BSCC 2,50 x 3,00 m projeto DNIT</t>
    </r>
  </si>
  <si>
    <r>
      <rPr>
        <sz val="7"/>
        <rFont val="Arial"/>
        <family val="2"/>
      </rPr>
      <t>Boca de BSCC 3,00 x 3,00 m projeto DNIT</t>
    </r>
  </si>
  <si>
    <r>
      <rPr>
        <sz val="7"/>
        <rFont val="Arial"/>
        <family val="2"/>
      </rPr>
      <t>Boca de BTCC 1,50 x 1,50 m projeto DNIT</t>
    </r>
  </si>
  <si>
    <r>
      <rPr>
        <sz val="7"/>
        <rFont val="Arial"/>
        <family val="2"/>
      </rPr>
      <t>Boca de BTCC 2,00 x 2,00 m projeto DNIT</t>
    </r>
  </si>
  <si>
    <r>
      <rPr>
        <sz val="7"/>
        <rFont val="Arial"/>
        <family val="2"/>
      </rPr>
      <t>Boca de BTCC 2,00 x 3,00 m projeto DNIT</t>
    </r>
  </si>
  <si>
    <r>
      <rPr>
        <sz val="7"/>
        <rFont val="Arial"/>
        <family val="2"/>
      </rPr>
      <t>Boca de BTCC 2,50 x 2,50 m projeto DNIT</t>
    </r>
  </si>
  <si>
    <r>
      <rPr>
        <sz val="7"/>
        <rFont val="Arial"/>
        <family val="2"/>
      </rPr>
      <t>Boca de BTCC 2,50 x 3,00 m projeto DNIT</t>
    </r>
  </si>
  <si>
    <r>
      <rPr>
        <sz val="7"/>
        <rFont val="Arial"/>
        <family val="2"/>
      </rPr>
      <t>Boca de BTCC 3,00 x 3,00 m projeto DNIT</t>
    </r>
  </si>
  <si>
    <r>
      <rPr>
        <sz val="7"/>
        <rFont val="Arial"/>
        <family val="2"/>
      </rPr>
      <t>Boca de concreto ciclópico para BDTC diâmetro 0,60 m</t>
    </r>
  </si>
  <si>
    <r>
      <rPr>
        <sz val="7"/>
        <rFont val="Arial"/>
        <family val="2"/>
      </rPr>
      <t>Boca de concreto ciclópico para BDTC diâmetro 0,80 m</t>
    </r>
  </si>
  <si>
    <r>
      <rPr>
        <sz val="7"/>
        <rFont val="Arial"/>
        <family val="2"/>
      </rPr>
      <t>Boca de concreto ciclópico para BDTC diâmetro 1,00 m</t>
    </r>
  </si>
  <si>
    <r>
      <rPr>
        <sz val="7"/>
        <rFont val="Arial"/>
        <family val="2"/>
      </rPr>
      <t>Boca de concreto ciclópico para BDTC diâmetro 1,20 m</t>
    </r>
  </si>
  <si>
    <r>
      <rPr>
        <sz val="7"/>
        <rFont val="Arial"/>
        <family val="2"/>
      </rPr>
      <t>Boca de concreto ciclópico para BDTC diâmetro 1,50 m</t>
    </r>
  </si>
  <si>
    <r>
      <rPr>
        <sz val="7"/>
        <rFont val="Arial"/>
        <family val="2"/>
      </rPr>
      <t>Boca de concreto ciclópico para BSTC diâmetro 0,40 m</t>
    </r>
  </si>
  <si>
    <r>
      <rPr>
        <sz val="7"/>
        <rFont val="Arial"/>
        <family val="2"/>
      </rPr>
      <t>Boca de concreto ciclópico para BSTC diâmetro 0,60 m</t>
    </r>
  </si>
  <si>
    <r>
      <rPr>
        <sz val="7"/>
        <rFont val="Arial"/>
        <family val="2"/>
      </rPr>
      <t>Boca de concreto ciclópico para BSTC diâmetro 0,80 m</t>
    </r>
  </si>
  <si>
    <r>
      <rPr>
        <sz val="7"/>
        <rFont val="Arial"/>
        <family val="2"/>
      </rPr>
      <t>Boca de concreto ciclópico para BSTC diâmetro 1,00 m</t>
    </r>
  </si>
  <si>
    <r>
      <rPr>
        <sz val="7"/>
        <rFont val="Arial"/>
        <family val="2"/>
      </rPr>
      <t>Boca de concreto ciclópico para BSTC diâmetro 1,20 m</t>
    </r>
  </si>
  <si>
    <r>
      <rPr>
        <sz val="7"/>
        <rFont val="Arial"/>
        <family val="2"/>
      </rPr>
      <t>Boca de concreto ciclópico para BSTC diâmetro 1,50 m</t>
    </r>
  </si>
  <si>
    <r>
      <rPr>
        <sz val="7"/>
        <rFont val="Arial"/>
        <family val="2"/>
      </rPr>
      <t>Boca de concreto ciclópico para BTTC diâmetro 0,60 m</t>
    </r>
  </si>
  <si>
    <r>
      <rPr>
        <sz val="7"/>
        <rFont val="Arial"/>
        <family val="2"/>
      </rPr>
      <t>Boca de concreto ciclópico para BTTC diâmetro 0,80 m</t>
    </r>
  </si>
  <si>
    <r>
      <rPr>
        <sz val="7"/>
        <rFont val="Arial"/>
        <family val="2"/>
      </rPr>
      <t>Boca de concreto ciclópico para BTTC diâmetro 1,00 m</t>
    </r>
  </si>
  <si>
    <r>
      <rPr>
        <sz val="7"/>
        <rFont val="Arial"/>
        <family val="2"/>
      </rPr>
      <t>Boca de concreto ciclópico para BTTC diâmetro 1,20 m</t>
    </r>
  </si>
  <si>
    <r>
      <rPr>
        <sz val="7"/>
        <rFont val="Arial"/>
        <family val="2"/>
      </rPr>
      <t>Boca de concreto ciclópico para BTTC diâmetro 1,50 m</t>
    </r>
  </si>
  <si>
    <r>
      <rPr>
        <sz val="7"/>
        <rFont val="Arial"/>
        <family val="2"/>
      </rPr>
      <t>Boca de lobo simples</t>
    </r>
  </si>
  <si>
    <r>
      <rPr>
        <sz val="7"/>
        <rFont val="Arial"/>
        <family val="2"/>
      </rPr>
      <t>Boca de saída de dreno profundo BSD-01</t>
    </r>
  </si>
  <si>
    <r>
      <rPr>
        <sz val="7"/>
        <rFont val="Arial"/>
        <family val="2"/>
      </rPr>
      <t>BSCC (pré-moldado) 1,50 x 1,50 x 1,00m CL 45t, inclusive transporte do Anel de Bueiro Celular Pré-moldado</t>
    </r>
  </si>
  <si>
    <r>
      <rPr>
        <sz val="7"/>
        <rFont val="Arial"/>
        <family val="2"/>
      </rPr>
      <t>BSCC (pré-moldado) 2,00 x 2,00 x 1,00m CL 45t, inclusive transporte de Anel de Bueiro Celular Pré-moldado</t>
    </r>
  </si>
  <si>
    <r>
      <rPr>
        <sz val="7"/>
        <rFont val="Arial"/>
        <family val="2"/>
      </rPr>
      <t>BSCC (pré-moldado) 2,50 x 2,50 x 1,00m CL 45t, inclusive transporte de Anel de Bueiro Celular Pré-moldado</t>
    </r>
  </si>
  <si>
    <r>
      <rPr>
        <sz val="7"/>
        <rFont val="Arial"/>
        <family val="2"/>
      </rPr>
      <t>BSCC (pré-moldado) 3,00 x 3,00 x 1,00m CL 45t, inclusive transporte de Anel de Bueiro Celular Pré-moldado</t>
    </r>
  </si>
  <si>
    <r>
      <rPr>
        <sz val="7"/>
        <rFont val="Arial"/>
        <family val="2"/>
      </rPr>
      <t>Bueiro Metálico BSTM - D = 3,00 m - T.L. com tratamento epóxi e = 2,7 mm - método não destrutivo</t>
    </r>
  </si>
  <si>
    <r>
      <rPr>
        <sz val="7"/>
        <rFont val="Arial"/>
        <family val="2"/>
      </rPr>
      <t>Bueiro Metálico BSTM - D=3,05m - MP-152 com tratamento epóxi e=2,7mm - método destrutivo, inclusive lastro de brita</t>
    </r>
  </si>
  <si>
    <r>
      <rPr>
        <sz val="7"/>
        <rFont val="Arial"/>
        <family val="2"/>
      </rPr>
      <t>Caiação de meio fios, sarjetas, etc</t>
    </r>
  </si>
  <si>
    <r>
      <rPr>
        <sz val="7"/>
        <rFont val="Arial"/>
        <family val="2"/>
      </rPr>
      <t>Caixa Boca de Lobo em bloco pré-moldado 1,20 x 1,20m</t>
    </r>
  </si>
  <si>
    <r>
      <rPr>
        <sz val="7"/>
        <rFont val="Arial"/>
        <family val="2"/>
      </rPr>
      <t>Caixa coletora concreto armado H= 2,00 m, inclusive escavação</t>
    </r>
  </si>
  <si>
    <r>
      <rPr>
        <sz val="7"/>
        <rFont val="Arial"/>
        <family val="2"/>
      </rPr>
      <t>Caixa coletora concreto armado H= 2,50 m, inclusive escavação</t>
    </r>
  </si>
  <si>
    <r>
      <rPr>
        <sz val="7"/>
        <rFont val="Arial"/>
        <family val="2"/>
      </rPr>
      <t>Caixa coletora em bloco pré-moldado para d=0,60m (1,00 x 1,00m)</t>
    </r>
  </si>
  <si>
    <r>
      <rPr>
        <sz val="7"/>
        <rFont val="Arial"/>
        <family val="2"/>
      </rPr>
      <t>Caixa de concreto para BSTC diâmetro 0,40 m H=1,60 m</t>
    </r>
  </si>
  <si>
    <r>
      <rPr>
        <sz val="7"/>
        <rFont val="Arial"/>
        <family val="2"/>
      </rPr>
      <t>Caixa de concreto para BSTC diâmetro 0,60 m H=2,00 m</t>
    </r>
  </si>
  <si>
    <r>
      <rPr>
        <sz val="7"/>
        <rFont val="Arial"/>
        <family val="2"/>
      </rPr>
      <t>Caixa de concreto para BSTC diâmetro 0,80 m H=2,50 m</t>
    </r>
  </si>
  <si>
    <r>
      <rPr>
        <sz val="7"/>
        <rFont val="Arial"/>
        <family val="2"/>
      </rPr>
      <t>Caixa de concreto para BSTC diâmetro 1,00 m H=3,00 m</t>
    </r>
  </si>
  <si>
    <r>
      <rPr>
        <sz val="7"/>
        <rFont val="Arial"/>
        <family val="2"/>
      </rPr>
      <t>Caixa de passagem para tubos de D=0,40 m H=1,10 m</t>
    </r>
  </si>
  <si>
    <r>
      <rPr>
        <sz val="7"/>
        <rFont val="Arial"/>
        <family val="2"/>
      </rPr>
      <t>Caixa de passagem para tubos de D=0,60 m H=1,30 m</t>
    </r>
  </si>
  <si>
    <r>
      <rPr>
        <sz val="7"/>
        <rFont val="Arial"/>
        <family val="2"/>
      </rPr>
      <t>Caixa de passagem para tubos de D=0,80 m H=1,50 m</t>
    </r>
  </si>
  <si>
    <r>
      <rPr>
        <sz val="7"/>
        <rFont val="Arial"/>
        <family val="2"/>
      </rPr>
      <t>Caixa de passagem para tubos de D=1,00 m H=1,80 m</t>
    </r>
  </si>
  <si>
    <r>
      <rPr>
        <sz val="7"/>
        <rFont val="Arial"/>
        <family val="2"/>
      </rPr>
      <t>Caixa de passagem (2,50 x 2,50m)</t>
    </r>
  </si>
  <si>
    <r>
      <rPr>
        <sz val="7"/>
        <rFont val="Arial"/>
        <family val="2"/>
      </rPr>
      <t>Caixa para rede de dutos, dimensões 100 x 100 x 100 cm</t>
    </r>
  </si>
  <si>
    <r>
      <rPr>
        <sz val="7"/>
        <rFont val="Arial"/>
        <family val="2"/>
      </rPr>
      <t>Caixa para rede de dutos, dimensões 60 x 60 x 60 cm</t>
    </r>
  </si>
  <si>
    <r>
      <rPr>
        <sz val="7"/>
        <rFont val="Arial"/>
        <family val="2"/>
      </rPr>
      <t>Caixa ralo de elementos pré-moldados em concreto (tudo incluído)</t>
    </r>
  </si>
  <si>
    <r>
      <rPr>
        <sz val="7"/>
        <rFont val="Arial"/>
        <family val="2"/>
      </rPr>
      <t>Canaleta com grelha DP-1, inclusive transporte da grelha</t>
    </r>
  </si>
  <si>
    <r>
      <rPr>
        <sz val="7"/>
        <rFont val="Arial"/>
        <family val="2"/>
      </rPr>
      <t>Canaleta de concreto, com forma retangular inclusive caiação - parede 12 cm</t>
    </r>
  </si>
  <si>
    <r>
      <rPr>
        <sz val="7"/>
        <rFont val="Arial"/>
        <family val="2"/>
      </rPr>
      <t>Canaleta de concreto retangular (0,130m³/m) inclusive caiação</t>
    </r>
  </si>
  <si>
    <r>
      <rPr>
        <sz val="7"/>
        <rFont val="Arial"/>
        <family val="2"/>
      </rPr>
      <t>Canaleta de concreto (0,130m³/m) forma trapezoidal inclusive caiação</t>
    </r>
  </si>
  <si>
    <r>
      <rPr>
        <sz val="7"/>
        <rFont val="Arial"/>
        <family val="2"/>
      </rPr>
      <t>Cerca de tela de arame galvanizado h = 1,20 m</t>
    </r>
  </si>
  <si>
    <r>
      <rPr>
        <sz val="7"/>
        <rFont val="Arial"/>
        <family val="2"/>
      </rPr>
      <t>Cerca de tela galvanizada fio 12 malha 3"x3", com altura de 1,80 m</t>
    </r>
  </si>
  <si>
    <r>
      <rPr>
        <sz val="7"/>
        <rFont val="Arial"/>
        <family val="2"/>
      </rPr>
      <t>Cerca em tela revestida em PVC com mourões de concreto, 10 x 10 x 2,40 m, fornecimento e execução</t>
    </r>
  </si>
  <si>
    <r>
      <rPr>
        <sz val="7"/>
        <rFont val="Arial"/>
        <family val="2"/>
      </rPr>
      <t>Chapisco com argamassa de cimento e areia no traço 1:3</t>
    </r>
  </si>
  <si>
    <r>
      <rPr>
        <sz val="7"/>
        <rFont val="Arial"/>
        <family val="2"/>
      </rPr>
      <t>Chapisco com argamassa de cimento e pedrisco no traço 1:4</t>
    </r>
  </si>
  <si>
    <r>
      <rPr>
        <sz val="7"/>
        <rFont val="Arial"/>
        <family val="2"/>
      </rPr>
      <t>Colchão drenante de areia para fundação de aterros, exclusive o fornecimento de areia</t>
    </r>
  </si>
  <si>
    <r>
      <rPr>
        <sz val="7"/>
        <rFont val="Arial"/>
        <family val="2"/>
      </rPr>
      <t>Colchão drenante de areia para fundação de aterros, inclusive fornecimento e transporte da areia</t>
    </r>
  </si>
  <si>
    <r>
      <rPr>
        <sz val="7"/>
        <rFont val="Arial"/>
        <family val="2"/>
      </rPr>
      <t>Colchão drenante de brita 1 inclusive fornecimento, espalhamento, compactação e transporte da brita</t>
    </r>
  </si>
  <si>
    <r>
      <rPr>
        <sz val="7"/>
        <rFont val="Arial"/>
        <family val="2"/>
      </rPr>
      <t>Colchão drenante de brita 2 inclusive fornecimento, espalhamento, compactação e transporte da brita</t>
    </r>
  </si>
  <si>
    <r>
      <rPr>
        <sz val="7"/>
        <rFont val="Arial"/>
        <family val="2"/>
      </rPr>
      <t>Colchão drenante de brita 3 inclusive fornecimento, espalhamento, compactação e transporte da brita</t>
    </r>
  </si>
  <si>
    <r>
      <rPr>
        <sz val="7"/>
        <rFont val="Arial"/>
        <family val="2"/>
      </rPr>
      <t>Coleta drenante (1,00x1,00) m c/ geotêxtil não tecido RT 16kn/m, inclusive transporte da brita</t>
    </r>
  </si>
  <si>
    <r>
      <rPr>
        <sz val="7"/>
        <rFont val="Arial"/>
        <family val="2"/>
      </rPr>
      <t>Concreto armado, dosado para resist. 20 Mpa,  incluindo 60kg aço CA-50A, mão de obra p/ corte, dobragem e montagem, exclusive forma</t>
    </r>
  </si>
  <si>
    <r>
      <rPr>
        <sz val="7"/>
        <rFont val="Arial"/>
        <family val="2"/>
      </rPr>
      <t>Concreto ciclópico com 70% concreto 10,0 MPa e 30% de pedra de mão, tudo incluído</t>
    </r>
  </si>
  <si>
    <r>
      <rPr>
        <sz val="7"/>
        <rFont val="Arial"/>
        <family val="2"/>
      </rPr>
      <t>Concreto ciclópico com 70% concreto 15,0 MPa e 30% de pedra de mão, tudo incluído</t>
    </r>
  </si>
  <si>
    <r>
      <rPr>
        <sz val="7"/>
        <rFont val="Arial"/>
        <family val="2"/>
      </rPr>
      <t>Concreto ciclópico com 70% concreto 20,0 MPa e 30% de pedra de mão, tudo incluído</t>
    </r>
  </si>
  <si>
    <r>
      <rPr>
        <sz val="7"/>
        <rFont val="Arial"/>
        <family val="2"/>
      </rPr>
      <t>Concreto de regularização, tudo incluído</t>
    </r>
  </si>
  <si>
    <r>
      <rPr>
        <sz val="7"/>
        <rFont val="Arial"/>
        <family val="2"/>
      </rPr>
      <t>Concreto estrutural fck = 15,0 MPa, tudo incluído</t>
    </r>
  </si>
  <si>
    <r>
      <rPr>
        <sz val="7"/>
        <rFont val="Arial"/>
        <family val="2"/>
      </rPr>
      <t>Concreto estrutural fck = 20,0 MPa com plastificante, tudo incluído</t>
    </r>
  </si>
  <si>
    <r>
      <rPr>
        <sz val="7"/>
        <rFont val="Arial"/>
        <family val="2"/>
      </rPr>
      <t>Concreto estrutural fck = 20,0 MPa, tudo incluído</t>
    </r>
  </si>
  <si>
    <r>
      <rPr>
        <sz val="7"/>
        <rFont val="Arial"/>
        <family val="2"/>
      </rPr>
      <t>Concreto estrutural fck = 25,0 MPa com plastificante, tudo incluído</t>
    </r>
  </si>
  <si>
    <r>
      <rPr>
        <sz val="7"/>
        <rFont val="Arial"/>
        <family val="2"/>
      </rPr>
      <t>Concreto estrutural fck = 25,0 MPa, inclusive fornecimento e transporte do cimento, areia e pedra britada</t>
    </r>
  </si>
  <si>
    <r>
      <rPr>
        <sz val="7"/>
        <rFont val="Arial"/>
        <family val="2"/>
      </rPr>
      <t>Concreto estrutural fck = 30,0 MPa com micro-silica e Sikacrete BR ou equivalente</t>
    </r>
  </si>
  <si>
    <r>
      <rPr>
        <sz val="7"/>
        <rFont val="Arial"/>
        <family val="2"/>
      </rPr>
      <t>Concreto estrutural fck = 30,0 MPa com plastificante</t>
    </r>
  </si>
  <si>
    <r>
      <rPr>
        <sz val="7"/>
        <rFont val="Arial"/>
        <family val="2"/>
      </rPr>
      <t>Concreto estrutural fck = 30,0 MPa, tudo incluído</t>
    </r>
  </si>
  <si>
    <r>
      <rPr>
        <sz val="7"/>
        <rFont val="Arial"/>
        <family val="2"/>
      </rPr>
      <t>Concreto estrutural fck = 35,0 MPa com micro-silica e Sikacrete BR ou equivalente</t>
    </r>
  </si>
  <si>
    <r>
      <rPr>
        <sz val="7"/>
        <rFont val="Arial"/>
        <family val="2"/>
      </rPr>
      <t>Concreto submerso fck = 20,0 MPa, tudo incluído</t>
    </r>
  </si>
  <si>
    <r>
      <rPr>
        <sz val="7"/>
        <rFont val="Arial"/>
        <family val="2"/>
      </rPr>
      <t>Corpo BDTC (grota) diâmetro 0,60 m CA-1 MF exclusive escavação e reaterro, inclusive transporte do tubo</t>
    </r>
  </si>
  <si>
    <r>
      <rPr>
        <sz val="7"/>
        <rFont val="Arial"/>
        <family val="2"/>
      </rPr>
      <t>Corpo BDTC (grota) diâmetro 0,60 m CA-1 PB exclusive escavação e reaterro, inclusive transporte do tubo</t>
    </r>
  </si>
  <si>
    <r>
      <rPr>
        <sz val="7"/>
        <rFont val="Arial"/>
        <family val="2"/>
      </rPr>
      <t>Corpo BDTC (grota) diâmetro 0,60 m CA-2 MF exclusive escavação e reaterro, inclusive transporte do tubo</t>
    </r>
  </si>
  <si>
    <r>
      <rPr>
        <sz val="7"/>
        <rFont val="Arial"/>
        <family val="2"/>
      </rPr>
      <t>Corpo BDTC (grota) diâmetro 0,60 m CA-2 PB exclusive escavação e reaterro, inclusive transporte do tubo</t>
    </r>
  </si>
  <si>
    <r>
      <rPr>
        <sz val="7"/>
        <rFont val="Arial"/>
        <family val="2"/>
      </rPr>
      <t>Corpo BDTC (grota) diâmetro 0,80 m CA-1 MF exclusive escavação e reaterro, inclusive transporte do tubo</t>
    </r>
  </si>
  <si>
    <r>
      <rPr>
        <sz val="7"/>
        <rFont val="Arial"/>
        <family val="2"/>
      </rPr>
      <t>Corpo BDTC (grota) diâmetro 0,80 m CA-1 PB exclusive escavação e reaterro, inclusive transporte do tubo</t>
    </r>
  </si>
  <si>
    <r>
      <rPr>
        <sz val="7"/>
        <rFont val="Arial"/>
        <family val="2"/>
      </rPr>
      <t>Corpo BDTC (grota) diâmetro 0,80 m CA-2 MF exclusive escavação e reaterro, inclusive transporte do tubo</t>
    </r>
  </si>
  <si>
    <r>
      <rPr>
        <sz val="7"/>
        <rFont val="Arial"/>
        <family val="2"/>
      </rPr>
      <t>Corpo BDTC (grota) diâmetro 0,80 m CA-2 PB exclusive escavação e reaterro, inclusive transporte do tubo</t>
    </r>
  </si>
  <si>
    <r>
      <rPr>
        <sz val="7"/>
        <rFont val="Arial"/>
        <family val="2"/>
      </rPr>
      <t>Corpo BDTC (grota) diâmetro 1,00 m CA-1 MF exclusive escavação e reaterro, inclusive transporte do tubo</t>
    </r>
  </si>
  <si>
    <r>
      <rPr>
        <sz val="7"/>
        <rFont val="Arial"/>
        <family val="2"/>
      </rPr>
      <t>Corpo BDTC (grota) diâmetro 1,00 m CA-1 PB exclusive escavação e reaterro, inclusive transporte do tubo</t>
    </r>
  </si>
  <si>
    <r>
      <rPr>
        <sz val="7"/>
        <rFont val="Arial"/>
        <family val="2"/>
      </rPr>
      <t>Corpo BDTC (grota) diâmetro 1,00 m CA-2 MF exclusive escavação e reaterro, inclusive transporte do tubo</t>
    </r>
  </si>
  <si>
    <r>
      <rPr>
        <sz val="7"/>
        <rFont val="Arial"/>
        <family val="2"/>
      </rPr>
      <t>Corpo BDTC (grota) diâmetro 1,00 m CA-2 PB exclusive escavação e reaterro, inclusive transporte do tubo</t>
    </r>
  </si>
  <si>
    <r>
      <rPr>
        <sz val="7"/>
        <rFont val="Arial"/>
        <family val="2"/>
      </rPr>
      <t>Corpo BDTC (grota) diâmetro 1,00 m CA-3 MF exclusive escavação e reaterro, inclusive transporte do tubo</t>
    </r>
  </si>
  <si>
    <r>
      <rPr>
        <sz val="7"/>
        <rFont val="Arial"/>
        <family val="2"/>
      </rPr>
      <t>Corpo BDTC (grota) diâmetro 1,20 m CA-1 MF exclusive escavação e reaterro, inclusive transporte do tubo</t>
    </r>
  </si>
  <si>
    <r>
      <rPr>
        <sz val="7"/>
        <rFont val="Arial"/>
        <family val="2"/>
      </rPr>
      <t>Corpo BDTC (grota) diâmetro 1,20 m CA-1 PB exclusive escavação e reaterro, inclusive transporte do tubo</t>
    </r>
  </si>
  <si>
    <r>
      <rPr>
        <sz val="7"/>
        <rFont val="Arial"/>
        <family val="2"/>
      </rPr>
      <t>Corpo BDTC (grota) diâmetro 1,20 m CA-2 MF exclusive escavação e reaterro, inclusive transporte do tubo</t>
    </r>
  </si>
  <si>
    <r>
      <rPr>
        <sz val="7"/>
        <rFont val="Arial"/>
        <family val="2"/>
      </rPr>
      <t>Corpo BDTC (grota) diâmetro 1,20 m CA-2 PB exclusive escavação e reaterro, inclusive transporte do tubo</t>
    </r>
  </si>
  <si>
    <r>
      <rPr>
        <sz val="7"/>
        <rFont val="Arial"/>
        <family val="2"/>
      </rPr>
      <t>Corpo BDTC (grota) diâmetro 1,20 m CA-3 MF exclusive escavação e reaterro, inclusive transporte do tubo</t>
    </r>
  </si>
  <si>
    <r>
      <rPr>
        <sz val="7"/>
        <rFont val="Arial"/>
        <family val="2"/>
      </rPr>
      <t>Corpo BDTC (grota) diâmetro 1,50 m CA-1 MF exclusive escavação e reaterro, inclusive transporte do tubo</t>
    </r>
  </si>
  <si>
    <r>
      <rPr>
        <sz val="7"/>
        <rFont val="Arial"/>
        <family val="2"/>
      </rPr>
      <t>Corpo BDTC (grota) diâmetro 1,50 m CA-1 PB exclusive escavação e reaterro, inclusive transporte do tubo</t>
    </r>
  </si>
  <si>
    <r>
      <rPr>
        <sz val="7"/>
        <rFont val="Arial"/>
        <family val="2"/>
      </rPr>
      <t>Corpo BDTC (grota) diâmetro 1,50 m CA-2 MF exclusive escavação e reaterro, inclusive transporte do tubo</t>
    </r>
  </si>
  <si>
    <r>
      <rPr>
        <sz val="7"/>
        <rFont val="Arial"/>
        <family val="2"/>
      </rPr>
      <t>Corpo BDTC (grota) diâmetro 1,50 m CA-2 PB exclusive escavação e reaterro, inclusive transporte do tubo</t>
    </r>
  </si>
  <si>
    <r>
      <rPr>
        <sz val="7"/>
        <rFont val="Arial"/>
        <family val="2"/>
      </rPr>
      <t>Corpo BDTC (grota) diâmetro 1,50 m CA-3 MF exclusive escavação e reaterro, inclusive transporte do tubo</t>
    </r>
  </si>
  <si>
    <r>
      <rPr>
        <sz val="7"/>
        <rFont val="Arial"/>
        <family val="2"/>
      </rPr>
      <t>Corpo BSTC diâmetro 0,20 m C.S. MF inclusive escavação, reaterro e transporte do tubo</t>
    </r>
  </si>
  <si>
    <r>
      <rPr>
        <sz val="7"/>
        <rFont val="Arial"/>
        <family val="2"/>
      </rPr>
      <t>Corpo BSTC diâmetro 0,20 m C.S. PB inclusive escavação, reaterro e transporte do tubo</t>
    </r>
  </si>
  <si>
    <r>
      <rPr>
        <sz val="7"/>
        <rFont val="Arial"/>
        <family val="2"/>
      </rPr>
      <t>Corpo BSTC diâmetro 0,30 m C.S. MF inclusive escavação, reaterro e transporte do tubo</t>
    </r>
  </si>
  <si>
    <r>
      <rPr>
        <sz val="7"/>
        <rFont val="Arial"/>
        <family val="2"/>
      </rPr>
      <t>Corpo BSTC diâmetro 0,30 m C.S. PB inclusive escavação, reaterro e transporte do tubo</t>
    </r>
  </si>
  <si>
    <r>
      <rPr>
        <sz val="7"/>
        <rFont val="Arial"/>
        <family val="2"/>
      </rPr>
      <t>Corpo BSTC diâmetro 0,40 m C.S. MF inclusive escavação, reaterro e transporte do tubo</t>
    </r>
  </si>
  <si>
    <r>
      <rPr>
        <sz val="7"/>
        <rFont val="Arial"/>
        <family val="2"/>
      </rPr>
      <t>Corpo BSTC diâmetro 0,40 m C.S. PB inclusive escavação, reaterro e transporte do tubo</t>
    </r>
  </si>
  <si>
    <r>
      <rPr>
        <sz val="7"/>
        <rFont val="Arial"/>
        <family val="2"/>
      </rPr>
      <t>Corpo BSTC diâmetro 0,60 m C.S. MF inclusive escavação, reaterro e transporte do tubo</t>
    </r>
  </si>
  <si>
    <r>
      <rPr>
        <sz val="7"/>
        <rFont val="Arial"/>
        <family val="2"/>
      </rPr>
      <t>Corpo BSTC diâmetro 0,60 m C.S. PB inclusive escavação, reaterro e transporte do tubo</t>
    </r>
  </si>
  <si>
    <r>
      <rPr>
        <sz val="7"/>
        <rFont val="Arial"/>
        <family val="2"/>
      </rPr>
      <t>Corpo BSTC (greide) diâmetro 0,30 m CA-1 MF inclusive escavação, reaterro e transporte do tubo</t>
    </r>
  </si>
  <si>
    <r>
      <rPr>
        <sz val="7"/>
        <rFont val="Arial"/>
        <family val="2"/>
      </rPr>
      <t>Corpo BSTC (greide) diâmetro 0,40 m CA-1 MF inclusive escavação, reaterro e transporte do tubo</t>
    </r>
  </si>
  <si>
    <r>
      <rPr>
        <sz val="7"/>
        <rFont val="Arial"/>
        <family val="2"/>
      </rPr>
      <t>Corpo BSTC (greide) diâmetro 0,40 m CA-2 MF inclusive escavação, reaterro e transporte do tubo</t>
    </r>
  </si>
  <si>
    <r>
      <rPr>
        <sz val="7"/>
        <rFont val="Arial"/>
        <family val="2"/>
      </rPr>
      <t>Corpo BSTC (greide) diâmetro 0,60 m CA-1 MF inclusive escavação, reaterro e transporte do tubo</t>
    </r>
  </si>
  <si>
    <r>
      <rPr>
        <sz val="7"/>
        <rFont val="Arial"/>
        <family val="2"/>
      </rPr>
      <t>Corpo BSTC (greide) diâmetro 0,60 m CA-1 PB inclusive escavação, reaterro e transporte do tubo</t>
    </r>
  </si>
  <si>
    <r>
      <rPr>
        <sz val="7"/>
        <rFont val="Arial"/>
        <family val="2"/>
      </rPr>
      <t>Corpo BSTC (greide) diâmetro 0,60 m CA-2 MF inclusive escavação, reaterro e transporte do tubo</t>
    </r>
  </si>
  <si>
    <r>
      <rPr>
        <sz val="7"/>
        <rFont val="Arial"/>
        <family val="2"/>
      </rPr>
      <t>Corpo BSTC (greide) diâmetro 0,60 m CA-2 PB inclusive escavação, reaterro e transporte do tubo</t>
    </r>
  </si>
  <si>
    <r>
      <rPr>
        <sz val="7"/>
        <rFont val="Arial"/>
        <family val="2"/>
      </rPr>
      <t>Corpo BSTC (greide) diâmetro 0,80 m CA-1 MF inclusive escavação, reaterro e transporte do tubo</t>
    </r>
  </si>
  <si>
    <r>
      <rPr>
        <sz val="7"/>
        <rFont val="Arial"/>
        <family val="2"/>
      </rPr>
      <t>Corpo BSTC (greide) diâmetro 0,80 m CA-1 PB inclusive escavação, reaterro e transporte do tubo</t>
    </r>
  </si>
  <si>
    <r>
      <rPr>
        <sz val="7"/>
        <rFont val="Arial"/>
        <family val="2"/>
      </rPr>
      <t>Corpo BSTC (greide) diâmetro 0,80 m CA-2 MF inclusive escavação, reaterro e transporte do tubo</t>
    </r>
  </si>
  <si>
    <r>
      <rPr>
        <sz val="7"/>
        <rFont val="Arial"/>
        <family val="2"/>
      </rPr>
      <t>Corpo BSTC (greide) diâmetro 0,80 m CA-2 PB inclusive escavação, reaterro e transporte do tubo</t>
    </r>
  </si>
  <si>
    <r>
      <rPr>
        <sz val="7"/>
        <rFont val="Arial"/>
        <family val="2"/>
      </rPr>
      <t>Corpo BSTC (greide) diâmetro 1,00 m CA-1 MF inclusive escavação, reaterro e transporte do tubo</t>
    </r>
  </si>
  <si>
    <r>
      <rPr>
        <sz val="7"/>
        <rFont val="Arial"/>
        <family val="2"/>
      </rPr>
      <t>Corpo BSTC (greide) diâmetro 1,00 m CA-1 PB inclusive escavação, reaterro e transporte do tubo</t>
    </r>
  </si>
  <si>
    <r>
      <rPr>
        <sz val="7"/>
        <rFont val="Arial"/>
        <family val="2"/>
      </rPr>
      <t>Corpo BSTC (greide) diâmetro 1,00 m CA-2 MF inclusive escavação, reaterro e transporte do tubo</t>
    </r>
  </si>
  <si>
    <r>
      <rPr>
        <sz val="7"/>
        <rFont val="Arial"/>
        <family val="2"/>
      </rPr>
      <t>Corpo BSTC (greide) diâmetro 1,00 m CA-2 PB inclusive escavação, reaterro e transporte do tubo</t>
    </r>
  </si>
  <si>
    <r>
      <rPr>
        <sz val="7"/>
        <rFont val="Arial"/>
        <family val="2"/>
      </rPr>
      <t>Corpo BSTC (greide) diâmetro 1,20 m CA-1 MF inclusive escavação, reaterro e transporte do tubo</t>
    </r>
  </si>
  <si>
    <r>
      <rPr>
        <sz val="7"/>
        <rFont val="Arial"/>
        <family val="2"/>
      </rPr>
      <t>Corpo BSTC (greide) diâmetro 1,20 m CA-1 PB inclusive escavação, reaterro e transporte do tubo</t>
    </r>
  </si>
  <si>
    <r>
      <rPr>
        <sz val="7"/>
        <rFont val="Arial"/>
        <family val="2"/>
      </rPr>
      <t>Corpo BSTC (greide) diâmetro 1,20 m CA-2 MF inclusive escavação, reaterro e transporte do tubo</t>
    </r>
  </si>
  <si>
    <r>
      <rPr>
        <sz val="7"/>
        <rFont val="Arial"/>
        <family val="2"/>
      </rPr>
      <t>Corpo BSTC (greide) diâmetro 1,20 m CA-2 PB inclusive escavação, reaterro e transporte do tubo</t>
    </r>
  </si>
  <si>
    <r>
      <rPr>
        <sz val="7"/>
        <rFont val="Arial"/>
        <family val="2"/>
      </rPr>
      <t>Corpo BSTC (grota) diâmetro 0,60 m CA-1 MF exclusive escavação e reaterro, inclusive transporte do tubo</t>
    </r>
  </si>
  <si>
    <r>
      <rPr>
        <sz val="7"/>
        <rFont val="Arial"/>
        <family val="2"/>
      </rPr>
      <t>Corpo BSTC (grota) diâmetro 0,60 m CA-1 PB exclusive escavação e reaterro, inclusive transporte do tubo</t>
    </r>
  </si>
  <si>
    <r>
      <rPr>
        <sz val="7"/>
        <rFont val="Arial"/>
        <family val="2"/>
      </rPr>
      <t>Corpo BSTC (grota) diâmetro 0,60 m CA-2 MF exclusive escavação e reaterro, inclusive transporte do tubo</t>
    </r>
  </si>
  <si>
    <r>
      <rPr>
        <sz val="7"/>
        <rFont val="Arial"/>
        <family val="2"/>
      </rPr>
      <t>Corpo BSTC (grota) diâmetro 0,60 m CA-2 PB exclusive escavação e reaterro, inclusive transporte do tubo</t>
    </r>
  </si>
  <si>
    <r>
      <rPr>
        <sz val="7"/>
        <rFont val="Arial"/>
        <family val="2"/>
      </rPr>
      <t>Corpo BSTC (grota) diâmetro 0,80 m CA-1 MF exclusive escavação e reaterro, inclusive transporte do tubo</t>
    </r>
  </si>
  <si>
    <r>
      <rPr>
        <sz val="7"/>
        <rFont val="Arial"/>
        <family val="2"/>
      </rPr>
      <t>Corpo BSTC (grota) diâmetro 0,80 m CA-1 PB exclusive escavação e reaterro, inclusive transporte do tubo</t>
    </r>
  </si>
  <si>
    <r>
      <rPr>
        <sz val="7"/>
        <rFont val="Arial"/>
        <family val="2"/>
      </rPr>
      <t>Corpo BSTC (grota) diâmetro 0,80 m CA-2 MF exclusive escavação e reaterro, inclusive transporte do tubo</t>
    </r>
  </si>
  <si>
    <r>
      <rPr>
        <sz val="7"/>
        <rFont val="Arial"/>
        <family val="2"/>
      </rPr>
      <t>Corpo BSTC (grota) diâmetro 0,80 m CA-2 PB exclusive escavação e reaterro, inclusive transporte do tubo</t>
    </r>
  </si>
  <si>
    <r>
      <rPr>
        <sz val="7"/>
        <rFont val="Arial"/>
        <family val="2"/>
      </rPr>
      <t>Corpo BSTC (grota) diâmetro 1,00 m CA-1 MF exclusive escavação e reaterro, inclusive transporte do tubo</t>
    </r>
  </si>
  <si>
    <r>
      <rPr>
        <sz val="7"/>
        <rFont val="Arial"/>
        <family val="2"/>
      </rPr>
      <t>Corpo BSTC (grota) diâmetro 1,00 m CA-1 PB exclusive escavação e reaterro, inclusive transporte do tubo</t>
    </r>
  </si>
  <si>
    <r>
      <rPr>
        <sz val="7"/>
        <rFont val="Arial"/>
        <family val="2"/>
      </rPr>
      <t>Corpo BSTC (grota) diâmetro 1,00 m CA-2 MF exclusive escavação e reaterro, inclusive transporte do tubo</t>
    </r>
  </si>
  <si>
    <r>
      <rPr>
        <sz val="7"/>
        <rFont val="Arial"/>
        <family val="2"/>
      </rPr>
      <t>Corpo BSTC (grota) diâmetro 1,00 m CA-2 PB exclusive escavação e reaterro, inclusive transporte do tubo</t>
    </r>
  </si>
  <si>
    <r>
      <rPr>
        <sz val="7"/>
        <rFont val="Arial"/>
        <family val="2"/>
      </rPr>
      <t>Corpo BSTC (grota) diâmetro 1,00 m CA-3 MF exclusive escavação e reaterro, inclusive transporte do tubo</t>
    </r>
  </si>
  <si>
    <r>
      <rPr>
        <sz val="7"/>
        <rFont val="Arial"/>
        <family val="2"/>
      </rPr>
      <t>Corpo BSTC (grota) diâmetro 1,20 m CA-1 MF exclusive escavação e reaterro, inclusive transporte do tubo</t>
    </r>
  </si>
  <si>
    <r>
      <rPr>
        <sz val="7"/>
        <rFont val="Arial"/>
        <family val="2"/>
      </rPr>
      <t>Corpo BSTC (grota) diâmetro 1,20 m CA-1 PB exclusive escavação e reaterro, inclusive transporte do tubo</t>
    </r>
  </si>
  <si>
    <r>
      <rPr>
        <sz val="7"/>
        <rFont val="Arial"/>
        <family val="2"/>
      </rPr>
      <t>Corpo BSTC (grota) diâmetro 1,20 m CA-2 MF exclusive escavação e reaterro, inclusive transporte do tubo</t>
    </r>
  </si>
  <si>
    <r>
      <rPr>
        <sz val="7"/>
        <rFont val="Arial"/>
        <family val="2"/>
      </rPr>
      <t>Corpo BSTC (grota) diâmetro 1,20 m CA-2 PB exclusive escavação e reaterro, inclusive transporte do tubo</t>
    </r>
  </si>
  <si>
    <r>
      <rPr>
        <sz val="7"/>
        <rFont val="Arial"/>
        <family val="2"/>
      </rPr>
      <t>Corpo BSTC (grota) diâmetro 1,20 m CA-3 MF exclusive escavação e reaterro, inclusive transporte do tubo</t>
    </r>
  </si>
  <si>
    <r>
      <rPr>
        <sz val="7"/>
        <rFont val="Arial"/>
        <family val="2"/>
      </rPr>
      <t>Corpo BSTC (grota) diâmetro 1,50 m CA-1 MF exclusive escavação e reaterro, inclusive transporte do tubo</t>
    </r>
  </si>
  <si>
    <r>
      <rPr>
        <sz val="7"/>
        <rFont val="Arial"/>
        <family val="2"/>
      </rPr>
      <t>Corpo BSTC (grota) diâmetro 1,50 m CA-1 PB exclusive escavação e reaterro, inclusive transporte do tubo</t>
    </r>
  </si>
  <si>
    <r>
      <rPr>
        <sz val="7"/>
        <rFont val="Arial"/>
        <family val="2"/>
      </rPr>
      <t>Corpo BSTC (grota) diâmetro 1,50 m CA-2 MF exclusive escavação e reaterro, inclusive transporte do tubo</t>
    </r>
  </si>
  <si>
    <r>
      <rPr>
        <sz val="7"/>
        <rFont val="Arial"/>
        <family val="2"/>
      </rPr>
      <t>Corpo BSTC (grota) diâmetro 1,50 m CA-2 PB exclusive escavação e reaterro, inclusive transporte do tubo</t>
    </r>
  </si>
  <si>
    <r>
      <rPr>
        <sz val="7"/>
        <rFont val="Arial"/>
        <family val="2"/>
      </rPr>
      <t>Corpo BSTC (grota) diâmetro 1,50 m CA-3 MF exclusive escavação e reaterro, inclusive transporte do tubo</t>
    </r>
  </si>
  <si>
    <r>
      <rPr>
        <sz val="7"/>
        <rFont val="Arial"/>
        <family val="2"/>
      </rPr>
      <t>Corpo BTTC (grota) diâmetro 0,60 m CA-1 MF exclusive escavação e reaterro, inclusive transporte do tubo</t>
    </r>
  </si>
  <si>
    <r>
      <rPr>
        <sz val="7"/>
        <rFont val="Arial"/>
        <family val="2"/>
      </rPr>
      <t>Corpo BTTC (grota) diâmetro 0,60 m CA-1 PB exclusive escavação e reaterro, inclusive transporte do tubo</t>
    </r>
  </si>
  <si>
    <r>
      <rPr>
        <sz val="7"/>
        <rFont val="Arial"/>
        <family val="2"/>
      </rPr>
      <t>Corpo BTTC (grota) diâmetro 0,60 m CA-2 MF exclusive escavação e reaterro, inclusive transporte do tubo</t>
    </r>
  </si>
  <si>
    <r>
      <rPr>
        <sz val="7"/>
        <rFont val="Arial"/>
        <family val="2"/>
      </rPr>
      <t>Corpo BTTC (grota) diâmetro 0,60 m CA-2 PB exclusive escavação e reaterro, inclusive transporte do tubo</t>
    </r>
  </si>
  <si>
    <r>
      <rPr>
        <sz val="7"/>
        <rFont val="Arial"/>
        <family val="2"/>
      </rPr>
      <t>Corpo BTTC (grota) diâmetro 0,80 m CA-1 MF exclusive escavação e reaterro, inclusive transporte do tubo</t>
    </r>
  </si>
  <si>
    <r>
      <rPr>
        <sz val="7"/>
        <rFont val="Arial"/>
        <family val="2"/>
      </rPr>
      <t>Corpo BTTC (grota) diâmetro 0,80 m CA-1 PB exclusive escavação e reaterro, inclusive transporte do tubo</t>
    </r>
  </si>
  <si>
    <r>
      <rPr>
        <sz val="7"/>
        <rFont val="Arial"/>
        <family val="2"/>
      </rPr>
      <t>Corpo BTTC (grota) diâmetro 0,80 m CA-2 MF exclusive escavação e reaterro, inclusive transporte do tubo</t>
    </r>
  </si>
  <si>
    <r>
      <rPr>
        <sz val="7"/>
        <rFont val="Arial"/>
        <family val="2"/>
      </rPr>
      <t>Corpo BTTC (grota) diâmetro 0,80 m CA-2 PB exclusive escavação e reaterro, inclusive transporte do tubo</t>
    </r>
  </si>
  <si>
    <r>
      <rPr>
        <sz val="7"/>
        <rFont val="Arial"/>
        <family val="2"/>
      </rPr>
      <t>Corpo BTTC (grota) diâmetro 1,00 m CA-1 MF exclusive escavação e reaterro, inclusive transporte do tubo</t>
    </r>
  </si>
  <si>
    <r>
      <rPr>
        <sz val="7"/>
        <rFont val="Arial"/>
        <family val="2"/>
      </rPr>
      <t>Corpo BTTC (grota) diâmetro 1,00 m CA-1 PB exclusive escavação e reaterro, inclusive transporte do tubo</t>
    </r>
  </si>
  <si>
    <r>
      <rPr>
        <sz val="7"/>
        <rFont val="Arial"/>
        <family val="2"/>
      </rPr>
      <t>Corpo BTTC (grota) diâmetro 1,00 m CA-2 MF exclusive escavação e reaterro, inclusive transporte do tubo</t>
    </r>
  </si>
  <si>
    <r>
      <rPr>
        <sz val="7"/>
        <rFont val="Arial"/>
        <family val="2"/>
      </rPr>
      <t>Corpo BTTC (grota) diâmetro 1,00 m CA-2 PB exclusive escavação e reaterro, inclusive transporte do tubo</t>
    </r>
  </si>
  <si>
    <r>
      <rPr>
        <sz val="7"/>
        <rFont val="Arial"/>
        <family val="2"/>
      </rPr>
      <t>Corpo BTTC (grota) diâmetro 1,00 m CA-3 MF exclusive escavação e reaterro, inclusive transporte do tubo</t>
    </r>
  </si>
  <si>
    <r>
      <rPr>
        <sz val="7"/>
        <rFont val="Arial"/>
        <family val="2"/>
      </rPr>
      <t>Corpo BTTC (grota) diâmetro 1,20 m CA-1 MF exclusive escavação e reaterro, inclusive transporte do tubo</t>
    </r>
  </si>
  <si>
    <r>
      <rPr>
        <sz val="7"/>
        <rFont val="Arial"/>
        <family val="2"/>
      </rPr>
      <t>Corpo BTTC (grota) diâmetro 1,20 m CA-1 PB exclusive escavação e reaterro, inclusive transporte do tubo</t>
    </r>
  </si>
  <si>
    <r>
      <rPr>
        <sz val="7"/>
        <rFont val="Arial"/>
        <family val="2"/>
      </rPr>
      <t>Corpo BTTC (grota) diâmetro 1,20 m CA-2 MF exclusive escavação e reaterro, inclusive transporte do tubo</t>
    </r>
  </si>
  <si>
    <r>
      <rPr>
        <sz val="7"/>
        <rFont val="Arial"/>
        <family val="2"/>
      </rPr>
      <t>Corpo BTTC (grota) diâmetro 1,20 m CA-2 PB exclusive escavação e reaterro, inclusive transporte do tubo</t>
    </r>
  </si>
  <si>
    <r>
      <rPr>
        <sz val="7"/>
        <rFont val="Arial"/>
        <family val="2"/>
      </rPr>
      <t>Corpo BTTC (grota) diâmetro 1,20 m CA-3 MF exclusive escavação e reaterro, inclusive transporte do tubo</t>
    </r>
  </si>
  <si>
    <r>
      <rPr>
        <sz val="7"/>
        <rFont val="Arial"/>
        <family val="2"/>
      </rPr>
      <t>Corpo BTTC (grota) diâmetro 1,50 m CA-1 MF exclusive escavação e reaterro, inclusive transporte do tubo</t>
    </r>
  </si>
  <si>
    <r>
      <rPr>
        <sz val="7"/>
        <rFont val="Arial"/>
        <family val="2"/>
      </rPr>
      <t>Corpo BTTC (grota) diâmetro 1,50 m CA-1 PB exclusive escavação e reaterro, inclusive transporte do tubo</t>
    </r>
  </si>
  <si>
    <r>
      <rPr>
        <sz val="7"/>
        <rFont val="Arial"/>
        <family val="2"/>
      </rPr>
      <t>Corpo BTTC (grota) diâmetro 1,50 m CA-2 MF exclusive escavação e reaterro, inclusive transporte do tubo</t>
    </r>
  </si>
  <si>
    <r>
      <rPr>
        <sz val="7"/>
        <rFont val="Arial"/>
        <family val="2"/>
      </rPr>
      <t>Corpo BTTC (grota) diâmetro 1,50 m CA-2 PB exclusive escavação e reaterro, inclusive transporte do tubo</t>
    </r>
  </si>
  <si>
    <r>
      <rPr>
        <sz val="7"/>
        <rFont val="Arial"/>
        <family val="2"/>
      </rPr>
      <t>Corpo BTTC (grota) diâmetro 1,50 m CA-3 MF exclusive escavação e reaterro, inclusive transporte do tubo</t>
    </r>
  </si>
  <si>
    <r>
      <rPr>
        <sz val="7"/>
        <rFont val="Arial"/>
        <family val="2"/>
      </rPr>
      <t>Corpo de BDCC 1,50 x 1,50 m projeto DNIT para H &lt; = 2,50 m</t>
    </r>
  </si>
  <si>
    <r>
      <rPr>
        <sz val="7"/>
        <rFont val="Arial"/>
        <family val="2"/>
      </rPr>
      <t>Corpo de BDCC 1,50 x 1,50 m projeto DNIT para 2,50 &lt; H &lt; 5,00 m</t>
    </r>
  </si>
  <si>
    <r>
      <rPr>
        <sz val="7"/>
        <rFont val="Arial"/>
        <family val="2"/>
      </rPr>
      <t>Corpo de BDCC 2,00 x 1,20 m - tudo incluido conforme projeto</t>
    </r>
  </si>
  <si>
    <r>
      <rPr>
        <sz val="7"/>
        <rFont val="Arial"/>
        <family val="2"/>
      </rPr>
      <t>Corpo de BDCC 2,00 x 2,00 m projeto DNIT para H &lt; = 2,50 m</t>
    </r>
  </si>
  <si>
    <r>
      <rPr>
        <sz val="7"/>
        <rFont val="Arial"/>
        <family val="2"/>
      </rPr>
      <t>Corpo de BDCC 2,00 x 2,00 m projeto DNIT para 2,50 &lt; H &lt;5,00 m</t>
    </r>
  </si>
  <si>
    <r>
      <rPr>
        <sz val="7"/>
        <rFont val="Arial"/>
        <family val="2"/>
      </rPr>
      <t>Corpo de BDCC 2,00 x 3,00 m projeto DNIT para H &lt; = 2,50 m</t>
    </r>
  </si>
  <si>
    <r>
      <rPr>
        <sz val="7"/>
        <rFont val="Arial"/>
        <family val="2"/>
      </rPr>
      <t>Corpo de BDCC 2,00 x 3,00 m projeto DNIT para 2,50 &lt; H &lt; 5,00 m</t>
    </r>
  </si>
  <si>
    <r>
      <rPr>
        <sz val="7"/>
        <rFont val="Arial"/>
        <family val="2"/>
      </rPr>
      <t>Corpo de BDCC 2,50 x 2,00 m - tudo incluído conforme projeto</t>
    </r>
  </si>
  <si>
    <r>
      <rPr>
        <sz val="7"/>
        <rFont val="Arial"/>
        <family val="2"/>
      </rPr>
      <t>Corpo de BDCC 2,50 x 2,50 m projeto DNIT para H &lt; = 2,50 m</t>
    </r>
  </si>
  <si>
    <r>
      <rPr>
        <sz val="7"/>
        <rFont val="Arial"/>
        <family val="2"/>
      </rPr>
      <t>Corpo de BDCC 2,50 x 2,50 m projeto DNIT para 2,50 &lt; H &lt; 5,00 m</t>
    </r>
  </si>
  <si>
    <r>
      <rPr>
        <sz val="7"/>
        <rFont val="Arial"/>
        <family val="2"/>
      </rPr>
      <t>Corpo de BDCC 2,50 x 3,00 m projeto DNIT para H &lt; = 2,50 m</t>
    </r>
  </si>
  <si>
    <r>
      <rPr>
        <sz val="7"/>
        <rFont val="Arial"/>
        <family val="2"/>
      </rPr>
      <t>Corpo de BDCC 2,50 x 3,00 m projeto DNIT para 2,50 &lt; H &lt; 5,00 m</t>
    </r>
  </si>
  <si>
    <r>
      <rPr>
        <sz val="7"/>
        <rFont val="Arial"/>
        <family val="2"/>
      </rPr>
      <t>Corpo de BDCC 3,00 x 3,00 m projeto DNIT para H &lt; = 2,50 m</t>
    </r>
  </si>
  <si>
    <r>
      <rPr>
        <sz val="7"/>
        <rFont val="Arial"/>
        <family val="2"/>
      </rPr>
      <t>Corpo de BDCC 3,00 x 3,00 m projeto DNIT para 2,50 &lt; H &lt; 5,00 m</t>
    </r>
  </si>
  <si>
    <r>
      <rPr>
        <sz val="7"/>
        <rFont val="Arial"/>
        <family val="2"/>
      </rPr>
      <t>Corpo de BSCC 1,50 x 1,50 m projeto DNIT para H &lt; = 2,50 m</t>
    </r>
  </si>
  <si>
    <r>
      <rPr>
        <sz val="7"/>
        <rFont val="Arial"/>
        <family val="2"/>
      </rPr>
      <t>Corpo de BSCC 1,50 x 1,50 m projeto DNIT para 2,50 &lt; H &lt; 5,00 m</t>
    </r>
  </si>
  <si>
    <r>
      <rPr>
        <sz val="7"/>
        <rFont val="Arial"/>
        <family val="2"/>
      </rPr>
      <t>Corpo de BSCC 2,00 x 2,00 m projeto DNIT para 5,00 &lt; H &lt; 7,50 m</t>
    </r>
  </si>
  <si>
    <r>
      <rPr>
        <sz val="7"/>
        <rFont val="Arial"/>
        <family val="2"/>
      </rPr>
      <t>Corpo de BSCC 2,00 x 2,00 m projeto DNIT para H &lt; = 2,50 m</t>
    </r>
  </si>
  <si>
    <r>
      <rPr>
        <sz val="7"/>
        <rFont val="Arial"/>
        <family val="2"/>
      </rPr>
      <t>Corpo de BSCC 2,00 x 2,00 m projeto DNIT para 2,50 &lt; H &lt; 5,00 m</t>
    </r>
  </si>
  <si>
    <r>
      <rPr>
        <sz val="7"/>
        <rFont val="Arial"/>
        <family val="2"/>
      </rPr>
      <t>Corpo de BSCC 2,00 x 3,00 m projeto DNIT para H &lt; = 2,50 m</t>
    </r>
  </si>
  <si>
    <r>
      <rPr>
        <sz val="7"/>
        <rFont val="Arial"/>
        <family val="2"/>
      </rPr>
      <t>Corpo de BSCC 2,00 x 3,00 m projeto DNIT para 2,50 &lt; H &lt; 5,00 m</t>
    </r>
  </si>
  <si>
    <r>
      <rPr>
        <sz val="7"/>
        <rFont val="Arial"/>
        <family val="2"/>
      </rPr>
      <t>Corpo de BSCC 2,50 x 2,50 m projeto DNIT para H &lt; = 2,50 m</t>
    </r>
  </si>
  <si>
    <r>
      <rPr>
        <sz val="7"/>
        <rFont val="Arial"/>
        <family val="2"/>
      </rPr>
      <t>Corpo de BSCC 2,50 x 2,50 m projeto DNIT para 2,50 &lt; H &lt; 5,00 m</t>
    </r>
  </si>
  <si>
    <r>
      <rPr>
        <sz val="7"/>
        <rFont val="Arial"/>
        <family val="2"/>
      </rPr>
      <t>Corpo de BSCC 2,50 x 3,00 m projeto DNIT para H &lt; = 2,50 m</t>
    </r>
  </si>
  <si>
    <r>
      <rPr>
        <sz val="7"/>
        <rFont val="Arial"/>
        <family val="2"/>
      </rPr>
      <t>Corpo de BSCC 2,50 x 3,00 m projeto DNIT para 2,50 &lt; H &lt; 5,00 m</t>
    </r>
  </si>
  <si>
    <r>
      <rPr>
        <sz val="7"/>
        <rFont val="Arial"/>
        <family val="2"/>
      </rPr>
      <t>Corpo de BSCC 3,00 x 3,00 m projeto DNIT para H &lt; = 2,50 m</t>
    </r>
  </si>
  <si>
    <r>
      <rPr>
        <sz val="7"/>
        <rFont val="Arial"/>
        <family val="2"/>
      </rPr>
      <t>Corpo de BSCC 3,00 x 3,00 m projeto DNIT para 2,50 &lt; H &lt; 5,00 m</t>
    </r>
  </si>
  <si>
    <r>
      <rPr>
        <sz val="7"/>
        <rFont val="Arial"/>
        <family val="2"/>
      </rPr>
      <t>Corpo de BTCC 1,50 x 1,50 m projeto DNIT para H &lt; = 2,50 m</t>
    </r>
  </si>
  <si>
    <r>
      <rPr>
        <sz val="7"/>
        <rFont val="Arial"/>
        <family val="2"/>
      </rPr>
      <t>Corpo de BTCC 1,50 x 1,50 m projeto DNIT para 2,50 &lt; H &lt; 5,00 m</t>
    </r>
  </si>
  <si>
    <r>
      <rPr>
        <sz val="7"/>
        <rFont val="Arial"/>
        <family val="2"/>
      </rPr>
      <t>Corpo de BTCC 2,00 x 2,00 m projeto DNIT para H &lt; = 2,50 m</t>
    </r>
  </si>
  <si>
    <r>
      <rPr>
        <sz val="7"/>
        <rFont val="Arial"/>
        <family val="2"/>
      </rPr>
      <t>Corpo de BTCC 2,00 x 2,00 m projeto DNIT para 2,50 &lt; H &lt; 5,00 m</t>
    </r>
  </si>
  <si>
    <r>
      <rPr>
        <sz val="7"/>
        <rFont val="Arial"/>
        <family val="2"/>
      </rPr>
      <t>Corpo de BTCC 2,00 x 3,00 m projeto DNIT para H &lt; = 2,50 m</t>
    </r>
  </si>
  <si>
    <r>
      <rPr>
        <sz val="7"/>
        <rFont val="Arial"/>
        <family val="2"/>
      </rPr>
      <t>Corpo de BTCC 2,00 x 3,00 m projeto DNIT para 2,50 &lt; H &lt; 5,00 m</t>
    </r>
  </si>
  <si>
    <r>
      <rPr>
        <sz val="7"/>
        <rFont val="Arial"/>
        <family val="2"/>
      </rPr>
      <t>Corpo de BTCC 2,50 x 2,50 m projeto DNIT para H &lt; = 2,50 m</t>
    </r>
  </si>
  <si>
    <r>
      <rPr>
        <sz val="7"/>
        <rFont val="Arial"/>
        <family val="2"/>
      </rPr>
      <t>Corpo de BTCC 2,50 x 2,50 m projeto DNIT para 2,50 &lt; H &lt; 5,00 m</t>
    </r>
  </si>
  <si>
    <r>
      <rPr>
        <sz val="7"/>
        <rFont val="Arial"/>
        <family val="2"/>
      </rPr>
      <t>Corpo de BTCC 2,50 x 3,00 m projeto DNIT para H &lt; = 2,50 m</t>
    </r>
  </si>
  <si>
    <r>
      <rPr>
        <sz val="7"/>
        <rFont val="Arial"/>
        <family val="2"/>
      </rPr>
      <t>Corpo de BTCC 2,50 x 3,00 m projeto DNIT para 2,50 &lt; H &lt; 5,00 m</t>
    </r>
  </si>
  <si>
    <r>
      <rPr>
        <sz val="7"/>
        <rFont val="Arial"/>
        <family val="2"/>
      </rPr>
      <t>Corpo de BTCC 3,00 x 3,00 m projeto DNIT para H &lt; = 2,50 m</t>
    </r>
  </si>
  <si>
    <r>
      <rPr>
        <sz val="7"/>
        <rFont val="Arial"/>
        <family val="2"/>
      </rPr>
      <t>Corpo de BTCC 3,00 x 3,00 m projeto DNIT para 2,50 &lt; H &lt; 5,00 m</t>
    </r>
  </si>
  <si>
    <r>
      <rPr>
        <sz val="7"/>
        <rFont val="Arial"/>
        <family val="2"/>
      </rPr>
      <t>Corta-rio (escavação mecânica em material de 1ª cat.) H = 1,50 a 3,00 m</t>
    </r>
  </si>
  <si>
    <r>
      <rPr>
        <sz val="7"/>
        <rFont val="Arial"/>
        <family val="2"/>
      </rPr>
      <t>Corta-rio (escavação mecânica em material de 2ª cat.) H = 1,50 a 3,00 m</t>
    </r>
  </si>
  <si>
    <r>
      <rPr>
        <sz val="7"/>
        <rFont val="Arial"/>
        <family val="2"/>
      </rPr>
      <t>Corte e esmerilhamento de pontas de tubo de ferro fundido DN 500 a 200mm</t>
    </r>
  </si>
  <si>
    <r>
      <rPr>
        <sz val="7"/>
        <rFont val="Arial"/>
        <family val="2"/>
      </rPr>
      <t>Demolição manual alvenaria tijolo furado assentado com argamassa</t>
    </r>
  </si>
  <si>
    <r>
      <rPr>
        <sz val="7"/>
        <rFont val="Arial"/>
        <family val="2"/>
      </rPr>
      <t>Demolição manual de concreto armado</t>
    </r>
  </si>
  <si>
    <r>
      <rPr>
        <sz val="7"/>
        <rFont val="Arial"/>
        <family val="2"/>
      </rPr>
      <t>Demolição manual de concreto simples ou ciclópico</t>
    </r>
  </si>
  <si>
    <r>
      <rPr>
        <sz val="7"/>
        <rFont val="Arial"/>
        <family val="2"/>
      </rPr>
      <t>Demolição mecânica de concreto</t>
    </r>
  </si>
  <si>
    <r>
      <rPr>
        <sz val="7"/>
        <rFont val="Arial"/>
        <family val="2"/>
      </rPr>
      <t>Descida d'água concreto armado (calha) c/ caiação (DSA-01A) canal</t>
    </r>
  </si>
  <si>
    <r>
      <rPr>
        <sz val="7"/>
        <rFont val="Arial"/>
        <family val="2"/>
      </rPr>
      <t>Descida d'água concreto armado (calha) c/ caiação (DSA-01A) dispersor</t>
    </r>
  </si>
  <si>
    <r>
      <rPr>
        <sz val="7"/>
        <rFont val="Arial"/>
        <family val="2"/>
      </rPr>
      <t>Descida d'água concreto armado (degraus) c/ caiação (DSA-03A) apoio</t>
    </r>
  </si>
  <si>
    <r>
      <rPr>
        <sz val="7"/>
        <rFont val="Arial"/>
        <family val="2"/>
      </rPr>
      <t>Descida d'água concreto armado (degraus) c/ caiação (DSA-03A) degrau</t>
    </r>
  </si>
  <si>
    <r>
      <rPr>
        <sz val="7"/>
        <rFont val="Arial"/>
        <family val="2"/>
      </rPr>
      <t>Descida d'água concreto armado (degraus) c/ caiação (DSA-03A) dispersor</t>
    </r>
  </si>
  <si>
    <r>
      <rPr>
        <sz val="7"/>
        <rFont val="Arial"/>
        <family val="2"/>
      </rPr>
      <t>Descida d'água concreto armado DP-1 (calha) c/ caiação</t>
    </r>
  </si>
  <si>
    <r>
      <rPr>
        <sz val="7"/>
        <rFont val="Arial"/>
        <family val="2"/>
      </rPr>
      <t>Descida d'água concreto armado DP-1 (degraus) c/ caiação</t>
    </r>
  </si>
  <si>
    <r>
      <rPr>
        <sz val="7"/>
        <rFont val="Arial"/>
        <family val="2"/>
      </rPr>
      <t>Descida d'água concreto simples (calha) c/ caiação (DSA-01) canal</t>
    </r>
  </si>
  <si>
    <r>
      <rPr>
        <sz val="7"/>
        <rFont val="Arial"/>
        <family val="2"/>
      </rPr>
      <t>Descida d'água concreto simples (calha) c/ caiação (DSA-01) dispersor</t>
    </r>
  </si>
  <si>
    <r>
      <rPr>
        <sz val="7"/>
        <rFont val="Arial"/>
        <family val="2"/>
      </rPr>
      <t>Descida d'água concreto simples (degraus) c/ caiação (DSA-03) apoio</t>
    </r>
  </si>
  <si>
    <r>
      <rPr>
        <sz val="7"/>
        <rFont val="Arial"/>
        <family val="2"/>
      </rPr>
      <t>Descida d'água concreto simples (degraus) c/ caiação (DSA-03) degrau</t>
    </r>
  </si>
  <si>
    <r>
      <rPr>
        <sz val="7"/>
        <rFont val="Arial"/>
        <family val="2"/>
      </rPr>
      <t>Descida d'água concreto simples (degraus) c/ caiação (DSA-03) dispersor</t>
    </r>
  </si>
  <si>
    <r>
      <rPr>
        <sz val="7"/>
        <rFont val="Arial"/>
        <family val="2"/>
      </rPr>
      <t>Deslocamento de cerca de tela galvanizada fio 12 malha 3" x 3"</t>
    </r>
  </si>
  <si>
    <r>
      <rPr>
        <sz val="7"/>
        <rFont val="Arial"/>
        <family val="2"/>
      </rPr>
      <t>Dissipador de energia aplicado a saída d'água tipo DP-1</t>
    </r>
  </si>
  <si>
    <r>
      <rPr>
        <sz val="7"/>
        <rFont val="Arial"/>
        <family val="2"/>
      </rPr>
      <t>Dissipador de energia aplicado a saída de bueiro/descida d'agua de aterro (DEB-01)</t>
    </r>
  </si>
  <si>
    <r>
      <rPr>
        <sz val="7"/>
        <rFont val="Arial"/>
        <family val="2"/>
      </rPr>
      <t>Dissipador de energia aplicado a saída de bueiro/descida d'água de aterro (DEB-02)</t>
    </r>
  </si>
  <si>
    <r>
      <rPr>
        <sz val="7"/>
        <rFont val="Arial"/>
        <family val="2"/>
      </rPr>
      <t>Dissipador de energia aplicado a saída de bueiro/descida d'água de aterro (DEB-03)</t>
    </r>
  </si>
  <si>
    <r>
      <rPr>
        <sz val="7"/>
        <rFont val="Arial"/>
        <family val="2"/>
      </rPr>
      <t>Dissipador de energia aplicado a saída de bueiro/descida d'água de aterro (DEB-04)</t>
    </r>
  </si>
  <si>
    <r>
      <rPr>
        <sz val="7"/>
        <rFont val="Arial"/>
        <family val="2"/>
      </rPr>
      <t>Dissipador de energia aplicado a saída de bueiro/descida d'água de aterro (DEB-05)</t>
    </r>
  </si>
  <si>
    <r>
      <rPr>
        <sz val="7"/>
        <rFont val="Arial"/>
        <family val="2"/>
      </rPr>
      <t>Dissipador de energia aplicado a saída de bueiro/descida d'água de aterro (DEB-06)</t>
    </r>
  </si>
  <si>
    <r>
      <rPr>
        <sz val="7"/>
        <rFont val="Arial"/>
        <family val="2"/>
      </rPr>
      <t>Dissipador de energia aplicado a saída de bueiro/descida d'água de aterro (DEB-07)</t>
    </r>
  </si>
  <si>
    <r>
      <rPr>
        <sz val="7"/>
        <rFont val="Arial"/>
        <family val="2"/>
      </rPr>
      <t>Dissipador de energia aplicado a saída de bueiro/descida d'água de aterro (DEB-08)</t>
    </r>
  </si>
  <si>
    <r>
      <rPr>
        <sz val="7"/>
        <rFont val="Arial"/>
        <family val="2"/>
      </rPr>
      <t>Dissipador de energia aplicado a saída de bueiro/descida d'água de aterro (DEB-09)</t>
    </r>
  </si>
  <si>
    <r>
      <rPr>
        <sz val="7"/>
        <rFont val="Arial"/>
        <family val="2"/>
      </rPr>
      <t>Dissipador de energia aplicado a saída de bueiro/descida d'água de aterro (DEB-10)</t>
    </r>
  </si>
  <si>
    <r>
      <rPr>
        <sz val="7"/>
        <rFont val="Arial"/>
        <family val="2"/>
      </rPr>
      <t>Dissipador de energia aplicado a saída de bueiro/descida d'água de aterro (DEB-12)</t>
    </r>
  </si>
  <si>
    <r>
      <rPr>
        <sz val="7"/>
        <rFont val="Arial"/>
        <family val="2"/>
      </rPr>
      <t>Dissipador de energia aplicado a saída de sarjeta/valeta (DES-01)</t>
    </r>
  </si>
  <si>
    <r>
      <rPr>
        <sz val="7"/>
        <rFont val="Arial"/>
        <family val="2"/>
      </rPr>
      <t>Dissipador de energia aplicado a saída de sarjeta/valeta (DES-02)</t>
    </r>
  </si>
  <si>
    <r>
      <rPr>
        <sz val="7"/>
        <rFont val="Arial"/>
        <family val="2"/>
      </rPr>
      <t>Dissipador de energia aplicado a saída de sarjeta/valeta (DES-03)</t>
    </r>
  </si>
  <si>
    <r>
      <rPr>
        <sz val="7"/>
        <rFont val="Arial"/>
        <family val="2"/>
      </rPr>
      <t xml:space="preserve">Dreno de alívio de pavimento (DP - DAP - 01), com utilização de geotêxtil não tecido RT 07 kn
</t>
    </r>
    <r>
      <rPr>
        <sz val="7"/>
        <rFont val="Arial"/>
        <family val="2"/>
      </rPr>
      <t>/m, inclusive transporte da brita</t>
    </r>
  </si>
  <si>
    <r>
      <rPr>
        <sz val="7"/>
        <rFont val="Arial"/>
        <family val="2"/>
      </rPr>
      <t>Dreno de PVC D = 100 mm</t>
    </r>
  </si>
  <si>
    <r>
      <rPr>
        <sz val="7"/>
        <rFont val="Arial"/>
        <family val="2"/>
      </rPr>
      <t>Dreno de PVC D = 50 mm</t>
    </r>
  </si>
  <si>
    <r>
      <rPr>
        <sz val="7"/>
        <rFont val="Arial"/>
        <family val="2"/>
      </rPr>
      <t xml:space="preserve">Dreno Longitudinal tipo Trincheira Drenante, H = 0,90 m com tubo poroso tipo PEAD de diâm
</t>
    </r>
    <r>
      <rPr>
        <sz val="7"/>
        <rFont val="Arial"/>
        <family val="2"/>
      </rPr>
      <t>= 100 mm, incluindo esc. em mat. 1ª cat. e transporte do tubo</t>
    </r>
  </si>
  <si>
    <r>
      <rPr>
        <sz val="7"/>
        <rFont val="Arial"/>
        <family val="2"/>
      </rPr>
      <t xml:space="preserve">Dreno Longitudinal tipo Trincheira Drenante, H = 0,90 m com tubo poroso tipo PEAD de diâm
</t>
    </r>
    <r>
      <rPr>
        <sz val="7"/>
        <rFont val="Arial"/>
        <family val="2"/>
      </rPr>
      <t>= 100 mm, incluindo esc. mat. 3ª cat. e transporte do tubo</t>
    </r>
  </si>
  <si>
    <r>
      <rPr>
        <sz val="7"/>
        <rFont val="Arial"/>
        <family val="2"/>
      </rPr>
      <t>Dreno Longitudinal tipo Trincheira Drenante, H=0,40m c/ tubo poroso tipo PEAD d=65mm, inclus. esc. em mat. 1ª cat.e geotêxtil não tecido RT 07 kN/m</t>
    </r>
  </si>
  <si>
    <r>
      <rPr>
        <sz val="7"/>
        <rFont val="Arial"/>
        <family val="2"/>
      </rPr>
      <t>Dreno ou Barbacã em tubo PVC, diâmetro de 2"</t>
    </r>
  </si>
  <si>
    <r>
      <rPr>
        <sz val="7"/>
        <rFont val="Arial"/>
        <family val="2"/>
      </rPr>
      <t>Dreno profundo com enchimento de areia, escavação em material 1ª categoria, inclusive transporte da areia</t>
    </r>
  </si>
  <si>
    <r>
      <rPr>
        <sz val="7"/>
        <rFont val="Arial"/>
        <family val="2"/>
      </rPr>
      <t>Dreno profundo com enchimento de brita e areia (1:1) escavação em material 1ª categoria, inclusive transporte da areia e da brita</t>
    </r>
  </si>
  <si>
    <r>
      <rPr>
        <sz val="7"/>
        <rFont val="Arial"/>
        <family val="2"/>
      </rPr>
      <t>Dreno profundo com enchimento de brita e areia (1:1) escavação em material 2ª categoria, inclusive transporte da areia e da brita</t>
    </r>
  </si>
  <si>
    <r>
      <rPr>
        <sz val="7"/>
        <rFont val="Arial"/>
        <family val="2"/>
      </rPr>
      <t>Dreno profundo com enchimento de brita, escavação em material 1ª categoria, inclusive transporte da brita</t>
    </r>
  </si>
  <si>
    <r>
      <rPr>
        <sz val="7"/>
        <rFont val="Arial"/>
        <family val="2"/>
      </rPr>
      <t>Dreno profundo com tubo poroso, D = 0,20 m com enchimento de brita e areia, escavação em material 2ª categoria, inclusive transp.da areia, brita, tubo</t>
    </r>
  </si>
  <si>
    <r>
      <rPr>
        <sz val="7"/>
        <rFont val="Arial"/>
        <family val="2"/>
      </rPr>
      <t>Dreno profundo com tubo poroso, D = 0,20 m com enchimento de brita, escavação em material 3ª categoria (DPR-01), inclusive transporte da brita, tubo</t>
    </r>
  </si>
  <si>
    <r>
      <rPr>
        <sz val="7"/>
        <rFont val="Arial"/>
        <family val="2"/>
      </rPr>
      <t>Dreno profundo D = 0,10 m c/ enchim. brita, areia (1:1) escav. mat. 3º categ.incl. transp. areia, brita c/ geotêxtil não tecido res.long. mín 16kn/m</t>
    </r>
  </si>
  <si>
    <r>
      <rPr>
        <sz val="7"/>
        <rFont val="Arial"/>
        <family val="2"/>
      </rPr>
      <t>Dreno profundo D = 0,10 m c/enchim. brita e areia (1:1) escav.mat. 1º categ., inclus.transp. areia, brita,c/ geotêxtil não tecido res.long. mín 16 kn/m</t>
    </r>
  </si>
  <si>
    <r>
      <rPr>
        <sz val="7"/>
        <rFont val="Arial"/>
        <family val="2"/>
      </rPr>
      <t>Dreno profundo D = 0,20 m com enchimento de areia, escavação em material 1ª categoria ( DPS-01), inclusive transporte da areia e do tubo</t>
    </r>
  </si>
  <si>
    <r>
      <rPr>
        <sz val="7"/>
        <rFont val="Arial"/>
        <family val="2"/>
      </rPr>
      <t>Dreno profundo D = 0,20 m com enchimento de brita e areia, escavação em material 1ª categoria, inclusive transporte da brita e da areia</t>
    </r>
  </si>
  <si>
    <r>
      <rPr>
        <sz val="7"/>
        <rFont val="Arial"/>
        <family val="2"/>
      </rPr>
      <t>Dreno profundo em solo com tubo PEAD perfur. D=100 mm, envolto por geotêxtil não tecido RT16 kn/m, preenchim. c/ brita, incl. transporte</t>
    </r>
  </si>
  <si>
    <r>
      <rPr>
        <sz val="7"/>
        <rFont val="Arial"/>
        <family val="2"/>
      </rPr>
      <t>Dreno profundo para corte em solo, com enchimento em brita revestido com geotextil não tecido RT 16 kn/m, inclusive transporte da brita</t>
    </r>
  </si>
  <si>
    <r>
      <rPr>
        <sz val="7"/>
        <rFont val="Arial"/>
        <family val="2"/>
      </rPr>
      <t>Dreno sub-horizontal D = 50 mm em PVC, com geotêxtil não tecido RT 16 kn/m, exclusive transportes</t>
    </r>
  </si>
  <si>
    <r>
      <rPr>
        <sz val="7"/>
        <rFont val="Arial"/>
        <family val="2"/>
      </rPr>
      <t>Dreno sub-horizontal D=50mm em PVC (escavação em alteração de rocha), inclusive geotêxtil não tecido RT 16 kn/m, exclusive transportes</t>
    </r>
  </si>
  <si>
    <r>
      <rPr>
        <sz val="7"/>
        <rFont val="Arial"/>
        <family val="2"/>
      </rPr>
      <t>Dreno sub-horizontal D=50mm em PVC (escavação em rocha sã), inlusive geotêxtil não tecido RT 16 kn/m, exclusive transportes</t>
    </r>
  </si>
  <si>
    <r>
      <rPr>
        <sz val="7"/>
        <rFont val="Arial"/>
        <family val="2"/>
      </rPr>
      <t xml:space="preserve">Dreno sub-superficial rocha (h=0,55m) c/ tubo PEAD perfur. d=100mm, env. por geotêxtil16kn
</t>
    </r>
    <r>
      <rPr>
        <sz val="7"/>
        <rFont val="Arial"/>
        <family val="2"/>
      </rPr>
      <t>/m, preenc.c/ brita, inclus.transp. tubo, exclusive transp.brita</t>
    </r>
  </si>
  <si>
    <r>
      <rPr>
        <sz val="7"/>
        <rFont val="Arial"/>
        <family val="2"/>
      </rPr>
      <t>Dreno vertical D = 75 mm em PVC, com geotêxtil não tecido resistência longitudinal 16 kn/m</t>
    </r>
  </si>
  <si>
    <r>
      <rPr>
        <sz val="7"/>
        <rFont val="Arial"/>
        <family val="2"/>
      </rPr>
      <t>Eletroduto de ferro galvanizado DN 4", inclusive conexões, exclusive escavação e reaterro, fornecimento e assentamento</t>
    </r>
  </si>
  <si>
    <r>
      <rPr>
        <sz val="7"/>
        <rFont val="Arial"/>
        <family val="2"/>
      </rPr>
      <t>Eletroduto para rede de lógica, inclusive conexões</t>
    </r>
  </si>
  <si>
    <r>
      <rPr>
        <sz val="7"/>
        <rFont val="Arial"/>
        <family val="2"/>
      </rPr>
      <t>Eletroduto PVC diâmetro 75mm, fornecimento e assentamento</t>
    </r>
  </si>
  <si>
    <r>
      <rPr>
        <sz val="7"/>
        <rFont val="Arial"/>
        <family val="2"/>
      </rPr>
      <t>Eletroduto PVC rígido roscável diâm. 50mm, fornecimento e assentamento</t>
    </r>
  </si>
  <si>
    <r>
      <rPr>
        <sz val="7"/>
        <rFont val="Arial"/>
        <family val="2"/>
      </rPr>
      <t>Eletroduto tipo Kanaflex diâmetro 1 1/4", fornecimento e assentamento</t>
    </r>
  </si>
  <si>
    <r>
      <rPr>
        <sz val="7"/>
        <rFont val="Arial"/>
        <family val="2"/>
      </rPr>
      <t>Eletroduto tipo Kanaflex diâmetro 1 1/2", fornecimento e assentamento</t>
    </r>
  </si>
  <si>
    <r>
      <rPr>
        <sz val="7"/>
        <rFont val="Arial"/>
        <family val="2"/>
      </rPr>
      <t>Eletroduto tipo Kanaflex diâmetro 2", fornecimento e assentamento</t>
    </r>
  </si>
  <si>
    <r>
      <rPr>
        <sz val="7"/>
        <rFont val="Arial"/>
        <family val="2"/>
      </rPr>
      <t>Eletroduto tipo Kanaflex diâmetro 4", fornecimento e assentamento</t>
    </r>
  </si>
  <si>
    <r>
      <rPr>
        <sz val="7"/>
        <rFont val="Arial"/>
        <family val="2"/>
      </rPr>
      <t>Enrocamento de pedra arrumada com pá carregadeira e escavadeira, inclusive fornecimento, exclusive transporte da pedra</t>
    </r>
  </si>
  <si>
    <r>
      <rPr>
        <sz val="7"/>
        <rFont val="Arial"/>
        <family val="2"/>
      </rPr>
      <t>Enrocamento de pedra de mão arrumada exclusive transporte</t>
    </r>
  </si>
  <si>
    <r>
      <rPr>
        <sz val="7"/>
        <rFont val="Arial"/>
        <family val="2"/>
      </rPr>
      <t>Enrocamento de pedra jogada exclusive fornecimento e transporte (utilização de material considerado em medição)</t>
    </r>
  </si>
  <si>
    <r>
      <rPr>
        <sz val="7"/>
        <rFont val="Arial"/>
        <family val="2"/>
      </rPr>
      <t>Enrocamento de pedra jogada exclusive o fornecimento e transporte da pedra</t>
    </r>
  </si>
  <si>
    <r>
      <rPr>
        <sz val="7"/>
        <rFont val="Arial"/>
        <family val="2"/>
      </rPr>
      <t>Enrocamento de pedra jogada inclusive fornecimento, exclusive transporte da pedra</t>
    </r>
  </si>
  <si>
    <r>
      <rPr>
        <sz val="7"/>
        <rFont val="Arial"/>
        <family val="2"/>
      </rPr>
      <t>Ensecadeira dupla de madeira esp.= 5 cm com 1 reaproveitamento</t>
    </r>
  </si>
  <si>
    <r>
      <rPr>
        <sz val="7"/>
        <rFont val="Arial"/>
        <family val="2"/>
      </rPr>
      <t>Ensecadeira dupla de madeira esp.= 5 cm sem reaproveitamento, tudo incluído</t>
    </r>
  </si>
  <si>
    <r>
      <rPr>
        <sz val="7"/>
        <rFont val="Arial"/>
        <family val="2"/>
      </rPr>
      <t>Ensecadeira simples de madeira esp.= 5 cm com 1 reaproveitamento, inclusive transporte das madeiras</t>
    </r>
  </si>
  <si>
    <r>
      <rPr>
        <sz val="7"/>
        <rFont val="Arial"/>
        <family val="2"/>
      </rPr>
      <t>Ensecadeira simples de madeira esp.= 5 cm sem reaproveitamento, inclusive transporte das madeiras</t>
    </r>
  </si>
  <si>
    <r>
      <rPr>
        <sz val="7"/>
        <rFont val="Arial"/>
        <family val="2"/>
      </rPr>
      <t>Entrada para descida d'agua DP-1 (calha/degraus) inclusive caiação</t>
    </r>
  </si>
  <si>
    <r>
      <rPr>
        <sz val="7"/>
        <rFont val="Arial"/>
        <family val="2"/>
      </rPr>
      <t>Entrada para descida d'água EDA-01</t>
    </r>
  </si>
  <si>
    <r>
      <rPr>
        <sz val="7"/>
        <rFont val="Arial"/>
        <family val="2"/>
      </rPr>
      <t>Entrada para descida d'água EDA-02</t>
    </r>
  </si>
  <si>
    <r>
      <rPr>
        <sz val="7"/>
        <rFont val="Arial"/>
        <family val="2"/>
      </rPr>
      <t>Escada de madeira executada sobre terreno inclinado, com 80 cm de largura mínima</t>
    </r>
  </si>
  <si>
    <r>
      <rPr>
        <sz val="7"/>
        <rFont val="Arial"/>
        <family val="2"/>
      </rPr>
      <t>Escavação manual em mat. 1ª cat. H= 0,00 a 1,50 m</t>
    </r>
  </si>
  <si>
    <r>
      <rPr>
        <sz val="7"/>
        <rFont val="Arial"/>
        <family val="2"/>
      </rPr>
      <t>Escavação manual em mat. 1ª cat. H= 0,00 a 1,50 m com esgotamento</t>
    </r>
  </si>
  <si>
    <r>
      <rPr>
        <sz val="7"/>
        <rFont val="Arial"/>
        <family val="2"/>
      </rPr>
      <t>Escavação manual em mat. 1ª cat. H= 1,50 a 3,00 m</t>
    </r>
  </si>
  <si>
    <r>
      <rPr>
        <sz val="7"/>
        <rFont val="Arial"/>
        <family val="2"/>
      </rPr>
      <t>Escavação manual em mat. 1ª cat. H= 1,50 a 3,00 m com esgotamento</t>
    </r>
  </si>
  <si>
    <r>
      <rPr>
        <sz val="7"/>
        <rFont val="Arial"/>
        <family val="2"/>
      </rPr>
      <t>Escavação manual em mat. 1ª cat. H= 3,00 a 4,50 m</t>
    </r>
  </si>
  <si>
    <r>
      <rPr>
        <sz val="7"/>
        <rFont val="Arial"/>
        <family val="2"/>
      </rPr>
      <t>Escavação manual em mat. 1ª cat. H= 3,00 a 4,50 m com esgotamento</t>
    </r>
  </si>
  <si>
    <r>
      <rPr>
        <sz val="7"/>
        <rFont val="Arial"/>
        <family val="2"/>
      </rPr>
      <t>Escavação manual em mat. 2ª cat. H= 0,00 a 1,50 m com esgotamento</t>
    </r>
  </si>
  <si>
    <r>
      <rPr>
        <sz val="7"/>
        <rFont val="Arial"/>
        <family val="2"/>
      </rPr>
      <t>Escavação manual em mat. 2ª cat. H= 0,00 a 1,50 m sem detonação</t>
    </r>
  </si>
  <si>
    <r>
      <rPr>
        <sz val="7"/>
        <rFont val="Arial"/>
        <family val="2"/>
      </rPr>
      <t>Escavação manual em mat. 2ª cat. H= 1,50 a 3,00 m com esgotamento</t>
    </r>
  </si>
  <si>
    <r>
      <rPr>
        <sz val="7"/>
        <rFont val="Arial"/>
        <family val="2"/>
      </rPr>
      <t>Escavação manual em mat. 2ª cat. H= 1,50 a 3,00 m sem detonação</t>
    </r>
  </si>
  <si>
    <r>
      <rPr>
        <sz val="7"/>
        <rFont val="Arial"/>
        <family val="2"/>
      </rPr>
      <t>Escavação manual em mat. 2ª cat. H= 3,00 a 4,50 m com esgotamento</t>
    </r>
  </si>
  <si>
    <r>
      <rPr>
        <sz val="7"/>
        <rFont val="Arial"/>
        <family val="2"/>
      </rPr>
      <t>Escavação manual em mat. 2ª cat. H= 3,00 a 4,50 m sem detonação</t>
    </r>
  </si>
  <si>
    <r>
      <rPr>
        <sz val="7"/>
        <rFont val="Arial"/>
        <family val="2"/>
      </rPr>
      <t>Escavação manual em mat. 3ª cat. H= 0,00 a 1,50 m, a fogo</t>
    </r>
  </si>
  <si>
    <r>
      <rPr>
        <sz val="7"/>
        <rFont val="Arial"/>
        <family val="2"/>
      </rPr>
      <t>Escavação manual furos, valetas mat. 1ª cat. H= 0,00 a 1,50 m (dim. reduz.)</t>
    </r>
  </si>
  <si>
    <r>
      <rPr>
        <sz val="7"/>
        <rFont val="Arial"/>
        <family val="2"/>
      </rPr>
      <t>Escavação manual furos, valetas mat. 2ª cat. H= 0,00 a 1,50 m sem detonação (dim. reduz.)</t>
    </r>
  </si>
  <si>
    <r>
      <rPr>
        <sz val="7"/>
        <rFont val="Arial"/>
        <family val="2"/>
      </rPr>
      <t>Escavação mecânica em material de 1ª cat. H= 0,00 a 1,50 m</t>
    </r>
  </si>
  <si>
    <r>
      <rPr>
        <sz val="7"/>
        <rFont val="Arial"/>
        <family val="2"/>
      </rPr>
      <t>Escavação mecânica em material de 1ª cat. H= 0,00 a 1,50 m com esgotamento</t>
    </r>
  </si>
  <si>
    <r>
      <rPr>
        <sz val="7"/>
        <rFont val="Arial"/>
        <family val="2"/>
      </rPr>
      <t>Escavação mecânica em material de 1ª cat. H= 1,50 a 3,00 m</t>
    </r>
  </si>
  <si>
    <r>
      <rPr>
        <sz val="7"/>
        <rFont val="Arial"/>
        <family val="2"/>
      </rPr>
      <t>Escavação mecânica em material de 1ª cat. H= 1,50 a 3,00 m com esgotamento</t>
    </r>
  </si>
  <si>
    <r>
      <rPr>
        <sz val="7"/>
        <rFont val="Arial"/>
        <family val="2"/>
      </rPr>
      <t>Escavação mecânica em material de 1ª cat. H= 3,00 a 4,50 m</t>
    </r>
  </si>
  <si>
    <r>
      <rPr>
        <sz val="7"/>
        <rFont val="Arial"/>
        <family val="2"/>
      </rPr>
      <t>Escavação mecânica em material de 1º cat. H= 3,00 a 4,50 m com esgotamento</t>
    </r>
  </si>
  <si>
    <r>
      <rPr>
        <sz val="7"/>
        <rFont val="Arial"/>
        <family val="2"/>
      </rPr>
      <t>Escavação mecânica em material de 2ª cat. H= 0,00 a 1,50 m</t>
    </r>
  </si>
  <si>
    <r>
      <rPr>
        <sz val="7"/>
        <rFont val="Arial"/>
        <family val="2"/>
      </rPr>
      <t>Escavação mecânica em material de 2ª cat. H= 0,00 a 1,50 m com esgotamento</t>
    </r>
  </si>
  <si>
    <r>
      <rPr>
        <sz val="7"/>
        <rFont val="Arial"/>
        <family val="2"/>
      </rPr>
      <t>Escavação mecânica em material de 2ª cat. H= 1,50 a 3,00 m</t>
    </r>
  </si>
  <si>
    <r>
      <rPr>
        <sz val="7"/>
        <rFont val="Arial"/>
        <family val="2"/>
      </rPr>
      <t>Escavação mecânica em material de 2ª cat. H= 1,50 a 3,00 m com esgotamento</t>
    </r>
  </si>
  <si>
    <r>
      <rPr>
        <sz val="7"/>
        <rFont val="Arial"/>
        <family val="2"/>
      </rPr>
      <t>Escavação mecânica em material de 2ª cat. H= 3,00 a 4,50 m</t>
    </r>
  </si>
  <si>
    <r>
      <rPr>
        <sz val="7"/>
        <rFont val="Arial"/>
        <family val="2"/>
      </rPr>
      <t>Escavação mecânica em material de 2º cat. H= 3,00 a 4,50 m com esgotamento</t>
    </r>
  </si>
  <si>
    <r>
      <rPr>
        <sz val="7"/>
        <rFont val="Arial"/>
        <family val="2"/>
      </rPr>
      <t>Escavação mecânica em material de 3ª cat. H= 0,00 a 1,50 m</t>
    </r>
  </si>
  <si>
    <r>
      <rPr>
        <sz val="7"/>
        <rFont val="Arial"/>
        <family val="2"/>
      </rPr>
      <t>Escavação mecânica em material de 3ª cat. H= 0,00 a 1,50 m com esgotamento</t>
    </r>
  </si>
  <si>
    <r>
      <rPr>
        <sz val="7"/>
        <rFont val="Arial"/>
        <family val="2"/>
      </rPr>
      <t>Escavação mecânica em material de 3ª cat. H= 1,50 a 3,00 m</t>
    </r>
  </si>
  <si>
    <r>
      <rPr>
        <sz val="7"/>
        <rFont val="Arial"/>
        <family val="2"/>
      </rPr>
      <t>Escavação mecânica em material de 3ª cat. H= 1,50 a 3,00 m com esgotamento</t>
    </r>
  </si>
  <si>
    <r>
      <rPr>
        <sz val="7"/>
        <rFont val="Arial"/>
        <family val="2"/>
      </rPr>
      <t>Escavação mecânica em material de 3ª cat. H= 3,00 a 4,50 m</t>
    </r>
  </si>
  <si>
    <r>
      <rPr>
        <sz val="7"/>
        <rFont val="Arial"/>
        <family val="2"/>
      </rPr>
      <t>Escavação mecânica em material de 3ª cat. H= 3,00 a 4,50 m com esgotamento</t>
    </r>
  </si>
  <si>
    <r>
      <rPr>
        <sz val="7"/>
        <rFont val="Arial"/>
        <family val="2"/>
      </rPr>
      <t>Escoramento de cavas e valas, inclusive fornecimento e transportes das madeiras</t>
    </r>
  </si>
  <si>
    <r>
      <rPr>
        <sz val="7"/>
        <rFont val="Arial"/>
        <family val="2"/>
      </rPr>
      <t>Escoramento e cimbramento (bueiro celular), inclusive fornecimento e transportes das madeiras</t>
    </r>
  </si>
  <si>
    <r>
      <rPr>
        <sz val="7"/>
        <rFont val="Arial"/>
        <family val="2"/>
      </rPr>
      <t>Esgotamento de escavações para rebaixamento do nível dágua nos serviços de bueiros, galerias e outros, com conj. moto bomba</t>
    </r>
  </si>
  <si>
    <r>
      <rPr>
        <sz val="7"/>
        <rFont val="Arial"/>
        <family val="2"/>
      </rPr>
      <t>Mes</t>
    </r>
  </si>
  <si>
    <r>
      <rPr>
        <sz val="7"/>
        <rFont val="Arial"/>
        <family val="2"/>
      </rPr>
      <t>Forma especial de madeira para meio fio, inclusive fornecimento e transporte das madeiras</t>
    </r>
  </si>
  <si>
    <r>
      <rPr>
        <sz val="7"/>
        <rFont val="Arial"/>
        <family val="2"/>
      </rPr>
      <t>Forma especial de madeira para sarjeta (gabarito), inclusive fornecimento e transporte da madeira</t>
    </r>
  </si>
  <si>
    <r>
      <rPr>
        <sz val="7"/>
        <rFont val="Arial"/>
        <family val="2"/>
      </rPr>
      <t>Forma metálica para meio fio</t>
    </r>
  </si>
  <si>
    <r>
      <rPr>
        <sz val="7"/>
        <rFont val="Arial"/>
        <family val="2"/>
      </rPr>
      <t>Formas planas de madeira com 01 (um) reaproveitamento, inclusive fornecimento e transporte das madeiras</t>
    </r>
  </si>
  <si>
    <r>
      <rPr>
        <sz val="7"/>
        <rFont val="Arial"/>
        <family val="2"/>
      </rPr>
      <t>Formas planas de madeira com 02 (dois) reaproveitamentos, inclusive fornecimento e transporte das madeiras</t>
    </r>
  </si>
  <si>
    <r>
      <rPr>
        <sz val="7"/>
        <rFont val="Arial"/>
        <family val="2"/>
      </rPr>
      <t>Formas planas de madeira com 04 (quatro) reaproveitamentos, inclusive fornecimento e transporte das madeiras</t>
    </r>
  </si>
  <si>
    <r>
      <rPr>
        <sz val="7"/>
        <rFont val="Arial"/>
        <family val="2"/>
      </rPr>
      <t>Formas planas de madeira sem reaproveitamento (forma perdida), inclusive fornecimento e transporte das madeiras</t>
    </r>
  </si>
  <si>
    <r>
      <rPr>
        <sz val="7"/>
        <rFont val="Arial"/>
        <family val="2"/>
      </rPr>
      <t>Gabião manta/colchão, malha hex 6x8mm Zn-Al/PVC, e=2,8mm,h=0,23m, inclus.aquis./ assentam. pedra mão, exclus. transp. p/ revestim. canal</t>
    </r>
  </si>
  <si>
    <r>
      <rPr>
        <sz val="7"/>
        <rFont val="Arial"/>
        <family val="2"/>
      </rPr>
      <t>Gabiões com caixas galvanizadas com utilização de geotêxtil não tecido RT 07 kN/m, inclus. transp. madeira e pedra mão</t>
    </r>
  </si>
  <si>
    <r>
      <rPr>
        <sz val="7"/>
        <rFont val="Arial"/>
        <family val="2"/>
      </rPr>
      <t>Gabiões com caixas galvanizadas, sem manta</t>
    </r>
  </si>
  <si>
    <r>
      <rPr>
        <sz val="7"/>
        <rFont val="Arial"/>
        <family val="2"/>
      </rPr>
      <t>Geogrelha com resistência londitudinal a tração 35 a 40 kN, resist. transversal a tração 30 kN, fornecimento e aplicação - Deformação de 5%</t>
    </r>
  </si>
  <si>
    <r>
      <rPr>
        <sz val="7"/>
        <rFont val="Arial"/>
        <family val="2"/>
      </rPr>
      <t>Geogrelha com resistência londitudinal a tração 55 a 60 kN, resist. transversal a tração 30 kN, fornecimento e aplicação - Deformação de 5%</t>
    </r>
  </si>
  <si>
    <r>
      <rPr>
        <sz val="7"/>
        <rFont val="Arial"/>
        <family val="2"/>
      </rPr>
      <t>Geogrelha com resistência longitudinal a tração 300 kN, resist. transversal a tração 30 kN, fornecimento e aplicação</t>
    </r>
  </si>
  <si>
    <r>
      <rPr>
        <sz val="7"/>
        <rFont val="Arial"/>
        <family val="2"/>
      </rPr>
      <t>Geogrelha com resistência longitudinal a tração 35 a 40 KN, resistência transversal a tração 30KN, fornecimento e aplicação - Deformação de 10%</t>
    </r>
  </si>
  <si>
    <r>
      <rPr>
        <sz val="7"/>
        <rFont val="Arial"/>
        <family val="2"/>
      </rPr>
      <t>m²</t>
    </r>
  </si>
  <si>
    <r>
      <rPr>
        <sz val="7"/>
        <rFont val="Arial"/>
        <family val="2"/>
      </rPr>
      <t>Geogrelha com resistência longitudinal a tração 55 a 60 KN, resistência transversal a tração 30KN, fornecimento e aplicação - Deformação de 10%</t>
    </r>
  </si>
  <si>
    <r>
      <rPr>
        <sz val="7"/>
        <rFont val="Arial"/>
        <family val="2"/>
      </rPr>
      <t>Geogrelha com resistência longitudinal a tração 80 a 90 kN, resist. transversal a tração 30 kN, fornecimento e aplicação - Deformação de 5%</t>
    </r>
  </si>
  <si>
    <r>
      <rPr>
        <sz val="7"/>
        <rFont val="Arial"/>
        <family val="2"/>
      </rPr>
      <t>Geogrelha com resistência longitudinal a tração 80 a 90 KN, resistência transversal a tração 30KN, fornecimento e aplicação - Deformação de 10%</t>
    </r>
  </si>
  <si>
    <r>
      <rPr>
        <sz val="7"/>
        <rFont val="Arial"/>
        <family val="2"/>
      </rPr>
      <t>Geogrelha monodirecional 200KN, fornecimento e assentamento</t>
    </r>
  </si>
  <si>
    <r>
      <rPr>
        <sz val="7"/>
        <rFont val="Arial"/>
        <family val="2"/>
      </rPr>
      <t>Geogrelha tecida bidirecional de polipropileno de alto módulo inicial c/ módulo de rigidez nominal = 400KN/m nas duas direções, fornecimento/aplicação</t>
    </r>
  </si>
  <si>
    <r>
      <rPr>
        <sz val="7"/>
        <rFont val="Arial"/>
        <family val="2"/>
      </rPr>
      <t>Lastro de brita, inclusive transporte da brita</t>
    </r>
  </si>
  <si>
    <r>
      <rPr>
        <sz val="7"/>
        <rFont val="Arial"/>
        <family val="2"/>
      </rPr>
      <t>Limpeza e apicoamento manual de superfície de rocha</t>
    </r>
  </si>
  <si>
    <r>
      <rPr>
        <sz val="7"/>
        <rFont val="Arial"/>
        <family val="2"/>
      </rPr>
      <t>Limpeza e desobstrução de BDTC e BDCC</t>
    </r>
  </si>
  <si>
    <r>
      <rPr>
        <sz val="7"/>
        <rFont val="Arial"/>
        <family val="2"/>
      </rPr>
      <t>Limpeza e desobstrução de BQTC</t>
    </r>
  </si>
  <si>
    <r>
      <rPr>
        <sz val="7"/>
        <rFont val="Arial"/>
        <family val="2"/>
      </rPr>
      <t>Limpeza e desobstrução de BSTC e BSCC</t>
    </r>
  </si>
  <si>
    <r>
      <rPr>
        <sz val="7"/>
        <rFont val="Arial"/>
        <family val="2"/>
      </rPr>
      <t>Limpeza e desobstrução de BTTC e BTCC</t>
    </r>
  </si>
  <si>
    <r>
      <rPr>
        <sz val="7"/>
        <rFont val="Arial"/>
        <family val="2"/>
      </rPr>
      <t>Limpeza e preparo de superfície de aço</t>
    </r>
  </si>
  <si>
    <r>
      <rPr>
        <sz val="7"/>
        <rFont val="Arial"/>
        <family val="2"/>
      </rPr>
      <t>Lona plástica preta para isolamento de concretagem sobre solo, fornecimento e colocação</t>
    </r>
  </si>
  <si>
    <r>
      <rPr>
        <sz val="7"/>
        <rFont val="Arial"/>
        <family val="2"/>
      </rPr>
      <t>Manta Geotêxtil não tecida com resistência longitudinal a tração 10kN/m, fornecimento e aplicação</t>
    </r>
  </si>
  <si>
    <r>
      <rPr>
        <sz val="7"/>
        <rFont val="Arial"/>
        <family val="2"/>
      </rPr>
      <t>Manta Geotêxtil não tecida RT - 16 kn/m, fornecimento e aplicação</t>
    </r>
  </si>
  <si>
    <r>
      <rPr>
        <sz val="7"/>
        <rFont val="Arial"/>
        <family val="2"/>
      </rPr>
      <t>Meio fio de concreto DP-1, inclusive caiação</t>
    </r>
  </si>
  <si>
    <r>
      <rPr>
        <sz val="7"/>
        <rFont val="Arial"/>
        <family val="2"/>
      </rPr>
      <t>Meio fio de concreto MFC 01, inclusive caiação</t>
    </r>
  </si>
  <si>
    <r>
      <rPr>
        <sz val="7"/>
        <rFont val="Arial"/>
        <family val="2"/>
      </rPr>
      <t>Meio fio de concreto MFC 05, inclusive caiação</t>
    </r>
  </si>
  <si>
    <r>
      <rPr>
        <sz val="7"/>
        <rFont val="Arial"/>
        <family val="2"/>
      </rPr>
      <t>Meio fio de concreto pré-moldado (12 x 30 x 15) cm, inclusive caiação e transporte do meio fio</t>
    </r>
  </si>
  <si>
    <r>
      <rPr>
        <sz val="7"/>
        <rFont val="Arial"/>
        <family val="2"/>
      </rPr>
      <t>Meio fio sarjeta de concreto tipo DP-1 (0,035 m³/m) inclusive caiação</t>
    </r>
  </si>
  <si>
    <r>
      <rPr>
        <sz val="7"/>
        <rFont val="Arial"/>
        <family val="2"/>
      </rPr>
      <t>Montagem e desmontagem de escoramento tubular normal, em obras de arte na densidade de 5m de tubo por m³ de escoramento</t>
    </r>
  </si>
  <si>
    <r>
      <rPr>
        <sz val="7"/>
        <rFont val="Arial"/>
        <family val="2"/>
      </rPr>
      <t>Mureta de corte em rocha</t>
    </r>
  </si>
  <si>
    <r>
      <rPr>
        <sz val="7"/>
        <rFont val="Arial"/>
        <family val="2"/>
      </rPr>
      <t>Muro com Terramesh System ou similar, altura H&lt;= 4,00 metros (4 cx 1x1x4m), tudo incluído</t>
    </r>
  </si>
  <si>
    <r>
      <rPr>
        <sz val="7"/>
        <rFont val="Arial"/>
        <family val="2"/>
      </rPr>
      <t>Muro com Terramesh System ou similar, altura 4,00 &lt; H &lt;= 5,00 metros (3 cx 1x1x4m e 4 cx 0, 5x1x4m) , execução, tudo incluído</t>
    </r>
  </si>
  <si>
    <r>
      <rPr>
        <sz val="7"/>
        <rFont val="Arial"/>
        <family val="2"/>
      </rPr>
      <t>Muro com Terramesh System ou similar, altura 5,00 &lt; H &lt;= 6,00 metros (4 cx 1x1x4m e 4 cx 0, 5x1x4m) , tudo incluído</t>
    </r>
  </si>
  <si>
    <r>
      <rPr>
        <sz val="7"/>
        <rFont val="Arial"/>
        <family val="2"/>
      </rPr>
      <t>Muro com Terramesh System ou similar, altura 6,00 &lt; H &lt;= 7,50 metros (3cx 1x1x4m, 2cx 1x1x5 e 5cx 0,5x1x6m), tudo incluído</t>
    </r>
  </si>
  <si>
    <r>
      <rPr>
        <sz val="7"/>
        <rFont val="Arial"/>
        <family val="2"/>
      </rPr>
      <t>Muro com Terramesh System ou similar, altura 7,50 &lt; H &lt;= 9,00 metros (4 cx 1x1x4m, 2 cx 1x1x5, 3 cx 0,5x1x6m e 3cx 0,5x1x7), tudo incluído</t>
    </r>
  </si>
  <si>
    <r>
      <rPr>
        <sz val="7"/>
        <rFont val="Arial"/>
        <family val="2"/>
      </rPr>
      <t>Muro de testa em concreto para saída de dreno profundo em rocha, inclusive transporte do tubo</t>
    </r>
  </si>
  <si>
    <r>
      <rPr>
        <sz val="7"/>
        <rFont val="Arial"/>
        <family val="2"/>
      </rPr>
      <t>Muro de testa em concreto para saída de dreno profundo em solo, inclusive transporte do tubo</t>
    </r>
  </si>
  <si>
    <r>
      <rPr>
        <sz val="7"/>
        <rFont val="Arial"/>
        <family val="2"/>
      </rPr>
      <t>Passagem d'água 1,10 x 1,00 - Canteiro</t>
    </r>
  </si>
  <si>
    <r>
      <rPr>
        <sz val="7"/>
        <rFont val="Arial"/>
        <family val="2"/>
      </rPr>
      <t>Pedra de mão para (concreto ciclópico ou alvenaria) rocha paga em medição</t>
    </r>
  </si>
  <si>
    <r>
      <rPr>
        <sz val="7"/>
        <rFont val="Arial"/>
        <family val="2"/>
      </rPr>
      <t>Perfuração rotativa inclinada, em rocha sã, com coroa de diamante, diâmetro N (75mm), inclusive deslocamento e posicionamento em cada furo.</t>
    </r>
  </si>
  <si>
    <r>
      <rPr>
        <sz val="7"/>
        <rFont val="Arial"/>
        <family val="2"/>
      </rPr>
      <t>Pescoço de poço de visita H=0,30 m, diâm. = 0,60 m, fornecimento, assentamento e transporte</t>
    </r>
  </si>
  <si>
    <r>
      <rPr>
        <sz val="7"/>
        <rFont val="Arial"/>
        <family val="2"/>
      </rPr>
      <t>Pintura com nata de cimento</t>
    </r>
  </si>
  <si>
    <r>
      <rPr>
        <sz val="7"/>
        <rFont val="Arial"/>
        <family val="2"/>
      </rPr>
      <t>Pintura interna ou externa sobre ferro, com tinta a base de resina de borracha clorada</t>
    </r>
  </si>
  <si>
    <r>
      <rPr>
        <sz val="7"/>
        <rFont val="Arial"/>
        <family val="2"/>
      </rPr>
      <t>Placas pré-moldadas para passeio</t>
    </r>
  </si>
  <si>
    <r>
      <rPr>
        <sz val="7"/>
        <rFont val="Arial"/>
        <family val="2"/>
      </rPr>
      <t>Plataforma ou passarela de pinho de 1ª ou similar, 1" x 12"</t>
    </r>
  </si>
  <si>
    <r>
      <rPr>
        <sz val="7"/>
        <rFont val="Arial"/>
        <family val="2"/>
      </rPr>
      <t>Poço de visita em bloco pré-moldado para d=0,30 e 0,40m (0,80x0,80m)</t>
    </r>
  </si>
  <si>
    <r>
      <rPr>
        <sz val="7"/>
        <rFont val="Arial"/>
        <family val="2"/>
      </rPr>
      <t>Poço de visita em bloco pré-moldado para d=0,60m (1,00x1,00m)</t>
    </r>
  </si>
  <si>
    <r>
      <rPr>
        <sz val="7"/>
        <rFont val="Arial"/>
        <family val="2"/>
      </rPr>
      <t>Poço de visita para BDTC diam. 1,00 m - tudo incluido</t>
    </r>
  </si>
  <si>
    <r>
      <rPr>
        <sz val="7"/>
        <rFont val="Arial"/>
        <family val="2"/>
      </rPr>
      <t>Poço de Visita para BSTC diâm. 0,40m em blocos de concreto</t>
    </r>
  </si>
  <si>
    <r>
      <rPr>
        <sz val="7"/>
        <rFont val="Arial"/>
        <family val="2"/>
      </rPr>
      <t>Poço de visita para BSTC diâm. 0,60m em blocos de concreto</t>
    </r>
  </si>
  <si>
    <r>
      <rPr>
        <sz val="7"/>
        <rFont val="Arial"/>
        <family val="2"/>
      </rPr>
      <t>Poço de visita para BSTC diâm. 0,80m em blocos de concreto</t>
    </r>
  </si>
  <si>
    <r>
      <rPr>
        <sz val="7"/>
        <rFont val="Arial"/>
        <family val="2"/>
      </rPr>
      <t>Poço de visita para BTTC diam. 1,20 m - tudo incluído</t>
    </r>
  </si>
  <si>
    <r>
      <rPr>
        <sz val="7"/>
        <rFont val="Arial"/>
        <family val="2"/>
      </rPr>
      <t>Poço de visita (tubo D=0,40 m) H=1,50 m com tampão F.F.A.P., inclusive escavação e transporte do tampão</t>
    </r>
  </si>
  <si>
    <r>
      <rPr>
        <sz val="7"/>
        <rFont val="Arial"/>
        <family val="2"/>
      </rPr>
      <t>Poço de visita (tubo D=0,60 m) H=1,70 m com tampão F.F.A.P., inclusive escavação e transporte do tampão</t>
    </r>
  </si>
  <si>
    <r>
      <rPr>
        <sz val="7"/>
        <rFont val="Arial"/>
        <family val="2"/>
      </rPr>
      <t>Poço de visita (tubo D=0,80 m) H=1,90 m com tampão F.F.A.P., inclusive escavação e transporte do tampão</t>
    </r>
  </si>
  <si>
    <r>
      <rPr>
        <sz val="7"/>
        <rFont val="Arial"/>
        <family val="2"/>
      </rPr>
      <t>Poço de visita (tubo D=1,00 m) H=2,10 m com tampão F.F.A.P., inclusive escavação e transporte do tampão</t>
    </r>
  </si>
  <si>
    <r>
      <rPr>
        <sz val="7"/>
        <rFont val="Arial"/>
        <family val="2"/>
      </rPr>
      <t>Preparo manual de talude, compreendendo acerto, raspagem eventual de até 0,30m de prof. e afastamento lateral</t>
    </r>
  </si>
  <si>
    <r>
      <rPr>
        <sz val="7"/>
        <rFont val="Arial"/>
        <family val="2"/>
      </rPr>
      <t>Preparo manual de terreno, compreendendo acerto raspagem até 25cm de profundidade e afastamento lateral do material excedente</t>
    </r>
  </si>
  <si>
    <r>
      <rPr>
        <sz val="7"/>
        <rFont val="Arial"/>
        <family val="2"/>
      </rPr>
      <t>Reaterro com areia, tudo incluído</t>
    </r>
  </si>
  <si>
    <r>
      <rPr>
        <sz val="7"/>
        <rFont val="Arial"/>
        <family val="2"/>
      </rPr>
      <t>Reaterro de cavas c/ compactação manual (apiloamento)</t>
    </r>
  </si>
  <si>
    <r>
      <rPr>
        <sz val="7"/>
        <rFont val="Arial"/>
        <family val="2"/>
      </rPr>
      <t>Reaterro de cavas c/ compactação manual (apiloamento) (dim. reduz.)</t>
    </r>
  </si>
  <si>
    <r>
      <rPr>
        <sz val="7"/>
        <rFont val="Arial"/>
        <family val="2"/>
      </rPr>
      <t>Reaterro de cavas c/ compactação mecânica (compactador manual)</t>
    </r>
  </si>
  <si>
    <r>
      <rPr>
        <sz val="7"/>
        <rFont val="Arial"/>
        <family val="2"/>
      </rPr>
      <t>Recuperação de poço de visita inclusive fornecimento tampão F.F.A.P.</t>
    </r>
  </si>
  <si>
    <r>
      <rPr>
        <sz val="7"/>
        <rFont val="Arial"/>
        <family val="2"/>
      </rPr>
      <t>Religação de rede de água em PVC DN 20mm, inclusive conexões</t>
    </r>
  </si>
  <si>
    <r>
      <rPr>
        <sz val="7"/>
        <rFont val="Arial"/>
        <family val="2"/>
      </rPr>
      <t>Religação de rede de água em PVC DN 25mm, incluisve conexões</t>
    </r>
  </si>
  <si>
    <r>
      <rPr>
        <sz val="7"/>
        <rFont val="Arial"/>
        <family val="2"/>
      </rPr>
      <t>Religação de rede de água em PVC DN 32mm, incluisve conexões</t>
    </r>
  </si>
  <si>
    <r>
      <rPr>
        <sz val="7"/>
        <rFont val="Arial"/>
        <family val="2"/>
      </rPr>
      <t>Religação de rede de água em PVC DN 75mm, inclusive conexões</t>
    </r>
  </si>
  <si>
    <r>
      <rPr>
        <sz val="7"/>
        <rFont val="Arial"/>
        <family val="2"/>
      </rPr>
      <t>Religação de rede de água em PVC PBA CL 15 DN 100mm, inclusive conexões</t>
    </r>
  </si>
  <si>
    <r>
      <rPr>
        <sz val="7"/>
        <rFont val="Arial"/>
        <family val="2"/>
      </rPr>
      <t>Remanejamento de ligação e religação de redes de esgoto</t>
    </r>
  </si>
  <si>
    <r>
      <rPr>
        <sz val="7"/>
        <rFont val="Arial"/>
        <family val="2"/>
      </rPr>
      <t>Remoção de bueiros existentes</t>
    </r>
  </si>
  <si>
    <r>
      <rPr>
        <sz val="7"/>
        <rFont val="Arial"/>
        <family val="2"/>
      </rPr>
      <t>Rip-rap c/ argamassa cimento areia 1:6, inclusive aquisição e transporte dos materiais</t>
    </r>
  </si>
  <si>
    <r>
      <rPr>
        <sz val="7"/>
        <rFont val="Arial"/>
        <family val="2"/>
      </rPr>
      <t>Rip-rap de areia inclusive escavação, transporte e fornecimento de materiais</t>
    </r>
  </si>
  <si>
    <r>
      <rPr>
        <sz val="7"/>
        <rFont val="Arial"/>
        <family val="2"/>
      </rPr>
      <t>Rip-rap de solo e cimento (Traço 1:15)</t>
    </r>
  </si>
  <si>
    <r>
      <rPr>
        <sz val="7"/>
        <rFont val="Arial"/>
        <family val="2"/>
      </rPr>
      <t>Saída d'água concreto armado DP-1 c/ caiação</t>
    </r>
  </si>
  <si>
    <r>
      <rPr>
        <sz val="7"/>
        <rFont val="Arial"/>
        <family val="2"/>
      </rPr>
      <t>Saída d'água concreto p/ aterro c/ caiação (SDA-01)</t>
    </r>
  </si>
  <si>
    <r>
      <rPr>
        <sz val="7"/>
        <rFont val="Arial"/>
        <family val="2"/>
      </rPr>
      <t>Saída d'água concreto p/ aterro c/ caiação (SDA-02)</t>
    </r>
  </si>
  <si>
    <r>
      <rPr>
        <sz val="7"/>
        <rFont val="Arial"/>
        <family val="2"/>
      </rPr>
      <t>Saída d'água concreto p/ corte c/ caiação (SDC-01)</t>
    </r>
  </si>
  <si>
    <r>
      <rPr>
        <sz val="7"/>
        <rFont val="Arial"/>
        <family val="2"/>
      </rPr>
      <t>Sarjeta de concreto DP-1 (0,081 m³/m) calha triangular, inclusive caiação</t>
    </r>
  </si>
  <si>
    <r>
      <rPr>
        <sz val="7"/>
        <rFont val="Arial"/>
        <family val="2"/>
      </rPr>
      <t>Sarjeta de concreto DP-2 (0,085 m³/m) calha triangular, inclusive caiação</t>
    </r>
  </si>
  <si>
    <r>
      <rPr>
        <sz val="7"/>
        <rFont val="Arial"/>
        <family val="2"/>
      </rPr>
      <t>Sarjeta de concreto SCA 40/10</t>
    </r>
  </si>
  <si>
    <r>
      <rPr>
        <sz val="7"/>
        <rFont val="Arial"/>
        <family val="2"/>
      </rPr>
      <t>Sarjeta de concreto (SCA 70/15) calha triangular, inclusive caiação</t>
    </r>
  </si>
  <si>
    <r>
      <rPr>
        <sz val="7"/>
        <rFont val="Arial"/>
        <family val="2"/>
      </rPr>
      <t>Sarjeta de concreto (SCA 90/10) calha triangular, inclusive caiação</t>
    </r>
  </si>
  <si>
    <r>
      <rPr>
        <sz val="7"/>
        <rFont val="Arial"/>
        <family val="2"/>
      </rPr>
      <t>Sarjeta de concreto SCC 40/15</t>
    </r>
  </si>
  <si>
    <r>
      <rPr>
        <sz val="7"/>
        <rFont val="Arial"/>
        <family val="2"/>
      </rPr>
      <t>Sarjeta de concreto (STC - 02) calha triangular em corte/aterro, inclusive caiação</t>
    </r>
  </si>
  <si>
    <r>
      <rPr>
        <sz val="7"/>
        <rFont val="Arial"/>
        <family val="2"/>
      </rPr>
      <t>Sarjeta de concreto (STC - 04) calha triangular de bancada em corte, inclusive caiação</t>
    </r>
  </si>
  <si>
    <r>
      <rPr>
        <sz val="7"/>
        <rFont val="Arial"/>
        <family val="2"/>
      </rPr>
      <t>Tampa de concreto em grelha, fornecimento, assentamento e transporte</t>
    </r>
  </si>
  <si>
    <r>
      <rPr>
        <sz val="7"/>
        <rFont val="Arial"/>
        <family val="2"/>
      </rPr>
      <t>Tampão F.F.A.P. com 100 kg, fornecimento, assentamento e transporte</t>
    </r>
  </si>
  <si>
    <r>
      <rPr>
        <sz val="7"/>
        <rFont val="Arial"/>
        <family val="2"/>
      </rPr>
      <t>Tapume de vedação e proteção, executado com chapas de compensado resinado com 6mm de espessura, exclusive pintura</t>
    </r>
  </si>
  <si>
    <r>
      <rPr>
        <sz val="7"/>
        <rFont val="Arial"/>
        <family val="2"/>
      </rPr>
      <t>Tela de aço soldada Telcon Q-138 ou similar, fornecimento e assentamento.</t>
    </r>
  </si>
  <si>
    <r>
      <rPr>
        <sz val="7"/>
        <rFont val="Arial"/>
        <family val="2"/>
      </rPr>
      <t>Tela de aço soldada Telcon Q-196 ou similar, fornecimento e assentamento.</t>
    </r>
  </si>
  <si>
    <r>
      <rPr>
        <sz val="7"/>
        <rFont val="Arial"/>
        <family val="2"/>
      </rPr>
      <t>Terminal de dreno de alívio de pavimento (DP - TDA - 01)</t>
    </r>
  </si>
  <si>
    <r>
      <rPr>
        <sz val="7"/>
        <rFont val="Arial"/>
        <family val="2"/>
      </rPr>
      <t>Transporte de materiais encosta abaixo, serviço manual, inclusive carga e descarga</t>
    </r>
  </si>
  <si>
    <r>
      <rPr>
        <sz val="7"/>
        <rFont val="Arial"/>
        <family val="2"/>
      </rPr>
      <t>t dam</t>
    </r>
  </si>
  <si>
    <r>
      <rPr>
        <sz val="7"/>
        <rFont val="Arial"/>
        <family val="2"/>
      </rPr>
      <t>Transporte de materiais encosta acima, serviço manual, inclusive carga e descarga</t>
    </r>
  </si>
  <si>
    <r>
      <rPr>
        <sz val="7"/>
        <rFont val="Arial"/>
        <family val="2"/>
      </rPr>
      <t>Transposição de segmento de sarjeta - TSS 01, inclusive transporte do tubo de concreto</t>
    </r>
  </si>
  <si>
    <r>
      <rPr>
        <sz val="7"/>
        <rFont val="Arial"/>
        <family val="2"/>
      </rPr>
      <t>Trincheira drenante cega (0,50 x 1,70) m, inclusive transporte da brita c/ geotêxtil não tecido res.long. mín 16 kn/m</t>
    </r>
  </si>
  <si>
    <r>
      <rPr>
        <sz val="7"/>
        <rFont val="Arial"/>
        <family val="2"/>
      </rPr>
      <t>Tubo de PVC NBR 5648 diâmetro 50 mm, fornecimento e assentamento</t>
    </r>
  </si>
  <si>
    <r>
      <rPr>
        <sz val="7"/>
        <rFont val="Arial"/>
        <family val="2"/>
      </rPr>
      <t>Tubo de PVC NBR 5648 diâmetro 75 mm, fornecimento e assentamento</t>
    </r>
  </si>
  <si>
    <r>
      <rPr>
        <sz val="7"/>
        <rFont val="Arial"/>
        <family val="2"/>
      </rPr>
      <t>Tubo de PVC rígido série R diâmetro 100 mm, fornecimento e assentamento</t>
    </r>
  </si>
  <si>
    <r>
      <rPr>
        <sz val="7"/>
        <rFont val="Arial"/>
        <family val="2"/>
      </rPr>
      <t>Tubo irrifort agropecuário diâmetro 32 mm, fornecimento e assentamento</t>
    </r>
  </si>
  <si>
    <r>
      <rPr>
        <sz val="7"/>
        <rFont val="Arial"/>
        <family val="2"/>
      </rPr>
      <t>Tubo para irrigação linha fixa PN40 50 mm, fornecimento e assentamento</t>
    </r>
  </si>
  <si>
    <r>
      <rPr>
        <sz val="7"/>
        <rFont val="Arial"/>
        <family val="2"/>
      </rPr>
      <t>Tubos de ferro fundido diâmetro 0,90 m, assentamento</t>
    </r>
  </si>
  <si>
    <r>
      <rPr>
        <sz val="7"/>
        <rFont val="Arial"/>
        <family val="2"/>
      </rPr>
      <t>Tubos para irrigação Linha fixa PN40, diâmetro 75 mm, fornecimento e assentamento</t>
    </r>
  </si>
  <si>
    <r>
      <rPr>
        <sz val="7"/>
        <rFont val="Arial"/>
        <family val="2"/>
      </rPr>
      <t>Valeta de pedra argamassada VPAR</t>
    </r>
  </si>
  <si>
    <r>
      <rPr>
        <sz val="7"/>
        <rFont val="Arial"/>
        <family val="2"/>
      </rPr>
      <t>Valeta de pedra jogada VPJ, inclusive transporte da pedra</t>
    </r>
  </si>
  <si>
    <r>
      <rPr>
        <sz val="7"/>
        <rFont val="Arial"/>
        <family val="2"/>
      </rPr>
      <t>Valeta de proteção de aterro enleivada (VPA-01 DNIT)</t>
    </r>
  </si>
  <si>
    <r>
      <rPr>
        <sz val="7"/>
        <rFont val="Arial"/>
        <family val="2"/>
      </rPr>
      <t>Valeta de proteção de aterro revestida em concreto (VPA-03 DNIT)</t>
    </r>
  </si>
  <si>
    <r>
      <rPr>
        <sz val="7"/>
        <rFont val="Arial"/>
        <family val="2"/>
      </rPr>
      <t>Valeta de proteção de aterro VPA 02 (revestida em concreto)</t>
    </r>
  </si>
  <si>
    <r>
      <rPr>
        <sz val="7"/>
        <rFont val="Arial"/>
        <family val="2"/>
      </rPr>
      <t>Valeta de proteção de aterro VPA-01 (escavação)</t>
    </r>
  </si>
  <si>
    <r>
      <rPr>
        <sz val="7"/>
        <rFont val="Arial"/>
        <family val="2"/>
      </rPr>
      <t>Valeta de proteção de corte - desobstrução e limpeza</t>
    </r>
  </si>
  <si>
    <r>
      <rPr>
        <sz val="7"/>
        <rFont val="Arial"/>
        <family val="2"/>
      </rPr>
      <t>Valeta de proteção de corte enleivada (VPC-01 DNIT)</t>
    </r>
  </si>
  <si>
    <r>
      <rPr>
        <sz val="7"/>
        <rFont val="Arial"/>
        <family val="2"/>
      </rPr>
      <t>Valeta de proteção de corte revestida em concreto VPC-03</t>
    </r>
  </si>
  <si>
    <r>
      <rPr>
        <sz val="7"/>
        <rFont val="Arial"/>
        <family val="2"/>
      </rPr>
      <t>Valeta de proteção de corte VPC-01 (escavação)</t>
    </r>
  </si>
  <si>
    <r>
      <rPr>
        <sz val="7"/>
        <rFont val="Arial"/>
        <family val="2"/>
      </rPr>
      <t>Valeta de proteção de corte VPC-02 (revestida em grama)</t>
    </r>
  </si>
  <si>
    <r>
      <rPr>
        <sz val="7"/>
        <rFont val="Arial"/>
        <family val="2"/>
      </rPr>
      <t>Grupo de serviço: MATERIAL BETUMINOSO</t>
    </r>
  </si>
  <si>
    <r>
      <rPr>
        <sz val="7"/>
        <rFont val="Arial"/>
        <family val="2"/>
      </rPr>
      <t>Bonificação de 15,28% sobre Materiais Betuminosos</t>
    </r>
  </si>
  <si>
    <r>
      <rPr>
        <sz val="7"/>
        <rFont val="Arial"/>
        <family val="2"/>
      </rPr>
      <t>%</t>
    </r>
  </si>
  <si>
    <r>
      <rPr>
        <sz val="7"/>
        <rFont val="Arial"/>
        <family val="2"/>
      </rPr>
      <t>CAP FLEX 60/85, fornecimento</t>
    </r>
  </si>
  <si>
    <r>
      <rPr>
        <sz val="7"/>
        <rFont val="Arial"/>
        <family val="2"/>
      </rPr>
      <t>CAP-50/70, fornecimento</t>
    </r>
  </si>
  <si>
    <r>
      <rPr>
        <sz val="7"/>
        <rFont val="Arial"/>
        <family val="2"/>
      </rPr>
      <t>CM-30, fornecimento</t>
    </r>
  </si>
  <si>
    <r>
      <rPr>
        <sz val="7"/>
        <rFont val="Arial"/>
        <family val="2"/>
      </rPr>
      <t>Dope, fornecimento</t>
    </r>
  </si>
  <si>
    <r>
      <rPr>
        <sz val="7"/>
        <rFont val="Arial"/>
        <family val="2"/>
      </rPr>
      <t>Emulsão Asfáltica para Imprimação (EAI), fornecimento</t>
    </r>
  </si>
  <si>
    <r>
      <rPr>
        <sz val="7"/>
        <rFont val="Arial"/>
        <family val="2"/>
      </rPr>
      <t>Emulsão RL-1C- FLEX (Emulflex RL-1C-E), fornecimento</t>
    </r>
  </si>
  <si>
    <r>
      <rPr>
        <sz val="7"/>
        <rFont val="Arial"/>
        <family val="2"/>
      </rPr>
      <t>Emulsão RM-1C, fornecimento</t>
    </r>
  </si>
  <si>
    <r>
      <rPr>
        <sz val="7"/>
        <rFont val="Arial"/>
        <family val="2"/>
      </rPr>
      <t>Emulsão RR-1C FLEX (Emulflex RR-1C-E,) fornecimento</t>
    </r>
  </si>
  <si>
    <r>
      <rPr>
        <sz val="7"/>
        <rFont val="Arial"/>
        <family val="2"/>
      </rPr>
      <t>Emulsão RR-1C, fornecimento</t>
    </r>
  </si>
  <si>
    <r>
      <rPr>
        <sz val="7"/>
        <rFont val="Arial"/>
        <family val="2"/>
      </rPr>
      <t>Emulsão RR-2C, fornecimento</t>
    </r>
  </si>
  <si>
    <r>
      <rPr>
        <sz val="7"/>
        <rFont val="Arial"/>
        <family val="2"/>
      </rPr>
      <t>Emulsão RR-2C-FLEX (Emulflex RR-2C-E), fornecimento</t>
    </r>
  </si>
  <si>
    <r>
      <rPr>
        <sz val="7"/>
        <rFont val="Arial"/>
        <family val="2"/>
      </rPr>
      <t>Grupo de serviço: OBRAS COMPLEMENTARES</t>
    </r>
  </si>
  <si>
    <r>
      <rPr>
        <sz val="7"/>
        <rFont val="Arial"/>
        <family val="2"/>
      </rPr>
      <t>Abrigo de Ônibus - Rodovia Rural - 3,40 m x 6,00 m</t>
    </r>
  </si>
  <si>
    <r>
      <rPr>
        <sz val="7"/>
        <rFont val="Arial"/>
        <family val="2"/>
      </rPr>
      <t>Abrigo de Ônibus Urbano - Padrão reduzido - 2,40 x 6,00 m</t>
    </r>
  </si>
  <si>
    <r>
      <rPr>
        <sz val="7"/>
        <rFont val="Arial"/>
        <family val="2"/>
      </rPr>
      <t>Alvenaria de tijolos cerâmicos maciços aparentes 5x10x20cm,assent.c/argam.de cimento,cal hidratada CH1 e areia no traço 1:0,5:8,juntas de 10mm e esp.</t>
    </r>
  </si>
  <si>
    <r>
      <rPr>
        <sz val="7"/>
        <rFont val="Arial"/>
        <family val="2"/>
      </rPr>
      <t>Braço galvanizado 101mm - projeção 4,70m, fornecimento e instalação</t>
    </r>
  </si>
  <si>
    <r>
      <rPr>
        <sz val="7"/>
        <rFont val="Arial"/>
        <family val="2"/>
      </rPr>
      <t>Cabo de cobre nú, seção 35 mm2, fornecimento e colocação</t>
    </r>
  </si>
  <si>
    <r>
      <rPr>
        <sz val="7"/>
        <rFont val="Arial"/>
        <family val="2"/>
      </rPr>
      <t>Cabo flexível 2 x 1,5 mm², fornecimento e instalação</t>
    </r>
  </si>
  <si>
    <r>
      <rPr>
        <sz val="7"/>
        <rFont val="Arial"/>
        <family val="2"/>
      </rPr>
      <t>Cabo flexível 2 x 2,5 mm², fornecimento e instalação</t>
    </r>
  </si>
  <si>
    <r>
      <rPr>
        <sz val="7"/>
        <rFont val="Arial"/>
        <family val="2"/>
      </rPr>
      <t>Cabo flexível 3 x 1,5 mm², fornecimento e instalação</t>
    </r>
  </si>
  <si>
    <r>
      <rPr>
        <sz val="7"/>
        <rFont val="Arial"/>
        <family val="2"/>
      </rPr>
      <t>Cabo flexível 4 x 1,5 mm², fornecimento e instalação</t>
    </r>
  </si>
  <si>
    <r>
      <rPr>
        <sz val="7"/>
        <rFont val="Arial"/>
        <family val="2"/>
      </rPr>
      <t>Caixa de passagem de concreto armado de 0,40 x 0,40 x 0,40m</t>
    </r>
  </si>
  <si>
    <r>
      <rPr>
        <sz val="7"/>
        <rFont val="Arial"/>
        <family val="2"/>
      </rPr>
      <t>Caixa de passagem de eletroduto de lógica</t>
    </r>
  </si>
  <si>
    <r>
      <rPr>
        <sz val="7"/>
        <rFont val="Arial"/>
        <family val="2"/>
      </rPr>
      <t>Calçada de concreto</t>
    </r>
  </si>
  <si>
    <r>
      <rPr>
        <sz val="7"/>
        <rFont val="Arial"/>
        <family val="2"/>
      </rPr>
      <t>Calçada de concreto fck=15 MP, camurçado c/ argam. cimento e areia 1:4, lastro de brita e 8 cm de concreto, incl. preparo da caixa e transp. da brita</t>
    </r>
  </si>
  <si>
    <r>
      <rPr>
        <sz val="7"/>
        <rFont val="Arial"/>
        <family val="2"/>
      </rPr>
      <t xml:space="preserve">Cerca de arame farpado 4 fios com mourões a cada 2,0 m, esticadores de madeira, a cada 20
</t>
    </r>
    <r>
      <rPr>
        <sz val="7"/>
        <rFont val="Arial"/>
        <family val="2"/>
      </rPr>
      <t>,0 m, inclusive transporte de mourão e arame farpado)</t>
    </r>
  </si>
  <si>
    <r>
      <rPr>
        <sz val="7"/>
        <rFont val="Arial"/>
        <family val="2"/>
      </rPr>
      <t>Cerca de arame farpado 4 fios com mourões a cada 1,0 m, esticadores de madeira, a cada 20, 0 m, inclusive transporte de mourão e arame farpado</t>
    </r>
  </si>
  <si>
    <r>
      <rPr>
        <sz val="7"/>
        <rFont val="Arial"/>
        <family val="2"/>
      </rPr>
      <t>Cerca de arame farpado 4 fios com mourões, a cada 2,5 m, esticadores de madeira a cada 60, 0m, inclusive transporte de arame farpado e mourão</t>
    </r>
  </si>
  <si>
    <r>
      <rPr>
        <sz val="7"/>
        <rFont val="Arial"/>
        <family val="2"/>
      </rPr>
      <t>Cerca de arame farpado 4 fios com mourões a cada 3,0 metros e sem esticadores, inclusive transporte de arame e mourão</t>
    </r>
  </si>
  <si>
    <r>
      <rPr>
        <sz val="7"/>
        <rFont val="Arial"/>
        <family val="2"/>
      </rPr>
      <t>Cerca de arame farpado 4 fios com postes cada 2,5 m, esticadores de concreto a cada 25,0 m</t>
    </r>
  </si>
  <si>
    <r>
      <rPr>
        <sz val="7"/>
        <rFont val="Arial"/>
        <family val="2"/>
      </rPr>
      <t>Cerca de arame farpado 8 fios com postes concreto 10 x 10 x 220 cm, a cada 1,5 m</t>
    </r>
  </si>
  <si>
    <r>
      <rPr>
        <sz val="7"/>
        <rFont val="Arial"/>
        <family val="2"/>
      </rPr>
      <t>Cerca de arame farpado 8 fios com postes triangulares 10 x 200 cm, a cada 2,5 m, mourão de concreto 10 x 10 x 220 cm, a cada 50,0 m</t>
    </r>
  </si>
  <si>
    <r>
      <rPr>
        <sz val="7"/>
        <rFont val="Arial"/>
        <family val="2"/>
      </rPr>
      <t>Cerca de arame farpado,4 fios ,mourões de madeira a cada 2,5 m e esticadores de concreto/ madeira a cada 40m</t>
    </r>
  </si>
  <si>
    <r>
      <rPr>
        <sz val="7"/>
        <rFont val="Arial"/>
        <family val="2"/>
      </rPr>
      <t>Cerca de arame liso 4 fios com mourões cada 2,0 m, esticadores de madeira, a cada 20,0 m, inclusive transporte de mourão e arame liso</t>
    </r>
  </si>
  <si>
    <r>
      <rPr>
        <sz val="7"/>
        <rFont val="Arial"/>
        <family val="2"/>
      </rPr>
      <t>Concreto estrutural fck = 10,0 MPa, inclusive transportes areia, cimento e pedra britada</t>
    </r>
  </si>
  <si>
    <r>
      <rPr>
        <sz val="7"/>
        <rFont val="Arial"/>
        <family val="2"/>
      </rPr>
      <t>Corrimão em eucalipto tratado</t>
    </r>
  </si>
  <si>
    <r>
      <rPr>
        <sz val="7"/>
        <rFont val="Arial"/>
        <family val="2"/>
      </rPr>
      <t>Demolição de cerca de madeira com 4 fios</t>
    </r>
  </si>
  <si>
    <r>
      <rPr>
        <sz val="7"/>
        <rFont val="Arial"/>
        <family val="2"/>
      </rPr>
      <t>Demolição de edificações</t>
    </r>
  </si>
  <si>
    <r>
      <rPr>
        <sz val="7"/>
        <rFont val="Arial"/>
        <family val="2"/>
      </rPr>
      <t>Descida d'água em madeira e pedra de mão, tudo incluído</t>
    </r>
  </si>
  <si>
    <r>
      <rPr>
        <sz val="7"/>
        <rFont val="Arial"/>
        <family val="2"/>
      </rPr>
      <t>Deslocamento de cerca de madeira com 4 fios de arame</t>
    </r>
  </si>
  <si>
    <r>
      <rPr>
        <sz val="7"/>
        <rFont val="Arial"/>
        <family val="2"/>
      </rPr>
      <t>Eletroduto de aço galv. 1 1/4" inclusive abertura e fechamento de rasgos em alvenaria, e luvas</t>
    </r>
  </si>
  <si>
    <r>
      <rPr>
        <sz val="7"/>
        <rFont val="Arial"/>
        <family val="2"/>
      </rPr>
      <t>Eletroduto de PVC diâmetro de 4", fornecimento e instalação</t>
    </r>
  </si>
  <si>
    <r>
      <rPr>
        <sz val="7"/>
        <rFont val="Arial"/>
        <family val="2"/>
      </rPr>
      <t>Estrutura de madeira para telha cerâmica ancorada em laje ou alvenaria</t>
    </r>
  </si>
  <si>
    <r>
      <rPr>
        <sz val="7"/>
        <rFont val="Arial"/>
        <family val="2"/>
      </rPr>
      <t>Fita isolante em rolo de 19 mm x 20 m, número 33 Scoth ou equivalente</t>
    </r>
  </si>
  <si>
    <r>
      <rPr>
        <sz val="7"/>
        <rFont val="Arial"/>
        <family val="2"/>
      </rPr>
      <t>Haste cobreada para aterramento diâmetro 5/8" x 2,4m ( fornecimento e instalação)</t>
    </r>
  </si>
  <si>
    <r>
      <rPr>
        <sz val="7"/>
        <rFont val="Arial"/>
        <family val="2"/>
      </rPr>
      <t>Isolador de Porcelana tipo roldana com rack 3 x 16, instalação</t>
    </r>
  </si>
  <si>
    <r>
      <rPr>
        <sz val="7"/>
        <rFont val="Arial"/>
        <family val="2"/>
      </rPr>
      <t>Ladrilho hidráulico (argamassa cimento e areia 1:4), fornecimento e assentamento</t>
    </r>
  </si>
  <si>
    <r>
      <rPr>
        <sz val="7"/>
        <rFont val="Arial"/>
        <family val="2"/>
      </rPr>
      <t>Mata-burro</t>
    </r>
  </si>
  <si>
    <r>
      <rPr>
        <sz val="7"/>
        <rFont val="Arial"/>
        <family val="2"/>
      </rPr>
      <t>Passagem de gado (boca)</t>
    </r>
  </si>
  <si>
    <r>
      <rPr>
        <sz val="7"/>
        <rFont val="Arial"/>
        <family val="2"/>
      </rPr>
      <t>Passagem de gado (sem guarda corpo)</t>
    </r>
  </si>
  <si>
    <r>
      <rPr>
        <sz val="7"/>
        <rFont val="Arial"/>
        <family val="2"/>
      </rPr>
      <t>Passeio em concreto, largura 2,00m, acabamento em ladrilho hidráulico podotátil (L=0,40m)</t>
    </r>
  </si>
  <si>
    <r>
      <rPr>
        <sz val="7"/>
        <rFont val="Arial"/>
        <family val="2"/>
      </rPr>
      <t>Passeio pavimentado em blocos de concreto esp.=6cm, colorido, resistência 35 MPa, colchão de areia 5cm, inclusive transporte dos blocos e da areia</t>
    </r>
  </si>
  <si>
    <r>
      <rPr>
        <sz val="7"/>
        <rFont val="Arial"/>
        <family val="2"/>
      </rPr>
      <t>Pavimentação com pedra de mão (pé de moleque) argamassada</t>
    </r>
  </si>
  <si>
    <r>
      <rPr>
        <sz val="7"/>
        <rFont val="Arial"/>
        <family val="2"/>
      </rPr>
      <t>Pintura com tinta a óleo em esquadria de ferros duas demãos</t>
    </r>
  </si>
  <si>
    <r>
      <rPr>
        <sz val="7"/>
        <rFont val="Arial"/>
        <family val="2"/>
      </rPr>
      <t>Pintura em estrutura metálica com tinta epoxídica inclusive primer</t>
    </r>
  </si>
  <si>
    <r>
      <rPr>
        <sz val="7"/>
        <rFont val="Arial"/>
        <family val="2"/>
      </rPr>
      <t>Pintura em látex acrílica em parede externa, sem massa corrida, três demãos</t>
    </r>
  </si>
  <si>
    <r>
      <rPr>
        <sz val="7"/>
        <rFont val="Arial"/>
        <family val="2"/>
      </rPr>
      <t>Pintura logomarca DER-ES em mourões de concreto ( baixo relevo )</t>
    </r>
  </si>
  <si>
    <r>
      <rPr>
        <sz val="7"/>
        <rFont val="Arial"/>
        <family val="2"/>
      </rPr>
      <t>Porteira, confecção e colocação, inclusive fornecimento e transporte da madeira e chapa de aço</t>
    </r>
  </si>
  <si>
    <r>
      <rPr>
        <sz val="7"/>
        <rFont val="Arial"/>
        <family val="2"/>
      </rPr>
      <t>Poste galvanizado 101mm simples, fornecimento e instalação</t>
    </r>
  </si>
  <si>
    <r>
      <rPr>
        <sz val="7"/>
        <rFont val="Arial"/>
        <family val="2"/>
      </rPr>
      <t>Poste galvanizado 114 mm - 1boca, fornecimento e instalação</t>
    </r>
  </si>
  <si>
    <r>
      <rPr>
        <sz val="7"/>
        <rFont val="Arial"/>
        <family val="2"/>
      </rPr>
      <t>Poste galvanizado 114mm - 2 bocas, fornecimento e instalação</t>
    </r>
  </si>
  <si>
    <r>
      <rPr>
        <sz val="7"/>
        <rFont val="Arial"/>
        <family val="2"/>
      </rPr>
      <t>Rampa de pedestres, com piso em ladrilho hidráulico podotátil</t>
    </r>
  </si>
  <si>
    <r>
      <rPr>
        <sz val="7"/>
        <rFont val="Arial"/>
        <family val="2"/>
      </rPr>
      <t>Rampa em pedra de mão (pé de moleque) argamassada e travada</t>
    </r>
  </si>
  <si>
    <r>
      <rPr>
        <sz val="7"/>
        <rFont val="Arial"/>
        <family val="2"/>
      </rPr>
      <t>Remoção de camada vegetal</t>
    </r>
  </si>
  <si>
    <r>
      <rPr>
        <sz val="7"/>
        <rFont val="Arial"/>
        <family val="2"/>
      </rPr>
      <t>Retirada de Defensa Metálica</t>
    </r>
  </si>
  <si>
    <r>
      <rPr>
        <sz val="7"/>
        <rFont val="Arial"/>
        <family val="2"/>
      </rPr>
      <t>Retirada e recolocação de alambrado</t>
    </r>
  </si>
  <si>
    <r>
      <rPr>
        <sz val="7"/>
        <rFont val="Arial"/>
        <family val="2"/>
      </rPr>
      <t>Sistema cercamento tipo Gradil Nylofor 3DPintura Simples (preto, verde ou branco), # 50x200m, fio 5,0mm, L=2,50m, H=2,03m, incl. forn./chumb. postes</t>
    </r>
  </si>
  <si>
    <r>
      <rPr>
        <sz val="7"/>
        <rFont val="Arial"/>
        <family val="2"/>
      </rPr>
      <t>Sumidouro cilíndrico pré-moldado diam. 2,00m com 5 anéis inclusive escavação</t>
    </r>
  </si>
  <si>
    <r>
      <rPr>
        <sz val="7"/>
        <rFont val="Arial"/>
        <family val="2"/>
      </rPr>
      <t>Suporte de concreto armado ( 15x15x280 ) com logomarca pintada em baixo relevo</t>
    </r>
  </si>
  <si>
    <r>
      <rPr>
        <sz val="7"/>
        <rFont val="Arial"/>
        <family val="2"/>
      </rPr>
      <t>Tela de aço galvanizado ,em malha hexagonal de dupla torção, tipo 8,0cm x 10,0cm, com fios de diâmetro 2,7mm, tudo incluído, fornecimento e execução</t>
    </r>
  </si>
  <si>
    <r>
      <rPr>
        <sz val="7"/>
        <rFont val="Arial"/>
        <family val="2"/>
      </rPr>
      <t>Grupo de serviço: SERVIÇOS AMBIENTAIS</t>
    </r>
  </si>
  <si>
    <r>
      <rPr>
        <sz val="7"/>
        <rFont val="Arial"/>
        <family val="2"/>
      </rPr>
      <t>Arborização para paisagismo ( mudas viveiro de espera) com altura maior que 150 cm</t>
    </r>
  </si>
  <si>
    <r>
      <rPr>
        <sz val="7"/>
        <rFont val="Arial"/>
        <family val="2"/>
      </rPr>
      <t>Arborização para paisagismo (mudas viveiro de espera) com altura até 150 cm</t>
    </r>
  </si>
  <si>
    <r>
      <rPr>
        <sz val="7"/>
        <rFont val="Arial"/>
        <family val="2"/>
      </rPr>
      <t>Barreira de Siltagem com escoras de eucalipto, diâm. 0,10m e a altura 1,60m, espaçadas a cada 2,0 m, 1 reaproveitamento</t>
    </r>
  </si>
  <si>
    <r>
      <rPr>
        <sz val="7"/>
        <rFont val="Arial"/>
        <family val="2"/>
      </rPr>
      <t>Conformação manual de taludes</t>
    </r>
  </si>
  <si>
    <r>
      <rPr>
        <sz val="7"/>
        <rFont val="Arial"/>
        <family val="2"/>
      </rPr>
      <t>Grama  em placas em taludes com estacas de madeira, fornecimento e plantio</t>
    </r>
  </si>
  <si>
    <r>
      <rPr>
        <sz val="7"/>
        <rFont val="Arial"/>
        <family val="2"/>
      </rPr>
      <t>Grama em placas, fornecimento e plantio (sem fixação com estacas)</t>
    </r>
  </si>
  <si>
    <r>
      <rPr>
        <sz val="7"/>
        <rFont val="Arial"/>
        <family val="2"/>
      </rPr>
      <t>Gramínea em leiva, extração</t>
    </r>
  </si>
  <si>
    <r>
      <rPr>
        <sz val="7"/>
        <rFont val="Arial"/>
        <family val="2"/>
      </rPr>
      <t>Gramínea em leiva, extração, plantio e transporte</t>
    </r>
  </si>
  <si>
    <r>
      <rPr>
        <sz val="7"/>
        <rFont val="Arial"/>
        <family val="2"/>
      </rPr>
      <t>Gramíneas em sementes, fornecimento e plantio a lanço</t>
    </r>
  </si>
  <si>
    <r>
      <rPr>
        <sz val="7"/>
        <rFont val="Arial"/>
        <family val="2"/>
      </rPr>
      <t>Hidrossemeadura simples em taludes</t>
    </r>
  </si>
  <si>
    <r>
      <rPr>
        <sz val="7"/>
        <rFont val="Arial"/>
        <family val="2"/>
      </rPr>
      <t>Hidrossemeadura simples em terrenos planos</t>
    </r>
  </si>
  <si>
    <r>
      <rPr>
        <sz val="7"/>
        <rFont val="Arial"/>
        <family val="2"/>
      </rPr>
      <t>Recomposição de talude de corte com aterro de solo argiloso compactado, exclusive material de aterro</t>
    </r>
  </si>
  <si>
    <r>
      <rPr>
        <sz val="7"/>
        <rFont val="Arial"/>
        <family val="2"/>
      </rPr>
      <t>Reflorestamento com espécies nativas da mata atlântica, mudas em sacolas ou tubetes</t>
    </r>
  </si>
  <si>
    <r>
      <rPr>
        <sz val="7"/>
        <rFont val="Arial"/>
        <family val="2"/>
      </rPr>
      <t>Reunião de Comunicação Social inclusive material de consumo</t>
    </r>
  </si>
  <si>
    <r>
      <rPr>
        <sz val="7"/>
        <rFont val="Arial"/>
        <family val="2"/>
      </rPr>
      <t>Revestimento vegetal com grama em placas, inclusive transporte de grama</t>
    </r>
  </si>
  <si>
    <r>
      <rPr>
        <sz val="7"/>
        <rFont val="Arial"/>
        <family val="2"/>
      </rPr>
      <t>Revestimento vegetal por hidrossemeadura com manta de fibras vegetais</t>
    </r>
  </si>
  <si>
    <r>
      <rPr>
        <sz val="7"/>
        <rFont val="Arial"/>
        <family val="2"/>
      </rPr>
      <t>Grupo de serviço: SINALIZAÇÃO</t>
    </r>
  </si>
  <si>
    <r>
      <rPr>
        <sz val="7"/>
        <rFont val="Arial"/>
        <family val="2"/>
      </rPr>
      <t>Abraçadeira para fixação de semáforo em braço/coluna de diâmetro 101 ou 114 mm</t>
    </r>
  </si>
  <si>
    <r>
      <rPr>
        <sz val="7"/>
        <rFont val="Arial"/>
        <family val="2"/>
      </rPr>
      <t>Anteparo 3 x 300 mm, fornecimento e instalação</t>
    </r>
  </si>
  <si>
    <r>
      <rPr>
        <sz val="7"/>
        <rFont val="Arial"/>
        <family val="2"/>
      </rPr>
      <t>Balizador de concreto ( fornecimento e assentamento )</t>
    </r>
  </si>
  <si>
    <r>
      <rPr>
        <sz val="7"/>
        <rFont val="Arial"/>
        <family val="2"/>
      </rPr>
      <t>Botoeira com sinal sonoro, fornecimento e instalação</t>
    </r>
  </si>
  <si>
    <r>
      <rPr>
        <sz val="7"/>
        <rFont val="Arial"/>
        <family val="2"/>
      </rPr>
      <t>Cabos para rede de dados (sincronismo) blindado 2 x 20 awg, fornecimento e instalação</t>
    </r>
  </si>
  <si>
    <r>
      <rPr>
        <sz val="7"/>
        <rFont val="Arial"/>
        <family val="2"/>
      </rPr>
      <t>Cones para sinalização, fornecimento e colocação</t>
    </r>
  </si>
  <si>
    <r>
      <rPr>
        <sz val="7"/>
        <rFont val="Arial"/>
        <family val="2"/>
      </rPr>
      <t>Controlador Eletrônico Microprocessado 4 fases, fornecimento e instalação</t>
    </r>
  </si>
  <si>
    <r>
      <rPr>
        <sz val="7"/>
        <rFont val="Arial"/>
        <family val="2"/>
      </rPr>
      <t>Controlador Eletrônico Microprocessado 6/6 fases, fornecimento e instalação</t>
    </r>
  </si>
  <si>
    <r>
      <rPr>
        <sz val="7"/>
        <rFont val="Arial"/>
        <family val="2"/>
      </rPr>
      <t>Defensa de concreto tipo New Jersey, fornecimento e colocação</t>
    </r>
  </si>
  <si>
    <r>
      <rPr>
        <sz val="7"/>
        <rFont val="Arial"/>
        <family val="2"/>
      </rPr>
      <t>Defensa metálica (1 lâmina com espessura = 3 mm), fornecimento e colocação</t>
    </r>
  </si>
  <si>
    <r>
      <rPr>
        <sz val="7"/>
        <rFont val="Arial"/>
        <family val="2"/>
      </rPr>
      <t>Defensa metálica (2 lâminas com espessuras = 3mm) inclusive acessórios, fornecimento e colocação</t>
    </r>
  </si>
  <si>
    <r>
      <rPr>
        <sz val="7"/>
        <rFont val="Arial"/>
        <family val="2"/>
      </rPr>
      <t>Elementos de madeira para sinalização - cavaletes</t>
    </r>
  </si>
  <si>
    <r>
      <rPr>
        <sz val="7"/>
        <rFont val="Arial"/>
        <family val="2"/>
      </rPr>
      <t>Grupo focal gradativo (semáforo com informação de tempo) com lâmpada LED, fornecimento e instalação</t>
    </r>
  </si>
  <si>
    <r>
      <rPr>
        <sz val="7"/>
        <rFont val="Arial"/>
        <family val="2"/>
      </rPr>
      <t>Grupo focal repetidor 2x200 mm com lâmpada LED, fornecimento e instalação</t>
    </r>
  </si>
  <si>
    <r>
      <rPr>
        <sz val="7"/>
        <rFont val="Arial"/>
        <family val="2"/>
      </rPr>
      <t>Grupo focal repetidor 3x200 mm com lâmpada LED, fornecimento e instalação</t>
    </r>
  </si>
  <si>
    <r>
      <rPr>
        <sz val="7"/>
        <rFont val="Arial"/>
        <family val="2"/>
      </rPr>
      <t>Grupo focal repetidor 3x300 mm com lâmpada LED, fornecimento e instalação</t>
    </r>
  </si>
  <si>
    <r>
      <rPr>
        <sz val="7"/>
        <rFont val="Arial"/>
        <family val="2"/>
      </rPr>
      <t>Ondulação transversal em CBUQ</t>
    </r>
  </si>
  <si>
    <r>
      <rPr>
        <sz val="7"/>
        <rFont val="Arial"/>
        <family val="2"/>
      </rPr>
      <t>Ondulação transversal em concreto</t>
    </r>
  </si>
  <si>
    <r>
      <rPr>
        <sz val="7"/>
        <rFont val="Arial"/>
        <family val="2"/>
      </rPr>
      <t>Pintura acrílica sobre capa asfáltica</t>
    </r>
  </si>
  <si>
    <r>
      <rPr>
        <sz val="7"/>
        <rFont val="Arial"/>
        <family val="2"/>
      </rPr>
      <t>Pintura de setas e zebrados em material termoplástico - 5 anos ( por extrusão)</t>
    </r>
  </si>
  <si>
    <r>
      <rPr>
        <sz val="7"/>
        <rFont val="Arial"/>
        <family val="2"/>
      </rPr>
      <t>Sinalização com chapa em alumínio revestida em película</t>
    </r>
  </si>
  <si>
    <r>
      <rPr>
        <sz val="7"/>
        <rFont val="Arial"/>
        <family val="2"/>
      </rPr>
      <t>Sinalização horizontal TMD=200, vida útil 2 a 3 anos, taxa=0,40 L/m²</t>
    </r>
  </si>
  <si>
    <r>
      <rPr>
        <sz val="7"/>
        <rFont val="Arial"/>
        <family val="2"/>
      </rPr>
      <t>Sinalização horizontal TMD=400, vida útil 2 a 3 anos, taxa=0,60 L/m²</t>
    </r>
  </si>
  <si>
    <r>
      <rPr>
        <sz val="7"/>
        <rFont val="Arial"/>
        <family val="2"/>
      </rPr>
      <t>Sinalização horizontal TMD=600, vida útil 2 a 3 anos, taxa=0,80 L/m²</t>
    </r>
  </si>
  <si>
    <r>
      <rPr>
        <sz val="7"/>
        <rFont val="Arial"/>
        <family val="2"/>
      </rPr>
      <t>Sinalização horizontal TMD=600, vida útil 3 anos, taxa=3,0 kg/m² material termoplástico )</t>
    </r>
  </si>
  <si>
    <r>
      <rPr>
        <sz val="7"/>
        <rFont val="Arial"/>
        <family val="2"/>
      </rPr>
      <t>Sinalização noturna ( fio com lâmpada e balde ), fornecimento e instalação</t>
    </r>
  </si>
  <si>
    <r>
      <rPr>
        <sz val="7"/>
        <rFont val="Arial"/>
        <family val="2"/>
      </rPr>
      <t>Sinalização vertical com chapa em esmalte sintético</t>
    </r>
  </si>
  <si>
    <r>
      <rPr>
        <sz val="7"/>
        <rFont val="Arial"/>
        <family val="2"/>
      </rPr>
      <t>Sinalização vertical com chapa em poliéster (e=2,3mm) reforçada com fibra de vidro, inclusive suporte de madeira</t>
    </r>
  </si>
  <si>
    <r>
      <rPr>
        <sz val="7"/>
        <rFont val="Arial"/>
        <family val="2"/>
      </rPr>
      <t>Sinalização vertical com chapa revestida em película, inclusive suporte em madeira</t>
    </r>
  </si>
  <si>
    <r>
      <rPr>
        <sz val="7"/>
        <rFont val="Arial"/>
        <family val="2"/>
      </rPr>
      <t>Sonorizador</t>
    </r>
  </si>
  <si>
    <r>
      <rPr>
        <sz val="7"/>
        <rFont val="Arial"/>
        <family val="2"/>
      </rPr>
      <t>Suporte de placa de sinalização vertical em madeira de 1ª qualidade, pintada, fornecimento e instalação</t>
    </r>
  </si>
  <si>
    <r>
      <rPr>
        <sz val="7"/>
        <rFont val="Arial"/>
        <family val="2"/>
      </rPr>
      <t>Tacha refletiva monodirecional, fornecimento e aplicação</t>
    </r>
  </si>
  <si>
    <r>
      <rPr>
        <sz val="7"/>
        <rFont val="Arial"/>
        <family val="2"/>
      </rPr>
      <t>Tacha refletiva birrefletorizada, fornecimento e aplicação</t>
    </r>
  </si>
  <si>
    <r>
      <rPr>
        <sz val="7"/>
        <rFont val="Arial"/>
        <family val="2"/>
      </rPr>
      <t>Tachão refletivo monodirecional, fornecimento e aplicação</t>
    </r>
  </si>
  <si>
    <r>
      <rPr>
        <sz val="7"/>
        <rFont val="Arial"/>
        <family val="2"/>
      </rPr>
      <t>Tachão refletivo birrefletorizado, fornecimento e aplicação</t>
    </r>
  </si>
  <si>
    <r>
      <rPr>
        <sz val="7"/>
        <rFont val="Arial"/>
        <family val="2"/>
      </rPr>
      <t>Tela de proteção de segurança de PVC cor laranja com suporte para sinalização de obras</t>
    </r>
  </si>
  <si>
    <r>
      <rPr>
        <sz val="7"/>
        <rFont val="Arial"/>
        <family val="2"/>
      </rPr>
      <t>Grupo de serviço: SERVIÇOS DIVERSOS</t>
    </r>
  </si>
  <si>
    <r>
      <rPr>
        <sz val="7"/>
        <rFont val="Arial"/>
        <family val="2"/>
      </rPr>
      <t>Aluguel de automóvel VW/ Gol (flex) 1,6 ou equivalente, exclusive motorista, inclusive combustível</t>
    </r>
  </si>
  <si>
    <r>
      <rPr>
        <sz val="7"/>
        <rFont val="Arial"/>
        <family val="2"/>
      </rPr>
      <t>Aluguel mensal de automóvel utilitário inclusive combustível, exclusive motorista</t>
    </r>
  </si>
  <si>
    <r>
      <rPr>
        <sz val="7"/>
        <rFont val="Arial"/>
        <family val="2"/>
      </rPr>
      <t>Grupo de serviço: CONSERVAÇÃO CORRETIVA ROTINEIRA</t>
    </r>
  </si>
  <si>
    <r>
      <rPr>
        <sz val="7"/>
        <rFont val="Arial"/>
        <family val="2"/>
      </rPr>
      <t>Aplicação de jato de ar comprimido para limpeza de trincas</t>
    </r>
  </si>
  <si>
    <r>
      <rPr>
        <sz val="7"/>
        <rFont val="Arial"/>
        <family val="2"/>
      </rPr>
      <t>Arborização (mudas de árvores com altura até 1,50 m)</t>
    </r>
  </si>
  <si>
    <r>
      <rPr>
        <sz val="7"/>
        <rFont val="Arial"/>
        <family val="2"/>
      </rPr>
      <t>Base de solo estabilizada granulométricamente sem mistura inclusive escavação e carga</t>
    </r>
  </si>
  <si>
    <r>
      <rPr>
        <sz val="7"/>
        <rFont val="Arial"/>
        <family val="2"/>
      </rPr>
      <t>Boca de bueiro tubular em concreto ciclópico inclusive escavação, tudo incluído</t>
    </r>
  </si>
  <si>
    <r>
      <rPr>
        <sz val="7"/>
        <rFont val="Arial"/>
        <family val="2"/>
      </rPr>
      <t>Caixa coletora em concreto fck=10,0 MPa inclusive escavação, tudo incluído</t>
    </r>
  </si>
  <si>
    <r>
      <rPr>
        <sz val="7"/>
        <rFont val="Arial"/>
        <family val="2"/>
      </rPr>
      <t>Carga manual de material de limpeza de galerias urbanas</t>
    </r>
  </si>
  <si>
    <r>
      <rPr>
        <sz val="7"/>
        <rFont val="Arial"/>
        <family val="2"/>
      </rPr>
      <t>CBUQ - Usinagem, aquisição e transporte dos materiais</t>
    </r>
  </si>
  <si>
    <r>
      <rPr>
        <sz val="7"/>
        <rFont val="Arial"/>
        <family val="2"/>
      </rPr>
      <t>Cerca com mourões de madeira, inclusive escavação e transporte de mourão e arame farpado</t>
    </r>
  </si>
  <si>
    <r>
      <rPr>
        <sz val="7"/>
        <rFont val="Arial"/>
        <family val="2"/>
      </rPr>
      <t>Colchão drenante de brita 1, inclusive fornecimento, espalhamento, compactação e transporte da brita</t>
    </r>
  </si>
  <si>
    <r>
      <rPr>
        <sz val="7"/>
        <rFont val="Arial"/>
        <family val="2"/>
      </rPr>
      <t>Compactação de subleito</t>
    </r>
  </si>
  <si>
    <r>
      <rPr>
        <sz val="7"/>
        <rFont val="Arial"/>
        <family val="2"/>
      </rPr>
      <t>Conformação de taludes de corte</t>
    </r>
  </si>
  <si>
    <r>
      <rPr>
        <sz val="7"/>
        <rFont val="Arial"/>
        <family val="2"/>
      </rPr>
      <t>Corpo e berço de bueiro tubular, inclusive transporte do tubo</t>
    </r>
  </si>
  <si>
    <r>
      <rPr>
        <sz val="7"/>
        <rFont val="Arial"/>
        <family val="2"/>
      </rPr>
      <t>Defensas metálicas (espessura lâminas = 3 mm), inclusive fornecimento de materiais, substituição</t>
    </r>
  </si>
  <si>
    <r>
      <rPr>
        <sz val="7"/>
        <rFont val="Arial"/>
        <family val="2"/>
      </rPr>
      <t>Demolição e remoção de estrutura de pavimento inclusive capa asfáltica</t>
    </r>
  </si>
  <si>
    <r>
      <rPr>
        <sz val="7"/>
        <rFont val="Arial"/>
        <family val="2"/>
      </rPr>
      <t>Desmatamento, destocamento e limpeza</t>
    </r>
  </si>
  <si>
    <r>
      <rPr>
        <sz val="7"/>
        <rFont val="Arial"/>
        <family val="2"/>
      </rPr>
      <t>Desobstrução manual de valetas</t>
    </r>
  </si>
  <si>
    <r>
      <rPr>
        <sz val="7"/>
        <rFont val="Arial"/>
        <family val="2"/>
      </rPr>
      <t>Dreno profundo D=0,20 m com enchimento brita e areia, tudo incluído</t>
    </r>
  </si>
  <si>
    <r>
      <rPr>
        <sz val="7"/>
        <rFont val="Arial"/>
        <family val="2"/>
      </rPr>
      <t>Escavação, carga e transporte de material de 1º categoria</t>
    </r>
  </si>
  <si>
    <r>
      <rPr>
        <sz val="7"/>
        <rFont val="Arial"/>
        <family val="2"/>
      </rPr>
      <t>Fresagem de pavimento asfáltico à frio, inclusive transporte do material</t>
    </r>
  </si>
  <si>
    <r>
      <rPr>
        <sz val="7"/>
        <rFont val="Arial"/>
        <family val="2"/>
      </rPr>
      <t>Imprimação inclusive fornecimento e transporte do CM-30</t>
    </r>
  </si>
  <si>
    <r>
      <rPr>
        <sz val="7"/>
        <rFont val="Arial"/>
        <family val="2"/>
      </rPr>
      <t>Lama asfáltica (faixa I - ISSA) (tudo incluído)</t>
    </r>
  </si>
  <si>
    <r>
      <rPr>
        <sz val="7"/>
        <rFont val="Arial"/>
        <family val="2"/>
      </rPr>
      <t>Lama asfáltica (faixa II - ISSA) (tudo incluído)</t>
    </r>
  </si>
  <si>
    <r>
      <rPr>
        <sz val="7"/>
        <rFont val="Arial"/>
        <family val="2"/>
      </rPr>
      <t>Lama asfáltica (faixa III - ISSA) (tudo incluído)</t>
    </r>
  </si>
  <si>
    <r>
      <rPr>
        <sz val="7"/>
        <rFont val="Arial"/>
        <family val="2"/>
      </rPr>
      <t>Lama asfáltica (faixa IV - ISSA) (tudo incluído)</t>
    </r>
  </si>
  <si>
    <r>
      <rPr>
        <sz val="7"/>
        <rFont val="Arial"/>
        <family val="2"/>
      </rPr>
      <t>Limpeza de sarjeta e meio-fio</t>
    </r>
  </si>
  <si>
    <r>
      <rPr>
        <sz val="7"/>
        <rFont val="Arial"/>
        <family val="2"/>
      </rPr>
      <t>Limpeza e desobstrução de bueiros</t>
    </r>
  </si>
  <si>
    <r>
      <rPr>
        <sz val="7"/>
        <rFont val="Arial"/>
        <family val="2"/>
      </rPr>
      <t>Limpeza e desobstrução de caixa coletora</t>
    </r>
  </si>
  <si>
    <r>
      <rPr>
        <sz val="7"/>
        <rFont val="Arial"/>
        <family val="2"/>
      </rPr>
      <t>Limpeza e desobstrução de rede de drenagem, utilizando caminhão equipado com conjunto de alta pressão e sucção</t>
    </r>
  </si>
  <si>
    <r>
      <rPr>
        <sz val="7"/>
        <rFont val="Arial"/>
        <family val="2"/>
      </rPr>
      <t>Limpeza e pintura de guarda-corpo</t>
    </r>
  </si>
  <si>
    <r>
      <rPr>
        <sz val="7"/>
        <rFont val="Arial"/>
        <family val="2"/>
      </rPr>
      <t>Meio-fio pré-moldado em concreto, inclusive caiação e transporte do meio-fio</t>
    </r>
  </si>
  <si>
    <r>
      <rPr>
        <sz val="7"/>
        <rFont val="Arial"/>
        <family val="2"/>
      </rPr>
      <t>Obturação de buracos com CBUQ (tudo incluído)</t>
    </r>
  </si>
  <si>
    <r>
      <rPr>
        <sz val="7"/>
        <rFont val="Arial"/>
        <family val="2"/>
      </rPr>
      <t>Obturação de buracos com PMF (tudo incluído)</t>
    </r>
  </si>
  <si>
    <r>
      <rPr>
        <sz val="7"/>
        <rFont val="Arial"/>
        <family val="2"/>
      </rPr>
      <t>Obturação de buracos com PMF usinado pelo DER-ES (tudo incluído)</t>
    </r>
  </si>
  <si>
    <r>
      <rPr>
        <sz val="7"/>
        <rFont val="Arial"/>
        <family val="2"/>
      </rPr>
      <t>Pintura de dispositivos de drenagem</t>
    </r>
  </si>
  <si>
    <r>
      <rPr>
        <sz val="7"/>
        <rFont val="Arial"/>
        <family val="2"/>
      </rPr>
      <t>Pintura de ligação, inclusive fornecimento e transporte da emulsão</t>
    </r>
  </si>
  <si>
    <r>
      <rPr>
        <sz val="7"/>
        <rFont val="Arial"/>
        <family val="2"/>
      </rPr>
      <t>Pintura de pontes a base de cal</t>
    </r>
  </si>
  <si>
    <r>
      <rPr>
        <sz val="7"/>
        <rFont val="Arial"/>
        <family val="2"/>
      </rPr>
      <t>Placas de sinalização, assentamento</t>
    </r>
  </si>
  <si>
    <r>
      <rPr>
        <sz val="7"/>
        <rFont val="Arial"/>
        <family val="2"/>
      </rPr>
      <t>Placas de sinalização, inclusive materiais, substituição</t>
    </r>
  </si>
  <si>
    <r>
      <rPr>
        <sz val="7"/>
        <rFont val="Arial"/>
        <family val="2"/>
      </rPr>
      <t>PMF - Usinagem, aquisição e transportes dos materiais</t>
    </r>
  </si>
  <si>
    <r>
      <rPr>
        <sz val="7"/>
        <rFont val="Arial"/>
        <family val="2"/>
      </rPr>
      <t>Reciclagem de pavimento (base) c/ adição de 20% de brita1, 10% de brita0 e 2% de cimento, inclusive fornecimento e transportes dos materiais</t>
    </r>
  </si>
  <si>
    <r>
      <rPr>
        <sz val="7"/>
        <rFont val="Arial"/>
        <family val="2"/>
      </rPr>
      <t>Recomposição de revestimento c/ CBUQ - Inclusive fornecimento e transporte dos materiais</t>
    </r>
  </si>
  <si>
    <r>
      <rPr>
        <sz val="7"/>
        <rFont val="Arial"/>
        <family val="2"/>
      </rPr>
      <t>Recomposição de revestimento c/ PMF - Inclusive fornecimento e transporte dos materiais</t>
    </r>
  </si>
  <si>
    <r>
      <rPr>
        <sz val="7"/>
        <rFont val="Arial"/>
        <family val="2"/>
      </rPr>
      <t>Recomposição de revestimento primário (tudo incluído)</t>
    </r>
  </si>
  <si>
    <r>
      <rPr>
        <sz val="7"/>
        <rFont val="Arial"/>
        <family val="2"/>
      </rPr>
      <t>Recomposição mecânica de aterros</t>
    </r>
  </si>
  <si>
    <r>
      <rPr>
        <sz val="7"/>
        <rFont val="Arial"/>
        <family val="2"/>
      </rPr>
      <t>Reconformação mecânica de plataforma (patrolamento)</t>
    </r>
  </si>
  <si>
    <r>
      <rPr>
        <sz val="7"/>
        <rFont val="Arial"/>
        <family val="2"/>
      </rPr>
      <t>Remendo com massa asfáltica fria (tudo incluído)</t>
    </r>
  </si>
  <si>
    <r>
      <rPr>
        <sz val="7"/>
        <rFont val="Arial"/>
        <family val="2"/>
      </rPr>
      <t>Remendo com massa asfáltica fria usinada pelo DER-ES (tudo incluído)</t>
    </r>
  </si>
  <si>
    <r>
      <rPr>
        <sz val="7"/>
        <rFont val="Arial"/>
        <family val="2"/>
      </rPr>
      <t>Remendo com massa asfáltica quente (tudo incluído)</t>
    </r>
  </si>
  <si>
    <r>
      <rPr>
        <sz val="7"/>
        <rFont val="Arial"/>
        <family val="2"/>
      </rPr>
      <t>Remoção mecânica de barreiras</t>
    </r>
  </si>
  <si>
    <r>
      <rPr>
        <sz val="7"/>
        <rFont val="Arial"/>
        <family val="2"/>
      </rPr>
      <t>Reparo de bueiros celulares (inclusive boca)</t>
    </r>
  </si>
  <si>
    <r>
      <rPr>
        <sz val="7"/>
        <rFont val="Arial"/>
        <family val="2"/>
      </rPr>
      <t>Reparo de bueiros tubulares</t>
    </r>
  </si>
  <si>
    <r>
      <rPr>
        <sz val="7"/>
        <rFont val="Arial"/>
        <family val="2"/>
      </rPr>
      <t>Reparo de caixa coletora</t>
    </r>
  </si>
  <si>
    <r>
      <rPr>
        <sz val="7"/>
        <rFont val="Arial"/>
        <family val="2"/>
      </rPr>
      <t>Reparo de cerca ( substituição de mourões, grampo e arame farpado), inclusive transportes de todos os materiais</t>
    </r>
  </si>
  <si>
    <r>
      <rPr>
        <sz val="7"/>
        <rFont val="Arial"/>
        <family val="2"/>
      </rPr>
      <t>Reparo de guarda-corpo</t>
    </r>
  </si>
  <si>
    <r>
      <rPr>
        <sz val="7"/>
        <rFont val="Arial"/>
        <family val="2"/>
      </rPr>
      <t>Reparo de meio-fio, inclusive caiação</t>
    </r>
  </si>
  <si>
    <r>
      <rPr>
        <sz val="7"/>
        <rFont val="Arial"/>
        <family val="2"/>
      </rPr>
      <t>Reparo de muros de arrimo</t>
    </r>
  </si>
  <si>
    <r>
      <rPr>
        <sz val="7"/>
        <rFont val="Arial"/>
        <family val="2"/>
      </rPr>
      <t>Reparo de sarjeta, inclusive caiação</t>
    </r>
  </si>
  <si>
    <r>
      <rPr>
        <sz val="7"/>
        <rFont val="Arial"/>
        <family val="2"/>
      </rPr>
      <t>Retirada de placas de sinalização</t>
    </r>
  </si>
  <si>
    <r>
      <rPr>
        <sz val="7"/>
        <rFont val="Arial"/>
        <family val="2"/>
      </rPr>
      <t>Roçada manual com roçadeira costal, ferramentas manuais, inclusive limpeza e remoção com retroescavadeira (conservação)</t>
    </r>
  </si>
  <si>
    <r>
      <rPr>
        <sz val="7"/>
        <rFont val="Arial"/>
        <family val="2"/>
      </rPr>
      <t>Roçada manual com roçadeira costal, ferramentas manuais, inclusive limpeza manual ( conservação)</t>
    </r>
  </si>
  <si>
    <r>
      <rPr>
        <sz val="7"/>
        <rFont val="Arial"/>
        <family val="2"/>
      </rPr>
      <t>Roçada mecanizada</t>
    </r>
  </si>
  <si>
    <r>
      <rPr>
        <sz val="7"/>
        <rFont val="Arial"/>
        <family val="2"/>
      </rPr>
      <t>Sarjeta em concreto fck=10,0 MPa inclusive caiação, tudo incluído</t>
    </r>
  </si>
  <si>
    <r>
      <rPr>
        <sz val="7"/>
        <rFont val="Arial"/>
        <family val="2"/>
      </rPr>
      <t>Selagem de trincas, inclusive transporte de areia e emulsão</t>
    </r>
  </si>
  <si>
    <r>
      <rPr>
        <sz val="7"/>
        <rFont val="Arial"/>
        <family val="2"/>
      </rPr>
      <t>Sinalização horizontal - taxa 0,6 l/m², tudo incluído</t>
    </r>
  </si>
  <si>
    <r>
      <rPr>
        <sz val="7"/>
        <rFont val="Arial"/>
        <family val="2"/>
      </rPr>
      <t>Sinalização vertical, inclusive transporte de placa sinalização e madeira</t>
    </r>
  </si>
  <si>
    <r>
      <rPr>
        <sz val="7"/>
        <rFont val="Arial"/>
        <family val="2"/>
      </rPr>
      <t>Sub-base de solo estabilizada granulométricamente sem mistura inclusive escavação e carga</t>
    </r>
  </si>
  <si>
    <r>
      <rPr>
        <sz val="7"/>
        <rFont val="Arial"/>
        <family val="2"/>
      </rPr>
      <t>Tapa-panela, inclusive transporte de material de 1ª categoria</t>
    </r>
  </si>
  <si>
    <r>
      <rPr>
        <sz val="7"/>
        <rFont val="Arial"/>
        <family val="2"/>
      </rPr>
      <t>TSD - Tratamento superficial duplo incl. transporte dos materiais</t>
    </r>
  </si>
  <si>
    <r>
      <rPr>
        <sz val="7"/>
        <rFont val="Arial"/>
        <family val="2"/>
      </rPr>
      <t>Valeta em concreto fck=10,0 MPa, tudo incluído</t>
    </r>
  </si>
  <si>
    <r>
      <rPr>
        <sz val="7"/>
        <rFont val="Arial"/>
        <family val="2"/>
      </rPr>
      <t>Valeta não revestida</t>
    </r>
  </si>
  <si>
    <r>
      <rPr>
        <sz val="7"/>
        <rFont val="Arial"/>
        <family val="2"/>
      </rPr>
      <t>Grupo de serviço: ALUGUEL DE EQUIPAMENTOS</t>
    </r>
  </si>
  <si>
    <r>
      <rPr>
        <sz val="7"/>
        <rFont val="Arial"/>
        <family val="2"/>
      </rPr>
      <t>Aluguel mensal de barco de alumínio 4,20 m com motor 15 HP (equipamentos)</t>
    </r>
  </si>
  <si>
    <r>
      <rPr>
        <sz val="7"/>
        <rFont val="Arial"/>
        <family val="2"/>
      </rPr>
      <t>Grupo de serviço: INFRA E MESO-ESTRUTURA</t>
    </r>
  </si>
  <si>
    <r>
      <rPr>
        <sz val="7"/>
        <rFont val="Arial"/>
        <family val="2"/>
      </rPr>
      <t>Arrasamento estaca concreto D = 0,80 m com martelete pneumático</t>
    </r>
  </si>
  <si>
    <r>
      <rPr>
        <sz val="7"/>
        <rFont val="Arial"/>
        <family val="2"/>
      </rPr>
      <t>Encamisamento metálico de estacas, diâmetro 380mm em chapa de 6.3mm, preenchido c/ concreto auto adensável (20MPa)</t>
    </r>
  </si>
  <si>
    <r>
      <rPr>
        <sz val="7"/>
        <rFont val="Arial"/>
        <family val="2"/>
      </rPr>
      <t>Escoramento para blocos submersos, inclusive transporte da madeira</t>
    </r>
  </si>
  <si>
    <r>
      <rPr>
        <sz val="7"/>
        <rFont val="Arial"/>
        <family val="2"/>
      </rPr>
      <t>Estaca de eucalipto D= 0,20 m, fornecimento, transporte, cravação e perda</t>
    </r>
  </si>
  <si>
    <r>
      <rPr>
        <sz val="7"/>
        <rFont val="Arial"/>
        <family val="2"/>
      </rPr>
      <t>Estaca metálica dupla exclusive fornecimento de trilhos</t>
    </r>
  </si>
  <si>
    <r>
      <rPr>
        <sz val="7"/>
        <rFont val="Arial"/>
        <family val="2"/>
      </rPr>
      <t>Estaca metálica, fornecimento, transporte, perdas, solda, emenda, corte e cravação de TR- 68</t>
    </r>
  </si>
  <si>
    <r>
      <rPr>
        <sz val="7"/>
        <rFont val="Arial"/>
        <family val="2"/>
      </rPr>
      <t>Estaca metálica, fornecimento, transporte, perdas, solda, emenda, corte e cravação de trilho TR- 57</t>
    </r>
  </si>
  <si>
    <r>
      <rPr>
        <sz val="7"/>
        <rFont val="Arial"/>
        <family val="2"/>
      </rPr>
      <t>Estaca metálica, fornecimento, transporte, perdas, solda, emenda, corte e cravação de 2 TR- 57</t>
    </r>
  </si>
  <si>
    <r>
      <rPr>
        <sz val="7"/>
        <rFont val="Arial"/>
        <family val="2"/>
      </rPr>
      <t>Estaca metálica, fornecimento, transporte, perdas, solda, emenda, corte e cravação de 2 TR- 68</t>
    </r>
  </si>
  <si>
    <r>
      <rPr>
        <sz val="7"/>
        <rFont val="Arial"/>
        <family val="2"/>
      </rPr>
      <t>Estaca metálica simples exclusive fornecimento de trilhos</t>
    </r>
  </si>
  <si>
    <r>
      <rPr>
        <sz val="7"/>
        <rFont val="Arial"/>
        <family val="2"/>
      </rPr>
      <t>Estaca raiz perfurada em rocha, diâm. 310mm com injeção de arg. incl. fornecimento de todos materiais</t>
    </r>
  </si>
  <si>
    <r>
      <rPr>
        <sz val="7"/>
        <rFont val="Arial"/>
        <family val="2"/>
      </rPr>
      <t>Estaca raiz perfurada em solo, diâm. 410mm com injeção de arg. incl. fornecimento de todos materiais</t>
    </r>
  </si>
  <si>
    <r>
      <rPr>
        <sz val="7"/>
        <rFont val="Arial"/>
        <family val="2"/>
      </rPr>
      <t>Estaca tipo Franki D = 520 mm</t>
    </r>
  </si>
  <si>
    <r>
      <rPr>
        <sz val="7"/>
        <rFont val="Arial"/>
        <family val="2"/>
      </rPr>
      <t>Formas planas de madeira sem reaproveitamento (fundações), inclusive fornecimento e transporte das madeiras</t>
    </r>
  </si>
  <si>
    <r>
      <rPr>
        <sz val="7"/>
        <rFont val="Arial"/>
        <family val="2"/>
      </rPr>
      <t>Perfuração rotativa inclinada, em solo, com coroa de Widia, diâmetro 150mm</t>
    </r>
  </si>
  <si>
    <r>
      <rPr>
        <sz val="7"/>
        <rFont val="Arial"/>
        <family val="2"/>
      </rPr>
      <t>Perfuração rotativa inclinada, em solo, com coroa de Widia, diâmetro 75mm</t>
    </r>
  </si>
  <si>
    <r>
      <rPr>
        <sz val="7"/>
        <rFont val="Arial"/>
        <family val="2"/>
      </rPr>
      <t>Perfuração rotativa vertical, em solo, com coroa de Widia ou similar, diâmetro H(99mm), inclusive deslocamento e posicionamento em cada furo</t>
    </r>
  </si>
  <si>
    <r>
      <rPr>
        <sz val="7"/>
        <rFont val="Arial"/>
        <family val="2"/>
      </rPr>
      <t>Perfuração rotativa vertical, em solo, com coroa de Widia ou similar, diâmetro N(75mm), inclusive deslocamento e posicionamento em cada furo</t>
    </r>
  </si>
  <si>
    <r>
      <rPr>
        <sz val="7"/>
        <rFont val="Arial"/>
        <family val="2"/>
      </rPr>
      <t>Grupo de serviço: SUPER-ESTRUTURA</t>
    </r>
  </si>
  <si>
    <r>
      <rPr>
        <sz val="7"/>
        <rFont val="Arial"/>
        <family val="2"/>
      </rPr>
      <t>Passarela metálica p/ pontes rodoviárias com 1,0m de largura, piso em chapa xadrez esp 1/4", em perfis laminados, inclusive pintura</t>
    </r>
  </si>
  <si>
    <r>
      <rPr>
        <sz val="7"/>
        <rFont val="Arial"/>
        <family val="2"/>
      </rPr>
      <t>Placas pré-moldadas para forma de tabuleiro de ponte</t>
    </r>
  </si>
  <si>
    <r>
      <rPr>
        <sz val="7"/>
        <rFont val="Arial"/>
        <family val="2"/>
      </rPr>
      <t>Remoção de superestrutura de pontes com auxilio de guindaste para 40 toneladas</t>
    </r>
  </si>
  <si>
    <r>
      <rPr>
        <sz val="7"/>
        <rFont val="Arial"/>
        <family val="2"/>
      </rPr>
      <t>T</t>
    </r>
  </si>
  <si>
    <r>
      <rPr>
        <sz val="7"/>
        <rFont val="Arial"/>
        <family val="2"/>
      </rPr>
      <t>Grupo de serviço: OBRAS DE ARTE ESPECIAIS</t>
    </r>
  </si>
  <si>
    <r>
      <rPr>
        <sz val="7"/>
        <rFont val="Arial"/>
        <family val="2"/>
      </rPr>
      <t>Acabamento em concreto fresco (15,0 MPA), para pavimento, inclusive endurecedor químico de superfície</t>
    </r>
  </si>
  <si>
    <r>
      <rPr>
        <sz val="7"/>
        <rFont val="Arial"/>
        <family val="2"/>
      </rPr>
      <t>Acessório para tirante protendido de aço Rocsolo ou similar diâmetro 29,3 mm</t>
    </r>
  </si>
  <si>
    <r>
      <rPr>
        <sz val="7"/>
        <rFont val="Arial"/>
        <family val="2"/>
      </rPr>
      <t>Acessório para tirante protendido de aço ST 85/105</t>
    </r>
  </si>
  <si>
    <r>
      <rPr>
        <sz val="7"/>
        <rFont val="Arial"/>
        <family val="2"/>
      </rPr>
      <t>Aparelho de apoio de neoprene fretado, fornecimento e assentamento, inclusive grauteamento e transporte do neoprene</t>
    </r>
  </si>
  <si>
    <r>
      <rPr>
        <sz val="7"/>
        <rFont val="Arial"/>
        <family val="2"/>
      </rPr>
      <t>dm3</t>
    </r>
  </si>
  <si>
    <r>
      <rPr>
        <sz val="7"/>
        <rFont val="Arial"/>
        <family val="2"/>
      </rPr>
      <t>Cantoneiras (2 1/2" x 2 1/2" x 5/16") para extremidade de laje, fornecimento, montagem e pintura</t>
    </r>
  </si>
  <si>
    <r>
      <rPr>
        <sz val="7"/>
        <rFont val="Arial"/>
        <family val="2"/>
      </rPr>
      <t>Chapas de aço SAC 41 de 1/4" para passarelas, fornecimento, soldagem e montagem</t>
    </r>
  </si>
  <si>
    <r>
      <rPr>
        <sz val="7"/>
        <rFont val="Arial"/>
        <family val="2"/>
      </rPr>
      <t>Chumbador de aço de 25 mm, inclusive proteção anticorrosiva, exclusive a injeção e a perfuração</t>
    </r>
  </si>
  <si>
    <r>
      <rPr>
        <sz val="7"/>
        <rFont val="Arial"/>
        <family val="2"/>
      </rPr>
      <t>Colagem das mantas de borracha nos berços de apoio das placas, com Sikadur 32 ou equivalente, fornecimento e aplicação</t>
    </r>
  </si>
  <si>
    <r>
      <rPr>
        <sz val="7"/>
        <rFont val="Arial"/>
        <family val="2"/>
      </rPr>
      <t>Concreto projetado com cimento especial</t>
    </r>
  </si>
  <si>
    <r>
      <rPr>
        <sz val="7"/>
        <rFont val="Arial"/>
        <family val="2"/>
      </rPr>
      <t>Concreto projetado com cimento especial, inclusive aditivo de pega Sigunit STM-35 AF</t>
    </r>
  </si>
  <si>
    <r>
      <rPr>
        <sz val="7"/>
        <rFont val="Arial"/>
        <family val="2"/>
      </rPr>
      <t>Cone de ancoragem de cabo de aço com 12 cordoalhas de 1/2", inclusive protensão dos cabos</t>
    </r>
  </si>
  <si>
    <r>
      <rPr>
        <sz val="7"/>
        <rFont val="Arial"/>
        <family val="2"/>
      </rPr>
      <t>Conectores diâmetro 16mm (h=10cm), fornecimento e soldagem</t>
    </r>
  </si>
  <si>
    <r>
      <rPr>
        <sz val="7"/>
        <rFont val="Arial"/>
        <family val="2"/>
      </rPr>
      <t>Escoramento contínuo de cavas em estaca prancha de largura até 400 mm</t>
    </r>
  </si>
  <si>
    <r>
      <rPr>
        <sz val="7"/>
        <rFont val="Arial"/>
        <family val="2"/>
      </rPr>
      <t>Escoramento de O.A.E. diretamente sobre o solo, inclusive fornecimento e transporte das madeiras</t>
    </r>
  </si>
  <si>
    <r>
      <rPr>
        <sz val="7"/>
        <rFont val="Arial"/>
        <family val="2"/>
      </rPr>
      <t>Escoramento e cimbramento (pontes e pontilhões), inclusive fornecimento e transporte das madeiras</t>
    </r>
  </si>
  <si>
    <r>
      <rPr>
        <sz val="7"/>
        <rFont val="Arial"/>
        <family val="2"/>
      </rPr>
      <t>Estrutura metálica provisória para macaqueamento de laje de ponte</t>
    </r>
  </si>
  <si>
    <r>
      <rPr>
        <sz val="7"/>
        <rFont val="Arial"/>
        <family val="2"/>
      </rPr>
      <t>Formas curvas de madeira sem reutilização, inclusive fornecimento e transporte das madeiras</t>
    </r>
  </si>
  <si>
    <r>
      <rPr>
        <sz val="7"/>
        <rFont val="Arial"/>
        <family val="2"/>
      </rPr>
      <t>Formas planas de madeira com 05 (cinco) utilizações (guarda-corpo de pontes), inclusive fornecimento e transportes das madeiras</t>
    </r>
  </si>
  <si>
    <r>
      <rPr>
        <sz val="7"/>
        <rFont val="Arial"/>
        <family val="2"/>
      </rPr>
      <t>Formas planas de madeirit meso e superestrutura com 1 reaproveitamento esp. = 14 mm, inclusive fornecimento e transporte das madeiras</t>
    </r>
  </si>
  <si>
    <r>
      <rPr>
        <sz val="7"/>
        <rFont val="Arial"/>
        <family val="2"/>
      </rPr>
      <t>Formas planas de madeirit meso e superestrutura com 1 reaproveitamento esp. = 17 mm, inclusive fornecimento e transporte das madeiras</t>
    </r>
  </si>
  <si>
    <r>
      <rPr>
        <sz val="7"/>
        <rFont val="Arial"/>
        <family val="2"/>
      </rPr>
      <t>Formas planas de madeirit meso e superestrutura com 2 reaproveitamentos esp. = 17 mm, inclusive fornecimento e transporte das madeiras</t>
    </r>
  </si>
  <si>
    <r>
      <rPr>
        <sz val="7"/>
        <rFont val="Arial"/>
        <family val="2"/>
      </rPr>
      <t>Formas planas de madeirit meso e superestrutura com 4 reaproveitamentos esp. = 17 mm, inclusive fornecimento e transporte das madeiras</t>
    </r>
  </si>
  <si>
    <r>
      <rPr>
        <sz val="7"/>
        <rFont val="Arial"/>
        <family val="2"/>
      </rPr>
      <t>Formas planas de madeirit meso e superestrutura sem reaproveitamento esp. = 10 mm, inclusive fornecimento e transporte das madeiras</t>
    </r>
  </si>
  <si>
    <r>
      <rPr>
        <sz val="7"/>
        <rFont val="Arial"/>
        <family val="2"/>
      </rPr>
      <t>Formas planas de madeirit meso e superestrutura sem reaproveitamento esp. = 14 mm, inclusive fornecimento e transporte das madeiras</t>
    </r>
  </si>
  <si>
    <r>
      <rPr>
        <sz val="7"/>
        <rFont val="Arial"/>
        <family val="2"/>
      </rPr>
      <t>Formas planas de madeirit meso e superestrutura sem reaproveitamento esp. = 17 mm, inclusive fornecimento e transporte das madeiras</t>
    </r>
  </si>
  <si>
    <r>
      <rPr>
        <sz val="7"/>
        <rFont val="Arial"/>
        <family val="2"/>
      </rPr>
      <t>Furação, fornecimento e fixação de grampos diam.16 mm com resina epoxi (prof. 50 cm)</t>
    </r>
  </si>
  <si>
    <r>
      <rPr>
        <sz val="7"/>
        <rFont val="Arial"/>
        <family val="2"/>
      </rPr>
      <t>Furação, fornecimento e fixação de grampos 10 mm com resina epoxi</t>
    </r>
  </si>
  <si>
    <r>
      <rPr>
        <sz val="7"/>
        <rFont val="Arial"/>
        <family val="2"/>
      </rPr>
      <t>Furação, fornecimento e fixação de grampos 12,5 mm com resina epoxi em vigas pré- moldadas</t>
    </r>
  </si>
  <si>
    <r>
      <rPr>
        <sz val="7"/>
        <rFont val="Arial"/>
        <family val="2"/>
      </rPr>
      <t>Guarda corpo em toras de eucalipto conf. projeto</t>
    </r>
  </si>
  <si>
    <r>
      <rPr>
        <sz val="7"/>
        <rFont val="Arial"/>
        <family val="2"/>
      </rPr>
      <t>Guarda corpo padrão (tipo DNIT)</t>
    </r>
  </si>
  <si>
    <r>
      <rPr>
        <sz val="7"/>
        <rFont val="Arial"/>
        <family val="2"/>
      </rPr>
      <t>Hidrojateamento de superfícies metálicas</t>
    </r>
  </si>
  <si>
    <r>
      <rPr>
        <sz val="7"/>
        <rFont val="Arial"/>
        <family val="2"/>
      </rPr>
      <t>Injeção de calda de cimento para chumbamento de tirantes</t>
    </r>
  </si>
  <si>
    <r>
      <rPr>
        <sz val="7"/>
        <rFont val="Arial"/>
        <family val="2"/>
      </rPr>
      <t>SC</t>
    </r>
  </si>
  <si>
    <r>
      <rPr>
        <sz val="7"/>
        <rFont val="Arial"/>
        <family val="2"/>
      </rPr>
      <t>Injeção de epoxi em fissuras, inclusive preparo e montagem de bicos de injeção</t>
    </r>
  </si>
  <si>
    <r>
      <rPr>
        <sz val="7"/>
        <rFont val="Arial"/>
        <family val="2"/>
      </rPr>
      <t>Junta de cantoneira L de 4" x 4" x 3/8"</t>
    </r>
  </si>
  <si>
    <r>
      <rPr>
        <sz val="7"/>
        <rFont val="Arial"/>
        <family val="2"/>
      </rPr>
      <t>Junta de dilatação elástica pré-moldada p/ concreto, tipo fungenband em perfil O-12 de PVC alta densidade, Uniontech ou equival. fornecim./colocação</t>
    </r>
  </si>
  <si>
    <r>
      <rPr>
        <sz val="7"/>
        <rFont val="Arial"/>
        <family val="2"/>
      </rPr>
      <t>Junta perfil elastomérico de vedação p/pontes c/abertura média de 25mm ± 10 mm, inclus. lábios poliméricos-Marca Ref JEENE-JJ2540 VV (constr.)</t>
    </r>
  </si>
  <si>
    <r>
      <rPr>
        <sz val="7"/>
        <rFont val="Arial"/>
        <family val="2"/>
      </rPr>
      <t>Junta perfil elastomérico de vedação p/pontes c/abertura média de 50 mm ±  25 mm, inclus. lábios poliméricos-Marca Ref.JEENE mod.JJ-5070 (constr.)</t>
    </r>
  </si>
  <si>
    <r>
      <rPr>
        <sz val="7"/>
        <rFont val="Arial"/>
        <family val="2"/>
      </rPr>
      <t>Junta perfil elastomérico de vedação p/pontes c/abertura média de 50mm ± 25mm,inclus. lábios poliméricos-Marca Ref JEENE mod.JJ-5070 VV(substituição)</t>
    </r>
  </si>
  <si>
    <r>
      <rPr>
        <sz val="7"/>
        <rFont val="Arial"/>
        <family val="2"/>
      </rPr>
      <t>Perfuração de concreto</t>
    </r>
  </si>
  <si>
    <r>
      <rPr>
        <sz val="7"/>
        <rFont val="Arial"/>
        <family val="2"/>
      </rPr>
      <t>Perfuração de rocha para fixação de chumbadores</t>
    </r>
  </si>
  <si>
    <r>
      <rPr>
        <sz val="7"/>
        <rFont val="Arial"/>
        <family val="2"/>
      </rPr>
      <t>Pintura a cal em pontes (2 demãos)</t>
    </r>
  </si>
  <si>
    <r>
      <rPr>
        <sz val="7"/>
        <rFont val="Arial"/>
        <family val="2"/>
      </rPr>
      <t>Ponte provisoria para movimentação de equipamentos de execução de fundação composta de passadiço de madeira sobre estacas de madeira</t>
    </r>
  </si>
  <si>
    <r>
      <rPr>
        <sz val="7"/>
        <rFont val="Arial"/>
        <family val="2"/>
      </rPr>
      <t>Preparo e colocação de 12 cordoalhas de 1/2" (Aço CP-190 RB) nas formas, inclusive injeção de nata de cimento</t>
    </r>
  </si>
  <si>
    <r>
      <rPr>
        <sz val="7"/>
        <rFont val="Arial"/>
        <family val="2"/>
      </rPr>
      <t>Recuperação estrutural com uso de argamassa polimérica (espessura média=3,5cm)</t>
    </r>
  </si>
  <si>
    <r>
      <rPr>
        <sz val="7"/>
        <rFont val="Arial"/>
        <family val="2"/>
      </rPr>
      <t>Tirante de Aço CA-50, diâmetro de 25mm (1"), para comprimentos até 6m</t>
    </r>
  </si>
  <si>
    <r>
      <rPr>
        <sz val="7"/>
        <rFont val="Arial"/>
        <family val="2"/>
      </rPr>
      <t>Tirante de aço Rocsolo ou similar, diâmetro 29,3mm, incluindo fornecimento da barra e da bainha proteção anticorrosiva, preparo e colocação no furo</t>
    </r>
  </si>
  <si>
    <r>
      <rPr>
        <sz val="7"/>
        <rFont val="Arial"/>
        <family val="2"/>
      </rPr>
      <t>Tirante de aço ST 50/55, para carga trab. até 22 t, diam.32mm, incluindo fornecimento da bainha proteção anticorrosiva, preparo e colocação no furo.</t>
    </r>
  </si>
  <si>
    <r>
      <rPr>
        <sz val="7"/>
        <rFont val="Arial"/>
        <family val="2"/>
      </rPr>
      <t>Tirante de aço ST 85/105, diâmetro de 32 mm, incluindo fornecimento da barra e da bainha proteção anticorrosiva, preparo e colocação no furo</t>
    </r>
  </si>
  <si>
    <r>
      <rPr>
        <sz val="7"/>
        <rFont val="Arial"/>
        <family val="2"/>
      </rPr>
      <t>Tirante protendido em Aço GEWI 50/55 ou similar, diâmetro de 32mm</t>
    </r>
  </si>
  <si>
    <r>
      <rPr>
        <sz val="7"/>
        <rFont val="Arial"/>
        <family val="2"/>
      </rPr>
      <t>Grupo de serviço: MATERIAIS</t>
    </r>
  </si>
  <si>
    <r>
      <rPr>
        <sz val="7"/>
        <rFont val="Arial"/>
        <family val="2"/>
      </rPr>
      <t>Aquisição de solo de jazida comercial (saibreira)</t>
    </r>
  </si>
  <si>
    <r>
      <rPr>
        <sz val="7"/>
        <rFont val="Arial"/>
        <family val="2"/>
      </rPr>
      <t>Bonificação de 15,28% sobre aquisição de materiais</t>
    </r>
  </si>
  <si>
    <r>
      <rPr>
        <sz val="7"/>
        <rFont val="Arial"/>
        <family val="2"/>
      </rPr>
      <t>Grupo de serviço: TERRAPLENAGEM - VIAS URBANAS</t>
    </r>
  </si>
  <si>
    <r>
      <rPr>
        <sz val="7"/>
        <rFont val="Arial"/>
        <family val="2"/>
      </rPr>
      <t>Carga de material de 1ª categoria em Vias Urbanas</t>
    </r>
  </si>
  <si>
    <r>
      <rPr>
        <sz val="7"/>
        <rFont val="Arial"/>
        <family val="2"/>
      </rPr>
      <t>Carga de material de 2ª categoria (solo, areia, brita, excl. rocha escavada) em Vias Urbanas</t>
    </r>
  </si>
  <si>
    <r>
      <rPr>
        <sz val="7"/>
        <rFont val="Arial"/>
        <family val="2"/>
      </rPr>
      <t>Carga de material de 3ª categoria (rocha) em Vias Urbanas</t>
    </r>
  </si>
  <si>
    <r>
      <rPr>
        <sz val="7"/>
        <rFont val="Arial"/>
        <family val="2"/>
      </rPr>
      <t>Compactação de aterros 100% PI em Vias Urbanas</t>
    </r>
  </si>
  <si>
    <r>
      <rPr>
        <sz val="7"/>
        <rFont val="Arial"/>
        <family val="2"/>
      </rPr>
      <t>Compactação de aterros 100% PN em Vias Urbanas</t>
    </r>
  </si>
  <si>
    <r>
      <rPr>
        <sz val="7"/>
        <rFont val="Arial"/>
        <family val="2"/>
      </rPr>
      <t>Escalonamento de taludes com escavadeira em Vias Urbanas</t>
    </r>
  </si>
  <si>
    <r>
      <rPr>
        <sz val="7"/>
        <rFont val="Arial"/>
        <family val="2"/>
      </rPr>
      <t>Escavação, carga de material de 3ª categoria (fogo controlado) em Vias Urbanas</t>
    </r>
  </si>
  <si>
    <r>
      <rPr>
        <sz val="7"/>
        <rFont val="Arial"/>
        <family val="2"/>
      </rPr>
      <t>Escavação e carga de material de barreira (remoção) em Vias Urbanas</t>
    </r>
  </si>
  <si>
    <r>
      <rPr>
        <sz val="7"/>
        <rFont val="Arial"/>
        <family val="2"/>
      </rPr>
      <t>Escavação e carga de material de 1ª categoria com escavadeira em Vias Urbanas</t>
    </r>
  </si>
  <si>
    <r>
      <rPr>
        <sz val="7"/>
        <rFont val="Arial"/>
        <family val="2"/>
      </rPr>
      <t>Escavação e carga de material de 2ª categoria com escavadeira em Vias Urbanas</t>
    </r>
  </si>
  <si>
    <r>
      <rPr>
        <sz val="7"/>
        <rFont val="Arial"/>
        <family val="2"/>
      </rPr>
      <t>Escavação e carga de material de 3ª categoria (H bancada &gt;1,0 m) em Vias Urbanas</t>
    </r>
  </si>
  <si>
    <r>
      <rPr>
        <sz val="7"/>
        <rFont val="Arial"/>
        <family val="2"/>
      </rPr>
      <t>Fragmentação de rocha (fogacheamento) em Vias Urbanas</t>
    </r>
  </si>
  <si>
    <r>
      <rPr>
        <sz val="7"/>
        <rFont val="Arial"/>
        <family val="2"/>
      </rPr>
      <t>Limpeza de acostamento em Vias Urbanas</t>
    </r>
  </si>
  <si>
    <r>
      <rPr>
        <sz val="7"/>
        <rFont val="Arial"/>
        <family val="2"/>
      </rPr>
      <t>Limpeza e desmatamento em área alagada (pântano) com ferr. man., incl. moto serra em Vias Urbanas</t>
    </r>
  </si>
  <si>
    <r>
      <rPr>
        <sz val="7"/>
        <rFont val="Arial"/>
        <family val="2"/>
      </rPr>
      <t>Pré-fissuramento de taludes de rocha em Vias Urbanas</t>
    </r>
  </si>
  <si>
    <r>
      <rPr>
        <sz val="7"/>
        <rFont val="Arial"/>
        <family val="2"/>
      </rPr>
      <t>Recomposição vegetal de jazidas, empréstimos e bota-fora em Vias Urbanas</t>
    </r>
  </si>
  <si>
    <r>
      <rPr>
        <sz val="7"/>
        <rFont val="Arial"/>
        <family val="2"/>
      </rPr>
      <t>Remoção de solos moles, incluindo carregamento mecânico com escavadeira hidráulica em Vias Urbanas</t>
    </r>
  </si>
  <si>
    <r>
      <rPr>
        <sz val="7"/>
        <rFont val="Arial"/>
        <family val="2"/>
      </rPr>
      <t>Transporte horizontal com trator de lâmina de material de 1ª cat. DMTaté 50m em Vias Urbanas</t>
    </r>
  </si>
  <si>
    <r>
      <rPr>
        <sz val="7"/>
        <rFont val="Arial"/>
        <family val="2"/>
      </rPr>
      <t>Grupo de serviço: PAVIMENTAÇÃO - VIAS URBANAS</t>
    </r>
  </si>
  <si>
    <r>
      <rPr>
        <sz val="7"/>
        <rFont val="Arial"/>
        <family val="2"/>
      </rPr>
      <t>Base de brita graduada, inclusive fornecimento, exclusive transporte da brita em Vias Urbanas</t>
    </r>
  </si>
  <si>
    <r>
      <rPr>
        <sz val="7"/>
        <rFont val="Arial"/>
        <family val="2"/>
      </rPr>
      <t>Base de brita 1, inclusive fornecimento, exclusive transporte da brita em Vias Urbanas</t>
    </r>
  </si>
  <si>
    <r>
      <rPr>
        <sz val="7"/>
        <rFont val="Arial"/>
        <family val="2"/>
      </rPr>
      <t>Base de solo brita, 50% em peso, inclusive fornecimento, exclusive transporte da brita em Vias Urbanas</t>
    </r>
  </si>
  <si>
    <r>
      <rPr>
        <sz val="7"/>
        <rFont val="Arial"/>
        <family val="2"/>
      </rPr>
      <t>Demolição e remoção de pavimento asfáltico em Vias Urbanas</t>
    </r>
  </si>
  <si>
    <r>
      <rPr>
        <sz val="7"/>
        <rFont val="Arial"/>
        <family val="2"/>
      </rPr>
      <t>Fresagem de pavimento asfáltico a frio, esp. até 15cm, exclusive transporte de materiais, em Vias Urbanas</t>
    </r>
  </si>
  <si>
    <r>
      <rPr>
        <sz val="7"/>
        <rFont val="Arial"/>
        <family val="2"/>
      </rPr>
      <t>Fresagem de pavimento asfáltico a frio, esp=5cm, exclusive transporte de materiais em Vias Urbanas</t>
    </r>
  </si>
  <si>
    <r>
      <rPr>
        <sz val="7"/>
        <rFont val="Arial"/>
        <family val="2"/>
      </rPr>
      <t>Imprimação exclusive fornecimento e transporte comercial do material betuminoso em Vias Urbanas</t>
    </r>
  </si>
  <si>
    <r>
      <rPr>
        <sz val="7"/>
        <rFont val="Arial"/>
        <family val="2"/>
      </rPr>
      <t>Imprimação inclusive fornecimento e transporte comercial do material betuminoso em Vias Urbanas</t>
    </r>
  </si>
  <si>
    <r>
      <rPr>
        <sz val="7"/>
        <rFont val="Arial"/>
        <family val="2"/>
      </rPr>
      <t>Micro revestimento asfáltico à frio inclusive fornecimento e transporte comercial do material betuminoso, em Vias Urbanas</t>
    </r>
  </si>
  <si>
    <r>
      <rPr>
        <sz val="7"/>
        <rFont val="Arial"/>
        <family val="2"/>
      </rPr>
      <t>Obturação de buracos c/ CBUQ inclusive fornecimento e transporte comercial dos materiais betuminosos em Vias Urbanas</t>
    </r>
  </si>
  <si>
    <r>
      <rPr>
        <sz val="7"/>
        <rFont val="Arial"/>
        <family val="2"/>
      </rPr>
      <t>Obturação de buracos c/ CBUQ inclusive fornecimento e transporte dos materiais betuminosos em Vias Urbanas</t>
    </r>
  </si>
  <si>
    <r>
      <rPr>
        <sz val="7"/>
        <rFont val="Arial"/>
        <family val="2"/>
      </rPr>
      <t>Pavimentação com blocos de concreto (35 MPa), esp.=06cm, sobre colchão areia esp.=5cm, inclusive fornecim. e transporte blocos e areia,  Vias Urbanas</t>
    </r>
  </si>
  <si>
    <r>
      <rPr>
        <sz val="7"/>
        <rFont val="Arial"/>
        <family val="2"/>
      </rPr>
      <t>Pavimentação com blocos de concreto (35 MPa), esp.=08cm, sobre colchão de areia 5cm, inclusive fornecim. e transporte blocos e areia, em Vias Urbanas</t>
    </r>
  </si>
  <si>
    <r>
      <rPr>
        <sz val="7"/>
        <rFont val="Arial"/>
        <family val="2"/>
      </rPr>
      <t>Pavimentação com blocos de concreto (35 MPa), esp.=10cm, sobre colchão de areia esp.= 5cm, inclusive fornecim.e transporte blocos e areia,Vias Urbanas</t>
    </r>
  </si>
  <si>
    <r>
      <rPr>
        <sz val="7"/>
        <rFont val="Arial"/>
        <family val="2"/>
      </rPr>
      <t>Pavimentação com paralelepípedo, colchão areia 5cm, inclusive fornecimento e transporte do paralelepípedo e areia, em Vias Urbanas</t>
    </r>
  </si>
  <si>
    <r>
      <rPr>
        <sz val="7"/>
        <rFont val="Arial"/>
        <family val="2"/>
      </rPr>
      <t>Pavimentação com paralelepípedo sobre colchão pó de pedra esp.=5cm, inclusive fornecimento e transporte do paralelepípedo e pó de pedra, Vias Urbanas</t>
    </r>
  </si>
  <si>
    <r>
      <rPr>
        <sz val="7"/>
        <rFont val="Arial"/>
        <family val="2"/>
      </rPr>
      <t>Pavimentação com pedra portuguesa, inclusive fornecimento e transporte do cimento, areia e pedra portuguesa em Vias Urbanas</t>
    </r>
  </si>
  <si>
    <r>
      <rPr>
        <sz val="7"/>
        <rFont val="Arial"/>
        <family val="2"/>
      </rPr>
      <t>Pintura de ligação exclusive fornecimento e transporte comercial do material betuminoso em Vias Urbanas</t>
    </r>
  </si>
  <si>
    <r>
      <rPr>
        <sz val="7"/>
        <rFont val="Arial"/>
        <family val="2"/>
      </rPr>
      <t>Pintura de ligação inclusive fornecimento e transporte comercial do material betuminoso em Vias Urbanas</t>
    </r>
  </si>
  <si>
    <r>
      <rPr>
        <sz val="7"/>
        <rFont val="Arial"/>
        <family val="2"/>
      </rPr>
      <t>Remoção de capa asfáltica em TSS, TSD, ou TST exclusive transporte em Vias Urbanas</t>
    </r>
  </si>
  <si>
    <r>
      <rPr>
        <sz val="7"/>
        <rFont val="Arial"/>
        <family val="2"/>
      </rPr>
      <t>Remoção de meio fio em Vias Urbanas</t>
    </r>
  </si>
  <si>
    <r>
      <rPr>
        <sz val="7"/>
        <rFont val="Arial"/>
        <family val="2"/>
      </rPr>
      <t>Remoção de pavimentação poliédrica em Vias Urbanas</t>
    </r>
  </si>
  <si>
    <r>
      <rPr>
        <sz val="7"/>
        <rFont val="Arial"/>
        <family val="2"/>
      </rPr>
      <t>Remoção e reassentamento de blocos de concreto, inclusive perdas em Vias Urbanas</t>
    </r>
  </si>
  <si>
    <r>
      <rPr>
        <sz val="7"/>
        <rFont val="Arial"/>
        <family val="2"/>
      </rPr>
      <t>Remoção e reassentamento de paralelepípedos, inclusive perdas em Vias Urbanas</t>
    </r>
  </si>
  <si>
    <r>
      <rPr>
        <sz val="7"/>
        <rFont val="Arial"/>
        <family val="2"/>
      </rPr>
      <t>Sub-base de brita graduada, inclusive fornecimento e transporte da brita em Vias Urbanas</t>
    </r>
  </si>
  <si>
    <r>
      <rPr>
        <sz val="7"/>
        <rFont val="Arial"/>
        <family val="2"/>
      </rPr>
      <t>Sub-base de brita 1, inclusive fornecimento, exclusive transporte da brita em Vias Urbanas</t>
    </r>
  </si>
  <si>
    <r>
      <rPr>
        <sz val="7"/>
        <rFont val="Arial"/>
        <family val="2"/>
      </rPr>
      <t>Sub-base solo brita, 50% em peso, inclusive fornecimento e transporte da brita em Vias Urbanas</t>
    </r>
  </si>
  <si>
    <r>
      <rPr>
        <sz val="7"/>
        <rFont val="Arial"/>
        <family val="2"/>
      </rPr>
      <t>T.S.B.D. com capa selante, executado com Multidistribuidor inclusive fornecimento e transporte da emulsão, areia, brita e lavagem da brita -V. Urbanas</t>
    </r>
  </si>
  <si>
    <r>
      <rPr>
        <sz val="7"/>
        <rFont val="Arial"/>
        <family val="2"/>
      </rPr>
      <t>T.S.B.D. com capa selante inclusive fornec. areia/brita/emulsão, transporte comerc. emulsão e lavagem brita, exclus. transp. areia e brita - V.Urbana</t>
    </r>
  </si>
  <si>
    <r>
      <rPr>
        <sz val="7"/>
        <rFont val="Arial"/>
        <family val="2"/>
      </rPr>
      <t>T.S.B.D. sem capa selante, inclusive fornecimento e transporte comercial do material betuminoso e lavagem da brita em Vias Urbanas</t>
    </r>
  </si>
  <si>
    <r>
      <rPr>
        <sz val="7"/>
        <rFont val="Arial"/>
        <family val="2"/>
      </rPr>
      <t>T.S.B.D. sem capa selante executado com Multidistribuidor excl. forn.e transp. com. da emulsão, inclus. fornecim., transp.e lavagem brita, V.Urbanas</t>
    </r>
  </si>
  <si>
    <r>
      <rPr>
        <sz val="7"/>
        <rFont val="Arial"/>
        <family val="2"/>
      </rPr>
      <t>Grupo de serviço: OBRAS DE ARTE CORRENTES E DRENAGEM - VIAS URBANAS</t>
    </r>
  </si>
  <si>
    <r>
      <rPr>
        <sz val="7"/>
        <rFont val="Arial"/>
        <family val="2"/>
      </rPr>
      <t>Alvenaria de bloco (39 x 19 x 09) cm espessura 09 cm em Vias Urbanas, inclusive transporte, areia, cimento e bloco</t>
    </r>
  </si>
  <si>
    <r>
      <rPr>
        <sz val="7"/>
        <rFont val="Arial"/>
        <family val="2"/>
      </rPr>
      <t>Alvenaria de bloco (39 x 19 x 19) cm espessura 19 cm em Vias Urbanas</t>
    </r>
  </si>
  <si>
    <r>
      <rPr>
        <sz val="7"/>
        <rFont val="Arial"/>
        <family val="2"/>
      </rPr>
      <t>Alvenaria de bloco (39 x 19 x 19) cm espessura 19 cm, inclusive transporte de areia, cimento e bloco em Vias Urbanas</t>
    </r>
  </si>
  <si>
    <r>
      <rPr>
        <sz val="7"/>
        <rFont val="Arial"/>
        <family val="2"/>
      </rPr>
      <t>Alvenaria de lajota (20 x 20 x 10) cm espessura 10 cm , inclusive transporte de areia, lajota e cimento, em Vias Urbanas</t>
    </r>
  </si>
  <si>
    <r>
      <rPr>
        <sz val="7"/>
        <rFont val="Arial"/>
        <family val="2"/>
      </rPr>
      <t>Alvenaria de pedra de mão (junta seca), inclusive transporte da pedra em Vias Urbanas</t>
    </r>
  </si>
  <si>
    <r>
      <rPr>
        <sz val="7"/>
        <rFont val="Arial"/>
        <family val="2"/>
      </rPr>
      <t>Alvenaria de pedra de mão argamassada (argamassa cimento areia 1:4) inclusive transporte da pedra de mão, em Vias Urbanas</t>
    </r>
  </si>
  <si>
    <r>
      <rPr>
        <sz val="7"/>
        <rFont val="Arial"/>
        <family val="2"/>
      </rPr>
      <t>Andaime de madeira para altura até 7 m, compreendendo montagem e desmontagem em Vias Urbanas</t>
    </r>
  </si>
  <si>
    <r>
      <rPr>
        <sz val="7"/>
        <rFont val="Arial"/>
        <family val="2"/>
      </rPr>
      <t>Andaime suspenso em madeira, inclusive montagem e desmontagem em Vias Urbanas</t>
    </r>
  </si>
  <si>
    <r>
      <rPr>
        <sz val="7"/>
        <rFont val="Arial"/>
        <family val="2"/>
      </rPr>
      <t>Apicoamento manual de superfície de concreto em Vias Urbanas</t>
    </r>
  </si>
  <si>
    <r>
      <rPr>
        <sz val="7"/>
        <rFont val="Arial"/>
        <family val="2"/>
      </rPr>
      <t>Apiloamento manual em Vias Urbanas</t>
    </r>
  </si>
  <si>
    <r>
      <rPr>
        <sz val="7"/>
        <rFont val="Arial"/>
        <family val="2"/>
      </rPr>
      <t>Argamassa cimento e areia traço 1:4 em Vias Urbanas</t>
    </r>
  </si>
  <si>
    <r>
      <rPr>
        <sz val="7"/>
        <rFont val="Arial"/>
        <family val="2"/>
      </rPr>
      <t>Argamassa cimento (nata) em Vias Urbanas</t>
    </r>
  </si>
  <si>
    <r>
      <rPr>
        <sz val="7"/>
        <rFont val="Arial"/>
        <family val="2"/>
      </rPr>
      <t>Argamassa de cimento e areia, traço 1:4, consumo de cimento 400 kg/m³ em Vias Urbanas</t>
    </r>
  </si>
  <si>
    <r>
      <rPr>
        <sz val="7"/>
        <rFont val="Arial"/>
        <family val="2"/>
      </rPr>
      <t>Berço de concreto ciclópico para BDTC diâmetro 0,60 m em Via Urbanas</t>
    </r>
  </si>
  <si>
    <r>
      <rPr>
        <sz val="7"/>
        <rFont val="Arial"/>
        <family val="2"/>
      </rPr>
      <t>Berço em brita para BSTC diâm. = 0,30 m em Vias Urbanas</t>
    </r>
  </si>
  <si>
    <r>
      <rPr>
        <sz val="7"/>
        <rFont val="Arial"/>
        <family val="2"/>
      </rPr>
      <t>Berço em brita para BSTC diâm. = 0,40 m em Vias Urbanas</t>
    </r>
  </si>
  <si>
    <r>
      <rPr>
        <sz val="7"/>
        <rFont val="Arial"/>
        <family val="2"/>
      </rPr>
      <t>Berço em brita para BSTC diâm. = 0,60 m em Vias Urbanas</t>
    </r>
  </si>
  <si>
    <r>
      <rPr>
        <sz val="7"/>
        <rFont val="Arial"/>
        <family val="2"/>
      </rPr>
      <t>Berço em brita para BSTC diam. = 0,80 m em Vias Urbanas</t>
    </r>
  </si>
  <si>
    <r>
      <rPr>
        <sz val="7"/>
        <rFont val="Arial"/>
        <family val="2"/>
      </rPr>
      <t>Boca de BDCC 2,00 x 1,20m conforme projeto em Vias Urbanas</t>
    </r>
  </si>
  <si>
    <r>
      <rPr>
        <sz val="7"/>
        <rFont val="Arial"/>
        <family val="2"/>
      </rPr>
      <t>Boca de BDCC 2,00 x 2,50 m em Vias Urbanas</t>
    </r>
  </si>
  <si>
    <r>
      <rPr>
        <sz val="7"/>
        <rFont val="Arial"/>
        <family val="2"/>
      </rPr>
      <t>Boca de BSCC 2,50 x 2,50 m, projeto DNIT em Vias Urbanas</t>
    </r>
  </si>
  <si>
    <r>
      <rPr>
        <sz val="7"/>
        <rFont val="Arial"/>
        <family val="2"/>
      </rPr>
      <t>Boca de lobo simples em blocos pré-moldados CR(0,40 x 0,80 m) em Vias Urbanas</t>
    </r>
  </si>
  <si>
    <r>
      <rPr>
        <sz val="7"/>
        <rFont val="Arial"/>
        <family val="2"/>
      </rPr>
      <t>Bueiro Metálico BSTM - D= 3,00 m - T.L. com tratamento epóxi e=2,7 mm - método não destrutivo em Vias Urbanas</t>
    </r>
  </si>
  <si>
    <r>
      <rPr>
        <sz val="7"/>
        <rFont val="Arial"/>
        <family val="2"/>
      </rPr>
      <t>Bueiro Metálico BSTM - D=3,05m - MP-152 com tratamento epóxi e=2,7mm - método destrutivo, inclusive lastro de brita em Vias Urbanas</t>
    </r>
  </si>
  <si>
    <r>
      <rPr>
        <sz val="7"/>
        <rFont val="Arial"/>
        <family val="2"/>
      </rPr>
      <t>Caiação de meio fios, sarjetas, etc. em Vias Urbanas</t>
    </r>
  </si>
  <si>
    <r>
      <rPr>
        <sz val="7"/>
        <rFont val="Arial"/>
        <family val="2"/>
      </rPr>
      <t>Caixa Boca de Lobo em bloco pré-moldado de concreto para diâm.=1,00m (1,30 x 1,30m) em Vias Urbanas</t>
    </r>
  </si>
  <si>
    <r>
      <rPr>
        <sz val="7"/>
        <rFont val="Arial"/>
        <family val="2"/>
      </rPr>
      <t>Caixa Boca de Lobo em bloco pré-moldado para diâm. = 0,60m (1,00 x 1,00m) CBL2 (Vias Urbanas)</t>
    </r>
  </si>
  <si>
    <r>
      <rPr>
        <sz val="7"/>
        <rFont val="Arial"/>
        <family val="2"/>
      </rPr>
      <t>Caixa Boca de Lobo em bloco pré-moldado para diâm. = 0,80m (1,20 x 1,20m) (Vias Urbanas)</t>
    </r>
  </si>
  <si>
    <r>
      <rPr>
        <sz val="7"/>
        <rFont val="Arial"/>
        <family val="2"/>
      </rPr>
      <t>Caixa Boca de Lobo em bloco pré-moldado para diâm. = 1,20m(1,50 x 1,50m) (Vias Urbanas)</t>
    </r>
  </si>
  <si>
    <r>
      <rPr>
        <sz val="7"/>
        <rFont val="Arial"/>
        <family val="2"/>
      </rPr>
      <t>Caixa Boca de Lobo em bloco pré-moldado para diâm.= 0,30m e 0,40m (0,80 x 0,80m) (Vias Urbanas)</t>
    </r>
  </si>
  <si>
    <r>
      <rPr>
        <sz val="7"/>
        <rFont val="Arial"/>
        <family val="2"/>
      </rPr>
      <t>Caixa Boca de Lobo em bloco pré-moldado 1,20 x 1,20m em Vias Urbanas</t>
    </r>
  </si>
  <si>
    <r>
      <rPr>
        <sz val="7"/>
        <rFont val="Arial"/>
        <family val="2"/>
      </rPr>
      <t>Caixa coletora concreto armado H= 2,00m, inclusive escavação em Vias Urbanas</t>
    </r>
  </si>
  <si>
    <r>
      <rPr>
        <sz val="7"/>
        <rFont val="Arial"/>
        <family val="2"/>
      </rPr>
      <t>Caixa coletora concreto armado H= 2,50m, inclusive escavação em Vias Urbanas</t>
    </r>
  </si>
  <si>
    <r>
      <rPr>
        <sz val="7"/>
        <rFont val="Arial"/>
        <family val="2"/>
      </rPr>
      <t>Caixa coletora em bloco pré-moldado para d=0,60m (1,00 x 1,00m) em Vias Urbanas</t>
    </r>
  </si>
  <si>
    <r>
      <rPr>
        <sz val="7"/>
        <rFont val="Arial"/>
        <family val="2"/>
      </rPr>
      <t>Caixa coletora em bloco pré-moldado para d=0,80m (1,20 x 1,20m) em Vias Urbanas</t>
    </r>
  </si>
  <si>
    <r>
      <rPr>
        <sz val="7"/>
        <rFont val="Arial"/>
        <family val="2"/>
      </rPr>
      <t>Caixa de concreto para BSTC diâmetro 0,40 m H=1,60 m em Vias Urbanas</t>
    </r>
  </si>
  <si>
    <r>
      <rPr>
        <sz val="7"/>
        <rFont val="Arial"/>
        <family val="2"/>
      </rPr>
      <t>Caixa de concreto para BSTC diâmetro 0,60m H=2,00m em Vias Urbanas</t>
    </r>
  </si>
  <si>
    <r>
      <rPr>
        <sz val="7"/>
        <rFont val="Arial"/>
        <family val="2"/>
      </rPr>
      <t>Caixa de concreto para BSTC diâmetro 0,80m H=2,50m em Vias Urbanas</t>
    </r>
  </si>
  <si>
    <r>
      <rPr>
        <sz val="7"/>
        <rFont val="Arial"/>
        <family val="2"/>
      </rPr>
      <t>Caixa de concreto para BSTC diâmetro 1,00m H=3,00m em Vias Urbanas</t>
    </r>
  </si>
  <si>
    <r>
      <rPr>
        <sz val="7"/>
        <rFont val="Arial"/>
        <family val="2"/>
      </rPr>
      <t>Caixa de passagem em bloco pré-moldado para d=0,30 e 0,40m (0,80x0,80m) em Vias Urbanas</t>
    </r>
  </si>
  <si>
    <r>
      <rPr>
        <sz val="7"/>
        <rFont val="Arial"/>
        <family val="2"/>
      </rPr>
      <t>Caixa de passagem em bloco pré-moldado para d=0,60m (1,00x1,00m) em Vias Urbanas</t>
    </r>
  </si>
  <si>
    <r>
      <rPr>
        <sz val="7"/>
        <rFont val="Arial"/>
        <family val="2"/>
      </rPr>
      <t>Caixa de passagem em bloco pré-moldado para d=0,80m (1,20 x 1,20m) em Vias Urbanas</t>
    </r>
  </si>
  <si>
    <r>
      <rPr>
        <sz val="7"/>
        <rFont val="Arial"/>
        <family val="2"/>
      </rPr>
      <t>Caixa de passagem em bloco pré-moldado para d=1,00m (1,30 x 1,30m) em Vias Urbanas</t>
    </r>
  </si>
  <si>
    <r>
      <rPr>
        <sz val="7"/>
        <rFont val="Arial"/>
        <family val="2"/>
      </rPr>
      <t>Caixa de passagem em bloco pré-moldado para d=1,20m (1,50 x 1,50m) em Vias Urbanas</t>
    </r>
  </si>
  <si>
    <r>
      <rPr>
        <sz val="7"/>
        <rFont val="Arial"/>
        <family val="2"/>
      </rPr>
      <t>Caixa de passagem para tubos de D=0,40m H=1,10m em Vias Urbanas</t>
    </r>
  </si>
  <si>
    <r>
      <rPr>
        <sz val="7"/>
        <rFont val="Arial"/>
        <family val="2"/>
      </rPr>
      <t>Caixa de passagem para tubos de D=0,60m H=1,30m em Vias Urbanas</t>
    </r>
  </si>
  <si>
    <r>
      <rPr>
        <sz val="7"/>
        <rFont val="Arial"/>
        <family val="2"/>
      </rPr>
      <t>Caixa de passagem para tubos de D=0,80m H=1,50m em Vias Urbanas</t>
    </r>
  </si>
  <si>
    <r>
      <rPr>
        <sz val="7"/>
        <rFont val="Arial"/>
        <family val="2"/>
      </rPr>
      <t>Caixa de passagem para tubos de D=1,00m H=1,80m em Vias Urbanas</t>
    </r>
  </si>
  <si>
    <r>
      <rPr>
        <sz val="7"/>
        <rFont val="Arial"/>
        <family val="2"/>
      </rPr>
      <t>Caixa de passagem (2,50 x 2,50m) em Vias Urbanas</t>
    </r>
  </si>
  <si>
    <r>
      <rPr>
        <sz val="7"/>
        <rFont val="Arial"/>
        <family val="2"/>
      </rPr>
      <t>Caixa para rede de dutos dimensões 100 x100 x100 cm, em Vias Urbanas</t>
    </r>
  </si>
  <si>
    <r>
      <rPr>
        <sz val="7"/>
        <rFont val="Arial"/>
        <family val="2"/>
      </rPr>
      <t>Caixa para rede de dutos dimensões 60 x 60 x 60 cm, em Vias Urbanas</t>
    </r>
  </si>
  <si>
    <r>
      <rPr>
        <sz val="7"/>
        <rFont val="Arial"/>
        <family val="2"/>
      </rPr>
      <t>Caixa ralo com grelha de concreto em blocos pré-moldados - CRG - Vias Urbanas</t>
    </r>
  </si>
  <si>
    <r>
      <rPr>
        <sz val="7"/>
        <rFont val="Arial"/>
        <family val="2"/>
      </rPr>
      <t>Caixa ralo de elementos pré-moldados em concreto (tudo incluído) em Vias Urbanas</t>
    </r>
  </si>
  <si>
    <r>
      <rPr>
        <sz val="7"/>
        <rFont val="Arial"/>
        <family val="2"/>
      </rPr>
      <t>Caixa ralo em blocos pré-moldados e grelha articulada em FFA em Vias Urbanas</t>
    </r>
  </si>
  <si>
    <r>
      <rPr>
        <sz val="7"/>
        <rFont val="Arial"/>
        <family val="2"/>
      </rPr>
      <t>Canaleta com grelha DP-1, inclusive transporte da grelha em Vias Urbanas</t>
    </r>
  </si>
  <si>
    <r>
      <rPr>
        <sz val="7"/>
        <rFont val="Arial"/>
        <family val="2"/>
      </rPr>
      <t>Canaleta de concreto, com forma retangular inclusive caiação - parede 12 cm em Vias Urbanas</t>
    </r>
  </si>
  <si>
    <r>
      <rPr>
        <sz val="7"/>
        <rFont val="Arial"/>
        <family val="2"/>
      </rPr>
      <t>Canaleta de concreto retangular (0,130m³/m) inclusive caiação em Vias Urbanas</t>
    </r>
  </si>
  <si>
    <r>
      <rPr>
        <sz val="7"/>
        <rFont val="Arial"/>
        <family val="2"/>
      </rPr>
      <t>Canaleta de concreto (0,130m³/m) forma trapezoidal inclusive caiação em Vias Urbanas</t>
    </r>
  </si>
  <si>
    <r>
      <rPr>
        <sz val="7"/>
        <rFont val="Arial"/>
        <family val="2"/>
      </rPr>
      <t>Cerca de tela de arame galvanizado h=1,20m em Vias Urbanas</t>
    </r>
  </si>
  <si>
    <r>
      <rPr>
        <sz val="7"/>
        <rFont val="Arial"/>
        <family val="2"/>
      </rPr>
      <t>Cerca em tela revestida em PVC com mourões de concreto, fornecimento e execução em Vias Urbanas</t>
    </r>
  </si>
  <si>
    <r>
      <rPr>
        <sz val="7"/>
        <rFont val="Arial"/>
        <family val="2"/>
      </rPr>
      <t>Chapisco com argamassa de cimento e areia 1:3 em Vias Urbanas</t>
    </r>
  </si>
  <si>
    <r>
      <rPr>
        <sz val="7"/>
        <rFont val="Arial"/>
        <family val="2"/>
      </rPr>
      <t>Chapisco com argamassa de cimento e pedrisco 1:4 em Vias Urbanas</t>
    </r>
  </si>
  <si>
    <r>
      <rPr>
        <sz val="7"/>
        <rFont val="Arial"/>
        <family val="2"/>
      </rPr>
      <t>Colchão drenante de areia para fundação de aterros, exclusive o fornecimento de areia em Vias Urbanas</t>
    </r>
  </si>
  <si>
    <r>
      <rPr>
        <sz val="7"/>
        <rFont val="Arial"/>
        <family val="2"/>
      </rPr>
      <t>Colchão drenante de areia para fundação de aterros, inclusive fornecimento e transporte da areia em Vias Urbanas</t>
    </r>
  </si>
  <si>
    <r>
      <rPr>
        <sz val="7"/>
        <rFont val="Arial"/>
        <family val="2"/>
      </rPr>
      <t>Colchão drenante de brita 1 inclusive fornecimento, espalhamento, compactação e transporte da brita em Vias Urbanas</t>
    </r>
  </si>
  <si>
    <r>
      <rPr>
        <sz val="7"/>
        <rFont val="Arial"/>
        <family val="2"/>
      </rPr>
      <t>Colchão drenante de brita 2 inclusive fornecimento, espalhamento, compactação e transporte da brita em Vias Urbanas</t>
    </r>
  </si>
  <si>
    <r>
      <rPr>
        <sz val="7"/>
        <rFont val="Arial"/>
        <family val="2"/>
      </rPr>
      <t>Colchão drenante de brita 3 inclusive fornecimento, espalhamento, compactação e transporte da brita em Vias Urbanas</t>
    </r>
  </si>
  <si>
    <r>
      <rPr>
        <sz val="7"/>
        <rFont val="Arial"/>
        <family val="2"/>
      </rPr>
      <t>Coleta drenante (1,00x1,00) m c/ geotêxtil não tecido RT 16kn/m, inclusive transporte da brita em Vias Urbanas</t>
    </r>
  </si>
  <si>
    <r>
      <rPr>
        <sz val="7"/>
        <rFont val="Arial"/>
        <family val="2"/>
      </rPr>
      <t>Concreto armado, dosado para resist. 20 Mpa,  incluindo 60 kg aço CA-50 A, mão de obra p/ corte, dobragem e montagem, exclusive forma em Vias Urbanas</t>
    </r>
  </si>
  <si>
    <r>
      <rPr>
        <sz val="7"/>
        <rFont val="Arial"/>
        <family val="2"/>
      </rPr>
      <t>Concreto de regularização em Vias Urbanas</t>
    </r>
  </si>
  <si>
    <r>
      <rPr>
        <sz val="7"/>
        <rFont val="Arial"/>
        <family val="2"/>
      </rPr>
      <t>Concreto estrutural fck = 20,0 MPa com plastificante em Vias Urbanas</t>
    </r>
  </si>
  <si>
    <r>
      <rPr>
        <sz val="7"/>
        <rFont val="Arial"/>
        <family val="2"/>
      </rPr>
      <t>Concreto estrutural fck = 20,0 MPa em Vias Urbanas</t>
    </r>
  </si>
  <si>
    <r>
      <rPr>
        <sz val="7"/>
        <rFont val="Arial"/>
        <family val="2"/>
      </rPr>
      <t>Concreto estrutural fck = 25,0 MPa com plastificante em Vias Urbanas</t>
    </r>
  </si>
  <si>
    <r>
      <rPr>
        <sz val="7"/>
        <rFont val="Arial"/>
        <family val="2"/>
      </rPr>
      <t>Concreto estrutural fck = 25,0 MPa em Vias Urbanas</t>
    </r>
  </si>
  <si>
    <r>
      <rPr>
        <sz val="7"/>
        <rFont val="Arial"/>
        <family val="2"/>
      </rPr>
      <t>Concreto estrutural fck = 30,0 MPa com micro-silica e Sikacrete BR ou equivalente em Vias Urbanas</t>
    </r>
  </si>
  <si>
    <r>
      <rPr>
        <sz val="7"/>
        <rFont val="Arial"/>
        <family val="2"/>
      </rPr>
      <t>Concreto estrutural fck = 30,0 MPa com plastificante em Vias Urbanas</t>
    </r>
  </si>
  <si>
    <r>
      <rPr>
        <sz val="7"/>
        <rFont val="Arial"/>
        <family val="2"/>
      </rPr>
      <t>Concreto estrutural fck = 30,0 MPa em Vias Urbanas</t>
    </r>
  </si>
  <si>
    <r>
      <rPr>
        <sz val="7"/>
        <rFont val="Arial"/>
        <family val="2"/>
      </rPr>
      <t>Concreto estrutural fck = 35,0 MPa com micro-silica e Sikacrete ou equivalente em Vias Urbanas</t>
    </r>
  </si>
  <si>
    <r>
      <rPr>
        <sz val="7"/>
        <rFont val="Arial"/>
        <family val="2"/>
      </rPr>
      <t>Concreto submerso fck = 20,0 MPa em Vias Urbanas</t>
    </r>
  </si>
  <si>
    <r>
      <rPr>
        <sz val="7"/>
        <rFont val="Arial"/>
        <family val="2"/>
      </rPr>
      <t>Corpo BDTC (grota) diâmetro 0,60 m CA-1 MF exclusive escavação e reaterro, inclusive transporte do tubo em Vias Urbanas</t>
    </r>
  </si>
  <si>
    <r>
      <rPr>
        <sz val="7"/>
        <rFont val="Arial"/>
        <family val="2"/>
      </rPr>
      <t>Corpo BDTC (grota) diâmetro 0,60 m CA-1 PB exclusive escavação e reaterro, inclusive transporte do tubo em Vias Urbanas</t>
    </r>
  </si>
  <si>
    <r>
      <rPr>
        <sz val="7"/>
        <rFont val="Arial"/>
        <family val="2"/>
      </rPr>
      <t>Corpo BDTC (grota) diâmetro 0,60 m CA-2 MF exclusive escavação e reaterro, inclusive transporte do tubo em Vias Urbanas</t>
    </r>
  </si>
  <si>
    <r>
      <rPr>
        <sz val="7"/>
        <rFont val="Arial"/>
        <family val="2"/>
      </rPr>
      <t>Corpo BDTC (grota) diâmetro 0,60 m CA-2 PB exclusive escavação e reaterro, inclusive transporte do tubo em Vias Urbanas</t>
    </r>
  </si>
  <si>
    <r>
      <rPr>
        <sz val="7"/>
        <rFont val="Arial"/>
        <family val="2"/>
      </rPr>
      <t>Corpo BDTC (grota) diâmetro 0,80 m CA-1 MF exclusive escavação e reaterro, inclusive transporte do tubo em Vias Urbanas</t>
    </r>
  </si>
  <si>
    <r>
      <rPr>
        <sz val="7"/>
        <rFont val="Arial"/>
        <family val="2"/>
      </rPr>
      <t>Corpo BDTC (grota) diâmetro 0,80 m CA-1 PB exclusive escavação e reaterro, inclusive transporte do tubo em Vias Urbanas</t>
    </r>
  </si>
  <si>
    <r>
      <rPr>
        <sz val="7"/>
        <rFont val="Arial"/>
        <family val="2"/>
      </rPr>
      <t>Corpo BDTC (grota) diâmetro 0,80 m CA-2 MF exclusive escavação e reaterro, inclusive transporte do tubo em Vias Urbanas</t>
    </r>
  </si>
  <si>
    <r>
      <rPr>
        <sz val="7"/>
        <rFont val="Arial"/>
        <family val="2"/>
      </rPr>
      <t>Corpo BDTC (grota) diâmetro 0,80 m CA-2 PB exclusive escavação e reaterro, inclusive transporte do tubo em Vias Urbanas</t>
    </r>
  </si>
  <si>
    <r>
      <rPr>
        <sz val="7"/>
        <rFont val="Arial"/>
        <family val="2"/>
      </rPr>
      <t>Corpo BDTC (grota) diâmetro 1,00 m CA-1 MF exclusive escavação e reaterro, inclusive transporte do tubo em Vias Urbanas</t>
    </r>
  </si>
  <si>
    <r>
      <rPr>
        <sz val="7"/>
        <rFont val="Arial"/>
        <family val="2"/>
      </rPr>
      <t>Corpo BDTC (grota) diâmetro 1,00 m CA-1 PB exclusive escavação e reaterro, inclusive transporte do tubo em Vias Urbanas</t>
    </r>
  </si>
  <si>
    <r>
      <rPr>
        <sz val="7"/>
        <rFont val="Arial"/>
        <family val="2"/>
      </rPr>
      <t>Corpo BDTC (grota) diâmetro 1,00 m CA-2 MF exclusive escavação e reaterro, inclusive transporte do tubo em Vias Urbanas</t>
    </r>
  </si>
  <si>
    <r>
      <rPr>
        <sz val="7"/>
        <rFont val="Arial"/>
        <family val="2"/>
      </rPr>
      <t>Corpo BDTC (grota) diâmetro 1,00 m CA-2 PB exclusive escavação e reaterro, inclusive transporte do tubo em Vias Urbanas</t>
    </r>
  </si>
  <si>
    <r>
      <rPr>
        <sz val="7"/>
        <rFont val="Arial"/>
        <family val="2"/>
      </rPr>
      <t>Corpo BDTC (grota) diâmetro 1,00 m CA-3 MF exclusive escavação e reaterro, inclusive transporte do tubo em Vias Urbanas</t>
    </r>
  </si>
  <si>
    <r>
      <rPr>
        <sz val="7"/>
        <rFont val="Arial"/>
        <family val="2"/>
      </rPr>
      <t>Corpo BDTC (grota) diâmetro 1,20 m CA-1 MF exclusive escavação e reaterro, inclusive transporte do tubo em Vias Urbanas</t>
    </r>
  </si>
  <si>
    <r>
      <rPr>
        <sz val="7"/>
        <rFont val="Arial"/>
        <family val="2"/>
      </rPr>
      <t>Corpo BDTC (grota) diâmetro 1,20 m CA-2 MF exclusive escavação e reaterro, inclusive transporte do tubo em Vias Urbanas</t>
    </r>
  </si>
  <si>
    <r>
      <rPr>
        <sz val="7"/>
        <rFont val="Arial"/>
        <family val="2"/>
      </rPr>
      <t>Corpo BDTC (grota) diâmetro 1,20 m CA-2 PB exclusive escavação e reaterro, inclusive transporte do tubo em Vias Urbanas</t>
    </r>
  </si>
  <si>
    <r>
      <rPr>
        <sz val="7"/>
        <rFont val="Arial"/>
        <family val="2"/>
      </rPr>
      <t>Corpo BDTC (grota) diâmetro 1,20 m CA-3 MF exclusive escavação e reaterro, inclusive transporte do tubo em Vias Urbanas</t>
    </r>
  </si>
  <si>
    <r>
      <rPr>
        <sz val="7"/>
        <rFont val="Arial"/>
        <family val="2"/>
      </rPr>
      <t>Corpo BDTC (grota) diâmetro 1,50 m CA-1 MF exclusive escavação e reaterro, inclusive transporte do tubo em Vias Urbanas</t>
    </r>
  </si>
  <si>
    <r>
      <rPr>
        <sz val="7"/>
        <rFont val="Arial"/>
        <family val="2"/>
      </rPr>
      <t>Corpo BDTC (grota) diâmetro 1,50 m CA-1 PB exclusive escavação e reaterro, inclusive transporte do tubo em Vias Urbanas</t>
    </r>
  </si>
  <si>
    <r>
      <rPr>
        <sz val="7"/>
        <rFont val="Arial"/>
        <family val="2"/>
      </rPr>
      <t>Corpo BDTC (grota) diâmetro 1,50 m CA-2 MF exclusive escavação e reaterro, inclusive transporte do tubo em Vias Urbanas</t>
    </r>
  </si>
  <si>
    <r>
      <rPr>
        <sz val="7"/>
        <rFont val="Arial"/>
        <family val="2"/>
      </rPr>
      <t>Corpo BDTC (grota) diâmetro 1,50 m CA-2 PB exclusive escavação e reaterro, inclusive transporte do tubo em Vias Urbanas</t>
    </r>
  </si>
  <si>
    <r>
      <rPr>
        <sz val="7"/>
        <rFont val="Arial"/>
        <family val="2"/>
      </rPr>
      <t>Corpo BDTC (grota) diâmetro 1,50 m CA-3 MF exclusive escavação e reaterro, inclusive transporte do tubo em Vias Urbanas</t>
    </r>
  </si>
  <si>
    <r>
      <rPr>
        <sz val="7"/>
        <rFont val="Arial"/>
        <family val="2"/>
      </rPr>
      <t>Corpo BSTC diâmetro 0,20 m C.S. MF inclusive escavação, reaterro e transporte do tubo em Vias Urbanas</t>
    </r>
  </si>
  <si>
    <r>
      <rPr>
        <sz val="7"/>
        <rFont val="Arial"/>
        <family val="2"/>
      </rPr>
      <t>Corpo BSTC diâmetro 0,20 m C.S. PB inclusive escavação, reaterro e transporte do tubo em Vias Urbanas</t>
    </r>
  </si>
  <si>
    <r>
      <rPr>
        <sz val="7"/>
        <rFont val="Arial"/>
        <family val="2"/>
      </rPr>
      <t>Corpo BSTC diâmetro 0,30 m C.S. MF inclusive escavação, reaterro e transporte do tubo em Vias Urbanas</t>
    </r>
  </si>
  <si>
    <r>
      <rPr>
        <sz val="7"/>
        <rFont val="Arial"/>
        <family val="2"/>
      </rPr>
      <t>Corpo BSTC diâmetro 0,30 m C.S. PB inclusive escavação, reaterro e transporte do tubo em Vias Urbanas</t>
    </r>
  </si>
  <si>
    <r>
      <rPr>
        <sz val="7"/>
        <rFont val="Arial"/>
        <family val="2"/>
      </rPr>
      <t>Corpo BSTC diâmetro 0,40 m C.S. MF inclusive escavação, reaterro e transporte do tubo em Vias Urbanas</t>
    </r>
  </si>
  <si>
    <r>
      <rPr>
        <sz val="7"/>
        <rFont val="Arial"/>
        <family val="2"/>
      </rPr>
      <t>Corpo BSTC diâmetro 0,40 m C.S. PB inclusive escavação, reaterro e transporte do tubo em Vias Urbanas</t>
    </r>
  </si>
  <si>
    <r>
      <rPr>
        <sz val="7"/>
        <rFont val="Arial"/>
        <family val="2"/>
      </rPr>
      <t>Corpo BSTC diâmetro 0,60 m C.S. MF inclusive escavação, reaterro e transporte do tubo em Vias Urbanas</t>
    </r>
  </si>
  <si>
    <r>
      <rPr>
        <sz val="7"/>
        <rFont val="Arial"/>
        <family val="2"/>
      </rPr>
      <t>Corpo BSTC diâmetro 0,60 m C.S. PB inclusive escavação, reaterro e transporte do tubo em Vias Urbanas</t>
    </r>
  </si>
  <si>
    <r>
      <rPr>
        <sz val="7"/>
        <rFont val="Arial"/>
        <family val="2"/>
      </rPr>
      <t>Corpo BSTC (greide) diâmetro 0,30 m CA-1 MF inclusive escavação, reaterro e transporte do tubo em Vias Urbanas</t>
    </r>
  </si>
  <si>
    <r>
      <rPr>
        <sz val="7"/>
        <rFont val="Arial"/>
        <family val="2"/>
      </rPr>
      <t>Corpo BSTC (greide) diâmetro 0,40 m CA-1 MF inclusive escavação, reaterro e transporte do tubo em Vias Urbanas</t>
    </r>
  </si>
  <si>
    <r>
      <rPr>
        <sz val="7"/>
        <rFont val="Arial"/>
        <family val="2"/>
      </rPr>
      <t>Corpo BSTC (greide) diâmetro 0,40 m CA-2 MF inclusive escavação, reaterro e transporte do tubo em Vias Urbanas</t>
    </r>
  </si>
  <si>
    <r>
      <rPr>
        <sz val="7"/>
        <rFont val="Arial"/>
        <family val="2"/>
      </rPr>
      <t>Corpo BSTC (greide) diâmetro 0,60 m CA-1 MF inclusive escavação, reaterro e transporte do tubo em Vias Urbanas</t>
    </r>
  </si>
  <si>
    <r>
      <rPr>
        <sz val="7"/>
        <rFont val="Arial"/>
        <family val="2"/>
      </rPr>
      <t>Corpo BSTC (greide) diâmetro 0,60 m CA-1 PB inclusive escavação, reaterro e transporte do tubo em Vias Urbanas</t>
    </r>
  </si>
  <si>
    <r>
      <rPr>
        <sz val="7"/>
        <rFont val="Arial"/>
        <family val="2"/>
      </rPr>
      <t>Corpo BSTC (greide) diâmetro 0,60 m CA-2 MF inclusive escavação, reaterro e transporte do tubo em Vias Urbanas</t>
    </r>
  </si>
  <si>
    <r>
      <rPr>
        <sz val="7"/>
        <rFont val="Arial"/>
        <family val="2"/>
      </rPr>
      <t>Corpo BSTC (greide) diâmetro 0,60 m CA-2 PB inclusive escavação, reaterro e transporte do tubo em Vias Urbanas</t>
    </r>
  </si>
  <si>
    <r>
      <rPr>
        <sz val="7"/>
        <rFont val="Arial"/>
        <family val="2"/>
      </rPr>
      <t>Corpo BSTC (greide) diâmetro 0,80 m CA-1 MF inclusive escavação, reaterro e transporte do tubo em Vias Urbanas</t>
    </r>
  </si>
  <si>
    <r>
      <rPr>
        <sz val="7"/>
        <rFont val="Arial"/>
        <family val="2"/>
      </rPr>
      <t>Corpo BSTC (greide) diâmetro 0,80 m CA-1 PB inclusive escavação, reaterro e transporte do tubo em Vias Urbanas</t>
    </r>
  </si>
  <si>
    <r>
      <rPr>
        <sz val="7"/>
        <rFont val="Arial"/>
        <family val="2"/>
      </rPr>
      <t>Corpo BSTC (greide) diâmetro 0,80 m CA-2 MF inclusive escavação, reaterro e transporte do tubo em Vias Urbanas</t>
    </r>
  </si>
  <si>
    <r>
      <rPr>
        <sz val="7"/>
        <rFont val="Arial"/>
        <family val="2"/>
      </rPr>
      <t>Corpo BSTC (greide) diâmetro 0,80 m CA-2 PB inclusive escavação, reaterro e transporte do tubo em Vias Urbanas</t>
    </r>
  </si>
  <si>
    <r>
      <rPr>
        <sz val="7"/>
        <rFont val="Arial"/>
        <family val="2"/>
      </rPr>
      <t>Corpo BSTC (greide) diâmetro 1,00 m CA-1 MF inclusive escavação, reaterro e transporte do tubo em Vias Urbanas</t>
    </r>
  </si>
  <si>
    <r>
      <rPr>
        <sz val="7"/>
        <rFont val="Arial"/>
        <family val="2"/>
      </rPr>
      <t>Corpo BSTC (greide) diâmetro 1,00 m CA-1 PB inclusive escavação, reaterro e transporte do tubo em Vias Urbanas</t>
    </r>
  </si>
  <si>
    <r>
      <rPr>
        <sz val="7"/>
        <rFont val="Arial"/>
        <family val="2"/>
      </rPr>
      <t>Corpo BSTC (greide) diâmetro 1,00 m CA-2 MF inclusive escavação, reaterro e transporte do tubo em Vias Urbanas</t>
    </r>
  </si>
  <si>
    <r>
      <rPr>
        <sz val="7"/>
        <rFont val="Arial"/>
        <family val="2"/>
      </rPr>
      <t>Corpo BSTC (greide) diâmetro 1,00 m CA-2 PB inclusive escavação, reaterro e transporte do tubo em Vias Urbanas</t>
    </r>
  </si>
  <si>
    <r>
      <rPr>
        <sz val="7"/>
        <rFont val="Arial"/>
        <family val="2"/>
      </rPr>
      <t>Corpo BSTC (greide) diâmetro 1,20 m CA-1 MF inclusive escavação, reaterro e transporte do tubo em Vias Urbanas</t>
    </r>
  </si>
  <si>
    <r>
      <rPr>
        <sz val="7"/>
        <rFont val="Arial"/>
        <family val="2"/>
      </rPr>
      <t>Corpo BSTC (greide) diâmetro 1,20 m CA-1 PB inclusive escavação, reaterro e transporte do tubo em Vias Urbanas</t>
    </r>
  </si>
  <si>
    <r>
      <rPr>
        <sz val="7"/>
        <rFont val="Arial"/>
        <family val="2"/>
      </rPr>
      <t>Corpo BSTC (greide) diâmetro 1,20 m CA-2 MF inclusive escavação, reaterro e transporte do tubo, em Vias Urbanas</t>
    </r>
  </si>
  <si>
    <r>
      <rPr>
        <sz val="7"/>
        <rFont val="Arial"/>
        <family val="2"/>
      </rPr>
      <t>Corpo BSTC (greide) diâmetro 1,20 m CA-2 PB inclusive escavação, reaterro e transporte do tubo em Vias Urbanas</t>
    </r>
  </si>
  <si>
    <r>
      <rPr>
        <sz val="7"/>
        <rFont val="Arial"/>
        <family val="2"/>
      </rPr>
      <t>Corpo BSTC (grota) diâmetro 0,60 m CA-1 MF exclusive escavação e reaterro, inclusive transporte do tubo em Vias Urbanas</t>
    </r>
  </si>
  <si>
    <r>
      <rPr>
        <sz val="7"/>
        <rFont val="Arial"/>
        <family val="2"/>
      </rPr>
      <t>Corpo BSTC (grota) diâmetro 0,60 m CA-1 PB exclusive escavação e reaterro, inclusive transporte do tubo em Vias Urbanas</t>
    </r>
  </si>
  <si>
    <r>
      <rPr>
        <sz val="7"/>
        <rFont val="Arial"/>
        <family val="2"/>
      </rPr>
      <t>Corpo BSTC (grota) diâmetro 0,60 m CA-2 MF exclusive escavação e reaterro, inclusive transporte do tubo em Vias Urbanas</t>
    </r>
  </si>
  <si>
    <r>
      <rPr>
        <sz val="7"/>
        <rFont val="Arial"/>
        <family val="2"/>
      </rPr>
      <t>Corpo BSTC (grota) diâmetro 0,60 m CA-2 PB exclusive escavação e reaterro, inclusive transporte do tubo em Vias Urbanas</t>
    </r>
  </si>
  <si>
    <r>
      <rPr>
        <sz val="7"/>
        <rFont val="Arial"/>
        <family val="2"/>
      </rPr>
      <t>Corpo BSTC (grota) diâmetro 0,80 m CA-1 MF exclusive escavação e reaterro, inclusive transporte do tubo em Vias Urbanas</t>
    </r>
  </si>
  <si>
    <r>
      <rPr>
        <sz val="7"/>
        <rFont val="Arial"/>
        <family val="2"/>
      </rPr>
      <t>Corpo BSTC (grota) diâmetro 0,80 m CA-1 PB exclusive escavação e reaterro, inclusive transporte do tubo em Vias Urbanas</t>
    </r>
  </si>
  <si>
    <r>
      <rPr>
        <sz val="7"/>
        <rFont val="Arial"/>
        <family val="2"/>
      </rPr>
      <t>Corpo BSTC (grota) diâmetro 0,80 m CA-2 MF exclusive escavação e reaterro, inclusive transporte do tubo em Vias Urbanas</t>
    </r>
  </si>
  <si>
    <r>
      <rPr>
        <sz val="7"/>
        <rFont val="Arial"/>
        <family val="2"/>
      </rPr>
      <t>Corpo BSTC (grota) diâmetro 0,80 m CA-2 PB exclusive escavação e reaterro, inclusive transporte do tubo em Vias Urbanas</t>
    </r>
  </si>
  <si>
    <r>
      <rPr>
        <sz val="7"/>
        <rFont val="Arial"/>
        <family val="2"/>
      </rPr>
      <t>Corpo BSTC (grota) diâmetro 1,00 m CA-1 MF exclusive escavação e reaterro, inclusive transporte do tubo em Vias Urbanas</t>
    </r>
  </si>
  <si>
    <r>
      <rPr>
        <sz val="7"/>
        <rFont val="Arial"/>
        <family val="2"/>
      </rPr>
      <t>Corpo BSTC (grota) diâmetro 1,00 m CA-1 PB exclusive escavação e reaterro, inclusive transporte do tubo em Vias Urbanas</t>
    </r>
  </si>
  <si>
    <r>
      <rPr>
        <sz val="7"/>
        <rFont val="Arial"/>
        <family val="2"/>
      </rPr>
      <t>Corpo BSTC (grota) diâmetro 1,00 m CA-2 MF exclusive escavação e reaterro, inclusive transporte do tubo em Vias Urbanas</t>
    </r>
  </si>
  <si>
    <r>
      <rPr>
        <sz val="7"/>
        <rFont val="Arial"/>
        <family val="2"/>
      </rPr>
      <t>Corpo BSTC (grota) diâmetro 1,00 m CA-2 PB exclusive escavação e reaterro, inclusive transporte do tubo em Vias Urbanas</t>
    </r>
  </si>
  <si>
    <r>
      <rPr>
        <sz val="7"/>
        <rFont val="Arial"/>
        <family val="2"/>
      </rPr>
      <t>Corpo BSTC (grota) diâmetro 1,00 m CA-3 MF exclusive escavação e reaterro, inclusive transporte do tubo em Vias Urbanas</t>
    </r>
  </si>
  <si>
    <r>
      <rPr>
        <sz val="7"/>
        <rFont val="Arial"/>
        <family val="2"/>
      </rPr>
      <t>Corpo BSTC (grota) diâmetro 1,20 m CA-1 MF exclusive escavação e reaterro, inclusive transporte do tubo em Vias Urbanas</t>
    </r>
  </si>
  <si>
    <r>
      <rPr>
        <sz val="7"/>
        <rFont val="Arial"/>
        <family val="2"/>
      </rPr>
      <t>Corpo BSTC (grota) diâmetro 1,20 m CA-1 PB exclusive escavação e reaterro, inclusive transporte do tubo em Vias Urbanas</t>
    </r>
  </si>
  <si>
    <r>
      <rPr>
        <sz val="7"/>
        <rFont val="Arial"/>
        <family val="2"/>
      </rPr>
      <t>Corpo BSTC (grota) diâmetro 1,20 m CA-2 MF exclusive escavação e reaterro, inclusive transporte do tubo em Vias Urbanas</t>
    </r>
  </si>
  <si>
    <r>
      <rPr>
        <sz val="7"/>
        <rFont val="Arial"/>
        <family val="2"/>
      </rPr>
      <t>Corpo BSTC (grota) diâmetro 1,20 m CA-2 PB exclusive escavação e reaterro, inclusive transporte do tubo em Vias Urbanas</t>
    </r>
  </si>
  <si>
    <r>
      <rPr>
        <sz val="7"/>
        <rFont val="Arial"/>
        <family val="2"/>
      </rPr>
      <t>Corpo BSTC (grota) diâmetro 1,20 m CA-3 MF exclusive escavação e reaterro, inclusive transporte do tubo em Vias Urbanas</t>
    </r>
  </si>
  <si>
    <r>
      <rPr>
        <sz val="7"/>
        <rFont val="Arial"/>
        <family val="2"/>
      </rPr>
      <t>Corpo BSTC (grota) diâmetro 1,50 m CA-1 MF exclusive escavação e reaterro, inclusive transporte do tubo em Vias Urbanas</t>
    </r>
  </si>
  <si>
    <r>
      <rPr>
        <sz val="7"/>
        <rFont val="Arial"/>
        <family val="2"/>
      </rPr>
      <t>Corpo BSTC (grota) diâmetro 1,50 m CA-1 PB exclusive escavação e reaterro, inclusive transporte do tubo em Vias Urbanas</t>
    </r>
  </si>
  <si>
    <r>
      <rPr>
        <sz val="7"/>
        <rFont val="Arial"/>
        <family val="2"/>
      </rPr>
      <t>Corpo BSTC (grota) diâmetro 1,50 m CA-2 MF exclusive escavação e reaterro, inclusive transporte do tubo em Vias Urbanas</t>
    </r>
  </si>
  <si>
    <r>
      <rPr>
        <sz val="7"/>
        <rFont val="Arial"/>
        <family val="2"/>
      </rPr>
      <t>Corpo BSTC (grota) diâmetro 1,50 m CA-2 PB exclusive escavação e reaterro, inclusive transporte do tubo em Vias Urbanas</t>
    </r>
  </si>
  <si>
    <r>
      <rPr>
        <sz val="7"/>
        <rFont val="Arial"/>
        <family val="2"/>
      </rPr>
      <t>Corpo BSTC (grota) diâmetro 1,50 m CA-3 MF exclusive escavação e reaterro, inclusive transporte do tubo em Vias Urbanas</t>
    </r>
  </si>
  <si>
    <r>
      <rPr>
        <sz val="7"/>
        <rFont val="Arial"/>
        <family val="2"/>
      </rPr>
      <t>Corpo BTTC (grota) diâmetro 0,60 m CA-1 MF exclusive escavação e reaterro, inclusive transporte do tubo em Vias Urbanas</t>
    </r>
  </si>
  <si>
    <r>
      <rPr>
        <sz val="7"/>
        <rFont val="Arial"/>
        <family val="2"/>
      </rPr>
      <t>Corpo BTTC (grota) diâmetro 0,60 m CA-1 PB exclusive escavação e reaterro, inclusive transporte do tubo em Vias Urbanas</t>
    </r>
  </si>
  <si>
    <r>
      <rPr>
        <sz val="7"/>
        <rFont val="Arial"/>
        <family val="2"/>
      </rPr>
      <t>Corpo BTTC (grota) diâmetro 0,60 m CA-2 MF exclusive escavação e reaterro, inclusive transporte do tubo em Vias Urbanas</t>
    </r>
  </si>
  <si>
    <r>
      <rPr>
        <sz val="7"/>
        <rFont val="Arial"/>
        <family val="2"/>
      </rPr>
      <t>Corpo BTTC (grota) diâmetro 0,60 m CA-2 PB exclusive escavação e reaterro, inclusive transporte do tubo em Vias Urbanas</t>
    </r>
  </si>
  <si>
    <r>
      <rPr>
        <sz val="7"/>
        <rFont val="Arial"/>
        <family val="2"/>
      </rPr>
      <t>Corpo BTTC (grota) diâmetro 0,80 m CA-1 MF exclusive escavação e reaterro, inclusive transporte do tubo em Vias Urbanas</t>
    </r>
  </si>
  <si>
    <r>
      <rPr>
        <sz val="7"/>
        <rFont val="Arial"/>
        <family val="2"/>
      </rPr>
      <t>Corpo BTTC (grota) diâmetro 0,80 m CA-1 PB exclusive escavação e reaterro, inclusive transporte do tubo em Vias Urbanas</t>
    </r>
  </si>
  <si>
    <r>
      <rPr>
        <sz val="7"/>
        <rFont val="Arial"/>
        <family val="2"/>
      </rPr>
      <t>Corpo BTTC (grota) diâmetro 0,80 m CA-2 MF exclusive escavação e reaterro, inclusive transporte do tubo em Vias Urbanas</t>
    </r>
  </si>
  <si>
    <r>
      <rPr>
        <sz val="7"/>
        <rFont val="Arial"/>
        <family val="2"/>
      </rPr>
      <t>Corpo BTTC (grota) diâmetro 0,80 m CA-2 PB exclusive escavação e reaterro, inclusive transporte do tubo em Vias Urbanas</t>
    </r>
  </si>
  <si>
    <r>
      <rPr>
        <sz val="7"/>
        <rFont val="Arial"/>
        <family val="2"/>
      </rPr>
      <t>Corpo BTTC (grota) diâmetro 1,00 m CA-1 MF exclusive escavação e reaterro, inclusive transporte do tubo em Vias Urbanas</t>
    </r>
  </si>
  <si>
    <r>
      <rPr>
        <sz val="7"/>
        <rFont val="Arial"/>
        <family val="2"/>
      </rPr>
      <t>Corpo BTTC (grota) diâmetro 1,00 m CA-1 PB exclusive escavação e reaterro, inclusive transporte do tubo em Vias Urbanas</t>
    </r>
  </si>
  <si>
    <r>
      <rPr>
        <sz val="7"/>
        <rFont val="Arial"/>
        <family val="2"/>
      </rPr>
      <t>Corpo BTTC (grota) diâmetro 1,00 m CA-2 MF exclusive escavação e reaterro, inclusive transporte do tubo em Vias Urbanas</t>
    </r>
  </si>
  <si>
    <r>
      <rPr>
        <sz val="7"/>
        <rFont val="Arial"/>
        <family val="2"/>
      </rPr>
      <t>Corpo BTTC (grota) diâmetro 1,00 m CA-2 PB exclusive escavação e reaterro, inclusive transporte do tubo em Vias Urbanas</t>
    </r>
  </si>
  <si>
    <r>
      <rPr>
        <sz val="7"/>
        <rFont val="Arial"/>
        <family val="2"/>
      </rPr>
      <t>Corpo BTTC (grota) diâmetro 1,00 m CA-3 MF exclusive escavação e reaterro, inclusive transporte do tubo em Vias Urbanas</t>
    </r>
  </si>
  <si>
    <r>
      <rPr>
        <sz val="7"/>
        <rFont val="Arial"/>
        <family val="2"/>
      </rPr>
      <t>Corpo BTTC (grota) diâmetro 1,20 m CA-1 MF exclusive escavação e reaterro, inclusive transporte do tubo em Vias Urbanas</t>
    </r>
  </si>
  <si>
    <r>
      <rPr>
        <sz val="7"/>
        <rFont val="Arial"/>
        <family val="2"/>
      </rPr>
      <t>Corpo BTTC (grota) diâmetro 1,20 m CA-1 PB exclusive escavação e reaterro, inclusive transporte do tubo em Vias Urbanas</t>
    </r>
  </si>
  <si>
    <r>
      <rPr>
        <sz val="7"/>
        <rFont val="Arial"/>
        <family val="2"/>
      </rPr>
      <t>Corpo BTTC (grota) diâmetro 1,20 m CA-2 MF exclusive escavação e reaterro, inclusive transporte do tubo em Vias Urbanas</t>
    </r>
  </si>
  <si>
    <r>
      <rPr>
        <sz val="7"/>
        <rFont val="Arial"/>
        <family val="2"/>
      </rPr>
      <t>Corpo BTTC (grota) diâmetro 1,20 m CA-2 PB exclusive escavação e reaterro, inclusive transporte do tubo em Vias Urbanas</t>
    </r>
  </si>
  <si>
    <r>
      <rPr>
        <sz val="7"/>
        <rFont val="Arial"/>
        <family val="2"/>
      </rPr>
      <t>Corpo BTTC (grota) diâmetro 1,20 m CA-3 MF exclusive escavação e reaterro, inclusive transporte do tubo em Vias Urbanas</t>
    </r>
  </si>
  <si>
    <r>
      <rPr>
        <sz val="7"/>
        <rFont val="Arial"/>
        <family val="2"/>
      </rPr>
      <t>Corpo BTTC (grota) diâmetro 1,50 m CA-1 MF exclusive escavação e reaterro, inclusive transporte do tubo em Vias Urbanas</t>
    </r>
  </si>
  <si>
    <r>
      <rPr>
        <sz val="7"/>
        <rFont val="Arial"/>
        <family val="2"/>
      </rPr>
      <t>Corpo BTTC (grota) diâmetro 1,50 m CA-1 PB exclusive escavação e reaterro, inclusive transporte do tubo em Vias Urbanas</t>
    </r>
  </si>
  <si>
    <r>
      <rPr>
        <sz val="7"/>
        <rFont val="Arial"/>
        <family val="2"/>
      </rPr>
      <t>Corpo BTTC (grota) diâmetro 1,50 m CA-2 MF exclusive escavação e reaterro, inclusive transporte do tubo em Vias Urbanas</t>
    </r>
  </si>
  <si>
    <r>
      <rPr>
        <sz val="7"/>
        <rFont val="Arial"/>
        <family val="2"/>
      </rPr>
      <t>Corpo BTTC (grota) diâmetro 1,50 m CA-2 PB exclusive escavação e reaterro, inclusive transporte do tubo em Vias Urbanas</t>
    </r>
  </si>
  <si>
    <r>
      <rPr>
        <sz val="7"/>
        <rFont val="Arial"/>
        <family val="2"/>
      </rPr>
      <t>Corpo BTTC (grota) diâmetro 1,50 m CA-3 MF exclusive escavação e reaterro, inclusive transporte do tubo em Vias Urbanas</t>
    </r>
  </si>
  <si>
    <r>
      <rPr>
        <sz val="7"/>
        <rFont val="Arial"/>
        <family val="2"/>
      </rPr>
      <t>Corpo de BDCC 1,00 x 1,00 m em Vias Urbanas</t>
    </r>
  </si>
  <si>
    <r>
      <rPr>
        <sz val="7"/>
        <rFont val="Arial"/>
        <family val="2"/>
      </rPr>
      <t>Corpo de BDCC 1,50 x 1,50 m projeto DNIT para H &lt; = 2,50 m em Vias Urbanas</t>
    </r>
  </si>
  <si>
    <r>
      <rPr>
        <sz val="7"/>
        <rFont val="Arial"/>
        <family val="2"/>
      </rPr>
      <t>Corpo de BDCC 1,50 x 1,50 m projeto DNIT para 2,50 &lt; H &lt; 5,00 m em Vias Urbanas</t>
    </r>
  </si>
  <si>
    <r>
      <rPr>
        <sz val="7"/>
        <rFont val="Arial"/>
        <family val="2"/>
      </rPr>
      <t>Corpo de BDCC 2,00 x 1,20 m - tudo incluido conforme projeto em Vias Urbanas</t>
    </r>
  </si>
  <si>
    <r>
      <rPr>
        <sz val="7"/>
        <rFont val="Arial"/>
        <family val="2"/>
      </rPr>
      <t>Corpo de BDCC 2,00 x 2,00 m projeto DNIT para H &lt; = 2,50 m em Vias Urbanas</t>
    </r>
  </si>
  <si>
    <r>
      <rPr>
        <sz val="7"/>
        <rFont val="Arial"/>
        <family val="2"/>
      </rPr>
      <t>Corpo de BDCC 2,00 x 2,00 m projeto DNIT para 2,50 &lt; H &lt; 5,00 m em Vias Urbanas</t>
    </r>
  </si>
  <si>
    <r>
      <rPr>
        <sz val="7"/>
        <rFont val="Arial"/>
        <family val="2"/>
      </rPr>
      <t>Corpo de BDCC 2,00 x 2,50 m em Vias Urbanas</t>
    </r>
  </si>
  <si>
    <r>
      <rPr>
        <sz val="7"/>
        <rFont val="Arial"/>
        <family val="2"/>
      </rPr>
      <t>Corpo de BDCC 2,00 x 3,00 m projeto DNIT p/ 2,50 &lt; H &lt; 5,00 m em Vias Urbanas</t>
    </r>
  </si>
  <si>
    <r>
      <rPr>
        <sz val="7"/>
        <rFont val="Arial"/>
        <family val="2"/>
      </rPr>
      <t>Corpo de BDCC 2,00 x 3,00 m projeto DNIT para H &lt; = 2,50 m em Vias Urbanas</t>
    </r>
  </si>
  <si>
    <r>
      <rPr>
        <sz val="7"/>
        <rFont val="Arial"/>
        <family val="2"/>
      </rPr>
      <t>Corpo de BDCC 2,50 x 2,00m - tudo incluído conforme projeto em Vias Urbanas</t>
    </r>
  </si>
  <si>
    <r>
      <rPr>
        <sz val="7"/>
        <rFont val="Arial"/>
        <family val="2"/>
      </rPr>
      <t>Corpo de BDCC 2,50 x 2,50 m projeto DNIT p/ 2,50&lt; H &lt;5,00 m em Vias Urbanas</t>
    </r>
  </si>
  <si>
    <r>
      <rPr>
        <sz val="7"/>
        <rFont val="Arial"/>
        <family val="2"/>
      </rPr>
      <t>Corpo de BDCC 2,50 x 2,50 m projeto DNIT para H&lt;=2,50m em Vias Urbanas</t>
    </r>
  </si>
  <si>
    <r>
      <rPr>
        <sz val="7"/>
        <rFont val="Arial"/>
        <family val="2"/>
      </rPr>
      <t>Corpo de BDCC 2,50 x 3,00 m projeto DNIT p/ H &lt;= 2,50 m em Vias Urbanas</t>
    </r>
  </si>
  <si>
    <r>
      <rPr>
        <sz val="7"/>
        <rFont val="Arial"/>
        <family val="2"/>
      </rPr>
      <t>Corpo de BDCC 2,50 x 3,00 m projeto DNIT p/ 2,50 &lt; H &lt; 5,00 m em Vias Urbanas</t>
    </r>
  </si>
  <si>
    <r>
      <rPr>
        <sz val="7"/>
        <rFont val="Arial"/>
        <family val="2"/>
      </rPr>
      <t>Corpo de BDCC 3,00 x 3,00 m projeto DNIT p/ 2,50 &lt; H &lt; 5,00 m em Vias Urbanas</t>
    </r>
  </si>
  <si>
    <r>
      <rPr>
        <sz val="7"/>
        <rFont val="Arial"/>
        <family val="2"/>
      </rPr>
      <t>Corpo de BDCC 3,00 x 3,00 m projeto DNIT para H &lt;= 2,50 m em Vias Urbanas</t>
    </r>
  </si>
  <si>
    <r>
      <rPr>
        <sz val="7"/>
        <rFont val="Arial"/>
        <family val="2"/>
      </rPr>
      <t>Corpo de BSCC 1,50 x 1,50 m projeto DNIT p/ H &lt;= 2,50 m em Vias Urbanas</t>
    </r>
  </si>
  <si>
    <r>
      <rPr>
        <sz val="7"/>
        <rFont val="Arial"/>
        <family val="2"/>
      </rPr>
      <t>Corpo de BSCC 1,50x1,50m projeto DNIT p/ 2,50&lt; H &lt;5,00m em Vias Urbanas</t>
    </r>
  </si>
  <si>
    <r>
      <rPr>
        <sz val="7"/>
        <rFont val="Arial"/>
        <family val="2"/>
      </rPr>
      <t>Corpo de BSCC 2,00 x 2,00m projeto DNIT para 5,00 &lt; H &lt; 7,50 m em Vias Urbanas</t>
    </r>
  </si>
  <si>
    <r>
      <rPr>
        <sz val="7"/>
        <rFont val="Arial"/>
        <family val="2"/>
      </rPr>
      <t>Corpo de BSCC 2,00x2,00m projeto DNIT p/ H&lt;=2,50m em Vias Urbanas</t>
    </r>
  </si>
  <si>
    <r>
      <rPr>
        <sz val="7"/>
        <rFont val="Arial"/>
        <family val="2"/>
      </rPr>
      <t>Corpo de BSCC 2,00x2,00m projeto DNIT p/ 2,50&lt; H &lt;5,00m em Vias Urbanas</t>
    </r>
  </si>
  <si>
    <r>
      <rPr>
        <sz val="7"/>
        <rFont val="Arial"/>
        <family val="2"/>
      </rPr>
      <t>Corpo de BSCC 2,00x3,00m projeto DNIT p/ H&lt;=2,50m em Vias Urbanas</t>
    </r>
  </si>
  <si>
    <r>
      <rPr>
        <sz val="7"/>
        <rFont val="Arial"/>
        <family val="2"/>
      </rPr>
      <t>Corpo de BSCC 2,00x3,00m projeto DNIT p/ 2,50&lt; H &lt;5,00m em Vias Urbanas</t>
    </r>
  </si>
  <si>
    <r>
      <rPr>
        <sz val="7"/>
        <rFont val="Arial"/>
        <family val="2"/>
      </rPr>
      <t>Corpo de BSCC 2,50 x 2,50 m, para H &lt; = 2,50 m em Vias Urbanas</t>
    </r>
  </si>
  <si>
    <r>
      <rPr>
        <sz val="7"/>
        <rFont val="Arial"/>
        <family val="2"/>
      </rPr>
      <t>Corpo de BSCC 2,50x2,50m projeto DNIT para 2,50&lt; H &lt;5,00m em Vias Urbanas</t>
    </r>
  </si>
  <si>
    <r>
      <rPr>
        <sz val="7"/>
        <rFont val="Arial"/>
        <family val="2"/>
      </rPr>
      <t>Corpo de BSCC 2,50x3,00m projeto DNIT para H&lt;=2,50m em Vias Urbanas</t>
    </r>
  </si>
  <si>
    <r>
      <rPr>
        <sz val="7"/>
        <rFont val="Arial"/>
        <family val="2"/>
      </rPr>
      <t>Corpo de BSCC 2,50x3,00m projeto DNIT para 2,50&lt; H &lt;5,00m em Vias Urbanas</t>
    </r>
  </si>
  <si>
    <r>
      <rPr>
        <sz val="7"/>
        <rFont val="Arial"/>
        <family val="2"/>
      </rPr>
      <t>Corpo de BSCC 3,00x1,50 para 2,50m&lt; H &lt; 5,00m , em Vias Urbanas</t>
    </r>
  </si>
  <si>
    <r>
      <rPr>
        <sz val="7"/>
        <rFont val="Arial"/>
        <family val="2"/>
      </rPr>
      <t>Corpo de BSCC 3,00x3,00m projeto DNIT para H&lt;=2,50m em Vias Urbanas</t>
    </r>
  </si>
  <si>
    <r>
      <rPr>
        <sz val="7"/>
        <rFont val="Arial"/>
        <family val="2"/>
      </rPr>
      <t>Corpo de BSCC 3,00x3,00m projeto DNIT para 2,50&lt; H &lt;5,00m em Vias Urbanas</t>
    </r>
  </si>
  <si>
    <r>
      <rPr>
        <sz val="7"/>
        <rFont val="Arial"/>
        <family val="2"/>
      </rPr>
      <t>Corpo de BTCC 1,50 x 1,50 m projeto DNIT para H &lt;= 2,50 m em Vias Urbanas</t>
    </r>
  </si>
  <si>
    <r>
      <rPr>
        <sz val="7"/>
        <rFont val="Arial"/>
        <family val="2"/>
      </rPr>
      <t>Corpo de BTCC 1,50 x 1,50 m projeto DNIT para 2,50 &lt; H &lt; 5,00 m em Vias Urbanas</t>
    </r>
  </si>
  <si>
    <r>
      <rPr>
        <sz val="7"/>
        <rFont val="Arial"/>
        <family val="2"/>
      </rPr>
      <t>Corpo de BTCC 2,00 x 2,00 m projeto DNIT para H &lt;= 2,50 m em Vias Urbanas</t>
    </r>
  </si>
  <si>
    <r>
      <rPr>
        <sz val="7"/>
        <rFont val="Arial"/>
        <family val="2"/>
      </rPr>
      <t>Corpo de BTCC 2,00 x 2,00 m projeto DNIT para 2,50 &lt; H &lt; 5,00 m em Vias Urbanas</t>
    </r>
  </si>
  <si>
    <r>
      <rPr>
        <sz val="7"/>
        <rFont val="Arial"/>
        <family val="2"/>
      </rPr>
      <t>Corpo de BTCC 2,00 x 3,00 m projeto DNIT para H &lt; = 2,50 m em Vias Urbanas</t>
    </r>
  </si>
  <si>
    <r>
      <rPr>
        <sz val="7"/>
        <rFont val="Arial"/>
        <family val="2"/>
      </rPr>
      <t>Corpo de BTCC 2,00 x 3,00 m projeto DNIT para 2,50 &lt; H &lt; 5,00 m em Vias Urbanas</t>
    </r>
  </si>
  <si>
    <r>
      <rPr>
        <sz val="7"/>
        <rFont val="Arial"/>
        <family val="2"/>
      </rPr>
      <t>Corpo de BTCC 2,50 x 2,50 m projeto DNIT para H &lt; = 2,50 m em Vias Urbanas</t>
    </r>
  </si>
  <si>
    <r>
      <rPr>
        <sz val="7"/>
        <rFont val="Arial"/>
        <family val="2"/>
      </rPr>
      <t>Corpo de BTCC 2,50 x 2,50 m projeto DNIT para 2,50 &lt; H &lt; 5,00 m em Vias Urbanas</t>
    </r>
  </si>
  <si>
    <r>
      <rPr>
        <sz val="7"/>
        <rFont val="Arial"/>
        <family val="2"/>
      </rPr>
      <t>Corpo de BTCC 2,50 x 3,00 m projeto DNIT para H &lt; = 2,50 m em Vias Urbanas</t>
    </r>
  </si>
  <si>
    <r>
      <rPr>
        <sz val="7"/>
        <rFont val="Arial"/>
        <family val="2"/>
      </rPr>
      <t>Corpo de BTCC 2,50 x 3,00 m projeto DNIT para H &lt; = 2,50 m em vias Urbanas</t>
    </r>
  </si>
  <si>
    <r>
      <rPr>
        <sz val="7"/>
        <rFont val="Arial"/>
        <family val="2"/>
      </rPr>
      <t>Corpo de BTCC 2,50 x 3,00 m projeto DNIT para 2,50 &lt; H &lt; 5,00 m em Vias Urbanas</t>
    </r>
  </si>
  <si>
    <r>
      <rPr>
        <sz val="7"/>
        <rFont val="Arial"/>
        <family val="2"/>
      </rPr>
      <t>Corpo de BTCC 3,00 x 3,00 m projeto DNIT para H &lt; = 2,50 m em Vias Urbanas</t>
    </r>
  </si>
  <si>
    <r>
      <rPr>
        <sz val="7"/>
        <rFont val="Arial"/>
        <family val="2"/>
      </rPr>
      <t>Corpo de BTCC 3,00 x 3,00 m projeto DNIT para 2,50 &lt; H &lt; 5,00 m em Vias Urbanas</t>
    </r>
  </si>
  <si>
    <r>
      <rPr>
        <sz val="7"/>
        <rFont val="Arial"/>
        <family val="2"/>
      </rPr>
      <t>Corta-rio (escavação mecânica em material de 1ª cat.) H=1,50 a 3,00 m em Vias Urbanas</t>
    </r>
  </si>
  <si>
    <r>
      <rPr>
        <sz val="7"/>
        <rFont val="Arial"/>
        <family val="2"/>
      </rPr>
      <t>Corta-rio (escavação mecânica em material de 2ª cat.) H=1,50 a 3,00m em Vias Urbanas</t>
    </r>
  </si>
  <si>
    <r>
      <rPr>
        <sz val="7"/>
        <rFont val="Arial"/>
        <family val="2"/>
      </rPr>
      <t>Corta-rio (escavação mecânica em material de 3º cat.) H=0,00 a 1,50m em Vias Urbanas</t>
    </r>
  </si>
  <si>
    <r>
      <rPr>
        <sz val="7"/>
        <rFont val="Arial"/>
        <family val="2"/>
      </rPr>
      <t>Corte e esmerilhamento de pontas de tubo de ferro fundido DN 500 a 200mm em Vias Urbanas</t>
    </r>
  </si>
  <si>
    <r>
      <rPr>
        <sz val="7"/>
        <rFont val="Arial"/>
        <family val="2"/>
      </rPr>
      <t>Demolição manual alvenaria tijolo furado assentado com argamassa em Vias Urbanas</t>
    </r>
  </si>
  <si>
    <r>
      <rPr>
        <sz val="7"/>
        <rFont val="Arial"/>
        <family val="2"/>
      </rPr>
      <t>Demolição manual de concreto armado em Vias Urbanas</t>
    </r>
  </si>
  <si>
    <r>
      <rPr>
        <sz val="7"/>
        <rFont val="Arial"/>
        <family val="2"/>
      </rPr>
      <t>Demolição manual de concreto simples ou ciclópico em Vias Urbanas</t>
    </r>
  </si>
  <si>
    <r>
      <rPr>
        <sz val="7"/>
        <rFont val="Arial"/>
        <family val="2"/>
      </rPr>
      <t>Demolição mecânica de concreto em Vias Urbanas</t>
    </r>
  </si>
  <si>
    <r>
      <rPr>
        <sz val="7"/>
        <rFont val="Arial"/>
        <family val="2"/>
      </rPr>
      <t>Descida d'água concreto simples (degraus) c/ caiação (DSA-03) apoio em Vias Urbanas</t>
    </r>
  </si>
  <si>
    <r>
      <rPr>
        <sz val="7"/>
        <rFont val="Arial"/>
        <family val="2"/>
      </rPr>
      <t>Deslocamento de cerca de tela galvanizada fio 12 malha 3" x 3", em Vias Urbanas</t>
    </r>
  </si>
  <si>
    <r>
      <rPr>
        <sz val="7"/>
        <rFont val="Arial"/>
        <family val="2"/>
      </rPr>
      <t>Dreno de alívio de pavimento (DP - DAP - 01), com tubo PVC d=50mm, geotêxtil não tecido RT 07 kN/m inclusive transporte da brita em Vias Urbanas</t>
    </r>
  </si>
  <si>
    <r>
      <rPr>
        <sz val="7"/>
        <rFont val="Arial"/>
        <family val="2"/>
      </rPr>
      <t>Dreno de PVC D = 100 mm em Vias Urbanas</t>
    </r>
  </si>
  <si>
    <r>
      <rPr>
        <sz val="7"/>
        <rFont val="Arial"/>
        <family val="2"/>
      </rPr>
      <t>Dreno de PVC D = 50 mm em Vias Urbanas</t>
    </r>
  </si>
  <si>
    <r>
      <rPr>
        <sz val="7"/>
        <rFont val="Arial"/>
        <family val="2"/>
      </rPr>
      <t>Dreno em PEAD perfurado diâm. = 100 mm, inclusive transporte do tubo, em Vias Urbanas</t>
    </r>
  </si>
  <si>
    <r>
      <rPr>
        <sz val="7"/>
        <rFont val="Arial"/>
        <family val="2"/>
      </rPr>
      <t>Dreno Longitudinal tipo Trincheira Drenante, H = 0,90 m com tubo poroso tipo PEAD d =100 mm, incluindo esc. mat. 3ª cat. e transporte do tubo em Vias Urbanas</t>
    </r>
  </si>
  <si>
    <r>
      <rPr>
        <sz val="7"/>
        <rFont val="Arial"/>
        <family val="2"/>
      </rPr>
      <t>Dreno Longitudinal tipo Trincheira Drenante, H = 0,90 m com tubo poroso tipo PEAD d=100 mm, inclusive esc. em mat. 1ª cat. e transporte do tubo em Vias Urbanas</t>
    </r>
  </si>
  <si>
    <r>
      <rPr>
        <sz val="7"/>
        <rFont val="Arial"/>
        <family val="2"/>
      </rPr>
      <t>Dreno Longitudinal tipo Trincheira Drenante, H=0,40m c/tubo poroso PEAD d = 65 mm, incl. esc. mat. 1ª cat., geotêxtil não tecido RT 07kN/m, V. Urbanas</t>
    </r>
  </si>
  <si>
    <r>
      <rPr>
        <sz val="7"/>
        <rFont val="Arial"/>
        <family val="2"/>
      </rPr>
      <t>Dreno ou Barbacã em tubo PVC, diâmetro de 2" em Vias Urbanas</t>
    </r>
  </si>
  <si>
    <r>
      <rPr>
        <sz val="7"/>
        <rFont val="Arial"/>
        <family val="2"/>
      </rPr>
      <t>Dreno profundo com enchimento de areia, escavação em material 1ª categoria, inclusive transporte da areia, em vias Urbanas</t>
    </r>
  </si>
  <si>
    <r>
      <rPr>
        <sz val="7"/>
        <rFont val="Arial"/>
        <family val="2"/>
      </rPr>
      <t>Dreno profundo com enchimento de brita e areia (1:1) escavação em material 1ª categoria, inclusive transporte da areia e da brita em Vias Urbanas</t>
    </r>
  </si>
  <si>
    <r>
      <rPr>
        <sz val="7"/>
        <rFont val="Arial"/>
        <family val="2"/>
      </rPr>
      <t>Dreno profundo com enchimento de brita e areia (1:1) escavação em material 2ª categoria, inclusive transporte da areia e da brita em Vias Urbanas</t>
    </r>
  </si>
  <si>
    <r>
      <rPr>
        <sz val="7"/>
        <rFont val="Arial"/>
        <family val="2"/>
      </rPr>
      <t>Dreno profundo com enchimento de brita, escavação em material 1ª categoria, inclusive transporte da brita em Vias Urbanas</t>
    </r>
  </si>
  <si>
    <r>
      <rPr>
        <sz val="7"/>
        <rFont val="Arial"/>
        <family val="2"/>
      </rPr>
      <t>Dreno profundo com tubo poroso, D=0,20 m com enchim. de brita, escav. material 3ª categoria (DPR-01),  inclus. transporte brita e tubo,  Vias Urbanas</t>
    </r>
  </si>
  <si>
    <r>
      <rPr>
        <sz val="7"/>
        <rFont val="Arial"/>
        <family val="2"/>
      </rPr>
      <t>Dreno profundo com tubo poroso, D=0,20m com enchim. de brita e areia, escav. material 2ª categoria, inclusi. transp. areia,brita e tubo Vias Urbanas</t>
    </r>
  </si>
  <si>
    <r>
      <rPr>
        <sz val="7"/>
        <rFont val="Arial"/>
        <family val="2"/>
      </rPr>
      <t>Dreno profundo D=0,10m c/ enchim.brita, areia (1:1) escav. em mat. 3ª categoria, incl.geotêxtil não tecido RT 16kn/m, e transp. brita, areia V.Urbanas</t>
    </r>
  </si>
  <si>
    <r>
      <rPr>
        <sz val="7"/>
        <rFont val="Arial"/>
        <family val="2"/>
      </rPr>
      <t>Dreno profundo D=0,10m c/ enchim.brita,areia (1:1) escav.mat. 1ª categoria, incl. geotêxtil não tecido RT16 kn/m e transp. areia,brita- Vias Urbanas</t>
    </r>
  </si>
  <si>
    <r>
      <rPr>
        <sz val="7"/>
        <rFont val="Arial"/>
        <family val="2"/>
      </rPr>
      <t xml:space="preserve">Dreno profundo D=0,20m com enchimento de areia, escavação em material 1ª categoria (DPS
</t>
    </r>
    <r>
      <rPr>
        <sz val="7"/>
        <rFont val="Arial"/>
        <family val="2"/>
      </rPr>
      <t>-01), inclusive transporte da areia e do tubo em Vias Urbanas</t>
    </r>
  </si>
  <si>
    <r>
      <rPr>
        <sz val="7"/>
        <rFont val="Arial"/>
        <family val="2"/>
      </rPr>
      <t>Dreno profundo D=0,20m com enchimento de brita e areia, escavação em material 1ª categoria, inclusive transporte da brita e da areia, em Vias Urbanas</t>
    </r>
  </si>
  <si>
    <r>
      <rPr>
        <sz val="7"/>
        <rFont val="Arial"/>
        <family val="2"/>
      </rPr>
      <t>Dreno profundo para corte em solo, com enchimento em brita revestido com geotêxtil não tecido RT-16, inclusive transporte da brita em Vias Urbanas</t>
    </r>
  </si>
  <si>
    <r>
      <rPr>
        <sz val="7"/>
        <rFont val="Arial"/>
        <family val="2"/>
      </rPr>
      <t>Dreno profundo solo c/tubo PEAD perfur. D=100mm envolto geotêxtil não tecido RT16kn, preench.c/brita, inclus.transp.tubo exclus transp.brita V Urbanas</t>
    </r>
  </si>
  <si>
    <r>
      <rPr>
        <sz val="7"/>
        <rFont val="Arial"/>
        <family val="2"/>
      </rPr>
      <t>Dreno sub-horizontal D = 50 mm em PVC inclus. escavação em alteração de rocha, geotêxtil não tecido RT-16 exclusive transp. em Vias Urbanas</t>
    </r>
  </si>
  <si>
    <r>
      <rPr>
        <sz val="7"/>
        <rFont val="Arial"/>
        <family val="2"/>
      </rPr>
      <t>Dreno sub-horizontal D = 50 mm em PVC inclus.escavação em rocha sã, geotêxtil não tecido RT-16, exclusive transportes em Vias Urbanas</t>
    </r>
  </si>
  <si>
    <r>
      <rPr>
        <sz val="7"/>
        <rFont val="Arial"/>
        <family val="2"/>
      </rPr>
      <t>Dreno sub-horizontal D=50 mm inclusive geotêxtil não tecido RT 16 kn/m, em PVC, exclusive transportes em Vias Urbanas</t>
    </r>
  </si>
  <si>
    <r>
      <rPr>
        <sz val="7"/>
        <rFont val="Arial"/>
        <family val="2"/>
      </rPr>
      <t>Dreno sub-superficial rocha (h=0,55m) c/tubo PEAD perfur.d=100mm, env. geotêxtil RT-16, preenc.c/ brita, incl. transp. tubo, excl. transp brita-Vias Urb</t>
    </r>
  </si>
  <si>
    <r>
      <rPr>
        <sz val="7"/>
        <rFont val="Arial"/>
        <family val="2"/>
      </rPr>
      <t>Dreno vertical D = 75 mm em PVC, inclusive geotêxtil não tecido RT-16, exclusive transportes, em Vias Urbanas</t>
    </r>
  </si>
  <si>
    <r>
      <rPr>
        <sz val="7"/>
        <rFont val="Arial"/>
        <family val="2"/>
      </rPr>
      <t>Eletroduto de ferro galvanizado DN 4" , inclusive conexões, exclusive escavação e reaterro, fornecimento e assentamento, em Vias Urbanas</t>
    </r>
  </si>
  <si>
    <r>
      <rPr>
        <sz val="7"/>
        <rFont val="Arial"/>
        <family val="2"/>
      </rPr>
      <t>Eletroduto para rede de lógica, inclusive conexões, em Vias Urbanas</t>
    </r>
  </si>
  <si>
    <r>
      <rPr>
        <sz val="7"/>
        <rFont val="Arial"/>
        <family val="2"/>
      </rPr>
      <t>Eletroduto PVC diâmetro 75mm, fornecimento e assentamento em Vias Urbanas</t>
    </r>
  </si>
  <si>
    <r>
      <rPr>
        <sz val="7"/>
        <rFont val="Arial"/>
        <family val="2"/>
      </rPr>
      <t>Eletroduto PVC rígido roscável diâm. 50 mm, fornecimento e assentamento em Vias Urbanas</t>
    </r>
  </si>
  <si>
    <r>
      <rPr>
        <sz val="7"/>
        <rFont val="Arial"/>
        <family val="2"/>
      </rPr>
      <t>Eletroduto tipo Kanaflex diâmetro 1 1/4", fornecimento e assentamento em Vias Urbanas</t>
    </r>
  </si>
  <si>
    <r>
      <rPr>
        <sz val="7"/>
        <rFont val="Arial"/>
        <family val="2"/>
      </rPr>
      <t>Eletroduto tipo Kanaflex diâmetro 1 1/2", fornecimento e assentamento em Vias Urbanas</t>
    </r>
  </si>
  <si>
    <r>
      <rPr>
        <sz val="7"/>
        <rFont val="Arial"/>
        <family val="2"/>
      </rPr>
      <t>Eletroduto tipo Kanaflex diâmetro 2", fornecimento e assentamento em Vias Urbanas</t>
    </r>
  </si>
  <si>
    <r>
      <rPr>
        <sz val="7"/>
        <rFont val="Arial"/>
        <family val="2"/>
      </rPr>
      <t>Eletroduto tipo Kanaflex diâmetro 4", fornecimento e assentamento em Vias Urbanas</t>
    </r>
  </si>
  <si>
    <r>
      <rPr>
        <sz val="7"/>
        <rFont val="Arial"/>
        <family val="2"/>
      </rPr>
      <t>Escada de madeira executada sobre terreno inclinado, com 80 cm de largura mínima em Vias Urbanas</t>
    </r>
  </si>
  <si>
    <r>
      <rPr>
        <sz val="7"/>
        <rFont val="Arial"/>
        <family val="2"/>
      </rPr>
      <t>Escavação manual em mat. 1ª cat. H= 0,00 a 1,50 m c/ esgotamento em Vias Urbanas</t>
    </r>
  </si>
  <si>
    <r>
      <rPr>
        <sz val="7"/>
        <rFont val="Arial"/>
        <family val="2"/>
      </rPr>
      <t>Escavação manual em mat. 1ª cat. H= 0,00 a 1,50 m em Vias Urbanas</t>
    </r>
  </si>
  <si>
    <r>
      <rPr>
        <sz val="7"/>
        <rFont val="Arial"/>
        <family val="2"/>
      </rPr>
      <t>Escavação manual em mat. 1ª cat. H= 1,50 a 3,00 m c/ esgotamento em Vias Urbanas</t>
    </r>
  </si>
  <si>
    <r>
      <rPr>
        <sz val="7"/>
        <rFont val="Arial"/>
        <family val="2"/>
      </rPr>
      <t>Escavação manual em mat. 1ª cat. H= 1,50 a 3,00 m em Vias Urbanas</t>
    </r>
  </si>
  <si>
    <r>
      <rPr>
        <sz val="7"/>
        <rFont val="Arial"/>
        <family val="2"/>
      </rPr>
      <t>Escavação manual em mat. 1ª cat. H= 3,00 a 4,50 m c/ esgotamento, em Vias Urbanas</t>
    </r>
  </si>
  <si>
    <r>
      <rPr>
        <sz val="7"/>
        <rFont val="Arial"/>
        <family val="2"/>
      </rPr>
      <t>Escavação manual em mat. 1ª cat. H= 3,00 a 4,50 m, em Vias Urbanas</t>
    </r>
  </si>
  <si>
    <r>
      <rPr>
        <sz val="7"/>
        <rFont val="Arial"/>
        <family val="2"/>
      </rPr>
      <t>Escavação manual em mat. 2ª cat. H= 0,00 a 1,50 m c/ esgotamento, em Vias Urbanas</t>
    </r>
  </si>
  <si>
    <r>
      <rPr>
        <sz val="7"/>
        <rFont val="Arial"/>
        <family val="2"/>
      </rPr>
      <t>Escavação manual em mat. 2ª cat. H= 0,00 a 1,50 m s/ detonação, em Vias Urbanas</t>
    </r>
  </si>
  <si>
    <r>
      <rPr>
        <sz val="7"/>
        <rFont val="Arial"/>
        <family val="2"/>
      </rPr>
      <t>Escavação manual em mat. 2ª cat. H= 1,50 a 3,00 m c/ esgotamento, em Vias Urbanas</t>
    </r>
  </si>
  <si>
    <r>
      <rPr>
        <sz val="7"/>
        <rFont val="Arial"/>
        <family val="2"/>
      </rPr>
      <t>Escavação manual em mat. 2ª cat. H= 1,50 a 3,00 m s/ detonação, em Vias Urbanas</t>
    </r>
  </si>
  <si>
    <r>
      <rPr>
        <sz val="7"/>
        <rFont val="Arial"/>
        <family val="2"/>
      </rPr>
      <t>Escavação manual em mat. 2ª cat. H= 3,00 a 4,50 m c/ esgotamento, em Vias Urbanas</t>
    </r>
  </si>
  <si>
    <r>
      <rPr>
        <sz val="7"/>
        <rFont val="Arial"/>
        <family val="2"/>
      </rPr>
      <t>Escavação manual em mat. 2ª cat. H= 3,00 a 4,50 m s/ detonação, em Vias Urbanas</t>
    </r>
  </si>
  <si>
    <r>
      <rPr>
        <sz val="7"/>
        <rFont val="Arial"/>
        <family val="2"/>
      </rPr>
      <t>Escavação manual em mat. 3ª cat. H= 0,00 a 1,50 m, a fogo, em Vias Urbanas</t>
    </r>
  </si>
  <si>
    <r>
      <rPr>
        <sz val="7"/>
        <rFont val="Arial"/>
        <family val="2"/>
      </rPr>
      <t>Escavação manual furos, valetas mat. 1ª cat. H= 0,00 a 1,50 m (dim. reduz.), em Vias Urbanas</t>
    </r>
  </si>
  <si>
    <r>
      <rPr>
        <sz val="7"/>
        <rFont val="Arial"/>
        <family val="2"/>
      </rPr>
      <t>Escavação manual furos, valetas mat. 2ª cat. H= 0,00 a 1,50 m s/detonação (dim. reduz.), em Vias Urbanas</t>
    </r>
  </si>
  <si>
    <r>
      <rPr>
        <sz val="7"/>
        <rFont val="Arial"/>
        <family val="2"/>
      </rPr>
      <t>Escavação mecânica de valas em material de 1ª categoria, 3,00 a 4,50 m, c/ esgotamento, carga do material, transp. material p/ bota-fora -Vias Urbanas</t>
    </r>
  </si>
  <si>
    <r>
      <rPr>
        <sz val="7"/>
        <rFont val="Arial"/>
        <family val="2"/>
      </rPr>
      <t>Escavação mecânica de valas em 1ª categoria, profundidade de 4,50 a 6,00 m com esgotamento, transp. DMT=20km, descarga e espalhamento, em Vias Urbanas</t>
    </r>
  </si>
  <si>
    <r>
      <rPr>
        <sz val="7"/>
        <rFont val="Arial"/>
        <family val="2"/>
      </rPr>
      <t>Escavação mecânica em material de 1ª cat. H= 0,00 a 1,50 m c/ esgotamento, em Vias Urbanas</t>
    </r>
  </si>
  <si>
    <r>
      <rPr>
        <sz val="7"/>
        <rFont val="Arial"/>
        <family val="2"/>
      </rPr>
      <t>Escavação mecânica em material de 1ª cat. H= 0,00 a 1,50 m, em Vias Urbanas</t>
    </r>
  </si>
  <si>
    <r>
      <rPr>
        <sz val="7"/>
        <rFont val="Arial"/>
        <family val="2"/>
      </rPr>
      <t>Escavação mecânica em material de 1ª cat. H= 1,50 a 3,00 m c/ esgotamento, em Vias Urbanas</t>
    </r>
  </si>
  <si>
    <r>
      <rPr>
        <sz val="7"/>
        <rFont val="Arial"/>
        <family val="2"/>
      </rPr>
      <t>Escavação mecânica em material de 1ª cat. H= 1,50 a 3,00 m, em Vias Urbanas</t>
    </r>
  </si>
  <si>
    <r>
      <rPr>
        <sz val="7"/>
        <rFont val="Arial"/>
        <family val="2"/>
      </rPr>
      <t>Escavação mecânica em material de 1º cat. H= 3,00 a 4,50 m c/ esgotamento, em Vias Urbanas</t>
    </r>
  </si>
  <si>
    <r>
      <rPr>
        <sz val="7"/>
        <rFont val="Arial"/>
        <family val="2"/>
      </rPr>
      <t>Escavação mecânica em material de 1ª cat. H= 3,00 a 4,50 m, em Vias Urbanas</t>
    </r>
  </si>
  <si>
    <r>
      <rPr>
        <sz val="7"/>
        <rFont val="Arial"/>
        <family val="2"/>
      </rPr>
      <t>Escavação mecânica em material de 2ª cat. H= 0,00 a 1,50 m c/ esgotamento, em Vias Urbanas</t>
    </r>
  </si>
  <si>
    <r>
      <rPr>
        <sz val="7"/>
        <rFont val="Arial"/>
        <family val="2"/>
      </rPr>
      <t>Escavação mecânica em material de 2ª cat. H= 0,00 a 1,50 m, em Vias Urbanas</t>
    </r>
  </si>
  <si>
    <r>
      <rPr>
        <sz val="7"/>
        <rFont val="Arial"/>
        <family val="2"/>
      </rPr>
      <t>Escavação mecânica em material de 2ª cat. H= 1,50 a 3,00 m c/ esgotamento, em Vias Urbanas</t>
    </r>
  </si>
  <si>
    <r>
      <rPr>
        <sz val="7"/>
        <rFont val="Arial"/>
        <family val="2"/>
      </rPr>
      <t>Escavação mecânica em material de 2ª cat. H= 1,50 a 3,00 m, em Vias Urbanas</t>
    </r>
  </si>
  <si>
    <r>
      <rPr>
        <sz val="7"/>
        <rFont val="Arial"/>
        <family val="2"/>
      </rPr>
      <t>Escavação mecânica em material de 2ª cat. H= 3,00 a 4,50 m c/ esgotamento, em Vias Urbanas</t>
    </r>
  </si>
  <si>
    <r>
      <rPr>
        <sz val="7"/>
        <rFont val="Arial"/>
        <family val="2"/>
      </rPr>
      <t>Escavação mecânica em material de 2º cat. H= 3,00 a 4,50 m c/ esgotamento em Vias Urbanas</t>
    </r>
  </si>
  <si>
    <r>
      <rPr>
        <sz val="7"/>
        <rFont val="Arial"/>
        <family val="2"/>
      </rPr>
      <t>Escavação mecânica em material de 2ª cat. H= 3,00 a 4,50 m, em Vias Urbanas</t>
    </r>
  </si>
  <si>
    <r>
      <rPr>
        <sz val="7"/>
        <rFont val="Arial"/>
        <family val="2"/>
      </rPr>
      <t>Escoramento de cavas e valas, inclusive fornecimento e transporte das madeiras, em Vias Urbanas</t>
    </r>
  </si>
  <si>
    <r>
      <rPr>
        <sz val="7"/>
        <rFont val="Arial"/>
        <family val="2"/>
      </rPr>
      <t xml:space="preserve">Escoramento e cimbramento (bueiro celular), inclusive fornecimento e transporte das madeiras
</t>
    </r>
    <r>
      <rPr>
        <sz val="7"/>
        <rFont val="Arial"/>
        <family val="2"/>
      </rPr>
      <t>,  em Vias Urbanas</t>
    </r>
  </si>
  <si>
    <r>
      <rPr>
        <sz val="7"/>
        <rFont val="Arial"/>
        <family val="2"/>
      </rPr>
      <t>Forma especial de madeira para meio fio, inclusive fornecimento e transporte das madeiras em Vias Urbanas</t>
    </r>
  </si>
  <si>
    <r>
      <rPr>
        <sz val="7"/>
        <rFont val="Arial"/>
        <family val="2"/>
      </rPr>
      <t>Forma especial de madeira para sarjeta (gabarito), inclusive fornecimento e transporte das madeiras, em Vias Urbanas</t>
    </r>
  </si>
  <si>
    <r>
      <rPr>
        <sz val="7"/>
        <rFont val="Arial"/>
        <family val="2"/>
      </rPr>
      <t>Forma metálica para meio fio, em Vias Urbanas</t>
    </r>
  </si>
  <si>
    <r>
      <rPr>
        <sz val="7"/>
        <rFont val="Arial"/>
        <family val="2"/>
      </rPr>
      <t>Formas planas de madeira com 01 (um) reaproveitamento, inclusive fornecimento e transporte das madeiras, em Vias Urbanas</t>
    </r>
  </si>
  <si>
    <r>
      <rPr>
        <sz val="7"/>
        <rFont val="Arial"/>
        <family val="2"/>
      </rPr>
      <t>Formas planas de madeira com 02 (dois) reaproveitamentos, inclusive fornecimento e transporte das madeiras, em Vias Urbanas</t>
    </r>
  </si>
  <si>
    <r>
      <rPr>
        <sz val="7"/>
        <rFont val="Arial"/>
        <family val="2"/>
      </rPr>
      <t>Formas planas de madeira com 04 (quatro) reaproveitamentos, inclusive fornecimento e transporte das madeiras, em Vias Urbanas</t>
    </r>
  </si>
  <si>
    <r>
      <rPr>
        <sz val="7"/>
        <rFont val="Arial"/>
        <family val="2"/>
      </rPr>
      <t>Formas planas de madeira sem reaproveitamento (forma perdida), inclusive fornecimento e transporte das madeiras em Vias Urbanas</t>
    </r>
  </si>
  <si>
    <r>
      <rPr>
        <sz val="7"/>
        <rFont val="Arial"/>
        <family val="2"/>
      </rPr>
      <t>Gabião manta/colchão, p/ revest. canal em malha hex 6x8mm Zn-Al/PVC, e=2,8mm,h=0,23m, inclus.aquis./assentam. pedra mão, exclus. transp., Vias Urbanas</t>
    </r>
  </si>
  <si>
    <r>
      <rPr>
        <sz val="7"/>
        <rFont val="Arial"/>
        <family val="2"/>
      </rPr>
      <t>Gabiões com caixas galvanizadas, sem manta, em Vias Urbanas</t>
    </r>
  </si>
  <si>
    <r>
      <rPr>
        <sz val="7"/>
        <rFont val="Arial"/>
        <family val="2"/>
      </rPr>
      <t>Geotêxtil não tecido RT-16 kn/m, fornecimento e aplicação em Vias Urbanas</t>
    </r>
  </si>
  <si>
    <r>
      <rPr>
        <sz val="7"/>
        <rFont val="Arial"/>
        <family val="2"/>
      </rPr>
      <t>Geotêxtil não-tecido com resistência longitudinal a tração 10kN/m, fornecimento e aplicação em Vias Urbanas</t>
    </r>
  </si>
  <si>
    <r>
      <rPr>
        <sz val="7"/>
        <rFont val="Arial"/>
        <family val="2"/>
      </rPr>
      <t>Lastro de brita, inclusive transporte da brita em Vias Urbanas</t>
    </r>
  </si>
  <si>
    <r>
      <rPr>
        <sz val="7"/>
        <rFont val="Arial"/>
        <family val="2"/>
      </rPr>
      <t>Limpeza e apicoamento manual de superfície de rocha em Vias Urbanas</t>
    </r>
  </si>
  <si>
    <r>
      <rPr>
        <sz val="7"/>
        <rFont val="Arial"/>
        <family val="2"/>
      </rPr>
      <t>Limpeza e desobstrução de BDTC e BDCC em Vias Urbanas</t>
    </r>
  </si>
  <si>
    <r>
      <rPr>
        <sz val="7"/>
        <rFont val="Arial"/>
        <family val="2"/>
      </rPr>
      <t>Limpeza e desobstrução de BQTC em Vias Urbanas</t>
    </r>
  </si>
  <si>
    <r>
      <rPr>
        <sz val="7"/>
        <rFont val="Arial"/>
        <family val="2"/>
      </rPr>
      <t>Limpeza e desobstrução de BSTC e BSCC em Vias Urbanas</t>
    </r>
  </si>
  <si>
    <r>
      <rPr>
        <sz val="7"/>
        <rFont val="Arial"/>
        <family val="2"/>
      </rPr>
      <t>Limpeza e desobstrução de BTTC e BTCC em Vias Urbanas</t>
    </r>
  </si>
  <si>
    <r>
      <rPr>
        <sz val="7"/>
        <rFont val="Arial"/>
        <family val="2"/>
      </rPr>
      <t>Limpeza e preparo de superfície de aço em Vias Urbanas</t>
    </r>
  </si>
  <si>
    <r>
      <rPr>
        <sz val="7"/>
        <rFont val="Arial"/>
        <family val="2"/>
      </rPr>
      <t>Meio fio de concreto pré-moldado (12 x 30 x 15) cm, inclusive caiação e transporte do meio fio em Vias Urbanas</t>
    </r>
  </si>
  <si>
    <r>
      <rPr>
        <sz val="7"/>
        <rFont val="Arial"/>
        <family val="2"/>
      </rPr>
      <t>Montagem e desmontagem de escoramento tubular normal, em obras de arte na densidade de 5m de tubo por m³ de escoramento em Vias Urbanas</t>
    </r>
  </si>
  <si>
    <r>
      <rPr>
        <sz val="7"/>
        <rFont val="Arial"/>
        <family val="2"/>
      </rPr>
      <t>Muro de testa em concreto para saída de dreno profundo em rocha, inclusive transporte do tubo em Vias Urbanas</t>
    </r>
  </si>
  <si>
    <r>
      <rPr>
        <sz val="7"/>
        <rFont val="Arial"/>
        <family val="2"/>
      </rPr>
      <t>Pedra de mão p/ (concreto ciclópico ou alvenaria) rocha paga em medição em Vias Urbanas</t>
    </r>
  </si>
  <si>
    <r>
      <rPr>
        <sz val="7"/>
        <rFont val="Arial"/>
        <family val="2"/>
      </rPr>
      <t>Pescoço de poço de visita H=0,30m, diâm. = 0,60 m, fornecimento, assentamento e transporte em Vias Urbanas</t>
    </r>
  </si>
  <si>
    <r>
      <rPr>
        <sz val="7"/>
        <rFont val="Arial"/>
        <family val="2"/>
      </rPr>
      <t>Pintura com nata de cimento em Vias Urbanas</t>
    </r>
  </si>
  <si>
    <r>
      <rPr>
        <sz val="7"/>
        <rFont val="Arial"/>
        <family val="2"/>
      </rPr>
      <t>Pintura interna ou externa sobre ferro, com tinta a base de resina de borracha clorada em Vias Urbanas</t>
    </r>
  </si>
  <si>
    <r>
      <rPr>
        <sz val="7"/>
        <rFont val="Arial"/>
        <family val="2"/>
      </rPr>
      <t>Plataforma ou passarela de pinho de 1ª ou similar, 1" x 12", em Vias Urbanas</t>
    </r>
  </si>
  <si>
    <r>
      <rPr>
        <sz val="7"/>
        <rFont val="Arial"/>
        <family val="2"/>
      </rPr>
      <t>Poço de visita em bloco pré-moldado para d=0,30 e 0,40 m (0,80 x 0,8 0m), em Vias Urbanas</t>
    </r>
  </si>
  <si>
    <r>
      <rPr>
        <sz val="7"/>
        <rFont val="Arial"/>
        <family val="2"/>
      </rPr>
      <t>Poço de visita em bloco pré-moldado para d=0,60 m (1,00 x 1,00 m), em Vias Urbanas</t>
    </r>
  </si>
  <si>
    <r>
      <rPr>
        <sz val="7"/>
        <rFont val="Arial"/>
        <family val="2"/>
      </rPr>
      <t>Poço de visita em bloco pré-moldado para d=0,80m (1,20x1,20m), em Vias Urbanas</t>
    </r>
  </si>
  <si>
    <r>
      <rPr>
        <sz val="7"/>
        <rFont val="Arial"/>
        <family val="2"/>
      </rPr>
      <t>Poço de visita em bloco pré-moldado para d=1,00m (1,30x1,30m) (Vias Urbanas)</t>
    </r>
  </si>
  <si>
    <r>
      <rPr>
        <sz val="7"/>
        <rFont val="Arial"/>
        <family val="2"/>
      </rPr>
      <t>Poço de visita em bloco pré-moldado para d=1,20m (1,50x1,50m), em Vias Urbanas</t>
    </r>
  </si>
  <si>
    <r>
      <rPr>
        <sz val="7"/>
        <rFont val="Arial"/>
        <family val="2"/>
      </rPr>
      <t>Poço de Visita para BSTC diâm. 0,40 m em blocos de concreto, em Vias Urbanas</t>
    </r>
  </si>
  <si>
    <r>
      <rPr>
        <sz val="7"/>
        <rFont val="Arial"/>
        <family val="2"/>
      </rPr>
      <t>Poço de visita para BSTC diâm. 0,60 m em blocos de concreto, em Vias Urbanas</t>
    </r>
  </si>
  <si>
    <r>
      <rPr>
        <sz val="7"/>
        <rFont val="Arial"/>
        <family val="2"/>
      </rPr>
      <t>Poço de visita para BSTC diâm. 0,80 m em blocos de concreto, em Vias Urbanas</t>
    </r>
  </si>
  <si>
    <r>
      <rPr>
        <sz val="7"/>
        <rFont val="Arial"/>
        <family val="2"/>
      </rPr>
      <t>Poço de visita (tubo D=0,40 m) H=1,50 m com tampão F.F.A.P., inclusive escavação e transporte do tampão, em Vias Urbanas</t>
    </r>
  </si>
  <si>
    <r>
      <rPr>
        <sz val="7"/>
        <rFont val="Arial"/>
        <family val="2"/>
      </rPr>
      <t>Poço de visita (tubo D=0,60 m) H=1,70 m com tampão F.F.A.P., inclusive escavação e transporte do tampão, em Vias Urbanas</t>
    </r>
  </si>
  <si>
    <r>
      <rPr>
        <sz val="7"/>
        <rFont val="Arial"/>
        <family val="2"/>
      </rPr>
      <t>Poço de visita (tubo D=0,80 m) H=1,90 m com tampão F.F.A.P., inclusive escavação e transporte do tampão, em Vias Urbanas</t>
    </r>
  </si>
  <si>
    <r>
      <rPr>
        <sz val="7"/>
        <rFont val="Arial"/>
        <family val="2"/>
      </rPr>
      <t>Poço de visita (tubo D=1,00 m) H=2,10 m com tampão F.F.A.P., inclusive escavação e transporte do tampão, em Vias Urbanas</t>
    </r>
  </si>
  <si>
    <r>
      <rPr>
        <sz val="7"/>
        <rFont val="Arial"/>
        <family val="2"/>
      </rPr>
      <t>Preparo manual de talude, compreendendo acerto, raspagem eventual de até 0,30 m de prof. e afastamento lateral, em Vias Urbanas</t>
    </r>
  </si>
  <si>
    <r>
      <rPr>
        <sz val="7"/>
        <rFont val="Arial"/>
        <family val="2"/>
      </rPr>
      <t>Preparo manual de terreno, compreendendo acerto raspagem até 25 cm de profundidade e afastamento lateral do material excedente, em Vias Urbanas</t>
    </r>
  </si>
  <si>
    <r>
      <rPr>
        <sz val="7"/>
        <rFont val="Arial"/>
        <family val="2"/>
      </rPr>
      <t>Reaterro com areia, tudo incluído, em Vias Urbanas</t>
    </r>
  </si>
  <si>
    <r>
      <rPr>
        <sz val="7"/>
        <rFont val="Arial"/>
        <family val="2"/>
      </rPr>
      <t>Reaterro de cavas c/ compactação manual (apiloamento) (dim. reduz.), em Vias Urbanas</t>
    </r>
  </si>
  <si>
    <r>
      <rPr>
        <sz val="7"/>
        <rFont val="Arial"/>
        <family val="2"/>
      </rPr>
      <t>Reaterro de cavas c/ compactação manual (apiloamento) em Vias Urbanas</t>
    </r>
  </si>
  <si>
    <r>
      <rPr>
        <sz val="7"/>
        <rFont val="Arial"/>
        <family val="2"/>
      </rPr>
      <t>Reaterro de cavas c/ compactação mecânica (compactador manual), em Vias Urbanas</t>
    </r>
  </si>
  <si>
    <r>
      <rPr>
        <sz val="7"/>
        <rFont val="Arial"/>
        <family val="2"/>
      </rPr>
      <t>Recuperação de poço de visita inclusive fornecimento tampão F.F.A.P., em Vias Urbanas</t>
    </r>
  </si>
  <si>
    <r>
      <rPr>
        <sz val="7"/>
        <rFont val="Arial"/>
        <family val="2"/>
      </rPr>
      <t>Religação de rede de água em PVC DN 20 mm, inclusive conexões, em Vias Urbanas</t>
    </r>
  </si>
  <si>
    <r>
      <rPr>
        <sz val="7"/>
        <rFont val="Arial"/>
        <family val="2"/>
      </rPr>
      <t>Religação de rede de água em PVC DN 25 mm, inclusive conexões, em Vias Urbanas</t>
    </r>
  </si>
  <si>
    <r>
      <rPr>
        <sz val="7"/>
        <rFont val="Arial"/>
        <family val="2"/>
      </rPr>
      <t>Religação de rede de água em PVC DN 32 mm, inclusive conexões, em Vias Urbanas</t>
    </r>
  </si>
  <si>
    <r>
      <rPr>
        <sz val="7"/>
        <rFont val="Arial"/>
        <family val="2"/>
      </rPr>
      <t>Religação de rede de água em PVC DN 75 mm, inclusive conexões, em Vias Urbanas</t>
    </r>
  </si>
  <si>
    <r>
      <rPr>
        <sz val="7"/>
        <rFont val="Arial"/>
        <family val="2"/>
      </rPr>
      <t>Religação de rede de água em PVC PBA CL 15 DN 100 mm, inclusive conexões, em Vias Urbanas</t>
    </r>
  </si>
  <si>
    <r>
      <rPr>
        <sz val="7"/>
        <rFont val="Arial"/>
        <family val="2"/>
      </rPr>
      <t>Remanejamento de ligação e religação de redes de esgoto, em Vias Urbanas</t>
    </r>
  </si>
  <si>
    <r>
      <rPr>
        <sz val="7"/>
        <rFont val="Arial"/>
        <family val="2"/>
      </rPr>
      <t>Remoção de bueiros existentes, em Vias Urbanas</t>
    </r>
  </si>
  <si>
    <r>
      <rPr>
        <sz val="7"/>
        <rFont val="Arial"/>
        <family val="2"/>
      </rPr>
      <t>Rip-rap c/ argamassa cimento areia 1:6, inclusive aquisição e transporte dos materiais, em Vias Urbanas</t>
    </r>
  </si>
  <si>
    <r>
      <rPr>
        <sz val="7"/>
        <rFont val="Arial"/>
        <family val="2"/>
      </rPr>
      <t>Sarjeta de concreto DP-1 (0,081 m³/m) calha triangular, inclusive caiação, em Vias Urbanas</t>
    </r>
  </si>
  <si>
    <r>
      <rPr>
        <sz val="7"/>
        <rFont val="Arial"/>
        <family val="2"/>
      </rPr>
      <t>Sarjeta de concreto DP-2 (0,085 m³/m) calha triangular, inclusive caiação, em Vias Urbanas</t>
    </r>
  </si>
  <si>
    <r>
      <rPr>
        <sz val="7"/>
        <rFont val="Arial"/>
        <family val="2"/>
      </rPr>
      <t>Sarjeta de concreto SCA 40/10 - em Vias Urbanas</t>
    </r>
  </si>
  <si>
    <r>
      <rPr>
        <sz val="7"/>
        <rFont val="Arial"/>
        <family val="2"/>
      </rPr>
      <t>Sarjeta de concreto (SCA 70/15) calha triangular, inclusive caiação, em Vias Urbanas</t>
    </r>
  </si>
  <si>
    <r>
      <rPr>
        <sz val="7"/>
        <rFont val="Arial"/>
        <family val="2"/>
      </rPr>
      <t>Sarjeta de concreto (SCA 90/10) calha triangular, inclusive caiação, em Vias Urbanas</t>
    </r>
  </si>
  <si>
    <r>
      <rPr>
        <sz val="7"/>
        <rFont val="Arial"/>
        <family val="2"/>
      </rPr>
      <t>Sarjeta de concreto (STC - 02) calha triangular em corte/aterro, inclusive caiação, em Vias Urbanas</t>
    </r>
  </si>
  <si>
    <r>
      <rPr>
        <sz val="7"/>
        <rFont val="Arial"/>
        <family val="2"/>
      </rPr>
      <t>Sarjeta de concreto (STC - 04) calha triangular de bancada em corte, inclusive caiação, em Vias Urbanas</t>
    </r>
  </si>
  <si>
    <r>
      <rPr>
        <sz val="7"/>
        <rFont val="Arial"/>
        <family val="2"/>
      </rPr>
      <t>Tampa de concreto em grelha, fornecimento, assentamento e transporte, em Vias Urbanas</t>
    </r>
  </si>
  <si>
    <r>
      <rPr>
        <sz val="7"/>
        <rFont val="Arial"/>
        <family val="2"/>
      </rPr>
      <t>Tampão F.F.A.P. com 100 kg, fornecimento, assentamento e transporte em Vias Urbanas</t>
    </r>
  </si>
  <si>
    <r>
      <rPr>
        <sz val="7"/>
        <rFont val="Arial"/>
        <family val="2"/>
      </rPr>
      <t>Tapume de vedação e proteção, executado com chapas de compensado resinado com 6 mm de espessura, exclusive pintura, em Vias Urbanas</t>
    </r>
  </si>
  <si>
    <r>
      <rPr>
        <sz val="7"/>
        <rFont val="Arial"/>
        <family val="2"/>
      </rPr>
      <t>Tela de aço soldada Telcon Q-138 ou similar, fornecimento e assentamento em Vias Urbanas</t>
    </r>
  </si>
  <si>
    <r>
      <rPr>
        <sz val="7"/>
        <rFont val="Arial"/>
        <family val="2"/>
      </rPr>
      <t>Tela de proteção de segurança de PVC cor laranja com suporte para sinalização de obras em Vias Urbanas</t>
    </r>
  </si>
  <si>
    <r>
      <rPr>
        <sz val="7"/>
        <rFont val="Arial"/>
        <family val="2"/>
      </rPr>
      <t>Terminal de dreno de alívio de pavimento (DP - TDA - 01) em Vias Urbanas</t>
    </r>
  </si>
  <si>
    <r>
      <rPr>
        <sz val="7"/>
        <rFont val="Arial"/>
        <family val="2"/>
      </rPr>
      <t>Transporte de materiais encosta abaixo, serviço manual, inclusive carga e descarga em Vias Urbanas</t>
    </r>
  </si>
  <si>
    <r>
      <rPr>
        <sz val="7"/>
        <rFont val="Arial"/>
        <family val="2"/>
      </rPr>
      <t>Transporte de materiais encosta acima, serviço manual, inclusive carga e descarga em Vias Urbanas</t>
    </r>
  </si>
  <si>
    <r>
      <rPr>
        <sz val="7"/>
        <rFont val="Arial"/>
        <family val="2"/>
      </rPr>
      <t>Transposição de segmento de sarjeta - TSS 01, inclusive transporte do tubo de concreto em Vias Urbanas</t>
    </r>
  </si>
  <si>
    <r>
      <rPr>
        <sz val="7"/>
        <rFont val="Arial"/>
        <family val="2"/>
      </rPr>
      <t>Trincheira drenante cega (0,50 x 1,70) m, com utilização de geotêxtil não tecido Rt-16 kn/m, inclusive transporte da brita em Vias Urbanas</t>
    </r>
  </si>
  <si>
    <r>
      <rPr>
        <sz val="7"/>
        <rFont val="Arial"/>
        <family val="2"/>
      </rPr>
      <t>Trincheira drenante em madeira em Vias Urbanas</t>
    </r>
  </si>
  <si>
    <r>
      <rPr>
        <sz val="7"/>
        <rFont val="Arial"/>
        <family val="2"/>
      </rPr>
      <t>Tubo de PVC NBR 5648 diâmetro 50 mm, fornecimento e assentamento em Vias Urbanas</t>
    </r>
  </si>
  <si>
    <r>
      <rPr>
        <sz val="7"/>
        <rFont val="Arial"/>
        <family val="2"/>
      </rPr>
      <t>Tubo de PVC NBR 5648 diâmetro 75 mm, fornecimento e assentamento em Vias Urbanas</t>
    </r>
  </si>
  <si>
    <r>
      <rPr>
        <sz val="7"/>
        <rFont val="Arial"/>
        <family val="2"/>
      </rPr>
      <t>Tubo de PVC rígido série R diâmetro 100 mm, fornecimento e assentamento em Vias Urbanas</t>
    </r>
  </si>
  <si>
    <r>
      <rPr>
        <sz val="7"/>
        <rFont val="Arial"/>
        <family val="2"/>
      </rPr>
      <t>Tubo irrifort agropecuário diâmetro 32 mm, fornecimento e assentamento em Vias Urbanas</t>
    </r>
  </si>
  <si>
    <r>
      <rPr>
        <sz val="7"/>
        <rFont val="Arial"/>
        <family val="2"/>
      </rPr>
      <t>Tubo para irrigação linha fixa PN40 50 mm, fornecimento e assentamento em Vias Urbanas</t>
    </r>
  </si>
  <si>
    <r>
      <rPr>
        <sz val="7"/>
        <rFont val="Arial"/>
        <family val="2"/>
      </rPr>
      <t>Tubos de ferro fundido diâmetro 0,90 m, assentamento em Vias Urbanas</t>
    </r>
  </si>
  <si>
    <r>
      <rPr>
        <sz val="7"/>
        <rFont val="Arial"/>
        <family val="2"/>
      </rPr>
      <t>Tubos para irrigação Linha fixa PN40, diâmetro 75 mm, fornecimento e assentamento em Vias Urbanas</t>
    </r>
  </si>
  <si>
    <r>
      <rPr>
        <sz val="7"/>
        <rFont val="Arial"/>
        <family val="2"/>
      </rPr>
      <t>Valeta de pedra argamassada VPAR em Vias Urbanas</t>
    </r>
  </si>
  <si>
    <r>
      <rPr>
        <sz val="7"/>
        <rFont val="Arial"/>
        <family val="2"/>
      </rPr>
      <t>Valeta de pedra jogada VPJ, inclusive transporte da pedra em Vias Urbanas</t>
    </r>
  </si>
  <si>
    <r>
      <rPr>
        <sz val="7"/>
        <rFont val="Arial"/>
        <family val="2"/>
      </rPr>
      <t>Valeta de proteção de corte - desobstrução e limpeza em Vias Urbanas</t>
    </r>
  </si>
  <si>
    <r>
      <rPr>
        <sz val="7"/>
        <rFont val="Arial"/>
        <family val="2"/>
      </rPr>
      <t>Grupo de serviço: INSTALAÇÃO DE CANTEIRO, MOBILIZAÇÃO E DESMOBILIZAÇ</t>
    </r>
  </si>
  <si>
    <r>
      <rPr>
        <sz val="7"/>
        <rFont val="Arial"/>
        <family val="2"/>
      </rPr>
      <t>Aluguel de container p/ escritório c/ ar condicionado e banheiro, isolam.térmico e acústico, 2 luminárias, janela de vidro, tomada p/ comput. e telef.</t>
    </r>
  </si>
  <si>
    <r>
      <rPr>
        <sz val="7"/>
        <rFont val="Arial"/>
        <family val="2"/>
      </rPr>
      <t>Aluguel de container p/ escritório com ar condicionado, isolamento term/acust., 2 luminárias, janela de vidro, tomadas computador e telefone</t>
    </r>
  </si>
  <si>
    <r>
      <rPr>
        <sz val="7"/>
        <rFont val="Arial"/>
        <family val="2"/>
      </rPr>
      <t>Aluguel de container para almoxarifado</t>
    </r>
  </si>
  <si>
    <r>
      <rPr>
        <sz val="7"/>
        <rFont val="Arial"/>
        <family val="2"/>
      </rPr>
      <t>Aluguel de container tipo cozinha com isolamento térmico e acústico, 2 luminárias, piso especial e janela</t>
    </r>
  </si>
  <si>
    <r>
      <rPr>
        <sz val="7"/>
        <rFont val="Arial"/>
        <family val="2"/>
      </rPr>
      <t>Aluguel de container tipo refeitório simples, c/ 1 aparelho de ar condicionado, 2 luminárias e 2 janelas de vidro</t>
    </r>
  </si>
  <si>
    <r>
      <rPr>
        <sz val="7"/>
        <rFont val="Arial"/>
        <family val="2"/>
      </rPr>
      <t>Aluguel de container tipo refeitório (2 unidades acopladas), c/ 2 aparelhos de ar condicionado, 4 lumináriase 4 janelas de vidro</t>
    </r>
  </si>
  <si>
    <r>
      <rPr>
        <sz val="7"/>
        <rFont val="Arial"/>
        <family val="2"/>
      </rPr>
      <t xml:space="preserve">Aluguel de container tipo refeitório (3 unidades acopladas), c/ 3 aparelhos de ar condiocionado
</t>
    </r>
    <r>
      <rPr>
        <sz val="7"/>
        <rFont val="Arial"/>
        <family val="2"/>
      </rPr>
      <t>, 6 luminárias e 6 janelas de vidro</t>
    </r>
  </si>
  <si>
    <r>
      <rPr>
        <sz val="7"/>
        <rFont val="Arial"/>
        <family val="2"/>
      </rPr>
      <t>Aluguel de container tipo sanitário com 3 vasos sanitários, lavatório, mictório, 5 chuveiros, 2 venezianas e piso especial</t>
    </r>
  </si>
  <si>
    <r>
      <rPr>
        <sz val="7"/>
        <rFont val="Arial"/>
        <family val="2"/>
      </rPr>
      <t>Aluguel de container tipo vestiário, 2 luminárias, piso especial e janela</t>
    </r>
  </si>
  <si>
    <r>
      <rPr>
        <sz val="7"/>
        <rFont val="Arial"/>
        <family val="2"/>
      </rPr>
      <t>Barracão com sanitário, em chapa compensada 12 mm e pont. 8x8cm, piso cimentado e cobertura em telha de fibroc. 6mm, incl. ponto de luz e cx. inspeção</t>
    </r>
  </si>
  <si>
    <r>
      <rPr>
        <sz val="7"/>
        <rFont val="Arial"/>
        <family val="2"/>
      </rPr>
      <t>Barracão em chapa compensada 12mm e pont. 8x8cm, piso cimentado e cobertura de telhas fibrocimento 6mm, incl. ponto de luz</t>
    </r>
  </si>
  <si>
    <r>
      <rPr>
        <sz val="7"/>
        <rFont val="Arial"/>
        <family val="2"/>
      </rPr>
      <t>Canaleta de concreto retangular com grelha em barra de aço</t>
    </r>
  </si>
  <si>
    <r>
      <rPr>
        <sz val="7"/>
        <rFont val="Arial"/>
        <family val="2"/>
      </rPr>
      <t>Cobertura nova de telhas onduladas de fibrocimento 6,0mm, inclusive cumeeiras e acessórios de fixação</t>
    </r>
  </si>
  <si>
    <r>
      <rPr>
        <sz val="7"/>
        <rFont val="Arial"/>
        <family val="2"/>
      </rPr>
      <t>Estrutura de madeira lei para telhado de telha ondulada de fibroc. esp. 6mm, c/ pontaletes e caibros, incl. com cupinicida, excl. telhas</t>
    </r>
  </si>
  <si>
    <r>
      <rPr>
        <sz val="7"/>
        <rFont val="Arial"/>
        <family val="2"/>
      </rPr>
      <t>Galpão em peças de madeira 8x8cm e contravent. de 5x7cm, cobertura de telhas de fibroc. de 6mm, incl. ponto e cabo de alimentação da máquina</t>
    </r>
  </si>
  <si>
    <r>
      <rPr>
        <sz val="7"/>
        <rFont val="Arial"/>
        <family val="2"/>
      </rPr>
      <t>Mobilização e desmobilização de caminhão basculante (máximo)</t>
    </r>
  </si>
  <si>
    <r>
      <rPr>
        <sz val="7"/>
        <rFont val="Arial"/>
        <family val="2"/>
      </rPr>
      <t>h</t>
    </r>
  </si>
  <si>
    <r>
      <rPr>
        <sz val="7"/>
        <rFont val="Arial"/>
        <family val="2"/>
      </rPr>
      <t>Mobilização e desmobilização de caminhão carroceria (máximo)</t>
    </r>
  </si>
  <si>
    <r>
      <rPr>
        <sz val="7"/>
        <rFont val="Arial"/>
        <family val="2"/>
      </rPr>
      <t>Mobilização e desmobilização de caminhão tanque (6.000 L) (máximo)</t>
    </r>
  </si>
  <si>
    <r>
      <rPr>
        <sz val="7"/>
        <rFont val="Arial"/>
        <family val="2"/>
      </rPr>
      <t>Mobilização e desmobilização de container acima de 150 km</t>
    </r>
  </si>
  <si>
    <r>
      <rPr>
        <sz val="7"/>
        <rFont val="Arial"/>
        <family val="2"/>
      </rPr>
      <t>Mobilização e desmobilização de container até 50 km</t>
    </r>
  </si>
  <si>
    <r>
      <rPr>
        <sz val="7"/>
        <rFont val="Arial"/>
        <family val="2"/>
      </rPr>
      <t>Mobilização e desmobilização de container de 51 km até 150 km</t>
    </r>
  </si>
  <si>
    <r>
      <rPr>
        <sz val="7"/>
        <rFont val="Arial"/>
        <family val="2"/>
      </rPr>
      <t>Mobilização e desmobilização de equipamentos com carreta prancha (máximo)</t>
    </r>
  </si>
  <si>
    <r>
      <rPr>
        <sz val="7"/>
        <rFont val="Arial"/>
        <family val="2"/>
      </rPr>
      <t>Placa de obra nas dimensões de 3,0 x 6,0 m, padrão DER-ES</t>
    </r>
  </si>
  <si>
    <r>
      <rPr>
        <sz val="7"/>
        <rFont val="Arial"/>
        <family val="2"/>
      </rPr>
      <t>Rede de água c/ padrão de entrada d'água diâm. 3/4" conf. CESAN, incl. tubos e conexões p/ aliment., distrib., extravas. e limp., cons. o padrão a 25m</t>
    </r>
  </si>
  <si>
    <r>
      <rPr>
        <sz val="7"/>
        <rFont val="Arial"/>
        <family val="2"/>
      </rPr>
      <t>Rede de esgoto, contendo fossa e filtro, incl. tubos e conexões de ligação entre caixas, considerando distância de 25m</t>
    </r>
  </si>
  <si>
    <r>
      <rPr>
        <sz val="7"/>
        <rFont val="Arial"/>
        <family val="2"/>
      </rPr>
      <t>Rede de luz, incl. padrão entr. energia trifás. cabo ligação até barracões, quadro distrib., disj. e chave de força, cons. 20m entre padrão entr.e QDG</t>
    </r>
  </si>
  <si>
    <r>
      <rPr>
        <sz val="7"/>
        <rFont val="Arial"/>
        <family val="2"/>
      </rPr>
      <t>Refeitório c/ paredes chapa de comp. 12mm e pont. 8x8cm, piso ciment. e cob. telhas fibroc. 6mm, incl. ponto de luz e cx. de insp. (1,21m²/func/turno)</t>
    </r>
  </si>
  <si>
    <r>
      <rPr>
        <sz val="7"/>
        <rFont val="Arial"/>
        <family val="2"/>
      </rPr>
      <t>Reservatório de fibra de vidro de 1000 L, incl. suporte em madeira de 7x12cm, elevado de 4m</t>
    </r>
  </si>
  <si>
    <r>
      <rPr>
        <sz val="7"/>
        <rFont val="Arial"/>
        <family val="2"/>
      </rPr>
      <t xml:space="preserve">Sanitário e vestiário de 40/60 func., c/ 33,90m², paredes chapa compens. 12mm e pont. 8x8cm
</t>
    </r>
    <r>
      <rPr>
        <sz val="7"/>
        <rFont val="Arial"/>
        <family val="2"/>
      </rPr>
      <t>, piso ciment., cobert. telha fibroc., incl. luz e cx. insp</t>
    </r>
  </si>
  <si>
    <r>
      <rPr>
        <sz val="7"/>
        <rFont val="Arial"/>
        <family val="2"/>
      </rPr>
      <t>Sistema separador de água e óleo</t>
    </r>
  </si>
  <si>
    <r>
      <rPr>
        <sz val="7"/>
        <rFont val="Arial"/>
        <family val="2"/>
      </rPr>
      <t>Tapume madeira compensada resinada e= 12mm h=2,20m, estr. c/ mad reflorest., incl montagem e pintura esmalte sintético</t>
    </r>
  </si>
  <si>
    <r>
      <rPr>
        <sz val="7"/>
        <rFont val="Arial"/>
        <family val="2"/>
      </rPr>
      <t>Tapume Telha Metálica Ondulada 0,50mm Branca h=2,20m, incl. montagem estr. mad. 8"x8", incl. faixas pint. esmalte sintético c/ h=40cm (Reaproveitamento 2x)</t>
    </r>
  </si>
  <si>
    <r>
      <rPr>
        <sz val="7"/>
        <rFont val="Arial"/>
        <family val="2"/>
      </rPr>
      <t>Grupo de serviço: ADMINISTRAÇÃO LOCAL</t>
    </r>
  </si>
  <si>
    <r>
      <rPr>
        <sz val="7"/>
        <rFont val="Arial"/>
        <family val="2"/>
      </rPr>
      <t>Administração Local (valor mensal a calcular de acordo com a obra)</t>
    </r>
  </si>
  <si>
    <r>
      <rPr>
        <sz val="7"/>
        <rFont val="Arial"/>
        <family val="2"/>
      </rPr>
      <t>vb</t>
    </r>
  </si>
  <si>
    <r>
      <rPr>
        <b/>
        <sz val="7"/>
        <rFont val="Arial"/>
        <family val="2"/>
      </rPr>
      <t>Descrição do equipamento</t>
    </r>
  </si>
  <si>
    <r>
      <rPr>
        <b/>
        <sz val="7"/>
        <rFont val="Arial"/>
        <family val="2"/>
      </rPr>
      <t>CT</t>
    </r>
  </si>
  <si>
    <r>
      <rPr>
        <b/>
        <sz val="7"/>
        <rFont val="Arial"/>
        <family val="2"/>
      </rPr>
      <t>Potência</t>
    </r>
  </si>
  <si>
    <r>
      <rPr>
        <b/>
        <sz val="7"/>
        <rFont val="Arial"/>
        <family val="2"/>
      </rPr>
      <t>Combustível</t>
    </r>
  </si>
  <si>
    <r>
      <rPr>
        <b/>
        <sz val="7"/>
        <rFont val="Arial"/>
        <family val="2"/>
      </rPr>
      <t>Hora prod.</t>
    </r>
  </si>
  <si>
    <r>
      <rPr>
        <b/>
        <sz val="7"/>
        <rFont val="Arial"/>
        <family val="2"/>
      </rPr>
      <t>Hora improd.</t>
    </r>
  </si>
  <si>
    <r>
      <rPr>
        <sz val="7"/>
        <rFont val="Arial"/>
        <family val="2"/>
      </rPr>
      <t>Acabadora de asfalto AF 5000, esteira, CIBER ou equivalente</t>
    </r>
  </si>
  <si>
    <r>
      <rPr>
        <sz val="7"/>
        <rFont val="Arial"/>
        <family val="2"/>
      </rPr>
      <t>ÓLEO DIESEL</t>
    </r>
  </si>
  <si>
    <r>
      <rPr>
        <sz val="7"/>
        <rFont val="Arial"/>
        <family val="2"/>
      </rPr>
      <t>Acabadora de superficie de concreto, rotativa PT 36" B c/ motor de 9 hp, Petrotec ou equivalente</t>
    </r>
  </si>
  <si>
    <r>
      <rPr>
        <sz val="7"/>
        <rFont val="Arial"/>
        <family val="2"/>
      </rPr>
      <t>Aplicador de material termoplástico por extrusão, marca de referência Elgimaq ou equivalente</t>
    </r>
  </si>
  <si>
    <r>
      <rPr>
        <sz val="7"/>
        <rFont val="Arial"/>
        <family val="2"/>
      </rPr>
      <t>Automóvel - VW Gol (flex), 1.6 Total Flex 4 P ou equivalente</t>
    </r>
  </si>
  <si>
    <r>
      <rPr>
        <sz val="7"/>
        <rFont val="Arial"/>
        <family val="2"/>
      </rPr>
      <t>GASOLINA</t>
    </r>
  </si>
  <si>
    <r>
      <rPr>
        <sz val="7"/>
        <rFont val="Arial"/>
        <family val="2"/>
      </rPr>
      <t>Automóvel Utilitário - GM/S 10 cabine dupla, ou equivalente</t>
    </r>
  </si>
  <si>
    <r>
      <rPr>
        <sz val="7"/>
        <rFont val="Arial"/>
        <family val="2"/>
      </rPr>
      <t>Automóvel Utilitário - VW/ Kombi (flex)</t>
    </r>
  </si>
  <si>
    <r>
      <rPr>
        <sz val="7"/>
        <rFont val="Arial"/>
        <family val="2"/>
      </rPr>
      <t>Barco de aluminio compr. 4,20 metros motor 15HP</t>
    </r>
  </si>
  <si>
    <r>
      <rPr>
        <sz val="7"/>
        <rFont val="Arial"/>
        <family val="2"/>
      </rPr>
      <t>Bate-estaca (martelo 2.500 kg)</t>
    </r>
  </si>
  <si>
    <r>
      <rPr>
        <sz val="7"/>
        <rFont val="Arial"/>
        <family val="2"/>
      </rPr>
      <t>Betoneira 600 l com carregador (elétrica)</t>
    </r>
  </si>
  <si>
    <r>
      <rPr>
        <sz val="7"/>
        <rFont val="Arial"/>
        <family val="2"/>
      </rPr>
      <t>ENERGIA</t>
    </r>
  </si>
  <si>
    <r>
      <rPr>
        <sz val="7"/>
        <rFont val="Arial"/>
        <family val="2"/>
      </rPr>
      <t>Bomba d'água 3,0 CV</t>
    </r>
  </si>
  <si>
    <r>
      <rPr>
        <sz val="7"/>
        <rFont val="Arial"/>
        <family val="2"/>
      </rPr>
      <t>Bomba de concreto BSF 1406 D (diesel) 60m3/h</t>
    </r>
  </si>
  <si>
    <r>
      <rPr>
        <sz val="7"/>
        <rFont val="Arial"/>
        <family val="2"/>
      </rPr>
      <t>Bomba hidraulica tipo MT 200</t>
    </r>
  </si>
  <si>
    <r>
      <rPr>
        <sz val="7"/>
        <rFont val="Arial"/>
        <family val="2"/>
      </rPr>
      <t>Bomba triplex MT-100, motor diesel de 12CV, 122 l/min, 250rpm, Maquessonda ou equivalente</t>
    </r>
  </si>
  <si>
    <r>
      <rPr>
        <sz val="7"/>
        <rFont val="Arial"/>
        <family val="2"/>
      </rPr>
      <t>Calandra para chapas de aço até 25mm - 22KW</t>
    </r>
  </si>
  <si>
    <r>
      <rPr>
        <sz val="7"/>
        <rFont val="Arial"/>
        <family val="2"/>
      </rPr>
      <t>L</t>
    </r>
  </si>
  <si>
    <r>
      <rPr>
        <sz val="7"/>
        <rFont val="Arial"/>
        <family val="2"/>
      </rPr>
      <t>Caminhão basculante L 2324/41 PBT=22,0t (TRUCK 15,0t)</t>
    </r>
  </si>
  <si>
    <r>
      <rPr>
        <sz val="7"/>
        <rFont val="Arial"/>
        <family val="2"/>
      </rPr>
      <t>Caminhão basculante L 2324/51 PBT - 22,0 t</t>
    </r>
  </si>
  <si>
    <r>
      <rPr>
        <sz val="7"/>
        <rFont val="Arial"/>
        <family val="2"/>
      </rPr>
      <t>Caminhão basculante 1315C PBT=12,9t (TOCO 8,0t)</t>
    </r>
  </si>
  <si>
    <r>
      <rPr>
        <sz val="7"/>
        <rFont val="Arial"/>
        <family val="2"/>
      </rPr>
      <t>Caminhão basculante 1518/48C PBT=19,0t (TRUCK 12,0t)</t>
    </r>
  </si>
  <si>
    <r>
      <rPr>
        <sz val="7"/>
        <rFont val="Arial"/>
        <family val="2"/>
      </rPr>
      <t>Caminhão carroceria L 1319 PBT=13,9t (TOCO 8,0t)</t>
    </r>
  </si>
  <si>
    <r>
      <rPr>
        <sz val="7"/>
        <rFont val="Arial"/>
        <family val="2"/>
      </rPr>
      <t>Caminhão carroceria 1518/48 PBT=19,0t (TRUCK 15,0t)</t>
    </r>
  </si>
  <si>
    <r>
      <rPr>
        <sz val="7"/>
        <rFont val="Arial"/>
        <family val="2"/>
      </rPr>
      <t>Caminhão carroceria 815/37 PBT=8,3t (TOCO 4,0t)</t>
    </r>
  </si>
  <si>
    <r>
      <rPr>
        <sz val="7"/>
        <rFont val="Arial"/>
        <family val="2"/>
      </rPr>
      <t>Caminhao para hidrossemeadura L 1319 - (6.000 L)</t>
    </r>
  </si>
  <si>
    <r>
      <rPr>
        <sz val="7"/>
        <rFont val="Arial"/>
        <family val="2"/>
      </rPr>
      <t>Caminhão tanque L 1319/48 PBT=12,9t (6.000L)</t>
    </r>
  </si>
  <si>
    <r>
      <rPr>
        <sz val="7"/>
        <rFont val="Arial"/>
        <family val="2"/>
      </rPr>
      <t>Carregadeira de rodas ref. Caterpillar modelo 924H (1,9 m3) ( cab + ar ) ou equivalente</t>
    </r>
  </si>
  <si>
    <r>
      <rPr>
        <sz val="7"/>
        <rFont val="Arial"/>
        <family val="2"/>
      </rPr>
      <t>Carregadeira de rodas ref. Caterpillar modelo 950H (3,10 m3) ( cab + ar ) ou equivalente</t>
    </r>
  </si>
  <si>
    <r>
      <rPr>
        <sz val="7"/>
        <rFont val="Arial"/>
        <family val="2"/>
      </rPr>
      <t>Carreta com prancha 2040 45,0 t</t>
    </r>
  </si>
  <si>
    <r>
      <rPr>
        <sz val="7"/>
        <rFont val="Arial"/>
        <family val="2"/>
      </rPr>
      <t>Carrinho de mão</t>
    </r>
  </si>
  <si>
    <r>
      <rPr>
        <sz val="7"/>
        <rFont val="Arial"/>
        <family val="2"/>
      </rPr>
      <t>Compactador manual LF-100 gasol marca de referência Honda asfal 500mm ou equivalente</t>
    </r>
  </si>
  <si>
    <r>
      <rPr>
        <sz val="7"/>
        <rFont val="Arial"/>
        <family val="2"/>
      </rPr>
      <t>Compressor de ar XA 187/400 PCM, ATLAS ou equivalente</t>
    </r>
  </si>
  <si>
    <r>
      <rPr>
        <sz val="7"/>
        <rFont val="Arial"/>
        <family val="2"/>
      </rPr>
      <t>Compressor de ar XA 360/763 pcm (ATLAS) ou equivalente</t>
    </r>
  </si>
  <si>
    <r>
      <rPr>
        <sz val="7"/>
        <rFont val="Arial"/>
        <family val="2"/>
      </rPr>
      <t>Conjunto acoplado para manômetro para bomba injetora manual Putzmeister ou equivalente</t>
    </r>
  </si>
  <si>
    <r>
      <rPr>
        <sz val="7"/>
        <rFont val="Arial"/>
        <family val="2"/>
      </rPr>
      <t>Conjunto de campânula para fundação a ar comprimido</t>
    </r>
  </si>
  <si>
    <r>
      <rPr>
        <sz val="7"/>
        <rFont val="Arial"/>
        <family val="2"/>
      </rPr>
      <t>Conjunto de manômetro O-100 bar, para bomba injetora manual Putzmeister ou similar.</t>
    </r>
  </si>
  <si>
    <r>
      <rPr>
        <sz val="7"/>
        <rFont val="Arial"/>
        <family val="2"/>
      </rPr>
      <t>Conjunto moto bomba diam. 4"</t>
    </r>
  </si>
  <si>
    <r>
      <rPr>
        <sz val="7"/>
        <rFont val="Arial"/>
        <family val="2"/>
      </rPr>
      <t>Conjunto móvel de britagem (produção de 80 a 100m3/h)</t>
    </r>
  </si>
  <si>
    <r>
      <rPr>
        <sz val="7"/>
        <rFont val="Arial"/>
        <family val="2"/>
      </rPr>
      <t>Demarcador de faixas a gasolina referência Elgimaq EGM CAF 800 L ou equivalente</t>
    </r>
  </si>
  <si>
    <r>
      <rPr>
        <sz val="7"/>
        <rFont val="Arial"/>
        <family val="2"/>
      </rPr>
      <t>Distribuidor de agregado DA 3660 D, CMV ou equivalente</t>
    </r>
  </si>
  <si>
    <r>
      <rPr>
        <sz val="7"/>
        <rFont val="Arial"/>
        <family val="2"/>
      </rPr>
      <t>Equipamento espargidor de asfalto 1315C DA-6C 6.500L (CONSMAQ) ou equivalente</t>
    </r>
  </si>
  <si>
    <r>
      <rPr>
        <sz val="7"/>
        <rFont val="Arial"/>
        <family val="2"/>
      </rPr>
      <t>Equipamento lama asfáltica LA-6, CONSMAQ ou equivalente, montado em caminhão</t>
    </r>
  </si>
  <si>
    <r>
      <rPr>
        <sz val="7"/>
        <rFont val="Arial"/>
        <family val="2"/>
      </rPr>
      <t>Equipamento Vácuo SEWER JET e combinado de jato d'água à alta pressão ou equivalente</t>
    </r>
  </si>
  <si>
    <r>
      <rPr>
        <sz val="7"/>
        <rFont val="Arial"/>
        <family val="2"/>
      </rPr>
      <t>Escavadeira EC 240 VOLVO ou equivalente</t>
    </r>
  </si>
  <si>
    <r>
      <rPr>
        <sz val="7"/>
        <rFont val="Arial"/>
        <family val="2"/>
      </rPr>
      <t>Escavadeira hidráulica sobre esteiras mod. C X 220 (22t), Case ou equivalente</t>
    </r>
  </si>
  <si>
    <r>
      <rPr>
        <sz val="7"/>
        <rFont val="Arial"/>
        <family val="2"/>
      </rPr>
      <t>Esmerilhadeira Angular 7" marca de referência BOSCH - 1755 ou equivalente</t>
    </r>
  </si>
  <si>
    <r>
      <rPr>
        <sz val="7"/>
        <rFont val="Arial"/>
        <family val="2"/>
      </rPr>
      <t>Fresadora de pav. asfalt. W 1000 ou equivalente</t>
    </r>
  </si>
  <si>
    <r>
      <rPr>
        <sz val="7"/>
        <rFont val="Arial"/>
        <family val="2"/>
      </rPr>
      <t>Furadeira elétrica de bancada</t>
    </r>
  </si>
  <si>
    <r>
      <rPr>
        <sz val="7"/>
        <rFont val="Arial"/>
        <family val="2"/>
      </rPr>
      <t>Furadeira elétrica de impacto BOSCH 1184 ou equivalente</t>
    </r>
  </si>
  <si>
    <r>
      <rPr>
        <sz val="7"/>
        <rFont val="Arial"/>
        <family val="2"/>
      </rPr>
      <t>Grade de disco GA-24x24 (TATU) ou equivalente</t>
    </r>
  </si>
  <si>
    <r>
      <rPr>
        <sz val="7"/>
        <rFont val="Arial"/>
        <family val="2"/>
      </rPr>
      <t>Grupo Gerador - 25,0 / 18,0 kVA (20kW) ou equivalente</t>
    </r>
  </si>
  <si>
    <r>
      <rPr>
        <sz val="7"/>
        <rFont val="Arial"/>
        <family val="2"/>
      </rPr>
      <t>Grupo gerador GEHM 200/187 kva (HEIMER) ou equivalente</t>
    </r>
  </si>
  <si>
    <r>
      <rPr>
        <sz val="7"/>
        <rFont val="Arial"/>
        <family val="2"/>
      </rPr>
      <t>Grupo Gerador Stemac ou equivalente, montado em contêiner , 500 KVa</t>
    </r>
  </si>
  <si>
    <r>
      <rPr>
        <sz val="7"/>
        <rFont val="Arial"/>
        <family val="2"/>
      </rPr>
      <t>Grupo gerador 114/109 kva (STEMAC) ou equivalente</t>
    </r>
  </si>
  <si>
    <r>
      <rPr>
        <sz val="7"/>
        <rFont val="Arial"/>
        <family val="2"/>
      </rPr>
      <t>Grupo gerador 2,5 a 3,0 kva a gasolina</t>
    </r>
  </si>
  <si>
    <r>
      <rPr>
        <sz val="7"/>
        <rFont val="Arial"/>
        <family val="2"/>
      </rPr>
      <t>Grupo gerador 40/35 kva (STEMAC) ou equivalente</t>
    </r>
  </si>
  <si>
    <r>
      <rPr>
        <sz val="7"/>
        <rFont val="Arial"/>
        <family val="2"/>
      </rPr>
      <t>Guilhotina para corte em chapa de aço até 2mm</t>
    </r>
  </si>
  <si>
    <r>
      <rPr>
        <sz val="7"/>
        <rFont val="Arial"/>
        <family val="2"/>
      </rPr>
      <t>Guindaste de esteira para 40.0t (KOEHRING BANTAM) ou equivalente</t>
    </r>
  </si>
  <si>
    <r>
      <rPr>
        <sz val="7"/>
        <rFont val="Arial"/>
        <family val="2"/>
      </rPr>
      <t>Guindaste 97 T (PBT) sobre esteira com lança de 15m</t>
    </r>
  </si>
  <si>
    <r>
      <rPr>
        <sz val="7"/>
        <rFont val="Arial"/>
        <family val="2"/>
      </rPr>
      <t>Guindauto 6t, Madal-Palfinger ou equivalente</t>
    </r>
  </si>
  <si>
    <r>
      <rPr>
        <sz val="7"/>
        <rFont val="Arial"/>
        <family val="2"/>
      </rPr>
      <t>Macaco Freyssinet modelo K101 ou similar, 7 cordoalhas de 1/2" ou equivalente</t>
    </r>
  </si>
  <si>
    <r>
      <rPr>
        <sz val="7"/>
        <rFont val="Arial"/>
        <family val="2"/>
      </rPr>
      <t>Macaco hidraúlico p/ protensao (12 cordoalhas)</t>
    </r>
  </si>
  <si>
    <r>
      <rPr>
        <sz val="7"/>
        <rFont val="Arial"/>
        <family val="2"/>
      </rPr>
      <t>Máquina de cortar ferro</t>
    </r>
  </si>
  <si>
    <r>
      <rPr>
        <sz val="7"/>
        <rFont val="Arial"/>
        <family val="2"/>
      </rPr>
      <t>Máquina de hidrojateamento</t>
    </r>
  </si>
  <si>
    <r>
      <rPr>
        <sz val="7"/>
        <rFont val="Arial"/>
        <family val="2"/>
      </rPr>
      <t>Máquina de jateamento de areia</t>
    </r>
  </si>
  <si>
    <r>
      <rPr>
        <sz val="7"/>
        <rFont val="Arial"/>
        <family val="2"/>
      </rPr>
      <t>Máquina de solda 425 A, pot=33A</t>
    </r>
  </si>
  <si>
    <r>
      <rPr>
        <sz val="7"/>
        <rFont val="Arial"/>
        <family val="2"/>
      </rPr>
      <t>Máquina injetora de nata de cimento</t>
    </r>
  </si>
  <si>
    <r>
      <rPr>
        <sz val="7"/>
        <rFont val="Arial"/>
        <family val="2"/>
      </rPr>
      <t>Máquina para fio diamantado, Guidoni, modelo TSY, 15 cv/11kw, ou equivalente</t>
    </r>
  </si>
  <si>
    <r>
      <rPr>
        <sz val="7"/>
        <rFont val="Arial"/>
        <family val="2"/>
      </rPr>
      <t>Martelete man. e mec. RH 658 110 pcm/24kg (ATLAS) ou equivalente</t>
    </r>
  </si>
  <si>
    <r>
      <rPr>
        <sz val="7"/>
        <rFont val="Arial"/>
        <family val="2"/>
      </rPr>
      <t>Moto Escavo carregador ref. Caterpillar modelo 621G ou equivalente</t>
    </r>
  </si>
  <si>
    <r>
      <rPr>
        <sz val="7"/>
        <rFont val="Arial"/>
        <family val="2"/>
      </rPr>
      <t>Moto serra 15" (gas.)</t>
    </r>
  </si>
  <si>
    <r>
      <rPr>
        <sz val="7"/>
        <rFont val="Arial"/>
        <family val="2"/>
      </rPr>
      <t>Motoniveladora Caterpillar modelo 120K ( cab + ar + ríper) ou equivalente</t>
    </r>
  </si>
  <si>
    <r>
      <rPr>
        <sz val="7"/>
        <rFont val="Arial"/>
        <family val="2"/>
      </rPr>
      <t>Multi distribuidor de agregados referência MDR 9 Romanelli ou equivalente</t>
    </r>
  </si>
  <si>
    <r>
      <rPr>
        <sz val="7"/>
        <rFont val="Arial"/>
        <family val="2"/>
      </rPr>
      <t>Perfuratriz de 22,4 kg de peso para uso subterrâneo</t>
    </r>
  </si>
  <si>
    <r>
      <rPr>
        <sz val="7"/>
        <rFont val="Arial"/>
        <family val="2"/>
      </rPr>
      <t>Perfuratriz Mach 16 montada em esteira auto propulsora, incl. conj. de haste ou equivalente</t>
    </r>
  </si>
  <si>
    <r>
      <rPr>
        <sz val="7"/>
        <rFont val="Arial"/>
        <family val="2"/>
      </rPr>
      <t>Recicladora ref. Caterpillar modelo RM500 ou equivalente</t>
    </r>
  </si>
  <si>
    <r>
      <rPr>
        <sz val="7"/>
        <rFont val="Arial"/>
        <family val="2"/>
      </rPr>
      <t>Retroescavadeira MF 86 TM (MASSEY FERGUSSON) ou equivalente</t>
    </r>
  </si>
  <si>
    <r>
      <rPr>
        <sz val="7"/>
        <rFont val="Arial"/>
        <family val="2"/>
      </rPr>
      <t>Roçadeira deslocavel adaptavel ao trator agrícola</t>
    </r>
  </si>
  <si>
    <r>
      <rPr>
        <sz val="7"/>
        <rFont val="Arial"/>
        <family val="2"/>
      </rPr>
      <t>Roçadeira mecânica costal, Stihl - F 220 ou equivalente</t>
    </r>
  </si>
  <si>
    <r>
      <rPr>
        <sz val="7"/>
        <rFont val="Arial"/>
        <family val="2"/>
      </rPr>
      <t>Rolo AP de pneus AP-26 (8,9t) (MULLER) ou equivalente</t>
    </r>
  </si>
  <si>
    <r>
      <rPr>
        <sz val="7"/>
        <rFont val="Arial"/>
        <family val="2"/>
      </rPr>
      <t>Rolo AP liso de aço CA 2505 STD Dynapac ou equivalente</t>
    </r>
  </si>
  <si>
    <r>
      <rPr>
        <sz val="7"/>
        <rFont val="Arial"/>
        <family val="2"/>
      </rPr>
      <t>Rolo AP liso de aço RT-82H (6,5t) (MULLER) ou equivalente</t>
    </r>
  </si>
  <si>
    <r>
      <rPr>
        <sz val="7"/>
        <rFont val="Arial"/>
        <family val="2"/>
      </rPr>
      <t>Rolo AP liso de aço TH-10 (6,3t) (TEMA TERRA) ou equivalente</t>
    </r>
  </si>
  <si>
    <r>
      <rPr>
        <sz val="7"/>
        <rFont val="Arial"/>
        <family val="2"/>
      </rPr>
      <t>Rolo AP vib. liso de aço CA-15 STD (DYNAPAC) ou equivalente</t>
    </r>
  </si>
  <si>
    <r>
      <rPr>
        <sz val="7"/>
        <rFont val="Arial"/>
        <family val="2"/>
      </rPr>
      <t>Rolo AP vib. liso de aço VAP-70 L (MULLER) ou equivalente</t>
    </r>
  </si>
  <si>
    <r>
      <rPr>
        <sz val="7"/>
        <rFont val="Arial"/>
        <family val="2"/>
      </rPr>
      <t>Rolo AP vib. patas 100 mm CA-25P (DYNAPAC) ou equivalente</t>
    </r>
  </si>
  <si>
    <r>
      <rPr>
        <sz val="7"/>
        <rFont val="Arial"/>
        <family val="2"/>
      </rPr>
      <t>Rolo AP vib. patas 128 mm CA-15P (DYNAPAC) ou equivalente</t>
    </r>
  </si>
  <si>
    <r>
      <rPr>
        <sz val="7"/>
        <rFont val="Arial"/>
        <family val="2"/>
      </rPr>
      <t>Rolo compactador de pneus CP 224, Dynapac ou equivalente</t>
    </r>
  </si>
  <si>
    <r>
      <rPr>
        <sz val="7"/>
        <rFont val="Arial"/>
        <family val="2"/>
      </rPr>
      <t>Serra circular manual</t>
    </r>
  </si>
  <si>
    <r>
      <rPr>
        <sz val="7"/>
        <rFont val="Arial"/>
        <family val="2"/>
      </rPr>
      <t>Serra circular (WEG) ou equivalente</t>
    </r>
  </si>
  <si>
    <r>
      <rPr>
        <sz val="7"/>
        <rFont val="Arial"/>
        <family val="2"/>
      </rPr>
      <t>Serra de juntas para concreto, Clipper, mod. C-844 ou equivalente</t>
    </r>
  </si>
  <si>
    <r>
      <rPr>
        <sz val="7"/>
        <rFont val="Arial"/>
        <family val="2"/>
      </rPr>
      <t>Sonda rotativa Mach 850, com motor a diesel de 30HP, Maquesonda ou equivalente</t>
    </r>
  </si>
  <si>
    <r>
      <rPr>
        <sz val="7"/>
        <rFont val="Arial"/>
        <family val="2"/>
      </rPr>
      <t>Sonda rotativa tipo Mach 700 ou equivalente</t>
    </r>
  </si>
  <si>
    <r>
      <rPr>
        <sz val="7"/>
        <rFont val="Arial"/>
        <family val="2"/>
      </rPr>
      <t>Talha de 4 toneladas, elétrica ref. Tirfor ou equivalente,</t>
    </r>
  </si>
  <si>
    <r>
      <rPr>
        <sz val="7"/>
        <rFont val="Arial"/>
        <family val="2"/>
      </rPr>
      <t>Tanque estacionário 20.000 L</t>
    </r>
  </si>
  <si>
    <r>
      <rPr>
        <sz val="7"/>
        <rFont val="Arial"/>
        <family val="2"/>
      </rPr>
      <t>Tanque estacionário 30.000 L</t>
    </r>
  </si>
  <si>
    <r>
      <rPr>
        <sz val="7"/>
        <rFont val="Arial"/>
        <family val="2"/>
      </rPr>
      <t>Tanque pre-aquecedor 30.000L (s/óleo)</t>
    </r>
  </si>
  <si>
    <r>
      <rPr>
        <sz val="7"/>
        <rFont val="Arial"/>
        <family val="2"/>
      </rPr>
      <t>Trator agrícola MF 297/4 -4 X 4 (MASSEY FERGUSSON) ou equivalente</t>
    </r>
  </si>
  <si>
    <r>
      <rPr>
        <sz val="7"/>
        <rFont val="Arial"/>
        <family val="2"/>
      </rPr>
      <t>Trator de esteiras c/ placa emp. D-8R (CAT) ou equivalente</t>
    </r>
  </si>
  <si>
    <r>
      <rPr>
        <sz val="7"/>
        <rFont val="Arial"/>
        <family val="2"/>
      </rPr>
      <t>Trator de esteiras ref. Caterpillar cm lâmina modelo D5K ou equivalente</t>
    </r>
  </si>
  <si>
    <r>
      <rPr>
        <sz val="7"/>
        <rFont val="Arial"/>
        <family val="2"/>
      </rPr>
      <t>Trator de esteiras ref. Caterpillar cm lâmina modelo D6N ou equivalente</t>
    </r>
  </si>
  <si>
    <r>
      <rPr>
        <sz val="7"/>
        <rFont val="Arial"/>
        <family val="2"/>
      </rPr>
      <t>Trator de esteiras ref. Caterpillar cm lâmina modelo D6T ou equivalente</t>
    </r>
  </si>
  <si>
    <r>
      <rPr>
        <sz val="7"/>
        <rFont val="Arial"/>
        <family val="2"/>
      </rPr>
      <t>Trator de esteiras ref. Caterpillar com lâmina  modelo D8T, sem ríper ou equivalente</t>
    </r>
  </si>
  <si>
    <r>
      <rPr>
        <sz val="7"/>
        <rFont val="Arial"/>
        <family val="2"/>
      </rPr>
      <t>Trator de esteiras ref. Caterpillar com lâmina e ripper modelo D8T ou equivalente</t>
    </r>
  </si>
  <si>
    <r>
      <rPr>
        <sz val="7"/>
        <rFont val="Arial"/>
        <family val="2"/>
      </rPr>
      <t>Usina de asfalto UA-2 60/80 t/h - CBUQ (CIBER) ou equivalente</t>
    </r>
  </si>
  <si>
    <r>
      <rPr>
        <sz val="7"/>
        <rFont val="Arial"/>
        <family val="2"/>
      </rPr>
      <t>Usina de asfalto 33-E 40/60 t/h - PMF (ALMEIDA) ou equivalente</t>
    </r>
  </si>
  <si>
    <r>
      <rPr>
        <sz val="7"/>
        <rFont val="Arial"/>
        <family val="2"/>
      </rPr>
      <t>Usina de solos USC-2 dos. triplo 100/200t (CIBER) ou equivalente</t>
    </r>
  </si>
  <si>
    <r>
      <rPr>
        <sz val="7"/>
        <rFont val="Arial"/>
        <family val="2"/>
      </rPr>
      <t>Vassoura mecânica VM-2440 (CMV) ou equivalente</t>
    </r>
  </si>
  <si>
    <r>
      <rPr>
        <sz val="7"/>
        <rFont val="Arial"/>
        <family val="2"/>
      </rPr>
      <t>Vibrador de imersao AA67 c/ mangote, marca de referência ATLAS COPCO ou equivalente</t>
    </r>
  </si>
  <si>
    <t>Tabela Referencial novembro 2020 sem desoneração</t>
  </si>
  <si>
    <t>Data Base: novembro/2020</t>
  </si>
  <si>
    <t>0,928XP + 1,026XR + 1,628</t>
  </si>
  <si>
    <t>0,640XP + 0,678XR + 1,440</t>
  </si>
  <si>
    <t>0,832XP + 0,936XR + 1,560</t>
  </si>
  <si>
    <t>0,719XP + 0,799XR + 1,498</t>
  </si>
  <si>
    <t>0,247XP + 0,262XR + 9,470</t>
  </si>
  <si>
    <t>0,483XP + 0,570XR + 51,460</t>
  </si>
  <si>
    <t>1,123XP + 1,497XR + 1,872</t>
  </si>
  <si>
    <t>0,719XP + 0,749XR + 2,997</t>
  </si>
  <si>
    <t>0,719XP + 0,749XR</t>
  </si>
  <si>
    <t>0,716XP + 0,745XR</t>
  </si>
  <si>
    <t>1,189XP + 1,239XR</t>
  </si>
  <si>
    <t>1,082XP + 1,123XR + 8,324</t>
  </si>
  <si>
    <r>
      <rPr>
        <b/>
        <sz val="7"/>
        <rFont val="Arial"/>
        <family val="2"/>
      </rPr>
      <t>Descrição da mão de obra</t>
    </r>
  </si>
  <si>
    <r>
      <rPr>
        <b/>
        <sz val="7"/>
        <rFont val="Arial"/>
        <family val="2"/>
      </rPr>
      <t>Qt. sal</t>
    </r>
  </si>
  <si>
    <r>
      <rPr>
        <b/>
        <sz val="7"/>
        <rFont val="Arial"/>
        <family val="2"/>
      </rPr>
      <t>Valor sem encargos</t>
    </r>
  </si>
  <si>
    <r>
      <rPr>
        <b/>
        <sz val="7"/>
        <rFont val="Arial"/>
        <family val="2"/>
      </rPr>
      <t>Encargos</t>
    </r>
  </si>
  <si>
    <r>
      <rPr>
        <b/>
        <sz val="7"/>
        <rFont val="Arial"/>
        <family val="2"/>
      </rPr>
      <t>Valor com encargos</t>
    </r>
  </si>
  <si>
    <r>
      <rPr>
        <b/>
        <sz val="7"/>
        <rFont val="Arial"/>
        <family val="2"/>
      </rPr>
      <t>003 - ENCARGOS SOCIAIS E COMPLEMENTARES</t>
    </r>
  </si>
  <si>
    <r>
      <rPr>
        <sz val="7"/>
        <rFont val="Arial"/>
        <family val="2"/>
      </rPr>
      <t>Ajudante de carpinteiro</t>
    </r>
  </si>
  <si>
    <r>
      <rPr>
        <sz val="7"/>
        <rFont val="Arial"/>
        <family val="2"/>
      </rPr>
      <t>Ajudante de carpinteiro de O.A.C.</t>
    </r>
  </si>
  <si>
    <r>
      <rPr>
        <sz val="7"/>
        <rFont val="Arial"/>
        <family val="2"/>
      </rPr>
      <t>Ajudante de eletricista</t>
    </r>
  </si>
  <si>
    <r>
      <rPr>
        <sz val="7"/>
        <rFont val="Arial"/>
        <family val="2"/>
      </rPr>
      <t>Ajudante de máquina</t>
    </r>
  </si>
  <si>
    <r>
      <rPr>
        <sz val="7"/>
        <rFont val="Arial"/>
        <family val="2"/>
      </rPr>
      <t>Ajudante de pedreiro O.A.C.</t>
    </r>
  </si>
  <si>
    <r>
      <rPr>
        <sz val="7"/>
        <rFont val="Arial"/>
        <family val="2"/>
      </rPr>
      <t>Ajudante de pedreiro O.A.E.</t>
    </r>
  </si>
  <si>
    <r>
      <rPr>
        <sz val="7"/>
        <rFont val="Arial"/>
        <family val="2"/>
      </rPr>
      <t>Almoxarife</t>
    </r>
  </si>
  <si>
    <r>
      <rPr>
        <sz val="7"/>
        <rFont val="Arial"/>
        <family val="2"/>
      </rPr>
      <t>Apontador</t>
    </r>
  </si>
  <si>
    <r>
      <rPr>
        <sz val="7"/>
        <rFont val="Arial"/>
        <family val="2"/>
      </rPr>
      <t>Armador</t>
    </r>
  </si>
  <si>
    <r>
      <rPr>
        <sz val="7"/>
        <rFont val="Arial"/>
        <family val="2"/>
      </rPr>
      <t>Auxiliar de almoxarife</t>
    </r>
  </si>
  <si>
    <r>
      <rPr>
        <sz val="7"/>
        <rFont val="Arial"/>
        <family val="2"/>
      </rPr>
      <t>Auxiliar de serviços gerais</t>
    </r>
  </si>
  <si>
    <r>
      <rPr>
        <sz val="7"/>
        <rFont val="Arial"/>
        <family val="2"/>
      </rPr>
      <t>Blaster</t>
    </r>
  </si>
  <si>
    <r>
      <rPr>
        <sz val="7"/>
        <rFont val="Arial"/>
        <family val="2"/>
      </rPr>
      <t>Cabo de fogo</t>
    </r>
  </si>
  <si>
    <r>
      <rPr>
        <sz val="7"/>
        <rFont val="Arial"/>
        <family val="2"/>
      </rPr>
      <t>Calceteiro</t>
    </r>
  </si>
  <si>
    <r>
      <rPr>
        <sz val="7"/>
        <rFont val="Arial"/>
        <family val="2"/>
      </rPr>
      <t>Capataz de ar comprimido</t>
    </r>
  </si>
  <si>
    <r>
      <rPr>
        <sz val="7"/>
        <rFont val="Arial"/>
        <family val="2"/>
      </rPr>
      <t>Carpinteiro de O.A.C.</t>
    </r>
  </si>
  <si>
    <r>
      <rPr>
        <sz val="7"/>
        <rFont val="Arial"/>
        <family val="2"/>
      </rPr>
      <t>Carpinteiro de O.A.E.</t>
    </r>
  </si>
  <si>
    <r>
      <rPr>
        <sz val="7"/>
        <rFont val="Arial"/>
        <family val="2"/>
      </rPr>
      <t>Cavouqueiro</t>
    </r>
  </si>
  <si>
    <r>
      <rPr>
        <sz val="7"/>
        <rFont val="Arial"/>
        <family val="2"/>
      </rPr>
      <t>Compressorista</t>
    </r>
  </si>
  <si>
    <r>
      <rPr>
        <sz val="7"/>
        <rFont val="Arial"/>
        <family val="2"/>
      </rPr>
      <t>Eletricista</t>
    </r>
  </si>
  <si>
    <r>
      <rPr>
        <sz val="7"/>
        <rFont val="Arial"/>
        <family val="2"/>
      </rPr>
      <t>Encarregado de britador</t>
    </r>
  </si>
  <si>
    <r>
      <rPr>
        <sz val="7"/>
        <rFont val="Arial"/>
        <family val="2"/>
      </rPr>
      <t>Encarregado de escritório</t>
    </r>
  </si>
  <si>
    <r>
      <rPr>
        <sz val="7"/>
        <rFont val="Arial"/>
        <family val="2"/>
      </rPr>
      <t>Encarregado de fundação</t>
    </r>
  </si>
  <si>
    <r>
      <rPr>
        <sz val="7"/>
        <rFont val="Arial"/>
        <family val="2"/>
      </rPr>
      <t>Encarregado de O.A.C.</t>
    </r>
  </si>
  <si>
    <r>
      <rPr>
        <sz val="7"/>
        <rFont val="Arial"/>
        <family val="2"/>
      </rPr>
      <t>Encarregado de pavimentação</t>
    </r>
  </si>
  <si>
    <r>
      <rPr>
        <sz val="7"/>
        <rFont val="Arial"/>
        <family val="2"/>
      </rPr>
      <t>Encarregado de pesagem</t>
    </r>
  </si>
  <si>
    <r>
      <rPr>
        <sz val="7"/>
        <rFont val="Arial"/>
        <family val="2"/>
      </rPr>
      <t>Encarregado de pista</t>
    </r>
  </si>
  <si>
    <r>
      <rPr>
        <sz val="7"/>
        <rFont val="Arial"/>
        <family val="2"/>
      </rPr>
      <t>Encarregado de protensao</t>
    </r>
  </si>
  <si>
    <r>
      <rPr>
        <sz val="7"/>
        <rFont val="Arial"/>
        <family val="2"/>
      </rPr>
      <t>Encarregado de terraplenagem</t>
    </r>
  </si>
  <si>
    <r>
      <rPr>
        <sz val="7"/>
        <rFont val="Arial"/>
        <family val="2"/>
      </rPr>
      <t>Encarregado de usina</t>
    </r>
  </si>
  <si>
    <r>
      <rPr>
        <sz val="7"/>
        <rFont val="Arial"/>
        <family val="2"/>
      </rPr>
      <t>Encarregado Geral</t>
    </r>
  </si>
  <si>
    <r>
      <rPr>
        <sz val="7"/>
        <rFont val="Arial"/>
        <family val="2"/>
      </rPr>
      <t>Encarregado O.A.E.</t>
    </r>
  </si>
  <si>
    <r>
      <rPr>
        <sz val="7"/>
        <rFont val="Arial"/>
        <family val="2"/>
      </rPr>
      <t>Escavadeirista</t>
    </r>
  </si>
  <si>
    <r>
      <rPr>
        <sz val="7"/>
        <rFont val="Arial"/>
        <family val="2"/>
      </rPr>
      <t>Feitor</t>
    </r>
  </si>
  <si>
    <r>
      <rPr>
        <sz val="7"/>
        <rFont val="Arial"/>
        <family val="2"/>
      </rPr>
      <t>Greidista</t>
    </r>
  </si>
  <si>
    <r>
      <rPr>
        <sz val="7"/>
        <rFont val="Arial"/>
        <family val="2"/>
      </rPr>
      <t>Laboratorista de Usina</t>
    </r>
  </si>
  <si>
    <r>
      <rPr>
        <sz val="7"/>
        <rFont val="Arial"/>
        <family val="2"/>
      </rPr>
      <t>Marroeiro</t>
    </r>
  </si>
  <si>
    <r>
      <rPr>
        <sz val="7"/>
        <rFont val="Arial"/>
        <family val="2"/>
      </rPr>
      <t>Marteleteiro</t>
    </r>
  </si>
  <si>
    <r>
      <rPr>
        <sz val="7"/>
        <rFont val="Arial"/>
        <family val="2"/>
      </rPr>
      <t>Meio Oficial</t>
    </r>
  </si>
  <si>
    <r>
      <rPr>
        <sz val="7"/>
        <rFont val="Arial"/>
        <family val="2"/>
      </rPr>
      <t>Montador</t>
    </r>
  </si>
  <si>
    <r>
      <rPr>
        <sz val="7"/>
        <rFont val="Arial"/>
        <family val="2"/>
      </rPr>
      <t>Motorista</t>
    </r>
  </si>
  <si>
    <r>
      <rPr>
        <sz val="7"/>
        <rFont val="Arial"/>
        <family val="2"/>
      </rPr>
      <t>Oficial</t>
    </r>
  </si>
  <si>
    <r>
      <rPr>
        <sz val="7"/>
        <rFont val="Arial"/>
        <family val="2"/>
      </rPr>
      <t>Operador de bate-estacas</t>
    </r>
  </si>
  <si>
    <r>
      <rPr>
        <sz val="7"/>
        <rFont val="Arial"/>
        <family val="2"/>
      </rPr>
      <t>Operador de betoneira</t>
    </r>
  </si>
  <si>
    <r>
      <rPr>
        <sz val="7"/>
        <rFont val="Arial"/>
        <family val="2"/>
      </rPr>
      <t>Operador de campânula p/ tubulaçao</t>
    </r>
  </si>
  <si>
    <r>
      <rPr>
        <sz val="7"/>
        <rFont val="Arial"/>
        <family val="2"/>
      </rPr>
      <t>Operador de máquina</t>
    </r>
  </si>
  <si>
    <r>
      <rPr>
        <sz val="7"/>
        <rFont val="Arial"/>
        <family val="2"/>
      </rPr>
      <t>Operador de protensão</t>
    </r>
  </si>
  <si>
    <r>
      <rPr>
        <sz val="7"/>
        <rFont val="Arial"/>
        <family val="2"/>
      </rPr>
      <t>Operador de roçadeira</t>
    </r>
  </si>
  <si>
    <r>
      <rPr>
        <sz val="7"/>
        <rFont val="Arial"/>
        <family val="2"/>
      </rPr>
      <t>Operador de usina</t>
    </r>
  </si>
  <si>
    <r>
      <rPr>
        <sz val="7"/>
        <rFont val="Arial"/>
        <family val="2"/>
      </rPr>
      <t>Operário braçal</t>
    </r>
  </si>
  <si>
    <r>
      <rPr>
        <sz val="7"/>
        <rFont val="Arial"/>
        <family val="2"/>
      </rPr>
      <t>Patrolista</t>
    </r>
  </si>
  <si>
    <r>
      <rPr>
        <sz val="7"/>
        <rFont val="Arial"/>
        <family val="2"/>
      </rPr>
      <t>Pedreiro de O.A.C.</t>
    </r>
  </si>
  <si>
    <r>
      <rPr>
        <sz val="7"/>
        <rFont val="Arial"/>
        <family val="2"/>
      </rPr>
      <t>Pedreiro de O.A.E.</t>
    </r>
  </si>
  <si>
    <r>
      <rPr>
        <sz val="7"/>
        <rFont val="Arial"/>
        <family val="2"/>
      </rPr>
      <t>Pintor</t>
    </r>
  </si>
  <si>
    <r>
      <rPr>
        <sz val="7"/>
        <rFont val="Arial"/>
        <family val="2"/>
      </rPr>
      <t>Poceiro</t>
    </r>
  </si>
  <si>
    <r>
      <rPr>
        <sz val="7"/>
        <rFont val="Arial"/>
        <family val="2"/>
      </rPr>
      <t>Rasteleiro</t>
    </r>
  </si>
  <si>
    <r>
      <rPr>
        <sz val="7"/>
        <rFont val="Arial"/>
        <family val="2"/>
      </rPr>
      <t>Serralheiro</t>
    </r>
  </si>
  <si>
    <r>
      <rPr>
        <sz val="7"/>
        <rFont val="Arial"/>
        <family val="2"/>
      </rPr>
      <t>Servente</t>
    </r>
  </si>
  <si>
    <r>
      <rPr>
        <sz val="7"/>
        <rFont val="Arial"/>
        <family val="2"/>
      </rPr>
      <t>Servente de usina</t>
    </r>
  </si>
  <si>
    <r>
      <rPr>
        <sz val="7"/>
        <rFont val="Arial"/>
        <family val="2"/>
      </rPr>
      <t>Sinaleiro</t>
    </r>
  </si>
  <si>
    <r>
      <rPr>
        <sz val="7"/>
        <rFont val="Arial"/>
        <family val="2"/>
      </rPr>
      <t>Soldador</t>
    </r>
  </si>
  <si>
    <r>
      <rPr>
        <sz val="7"/>
        <rFont val="Arial"/>
        <family val="2"/>
      </rPr>
      <t>Sondador</t>
    </r>
  </si>
  <si>
    <r>
      <rPr>
        <sz val="7"/>
        <rFont val="Arial"/>
        <family val="2"/>
      </rPr>
      <t>Supervisor Técnico de Montagem</t>
    </r>
  </si>
  <si>
    <r>
      <rPr>
        <sz val="7"/>
        <rFont val="Arial"/>
        <family val="2"/>
      </rPr>
      <t>Trabalhador sob ar comprimido</t>
    </r>
  </si>
  <si>
    <r>
      <rPr>
        <sz val="7"/>
        <rFont val="Arial"/>
        <family val="2"/>
      </rPr>
      <t>Tratorista</t>
    </r>
  </si>
  <si>
    <r>
      <rPr>
        <sz val="7"/>
        <rFont val="Arial"/>
        <family val="2"/>
      </rPr>
      <t>Vigia</t>
    </r>
  </si>
  <si>
    <r>
      <rPr>
        <sz val="7"/>
        <rFont val="Arial"/>
        <family val="2"/>
      </rPr>
      <t>Advogado</t>
    </r>
  </si>
  <si>
    <r>
      <rPr>
        <sz val="7"/>
        <rFont val="Arial"/>
        <family val="2"/>
      </rPr>
      <t>Analista de sistemas (júnior)</t>
    </r>
  </si>
  <si>
    <r>
      <rPr>
        <sz val="7"/>
        <rFont val="Arial"/>
        <family val="2"/>
      </rPr>
      <t>Analista de sistemas (sênior)</t>
    </r>
  </si>
  <si>
    <r>
      <rPr>
        <sz val="7"/>
        <rFont val="Arial"/>
        <family val="2"/>
      </rPr>
      <t>Arqueólogo (Pleno)</t>
    </r>
  </si>
  <si>
    <r>
      <rPr>
        <sz val="7"/>
        <rFont val="Arial"/>
        <family val="2"/>
      </rPr>
      <t>Assistente Social (Pleno)</t>
    </r>
  </si>
  <si>
    <r>
      <rPr>
        <sz val="7"/>
        <rFont val="Arial"/>
        <family val="2"/>
      </rPr>
      <t>Auxiliar de administraçao</t>
    </r>
  </si>
  <si>
    <r>
      <rPr>
        <sz val="7"/>
        <rFont val="Arial"/>
        <family val="2"/>
      </rPr>
      <t>Auxiliar de engenharia</t>
    </r>
  </si>
  <si>
    <r>
      <rPr>
        <sz val="7"/>
        <rFont val="Arial"/>
        <family val="2"/>
      </rPr>
      <t>Auxiliar de escritório</t>
    </r>
  </si>
  <si>
    <r>
      <rPr>
        <sz val="7"/>
        <rFont val="Arial"/>
        <family val="2"/>
      </rPr>
      <t>Auxiliar de laboratório</t>
    </r>
  </si>
  <si>
    <r>
      <rPr>
        <sz val="7"/>
        <rFont val="Arial"/>
        <family val="2"/>
      </rPr>
      <t>Auxiliar de Serviços Gerais</t>
    </r>
  </si>
  <si>
    <r>
      <rPr>
        <sz val="7"/>
        <rFont val="Arial"/>
        <family val="2"/>
      </rPr>
      <t>Auxiliar de topografia</t>
    </r>
  </si>
  <si>
    <r>
      <rPr>
        <sz val="7"/>
        <rFont val="Arial"/>
        <family val="2"/>
      </rPr>
      <t>Auxiliar técnico</t>
    </r>
  </si>
  <si>
    <r>
      <rPr>
        <sz val="7"/>
        <rFont val="Arial"/>
        <family val="2"/>
      </rPr>
      <t>Biólogo (Pleno)</t>
    </r>
  </si>
  <si>
    <r>
      <rPr>
        <sz val="7"/>
        <rFont val="Arial"/>
        <family val="2"/>
      </rPr>
      <t>Contador de nível superior</t>
    </r>
  </si>
  <si>
    <r>
      <rPr>
        <sz val="7"/>
        <rFont val="Arial"/>
        <family val="2"/>
      </rPr>
      <t>Desenhista</t>
    </r>
  </si>
  <si>
    <r>
      <rPr>
        <sz val="7"/>
        <rFont val="Arial"/>
        <family val="2"/>
      </rPr>
      <t>Desenhista projetista</t>
    </r>
  </si>
  <si>
    <r>
      <rPr>
        <sz val="7"/>
        <rFont val="Arial"/>
        <family val="2"/>
      </rPr>
      <t>Digitador</t>
    </r>
  </si>
  <si>
    <r>
      <rPr>
        <sz val="7"/>
        <rFont val="Arial"/>
        <family val="2"/>
      </rPr>
      <t>Economista</t>
    </r>
  </si>
  <si>
    <r>
      <rPr>
        <sz val="7"/>
        <rFont val="Arial"/>
        <family val="2"/>
      </rPr>
      <t>Engenheiro auxiliar</t>
    </r>
  </si>
  <si>
    <r>
      <rPr>
        <sz val="7"/>
        <rFont val="Arial"/>
        <family val="2"/>
      </rPr>
      <t>Engenheiro coordenador</t>
    </r>
  </si>
  <si>
    <r>
      <rPr>
        <sz val="7"/>
        <rFont val="Arial"/>
        <family val="2"/>
      </rPr>
      <t>Engenheiro junior</t>
    </r>
  </si>
  <si>
    <r>
      <rPr>
        <sz val="7"/>
        <rFont val="Arial"/>
        <family val="2"/>
      </rPr>
      <t>Engenheiro pleno</t>
    </r>
  </si>
  <si>
    <r>
      <rPr>
        <sz val="7"/>
        <rFont val="Arial"/>
        <family val="2"/>
      </rPr>
      <t>Engenheiro sênior</t>
    </r>
  </si>
  <si>
    <r>
      <rPr>
        <sz val="7"/>
        <rFont val="Arial"/>
        <family val="2"/>
      </rPr>
      <t>Especialista Ambiental (Coordenador de Estudos)</t>
    </r>
  </si>
  <si>
    <r>
      <rPr>
        <sz val="7"/>
        <rFont val="Arial"/>
        <family val="2"/>
      </rPr>
      <t>Especialista em meio ambiente</t>
    </r>
  </si>
  <si>
    <r>
      <rPr>
        <sz val="7"/>
        <rFont val="Arial"/>
        <family val="2"/>
      </rPr>
      <t>Historiador (Pleno)</t>
    </r>
  </si>
  <si>
    <r>
      <rPr>
        <sz val="7"/>
        <rFont val="Arial"/>
        <family val="2"/>
      </rPr>
      <t>Laboratorista</t>
    </r>
  </si>
  <si>
    <r>
      <rPr>
        <sz val="7"/>
        <rFont val="Arial"/>
        <family val="2"/>
      </rPr>
      <t>Laboratorista auxiliar</t>
    </r>
  </si>
  <si>
    <r>
      <rPr>
        <sz val="7"/>
        <rFont val="Arial"/>
        <family val="2"/>
      </rPr>
      <t>Laboratorista chefe</t>
    </r>
  </si>
  <si>
    <r>
      <rPr>
        <sz val="7"/>
        <rFont val="Arial"/>
        <family val="2"/>
      </rPr>
      <t>Nivelador</t>
    </r>
  </si>
  <si>
    <r>
      <rPr>
        <sz val="7"/>
        <rFont val="Arial"/>
        <family val="2"/>
      </rPr>
      <t>Pedagogo (Pleno)</t>
    </r>
  </si>
  <si>
    <r>
      <rPr>
        <sz val="7"/>
        <rFont val="Arial"/>
        <family val="2"/>
      </rPr>
      <t>Secretária</t>
    </r>
  </si>
  <si>
    <r>
      <rPr>
        <sz val="7"/>
        <rFont val="Arial"/>
        <family val="2"/>
      </rPr>
      <t>Servente consultoria</t>
    </r>
  </si>
  <si>
    <r>
      <rPr>
        <sz val="7"/>
        <rFont val="Arial"/>
        <family val="2"/>
      </rPr>
      <t>Técnico de campo</t>
    </r>
  </si>
  <si>
    <r>
      <rPr>
        <sz val="7"/>
        <rFont val="Arial"/>
        <family val="2"/>
      </rPr>
      <t>Técnico de estradas I</t>
    </r>
  </si>
  <si>
    <r>
      <rPr>
        <sz val="7"/>
        <rFont val="Arial"/>
        <family val="2"/>
      </rPr>
      <t>Técnico de Estradas II</t>
    </r>
  </si>
  <si>
    <r>
      <rPr>
        <sz val="7"/>
        <rFont val="Arial"/>
        <family val="2"/>
      </rPr>
      <t>Técnico de Estradas III</t>
    </r>
  </si>
  <si>
    <r>
      <rPr>
        <sz val="7"/>
        <rFont val="Arial"/>
        <family val="2"/>
      </rPr>
      <t>Técnico de nível médio</t>
    </r>
  </si>
  <si>
    <r>
      <rPr>
        <sz val="7"/>
        <rFont val="Arial"/>
        <family val="2"/>
      </rPr>
      <t>Técnico de Segurança</t>
    </r>
  </si>
  <si>
    <r>
      <rPr>
        <sz val="7"/>
        <rFont val="Arial"/>
        <family val="2"/>
      </rPr>
      <t>Técnico em meio ambiente</t>
    </r>
  </si>
  <si>
    <r>
      <rPr>
        <sz val="7"/>
        <rFont val="Arial"/>
        <family val="2"/>
      </rPr>
      <t>Técnico Especial</t>
    </r>
  </si>
  <si>
    <r>
      <rPr>
        <sz val="7"/>
        <rFont val="Arial"/>
        <family val="2"/>
      </rPr>
      <t>Topógrafo</t>
    </r>
  </si>
  <si>
    <r>
      <rPr>
        <sz val="7"/>
        <rFont val="Arial"/>
        <family val="2"/>
      </rPr>
      <t>Topógrafo auxiliar (nivelador)</t>
    </r>
  </si>
  <si>
    <r>
      <rPr>
        <sz val="7"/>
        <rFont val="Arial"/>
        <family val="2"/>
      </rPr>
      <t>Topógrafo chefe</t>
    </r>
  </si>
  <si>
    <r>
      <rPr>
        <sz val="7"/>
        <rFont val="Arial"/>
        <family val="2"/>
      </rPr>
      <t>Veterinário</t>
    </r>
  </si>
  <si>
    <t>Salário base: R$ 1.071,22                                                                                                                                                           Salário hora: R$ 4,86</t>
  </si>
  <si>
    <r>
      <rPr>
        <b/>
        <sz val="7"/>
        <rFont val="Arial"/>
        <family val="2"/>
      </rPr>
      <t>Descrição do material</t>
    </r>
  </si>
  <si>
    <r>
      <rPr>
        <b/>
        <sz val="7"/>
        <rFont val="Arial"/>
        <family val="2"/>
      </rPr>
      <t>Custo Unitário</t>
    </r>
  </si>
  <si>
    <r>
      <rPr>
        <sz val="7"/>
        <rFont val="Arial"/>
        <family val="2"/>
      </rPr>
      <t>Abraçadeira para fixação de eletroduto diâm. 3/4"</t>
    </r>
  </si>
  <si>
    <r>
      <rPr>
        <sz val="7"/>
        <rFont val="Arial"/>
        <family val="2"/>
      </rPr>
      <t>Abraçadeira para fixação de semáforo em braço/coluna de diâmetro 101 ou 114mm</t>
    </r>
  </si>
  <si>
    <r>
      <rPr>
        <sz val="7"/>
        <rFont val="Arial"/>
        <family val="2"/>
      </rPr>
      <t>Acetileno</t>
    </r>
  </si>
  <si>
    <r>
      <rPr>
        <sz val="7"/>
        <rFont val="Arial"/>
        <family val="2"/>
      </rPr>
      <t>Aço (barra) GEWI ou equivalente, ST 85/105, de 32mm</t>
    </r>
  </si>
  <si>
    <r>
      <rPr>
        <sz val="7"/>
        <rFont val="Arial"/>
        <family val="2"/>
      </rPr>
      <t>Aço (barra) GEWI ou similar,ST 50/55 diâmetro de 32mm</t>
    </r>
  </si>
  <si>
    <r>
      <rPr>
        <sz val="7"/>
        <rFont val="Arial"/>
        <family val="2"/>
      </rPr>
      <t>Aço CA-25 (granel) - (preço médio)</t>
    </r>
  </si>
  <si>
    <r>
      <rPr>
        <sz val="7"/>
        <rFont val="Arial"/>
        <family val="2"/>
      </rPr>
      <t>Aço CA-25 (granel) D=1/2"</t>
    </r>
  </si>
  <si>
    <r>
      <rPr>
        <sz val="7"/>
        <rFont val="Arial"/>
        <family val="2"/>
      </rPr>
      <t>Aço CA-25 (granel) D=3/8"</t>
    </r>
  </si>
  <si>
    <r>
      <rPr>
        <sz val="7"/>
        <rFont val="Arial"/>
        <family val="2"/>
      </rPr>
      <t>Aço CA-50 (carreta 20 t) D=1/2" a 3/8"</t>
    </r>
  </si>
  <si>
    <r>
      <rPr>
        <sz val="7"/>
        <rFont val="Arial"/>
        <family val="2"/>
      </rPr>
      <t>Aço CA-50 diam 12.5 a 25 mm</t>
    </r>
  </si>
  <si>
    <r>
      <rPr>
        <sz val="7"/>
        <rFont val="Arial"/>
        <family val="2"/>
      </rPr>
      <t>Aço CA-50 diam. 6.3 a 10 mm</t>
    </r>
  </si>
  <si>
    <r>
      <rPr>
        <sz val="7"/>
        <rFont val="Arial"/>
        <family val="2"/>
      </rPr>
      <t>Aço CA-50 (granel) - (preço médio)</t>
    </r>
  </si>
  <si>
    <r>
      <rPr>
        <sz val="7"/>
        <rFont val="Arial"/>
        <family val="2"/>
      </rPr>
      <t>Aço CA-50 (granel) diam. 1/2"</t>
    </r>
  </si>
  <si>
    <r>
      <rPr>
        <sz val="7"/>
        <rFont val="Arial"/>
        <family val="2"/>
      </rPr>
      <t>Aço CA-50 (granel) diam. 3/8"</t>
    </r>
  </si>
  <si>
    <r>
      <rPr>
        <sz val="7"/>
        <rFont val="Arial"/>
        <family val="2"/>
      </rPr>
      <t>Aço CA-60 (granel) (preço médio)</t>
    </r>
  </si>
  <si>
    <r>
      <rPr>
        <sz val="7"/>
        <rFont val="Arial"/>
        <family val="2"/>
      </rPr>
      <t>Aço (cordoalha de 7 fios) CP 190 RB-12,7 mm</t>
    </r>
  </si>
  <si>
    <r>
      <rPr>
        <sz val="7"/>
        <rFont val="Arial"/>
        <family val="2"/>
      </rPr>
      <t>Aço diâmetro 29,3mm para tirante, referência Rocsolo ou equivalente</t>
    </r>
  </si>
  <si>
    <r>
      <rPr>
        <sz val="7"/>
        <rFont val="Arial"/>
        <family val="2"/>
      </rPr>
      <t>Adesivo epoxi bicomponente para fissuras, em latas de 1kg, Sikadur 32 ou equivalente</t>
    </r>
  </si>
  <si>
    <r>
      <rPr>
        <sz val="7"/>
        <rFont val="Arial"/>
        <family val="2"/>
      </rPr>
      <t>LAT</t>
    </r>
  </si>
  <si>
    <r>
      <rPr>
        <sz val="7"/>
        <rFont val="Arial"/>
        <family val="2"/>
      </rPr>
      <t>Adesivo estrutural tixotrópico a base de epoxi para colagem de pré-moldados em latas de 1kg -Sikadur 31</t>
    </r>
  </si>
  <si>
    <r>
      <rPr>
        <sz val="7"/>
        <rFont val="Arial"/>
        <family val="2"/>
      </rPr>
      <t>Adesivo para PVC soldável</t>
    </r>
  </si>
  <si>
    <r>
      <rPr>
        <sz val="7"/>
        <rFont val="Arial"/>
        <family val="2"/>
      </rPr>
      <t>Kg</t>
    </r>
  </si>
  <si>
    <r>
      <rPr>
        <sz val="7"/>
        <rFont val="Arial"/>
        <family val="2"/>
      </rPr>
      <t>Adubo NPK</t>
    </r>
  </si>
  <si>
    <r>
      <rPr>
        <sz val="7"/>
        <rFont val="Arial"/>
        <family val="2"/>
      </rPr>
      <t>Agua potável tratada (CESAN)</t>
    </r>
  </si>
  <si>
    <r>
      <rPr>
        <sz val="7"/>
        <rFont val="Arial"/>
        <family val="2"/>
      </rPr>
      <t>Aguarráz mineral</t>
    </r>
  </si>
  <si>
    <r>
      <rPr>
        <sz val="7"/>
        <rFont val="Arial"/>
        <family val="2"/>
      </rPr>
      <t>Alcool etílico hidratado</t>
    </r>
  </si>
  <si>
    <r>
      <rPr>
        <sz val="7"/>
        <rFont val="Arial"/>
        <family val="2"/>
      </rPr>
      <t>Aluguel mensal de máquina fotográfica (20.1 MP)</t>
    </r>
  </si>
  <si>
    <r>
      <rPr>
        <sz val="7"/>
        <rFont val="Arial"/>
        <family val="2"/>
      </rPr>
      <t>Aluguel computador com : Processador 2,80 GHz , Memória RAM 4,00 GB, Sistema Operacional 32 Bits, Windows com Pacote Office</t>
    </r>
  </si>
  <si>
    <r>
      <rPr>
        <sz val="7"/>
        <rFont val="Arial"/>
        <family val="2"/>
      </rPr>
      <t>Aluguel de tubo equipado completo para andaime com h=10,0 m</t>
    </r>
  </si>
  <si>
    <r>
      <rPr>
        <sz val="7"/>
        <rFont val="Arial"/>
        <family val="2"/>
      </rPr>
      <t>Aluguel mensal de escritório até 50m2</t>
    </r>
  </si>
  <si>
    <r>
      <rPr>
        <sz val="7"/>
        <rFont val="Arial"/>
        <family val="2"/>
      </rPr>
      <t>m²xmês</t>
    </r>
  </si>
  <si>
    <r>
      <rPr>
        <sz val="7"/>
        <rFont val="Arial"/>
        <family val="2"/>
      </rPr>
      <t>Aluguel mensal de GPS Geodésico dupla frequência (L1/L2)</t>
    </r>
  </si>
  <si>
    <r>
      <rPr>
        <sz val="7"/>
        <rFont val="Arial"/>
        <family val="2"/>
      </rPr>
      <t>Aluguel mensal de instrumento de topografia ( Estação Total )</t>
    </r>
  </si>
  <si>
    <r>
      <rPr>
        <sz val="7"/>
        <rFont val="Arial"/>
        <family val="2"/>
      </rPr>
      <t>Aluguel mensal de laboratório de betume</t>
    </r>
  </si>
  <si>
    <r>
      <rPr>
        <sz val="7"/>
        <rFont val="Arial"/>
        <family val="2"/>
      </rPr>
      <t>Aluguel mensal de laboratório de concreto</t>
    </r>
  </si>
  <si>
    <r>
      <rPr>
        <sz val="7"/>
        <rFont val="Arial"/>
        <family val="2"/>
      </rPr>
      <t>Aluguel mensal de laboratório de solos</t>
    </r>
  </si>
  <si>
    <r>
      <rPr>
        <sz val="7"/>
        <rFont val="Arial"/>
        <family val="2"/>
      </rPr>
      <t>Aluguel mensal de mobiliário - escritório (nº ocupantes x mês)</t>
    </r>
  </si>
  <si>
    <r>
      <rPr>
        <sz val="7"/>
        <rFont val="Arial"/>
        <family val="2"/>
      </rPr>
      <t>Nxmês</t>
    </r>
  </si>
  <si>
    <r>
      <rPr>
        <sz val="7"/>
        <rFont val="Arial"/>
        <family val="2"/>
      </rPr>
      <t>Aluguel mensal de residência - engenheiro, incluindo despesas gerais e mobiliário</t>
    </r>
  </si>
  <si>
    <r>
      <rPr>
        <sz val="7"/>
        <rFont val="Arial"/>
        <family val="2"/>
      </rPr>
      <t>Aluguel mensal de utilitário exclusive motorista e combustível</t>
    </r>
  </si>
  <si>
    <r>
      <rPr>
        <sz val="7"/>
        <rFont val="Arial"/>
        <family val="2"/>
      </rPr>
      <t>Aluguel mensal de veículos tipo Gol 1.6, exclusive motorista e combustível</t>
    </r>
  </si>
  <si>
    <r>
      <rPr>
        <sz val="7"/>
        <rFont val="Arial"/>
        <family val="2"/>
      </rPr>
      <t>Aluguel multifuncional A4 monocromática</t>
    </r>
  </si>
  <si>
    <r>
      <rPr>
        <sz val="7"/>
        <rFont val="Arial"/>
        <family val="2"/>
      </rPr>
      <t>Anéis de borracha para PVC PBA 75mm</t>
    </r>
  </si>
  <si>
    <r>
      <rPr>
        <sz val="7"/>
        <rFont val="Arial"/>
        <family val="2"/>
      </rPr>
      <t>Anéis de borracha para PVC PBA 100mm</t>
    </r>
  </si>
  <si>
    <r>
      <rPr>
        <sz val="7"/>
        <rFont val="Arial"/>
        <family val="2"/>
      </rPr>
      <t>Anel para compensação angular até 45°</t>
    </r>
  </si>
  <si>
    <r>
      <rPr>
        <sz val="7"/>
        <rFont val="Arial"/>
        <family val="2"/>
      </rPr>
      <t>Anel pré moldado para bueiro celular 1,50 x 1,50 x 1,00m CL45</t>
    </r>
  </si>
  <si>
    <r>
      <rPr>
        <sz val="7"/>
        <rFont val="Arial"/>
        <family val="2"/>
      </rPr>
      <t>Anel pré moldado para bueiro celular 2,00 x 2,00 x 1,00m CL 45</t>
    </r>
  </si>
  <si>
    <r>
      <rPr>
        <sz val="7"/>
        <rFont val="Arial"/>
        <family val="2"/>
      </rPr>
      <t>Anel pré moldado para bueiro celular 2,50 x 2,50 x 1,00m CL 45</t>
    </r>
  </si>
  <si>
    <r>
      <rPr>
        <sz val="7"/>
        <rFont val="Arial"/>
        <family val="2"/>
      </rPr>
      <t>Anel pré-moldado em concreto para sumidouro diam. 2,0m MF</t>
    </r>
  </si>
  <si>
    <r>
      <rPr>
        <sz val="7"/>
        <rFont val="Arial"/>
        <family val="2"/>
      </rPr>
      <t>Anel pré-moldado para bueiro celular 3,00 x 3,00 x 1,00m CL 45</t>
    </r>
  </si>
  <si>
    <r>
      <rPr>
        <sz val="7"/>
        <rFont val="Arial"/>
        <family val="2"/>
      </rPr>
      <t>Anteparo 3 x 300 mm</t>
    </r>
  </si>
  <si>
    <r>
      <rPr>
        <sz val="7"/>
        <rFont val="Arial"/>
        <family val="2"/>
      </rPr>
      <t>Anti-óxido de base de resina alquídica modificada</t>
    </r>
  </si>
  <si>
    <r>
      <rPr>
        <sz val="7"/>
        <rFont val="Arial"/>
        <family val="2"/>
      </rPr>
      <t>GL</t>
    </r>
  </si>
  <si>
    <r>
      <rPr>
        <sz val="7"/>
        <rFont val="Arial"/>
        <family val="2"/>
      </rPr>
      <t>Aquisição de máquina fotográfica (12.1 MP)</t>
    </r>
  </si>
  <si>
    <r>
      <rPr>
        <sz val="7"/>
        <rFont val="Arial"/>
        <family val="2"/>
      </rPr>
      <t>Arame farpado fio 16 rolo 500 m</t>
    </r>
  </si>
  <si>
    <r>
      <rPr>
        <sz val="7"/>
        <rFont val="Arial"/>
        <family val="2"/>
      </rPr>
      <t>rl</t>
    </r>
  </si>
  <si>
    <r>
      <rPr>
        <sz val="7"/>
        <rFont val="Arial"/>
        <family val="2"/>
      </rPr>
      <t>Arame nº 06 galvanizado</t>
    </r>
  </si>
  <si>
    <r>
      <rPr>
        <sz val="7"/>
        <rFont val="Arial"/>
        <family val="2"/>
      </rPr>
      <t>Arame nº 10 galvanizado</t>
    </r>
  </si>
  <si>
    <r>
      <rPr>
        <sz val="7"/>
        <rFont val="Arial"/>
        <family val="2"/>
      </rPr>
      <t>Arame nº 12 galvanizado</t>
    </r>
  </si>
  <si>
    <r>
      <rPr>
        <sz val="7"/>
        <rFont val="Arial"/>
        <family val="2"/>
      </rPr>
      <t>Arame nº 16 galvanizado</t>
    </r>
  </si>
  <si>
    <r>
      <rPr>
        <sz val="7"/>
        <rFont val="Arial"/>
        <family val="2"/>
      </rPr>
      <t>Arame ovalado liso (cerca) 45 kg - 1.000m</t>
    </r>
  </si>
  <si>
    <r>
      <rPr>
        <sz val="7"/>
        <rFont val="Arial"/>
        <family val="2"/>
      </rPr>
      <t>Arame recozido 18</t>
    </r>
  </si>
  <si>
    <r>
      <rPr>
        <sz val="7"/>
        <rFont val="Arial"/>
        <family val="2"/>
      </rPr>
      <t>Areia de rio (preço médio)</t>
    </r>
  </si>
  <si>
    <r>
      <rPr>
        <sz val="7"/>
        <rFont val="Arial"/>
        <family val="2"/>
      </rPr>
      <t>Areia grossa jazida com carregamento mecânico</t>
    </r>
  </si>
  <si>
    <r>
      <rPr>
        <sz val="7"/>
        <rFont val="Arial"/>
        <family val="2"/>
      </rPr>
      <t>m3</t>
    </r>
  </si>
  <si>
    <r>
      <rPr>
        <sz val="7"/>
        <rFont val="Arial"/>
        <family val="2"/>
      </rPr>
      <t>Areia grossa rio com carregamento mecânico</t>
    </r>
  </si>
  <si>
    <r>
      <rPr>
        <sz val="7"/>
        <rFont val="Arial"/>
        <family val="2"/>
      </rPr>
      <t>Areia média jazida com carregamento mecânico</t>
    </r>
  </si>
  <si>
    <r>
      <rPr>
        <sz val="7"/>
        <rFont val="Arial"/>
        <family val="2"/>
      </rPr>
      <t>Areia suja jazida com carregamento mecânico</t>
    </r>
  </si>
  <si>
    <r>
      <rPr>
        <sz val="7"/>
        <rFont val="Arial"/>
        <family val="2"/>
      </rPr>
      <t>Argamassa expansiva</t>
    </r>
  </si>
  <si>
    <r>
      <rPr>
        <sz val="7"/>
        <rFont val="Arial"/>
        <family val="2"/>
      </rPr>
      <t>Argamassa polimérica de reparo estrutural, bicomponente</t>
    </r>
  </si>
  <si>
    <r>
      <rPr>
        <sz val="7"/>
        <rFont val="Arial"/>
        <family val="2"/>
      </rPr>
      <t>Argila (barreiras comerciais - saibreiras)</t>
    </r>
  </si>
  <si>
    <r>
      <rPr>
        <sz val="7"/>
        <rFont val="Arial"/>
        <family val="2"/>
      </rPr>
      <t>Armação secundária para isolador de porcelana 3 x 16</t>
    </r>
  </si>
  <si>
    <r>
      <rPr>
        <sz val="7"/>
        <rFont val="Arial"/>
        <family val="2"/>
      </rPr>
      <t>ARMCO BDTM D=1,20 m - T.L. esp. 2,7 mm</t>
    </r>
  </si>
  <si>
    <r>
      <rPr>
        <sz val="7"/>
        <rFont val="Arial"/>
        <family val="2"/>
      </rPr>
      <t>ARMCO BDTM D=1,40 m - T.L. esp. 2,7 mm</t>
    </r>
  </si>
  <si>
    <r>
      <rPr>
        <sz val="7"/>
        <rFont val="Arial"/>
        <family val="2"/>
      </rPr>
      <t>ARMCO BDTM D=1,60 m - T.L. esp. 2,7 mm</t>
    </r>
  </si>
  <si>
    <r>
      <rPr>
        <sz val="7"/>
        <rFont val="Arial"/>
        <family val="2"/>
      </rPr>
      <t>ARMCO BDTM D=2,00 m - T.L. esp. 2,7 mm</t>
    </r>
  </si>
  <si>
    <r>
      <rPr>
        <sz val="7"/>
        <rFont val="Arial"/>
        <family val="2"/>
      </rPr>
      <t>ARMCO BDTM D=2,20 m - T.L. esp. 2,7 mm</t>
    </r>
  </si>
  <si>
    <r>
      <rPr>
        <sz val="7"/>
        <rFont val="Arial"/>
        <family val="2"/>
      </rPr>
      <t>ARMCO BDTM D=2,40 m - T.L. esp. 2,7 mm</t>
    </r>
  </si>
  <si>
    <r>
      <rPr>
        <sz val="7"/>
        <rFont val="Arial"/>
        <family val="2"/>
      </rPr>
      <t>ARMCO BDTM D=2,60 m - T.L. esp. 3,4 mm</t>
    </r>
  </si>
  <si>
    <r>
      <rPr>
        <sz val="7"/>
        <rFont val="Arial"/>
        <family val="2"/>
      </rPr>
      <t>ARMCO BSTM D=1,20 m - T.L. esp. 2,7 mm</t>
    </r>
  </si>
  <si>
    <r>
      <rPr>
        <sz val="7"/>
        <rFont val="Arial"/>
        <family val="2"/>
      </rPr>
      <t>ARMCO BSTM D=1,40 m - T.L. esp. 2,7 mm</t>
    </r>
  </si>
  <si>
    <r>
      <rPr>
        <sz val="7"/>
        <rFont val="Arial"/>
        <family val="2"/>
      </rPr>
      <t>ARMCO BSTM D=1,60 m - T.L. esp. 2,7 mm</t>
    </r>
  </si>
  <si>
    <r>
      <rPr>
        <sz val="7"/>
        <rFont val="Arial"/>
        <family val="2"/>
      </rPr>
      <t>ARMCO BSTM D=2,00 m - T.L. esp. 2,7 mm</t>
    </r>
  </si>
  <si>
    <r>
      <rPr>
        <sz val="7"/>
        <rFont val="Arial"/>
        <family val="2"/>
      </rPr>
      <t>ARMCO BSTM D=2,20 m - T.L. esp. 2,7 mm</t>
    </r>
  </si>
  <si>
    <r>
      <rPr>
        <sz val="7"/>
        <rFont val="Arial"/>
        <family val="2"/>
      </rPr>
      <t>ARMCO BSTM D=2,40 m - T.L. esp. 2,7 mm</t>
    </r>
  </si>
  <si>
    <r>
      <rPr>
        <sz val="7"/>
        <rFont val="Arial"/>
        <family val="2"/>
      </rPr>
      <t>ARMCO BSTM D=2,60 m - T.L. esp. 3,4 mm</t>
    </r>
  </si>
  <si>
    <r>
      <rPr>
        <sz val="7"/>
        <rFont val="Arial"/>
        <family val="2"/>
      </rPr>
      <t>ARMCO BSTM D=3,00 m - T.L. esp. 2,7 mm</t>
    </r>
  </si>
  <si>
    <r>
      <rPr>
        <sz val="7"/>
        <rFont val="Arial"/>
        <family val="2"/>
      </rPr>
      <t>ARMCO STACO BDTM D=3,05 m - MPI52 esp.2,7mm</t>
    </r>
  </si>
  <si>
    <r>
      <rPr>
        <sz val="7"/>
        <rFont val="Arial"/>
        <family val="2"/>
      </rPr>
      <t>ARMCO STACO BSTM D=3,05 m - MPI52 esp.2,7mm</t>
    </r>
  </si>
  <si>
    <r>
      <rPr>
        <sz val="7"/>
        <rFont val="Arial"/>
        <family val="2"/>
      </rPr>
      <t>Arruela de alumínio fundido 3/4"</t>
    </r>
  </si>
  <si>
    <r>
      <rPr>
        <sz val="7"/>
        <rFont val="Arial"/>
        <family val="2"/>
      </rPr>
      <t>Bainha de aço galvanizado diam. interno= 65 mm</t>
    </r>
  </si>
  <si>
    <r>
      <rPr>
        <sz val="7"/>
        <rFont val="Arial"/>
        <family val="2"/>
      </rPr>
      <t>Bainha metálica preta, diâmetro de 75mm</t>
    </r>
  </si>
  <si>
    <r>
      <rPr>
        <sz val="7"/>
        <rFont val="Arial"/>
        <family val="2"/>
      </rPr>
      <t>Bainha Plástica de PEAD (tubo de polietileno de alta densidade )</t>
    </r>
  </si>
  <si>
    <r>
      <rPr>
        <sz val="7"/>
        <rFont val="Arial"/>
        <family val="2"/>
      </rPr>
      <t>Balde plástico para sinalização (vermelho)</t>
    </r>
  </si>
  <si>
    <r>
      <rPr>
        <sz val="7"/>
        <rFont val="Arial"/>
        <family val="2"/>
      </rPr>
      <t>Bica corrida sem frete</t>
    </r>
  </si>
  <si>
    <r>
      <rPr>
        <sz val="7"/>
        <rFont val="Arial"/>
        <family val="2"/>
      </rPr>
      <t>Bloco de concreto estrutural 14 x 19 x 39 cm, FBK 10Mpa (NBR 6136)</t>
    </r>
  </si>
  <si>
    <r>
      <rPr>
        <sz val="7"/>
        <rFont val="Arial"/>
        <family val="2"/>
      </rPr>
      <t>Bloco de concreto para alvenaria 39 X 19 X 09 cm</t>
    </r>
  </si>
  <si>
    <r>
      <rPr>
        <sz val="7"/>
        <rFont val="Arial"/>
        <family val="2"/>
      </rPr>
      <t>Bloco de concreto para alvenaria 39 X 19 X 14 cm</t>
    </r>
  </si>
  <si>
    <r>
      <rPr>
        <sz val="7"/>
        <rFont val="Arial"/>
        <family val="2"/>
      </rPr>
      <t>Bloco de concreto para alvenaria 39 X 19 X 19 cm</t>
    </r>
  </si>
  <si>
    <r>
      <rPr>
        <sz val="7"/>
        <rFont val="Arial"/>
        <family val="2"/>
      </rPr>
      <t>Bloco de concreto 19 x 19 x 39 cm ( estrutural )</t>
    </r>
  </si>
  <si>
    <r>
      <rPr>
        <sz val="7"/>
        <rFont val="Arial"/>
        <family val="2"/>
      </rPr>
      <t>Bloco para pavimentaçao intertravado - esp= 06 cm, resistência 35 MPa</t>
    </r>
  </si>
  <si>
    <r>
      <rPr>
        <sz val="7"/>
        <rFont val="Arial"/>
        <family val="2"/>
      </rPr>
      <t>Bloco para pavimentação intertravado - esp= 06cm, colorido, resistência 35 MPa</t>
    </r>
  </si>
  <si>
    <r>
      <rPr>
        <sz val="7"/>
        <rFont val="Arial"/>
        <family val="2"/>
      </rPr>
      <t>Bloco para pavimentaçao intertravado - esp= 08 cm, resistência 35 MPa</t>
    </r>
  </si>
  <si>
    <r>
      <rPr>
        <sz val="7"/>
        <rFont val="Arial"/>
        <family val="2"/>
      </rPr>
      <t>Bloco para pavimentaçao intertravado - esp= 10 cm, resistência 35 MPa</t>
    </r>
  </si>
  <si>
    <r>
      <rPr>
        <sz val="7"/>
        <rFont val="Arial"/>
        <family val="2"/>
      </rPr>
      <t>Bocal com rabicho</t>
    </r>
  </si>
  <si>
    <r>
      <rPr>
        <sz val="7"/>
        <rFont val="Arial"/>
        <family val="2"/>
      </rPr>
      <t>Bombeamento de concreto</t>
    </r>
  </si>
  <si>
    <r>
      <rPr>
        <sz val="7"/>
        <rFont val="Arial"/>
        <family val="2"/>
      </rPr>
      <t>Bonificação de 15,28 % sobre material betuminoso</t>
    </r>
  </si>
  <si>
    <r>
      <rPr>
        <sz val="7"/>
        <rFont val="Arial"/>
        <family val="2"/>
      </rPr>
      <t>Botoeira com sinal sonoro</t>
    </r>
  </si>
  <si>
    <r>
      <rPr>
        <sz val="7"/>
        <rFont val="Arial"/>
        <family val="2"/>
      </rPr>
      <t>Braço galvanizado 101 mm - projeção 4,70 m, para sustentação de semáforos</t>
    </r>
  </si>
  <si>
    <r>
      <rPr>
        <sz val="7"/>
        <rFont val="Arial"/>
        <family val="2"/>
      </rPr>
      <t>Brita graduada, especificada sem pó, sem frete</t>
    </r>
  </si>
  <si>
    <r>
      <rPr>
        <sz val="7"/>
        <rFont val="Arial"/>
        <family val="2"/>
      </rPr>
      <t>Brita 0 (incl. 0% IUM) sem frete</t>
    </r>
  </si>
  <si>
    <r>
      <rPr>
        <sz val="7"/>
        <rFont val="Arial"/>
        <family val="2"/>
      </rPr>
      <t>Brita 1 (incl. 0% IUM) sem frete</t>
    </r>
  </si>
  <si>
    <r>
      <rPr>
        <sz val="7"/>
        <rFont val="Arial"/>
        <family val="2"/>
      </rPr>
      <t>Brita 2 (incl. 0% IUM) sem frete</t>
    </r>
  </si>
  <si>
    <r>
      <rPr>
        <sz val="7"/>
        <rFont val="Arial"/>
        <family val="2"/>
      </rPr>
      <t>Brita 3 (incl. 0% IUM) sem frete</t>
    </r>
  </si>
  <si>
    <r>
      <rPr>
        <sz val="7"/>
        <rFont val="Arial"/>
        <family val="2"/>
      </rPr>
      <t>Brita 4 (incl. 0% IUM) sem frete</t>
    </r>
  </si>
  <si>
    <r>
      <rPr>
        <sz val="7"/>
        <rFont val="Arial"/>
        <family val="2"/>
      </rPr>
      <t>Broca para perfuratriz 714.0441 (S-12)</t>
    </r>
  </si>
  <si>
    <r>
      <rPr>
        <sz val="7"/>
        <rFont val="Arial"/>
        <family val="2"/>
      </rPr>
      <t>Broca para perfuratriz 714.0840 (S-12)</t>
    </r>
  </si>
  <si>
    <r>
      <rPr>
        <sz val="7"/>
        <rFont val="Arial"/>
        <family val="2"/>
      </rPr>
      <t>Broca para perfuratriz 714.1639 (S-12)</t>
    </r>
  </si>
  <si>
    <r>
      <rPr>
        <sz val="7"/>
        <rFont val="Arial"/>
        <family val="2"/>
      </rPr>
      <t>Broca para perfuratriz 714.2438 (S-12)</t>
    </r>
  </si>
  <si>
    <r>
      <rPr>
        <sz val="7"/>
        <rFont val="Arial"/>
        <family val="2"/>
      </rPr>
      <t>Broca para perfuratriz 714.3237 (S-12)</t>
    </r>
  </si>
  <si>
    <r>
      <rPr>
        <sz val="7"/>
        <rFont val="Arial"/>
        <family val="2"/>
      </rPr>
      <t>Broca para perfuratriz 714.4036 (S-12)</t>
    </r>
  </si>
  <si>
    <r>
      <rPr>
        <sz val="7"/>
        <rFont val="Arial"/>
        <family val="2"/>
      </rPr>
      <t>Broca para perfuratriz 714.4835 (S-12)</t>
    </r>
  </si>
  <si>
    <r>
      <rPr>
        <sz val="7"/>
        <rFont val="Arial"/>
        <family val="2"/>
      </rPr>
      <t>Broca para perfuratriz 714.5634 (S-12)</t>
    </r>
  </si>
  <si>
    <r>
      <rPr>
        <sz val="7"/>
        <rFont val="Arial"/>
        <family val="2"/>
      </rPr>
      <t>Broca para perfuratriz 714.6433 (S-12)</t>
    </r>
  </si>
  <si>
    <r>
      <rPr>
        <sz val="7"/>
        <rFont val="Arial"/>
        <family val="2"/>
      </rPr>
      <t>Bucha de alumínio fundido 3/4"</t>
    </r>
  </si>
  <si>
    <r>
      <rPr>
        <sz val="7"/>
        <rFont val="Arial"/>
        <family val="2"/>
      </rPr>
      <t>Bucha de nylon S16</t>
    </r>
  </si>
  <si>
    <r>
      <rPr>
        <sz val="7"/>
        <rFont val="Arial"/>
        <family val="2"/>
      </rPr>
      <t>Bucha plástica com parafuso - 8 mm</t>
    </r>
  </si>
  <si>
    <r>
      <rPr>
        <sz val="7"/>
        <rFont val="Arial"/>
        <family val="2"/>
      </rPr>
      <t>Cabo blindado 2 x 20 AWG (sincronismo)</t>
    </r>
  </si>
  <si>
    <r>
      <rPr>
        <sz val="7"/>
        <rFont val="Arial"/>
        <family val="2"/>
      </rPr>
      <t>m</t>
    </r>
  </si>
  <si>
    <r>
      <rPr>
        <sz val="7"/>
        <rFont val="Arial"/>
        <family val="2"/>
      </rPr>
      <t>Cabo de aço polido com alma de fibra, 6 pernas 19 fios, diâm. 3/8"</t>
    </r>
  </si>
  <si>
    <r>
      <rPr>
        <sz val="7"/>
        <rFont val="Arial"/>
        <family val="2"/>
      </rPr>
      <t>Cabo de cobre com isolamento para 1000V (1KV), seção 2,5 mm2</t>
    </r>
  </si>
  <si>
    <r>
      <rPr>
        <sz val="7"/>
        <rFont val="Arial"/>
        <family val="2"/>
      </rPr>
      <t>Cabo de cobre com isolamento para 1000V (1KV), seção 4,0 mm2</t>
    </r>
  </si>
  <si>
    <r>
      <rPr>
        <sz val="7"/>
        <rFont val="Arial"/>
        <family val="2"/>
      </rPr>
      <t>Cabo de cobre com isolamento para 1000V (1KV), seção 6,0 mm2</t>
    </r>
  </si>
  <si>
    <r>
      <rPr>
        <sz val="7"/>
        <rFont val="Arial"/>
        <family val="2"/>
      </rPr>
      <t>Cabo de cobre com isolamento para 1000V (1KV), seção 10,0 mm2</t>
    </r>
  </si>
  <si>
    <r>
      <rPr>
        <sz val="7"/>
        <rFont val="Arial"/>
        <family val="2"/>
      </rPr>
      <t>Cabo de cobre com isolamento para 1000V (1KV), seção 25,0 mm2</t>
    </r>
  </si>
  <si>
    <r>
      <rPr>
        <sz val="7"/>
        <rFont val="Arial"/>
        <family val="2"/>
      </rPr>
      <t>Cabo de cobre com isolamento para 1000V (1KV), seção 35,0 mm2</t>
    </r>
  </si>
  <si>
    <r>
      <rPr>
        <sz val="7"/>
        <rFont val="Arial"/>
        <family val="2"/>
      </rPr>
      <t>Cabo de cobre nú seção 35mm2</t>
    </r>
  </si>
  <si>
    <r>
      <rPr>
        <sz val="7"/>
        <rFont val="Arial"/>
        <family val="2"/>
      </rPr>
      <t>Cabo flexivel 2 x 1,5mm²</t>
    </r>
  </si>
  <si>
    <r>
      <rPr>
        <sz val="7"/>
        <rFont val="Arial"/>
        <family val="2"/>
      </rPr>
      <t>Cabo flexivel 2 x 2,5 mm²</t>
    </r>
  </si>
  <si>
    <r>
      <rPr>
        <sz val="7"/>
        <rFont val="Arial"/>
        <family val="2"/>
      </rPr>
      <t>Cabo flexivel 3 x 1,5 mm2</t>
    </r>
  </si>
  <si>
    <r>
      <rPr>
        <sz val="7"/>
        <rFont val="Arial"/>
        <family val="2"/>
      </rPr>
      <t>Cabo flexivel 4 x 1,5mm²</t>
    </r>
  </si>
  <si>
    <r>
      <rPr>
        <sz val="7"/>
        <rFont val="Arial"/>
        <family val="2"/>
      </rPr>
      <t>Cabo isolado 750V - 4 x 4,00 mm²</t>
    </r>
  </si>
  <si>
    <r>
      <rPr>
        <sz val="7"/>
        <rFont val="Arial"/>
        <family val="2"/>
      </rPr>
      <t>Cadeado de 40mm</t>
    </r>
  </si>
  <si>
    <r>
      <rPr>
        <sz val="7"/>
        <rFont val="Arial"/>
        <family val="2"/>
      </rPr>
      <t>Caibros abrigo passag. 8pç 15x7x240 / 2pç 25x7x620 cm</t>
    </r>
  </si>
  <si>
    <r>
      <rPr>
        <sz val="7"/>
        <rFont val="Arial"/>
        <family val="2"/>
      </rPr>
      <t>CJ</t>
    </r>
  </si>
  <si>
    <r>
      <rPr>
        <sz val="7"/>
        <rFont val="Arial"/>
        <family val="2"/>
      </rPr>
      <t>Caibros abrigo passag. 8pç 15x7x300 / 2pç 25x7x620cm</t>
    </r>
  </si>
  <si>
    <r>
      <rPr>
        <sz val="7"/>
        <rFont val="Arial"/>
        <family val="2"/>
      </rPr>
      <t>Caibros 7 X 7 cm</t>
    </r>
  </si>
  <si>
    <r>
      <rPr>
        <sz val="7"/>
        <rFont val="Arial"/>
        <family val="2"/>
      </rPr>
      <t>Caibros 7 X 7 cm (pontalete)</t>
    </r>
  </si>
  <si>
    <r>
      <rPr>
        <sz val="7"/>
        <rFont val="Arial"/>
        <family val="2"/>
      </rPr>
      <t>Caixa ralo sup e inf p/ carga média</t>
    </r>
  </si>
  <si>
    <r>
      <rPr>
        <sz val="7"/>
        <rFont val="Arial"/>
        <family val="2"/>
      </rPr>
      <t>Cal (saco de 7 kg)</t>
    </r>
  </si>
  <si>
    <r>
      <rPr>
        <sz val="7"/>
        <rFont val="Arial"/>
        <family val="2"/>
      </rPr>
      <t>Cambotas de 1" (taipá de 1ª com 2,5cm)</t>
    </r>
  </si>
  <si>
    <r>
      <rPr>
        <sz val="7"/>
        <rFont val="Arial"/>
        <family val="2"/>
      </rPr>
      <t>Cantoneira de aço seção - 2" X 2" x 1/8"</t>
    </r>
  </si>
  <si>
    <r>
      <rPr>
        <sz val="7"/>
        <rFont val="Arial"/>
        <family val="2"/>
      </rPr>
      <t>Cantoneira de aço seçao - 3" X 3" X 3/8"</t>
    </r>
  </si>
  <si>
    <r>
      <rPr>
        <sz val="7"/>
        <rFont val="Arial"/>
        <family val="2"/>
      </rPr>
      <t>Cantoneira de aço seção - 4" X 4" X 3/8"</t>
    </r>
  </si>
  <si>
    <r>
      <rPr>
        <sz val="7"/>
        <rFont val="Arial"/>
        <family val="2"/>
      </rPr>
      <t>Cantoneira de aço seção 2 1/2"x 2 1/2" x 5/16"</t>
    </r>
  </si>
  <si>
    <r>
      <rPr>
        <sz val="7"/>
        <rFont val="Arial"/>
        <family val="2"/>
      </rPr>
      <t>CAP AB 8</t>
    </r>
  </si>
  <si>
    <r>
      <rPr>
        <sz val="7"/>
        <rFont val="Arial"/>
        <family val="2"/>
      </rPr>
      <t>CAP 50/70</t>
    </r>
  </si>
  <si>
    <r>
      <rPr>
        <sz val="7"/>
        <rFont val="Arial"/>
        <family val="2"/>
      </rPr>
      <t>Chapa compensada resinada 06mm (dim. 2,20 x 1,10m)</t>
    </r>
  </si>
  <si>
    <r>
      <rPr>
        <sz val="7"/>
        <rFont val="Arial"/>
        <family val="2"/>
      </rPr>
      <t>Chapa compensada resinada 10mm (dim. 2,20 x 1,10m)</t>
    </r>
  </si>
  <si>
    <r>
      <rPr>
        <sz val="7"/>
        <rFont val="Arial"/>
        <family val="2"/>
      </rPr>
      <t>CH</t>
    </r>
  </si>
  <si>
    <r>
      <rPr>
        <sz val="7"/>
        <rFont val="Arial"/>
        <family val="2"/>
      </rPr>
      <t>Chapa compensada resinada 12mm (dim. 2,20 x 1,10m)</t>
    </r>
  </si>
  <si>
    <r>
      <rPr>
        <sz val="7"/>
        <rFont val="Arial"/>
        <family val="2"/>
      </rPr>
      <t>Chapa compensada resinada 14mm (dim. 2,20 x 1,10m)</t>
    </r>
  </si>
  <si>
    <r>
      <rPr>
        <sz val="7"/>
        <rFont val="Arial"/>
        <family val="2"/>
      </rPr>
      <t>Chapa compensada resinada 17mm (dim. 2,20 x 1,10m)</t>
    </r>
  </si>
  <si>
    <r>
      <rPr>
        <sz val="7"/>
        <rFont val="Arial"/>
        <family val="2"/>
      </rPr>
      <t>Chapa de aço ASTM A572, grau 50 esp.=12,50mm,</t>
    </r>
  </si>
  <si>
    <r>
      <rPr>
        <sz val="7"/>
        <rFont val="Arial"/>
        <family val="2"/>
      </rPr>
      <t>Chapa de aço esp.= 25mm</t>
    </r>
  </si>
  <si>
    <r>
      <rPr>
        <sz val="7"/>
        <rFont val="Arial"/>
        <family val="2"/>
      </rPr>
      <t>Chapa de aço esp.= 5mm</t>
    </r>
  </si>
  <si>
    <r>
      <rPr>
        <sz val="7"/>
        <rFont val="Arial"/>
        <family val="2"/>
      </rPr>
      <t>Chapa de aço espessura 2mm</t>
    </r>
  </si>
  <si>
    <r>
      <rPr>
        <sz val="7"/>
        <rFont val="Arial"/>
        <family val="2"/>
      </rPr>
      <t>Chapa de aço fina-frio nº 16, esp.1,5mm SAE 1008/1010</t>
    </r>
  </si>
  <si>
    <r>
      <rPr>
        <sz val="7"/>
        <rFont val="Arial"/>
        <family val="2"/>
      </rPr>
      <t>Chapa de aço 1/2"</t>
    </r>
  </si>
  <si>
    <r>
      <rPr>
        <sz val="7"/>
        <rFont val="Arial"/>
        <family val="2"/>
      </rPr>
      <t>Chapa de aço 1/8"</t>
    </r>
  </si>
  <si>
    <r>
      <rPr>
        <sz val="7"/>
        <rFont val="Arial"/>
        <family val="2"/>
      </rPr>
      <t>Chapa de aço 3/8"</t>
    </r>
  </si>
  <si>
    <r>
      <rPr>
        <sz val="7"/>
        <rFont val="Arial"/>
        <family val="2"/>
      </rPr>
      <t>Chapa de aço 6.3 mm</t>
    </r>
  </si>
  <si>
    <r>
      <rPr>
        <sz val="7"/>
        <rFont val="Arial"/>
        <family val="2"/>
      </rPr>
      <t>Chapa de poliéster reforçado, com fibra de vidro de 2mm, para sinalização viária vertical</t>
    </r>
  </si>
  <si>
    <r>
      <rPr>
        <sz val="7"/>
        <rFont val="Arial"/>
        <family val="2"/>
      </rPr>
      <t>Chapa xadrez espessura=1/4"</t>
    </r>
  </si>
  <si>
    <r>
      <rPr>
        <sz val="7"/>
        <rFont val="Arial"/>
        <family val="2"/>
      </rPr>
      <t>Cimento CP III</t>
    </r>
  </si>
  <si>
    <r>
      <rPr>
        <sz val="7"/>
        <rFont val="Arial"/>
        <family val="2"/>
      </rPr>
      <t>Clips (grampo) pesado para cabo de aço diam. 3/8"</t>
    </r>
  </si>
  <si>
    <r>
      <rPr>
        <sz val="7"/>
        <rFont val="Arial"/>
        <family val="2"/>
      </rPr>
      <t>CM 30</t>
    </r>
  </si>
  <si>
    <r>
      <rPr>
        <sz val="7"/>
        <rFont val="Arial"/>
        <family val="2"/>
      </rPr>
      <t>Cola a base de poliester</t>
    </r>
  </si>
  <si>
    <r>
      <rPr>
        <sz val="7"/>
        <rFont val="Arial"/>
        <family val="2"/>
      </rPr>
      <t>Concreto pronto - 15 MPa - DT = 50 km</t>
    </r>
  </si>
  <si>
    <r>
      <rPr>
        <sz val="7"/>
        <rFont val="Arial"/>
        <family val="2"/>
      </rPr>
      <t>Concreto pronto - 20 MPa - DT = 50 km</t>
    </r>
  </si>
  <si>
    <r>
      <rPr>
        <sz val="7"/>
        <rFont val="Arial"/>
        <family val="2"/>
      </rPr>
      <t>Concreto pronto - 25 MPa - DT = 50 km</t>
    </r>
  </si>
  <si>
    <r>
      <rPr>
        <sz val="7"/>
        <rFont val="Arial"/>
        <family val="2"/>
      </rPr>
      <t>Concreto pronto - 30 MPa - DT = 50 km</t>
    </r>
  </si>
  <si>
    <r>
      <rPr>
        <sz val="7"/>
        <rFont val="Arial"/>
        <family val="2"/>
      </rPr>
      <t>Concreto pronto - 35 MPa - DT = 50 km</t>
    </r>
  </si>
  <si>
    <r>
      <rPr>
        <sz val="7"/>
        <rFont val="Arial"/>
        <family val="2"/>
      </rPr>
      <t>Concreto pronto - 40 MPa - DT = 50 km</t>
    </r>
  </si>
  <si>
    <r>
      <rPr>
        <sz val="7"/>
        <rFont val="Arial"/>
        <family val="2"/>
      </rPr>
      <t>Cone de ancoragem ativo 12 fios de 1/2"</t>
    </r>
  </si>
  <si>
    <r>
      <rPr>
        <sz val="7"/>
        <rFont val="Arial"/>
        <family val="2"/>
      </rPr>
      <t>Cone para sinalizaçao ( NBR-15.071, h=75cm)</t>
    </r>
  </si>
  <si>
    <r>
      <rPr>
        <sz val="7"/>
        <rFont val="Arial"/>
        <family val="2"/>
      </rPr>
      <t>Contra porca sextavada</t>
    </r>
  </si>
  <si>
    <r>
      <rPr>
        <sz val="7"/>
        <rFont val="Arial"/>
        <family val="2"/>
      </rPr>
      <t>Controlador eletronico microprocessado 6/6 fases</t>
    </r>
  </si>
  <si>
    <r>
      <rPr>
        <sz val="7"/>
        <rFont val="Arial"/>
        <family val="2"/>
      </rPr>
      <t>Controlador microprocessado 4 fases</t>
    </r>
  </si>
  <si>
    <r>
      <rPr>
        <sz val="7"/>
        <rFont val="Arial"/>
        <family val="2"/>
      </rPr>
      <t>Cópia Xerox - formato A4</t>
    </r>
  </si>
  <si>
    <r>
      <rPr>
        <sz val="7"/>
        <rFont val="Arial"/>
        <family val="2"/>
      </rPr>
      <t>Cordel detonante</t>
    </r>
  </si>
  <si>
    <r>
      <rPr>
        <sz val="7"/>
        <rFont val="Arial"/>
        <family val="2"/>
      </rPr>
      <t>Coroa para diamante NX D=75 mm</t>
    </r>
  </si>
  <si>
    <r>
      <rPr>
        <sz val="7"/>
        <rFont val="Arial"/>
        <family val="2"/>
      </rPr>
      <t>Curva de aço 90° para eletroduto 3/4"</t>
    </r>
  </si>
  <si>
    <r>
      <rPr>
        <sz val="7"/>
        <rFont val="Arial"/>
        <family val="2"/>
      </rPr>
      <t>Curva de PVC rígido para eletroduto 3/4"</t>
    </r>
  </si>
  <si>
    <r>
      <rPr>
        <sz val="7"/>
        <rFont val="Arial"/>
        <family val="2"/>
      </rPr>
      <t>Defensa (lâmina 4 m, espessura = 3 mm) - semi maleável</t>
    </r>
  </si>
  <si>
    <r>
      <rPr>
        <sz val="7"/>
        <rFont val="Arial"/>
        <family val="2"/>
      </rPr>
      <t>Desengraxante alcalino (Solupan)</t>
    </r>
  </si>
  <si>
    <r>
      <rPr>
        <sz val="7"/>
        <rFont val="Arial"/>
        <family val="2"/>
      </rPr>
      <t>Diária</t>
    </r>
  </si>
  <si>
    <r>
      <rPr>
        <sz val="7"/>
        <rFont val="Arial"/>
        <family val="2"/>
      </rPr>
      <t>DIA</t>
    </r>
  </si>
  <si>
    <r>
      <rPr>
        <sz val="7"/>
        <rFont val="Arial"/>
        <family val="2"/>
      </rPr>
      <t>Dinamite a 60%</t>
    </r>
  </si>
  <si>
    <r>
      <rPr>
        <sz val="7"/>
        <rFont val="Arial"/>
        <family val="2"/>
      </rPr>
      <t>Dope</t>
    </r>
  </si>
  <si>
    <r>
      <rPr>
        <sz val="7"/>
        <rFont val="Arial"/>
        <family val="2"/>
      </rPr>
      <t>Dope AT</t>
    </r>
  </si>
  <si>
    <r>
      <rPr>
        <sz val="7"/>
        <rFont val="Arial"/>
        <family val="2"/>
      </rPr>
      <t>Eletrodo para soldas - OK 4804</t>
    </r>
  </si>
  <si>
    <r>
      <rPr>
        <sz val="7"/>
        <rFont val="Arial"/>
        <family val="2"/>
      </rPr>
      <t>Eletroduto de aço com costura galvanizada 3/4"</t>
    </r>
  </si>
  <si>
    <r>
      <rPr>
        <sz val="7"/>
        <rFont val="Arial"/>
        <family val="2"/>
      </rPr>
      <t>Eletroduto de aço galvanizado d=1 1/4"</t>
    </r>
  </si>
  <si>
    <r>
      <rPr>
        <sz val="7"/>
        <rFont val="Arial"/>
        <family val="2"/>
      </rPr>
      <t>Eletroduto de ferro galvanizado DN 4"</t>
    </r>
  </si>
  <si>
    <r>
      <rPr>
        <sz val="7"/>
        <rFont val="Arial"/>
        <family val="2"/>
      </rPr>
      <t>Eletroduto de ferro galvanizado d=2"</t>
    </r>
  </si>
  <si>
    <r>
      <rPr>
        <sz val="7"/>
        <rFont val="Arial"/>
        <family val="2"/>
      </rPr>
      <t>vr</t>
    </r>
  </si>
  <si>
    <r>
      <rPr>
        <sz val="7"/>
        <rFont val="Arial"/>
        <family val="2"/>
      </rPr>
      <t>Eletroduto de PVC rígido d=3/4"</t>
    </r>
  </si>
  <si>
    <r>
      <rPr>
        <sz val="7"/>
        <rFont val="Arial"/>
        <family val="2"/>
      </rPr>
      <t>Eletroduto de PVC rígido d=4"</t>
    </r>
  </si>
  <si>
    <r>
      <rPr>
        <sz val="7"/>
        <rFont val="Arial"/>
        <family val="2"/>
      </rPr>
      <t>Eletroduto de PVC rígido roscável diâm.50mm</t>
    </r>
  </si>
  <si>
    <r>
      <rPr>
        <sz val="7"/>
        <rFont val="Arial"/>
        <family val="2"/>
      </rPr>
      <t>Eletroduto de PVC rígido roscável diâm.75mm</t>
    </r>
  </si>
  <si>
    <r>
      <rPr>
        <sz val="7"/>
        <rFont val="Arial"/>
        <family val="2"/>
      </rPr>
      <t>Eletroduto Kanaflex diâmetro 1 1/2</t>
    </r>
  </si>
  <si>
    <r>
      <rPr>
        <sz val="7"/>
        <rFont val="Arial"/>
        <family val="2"/>
      </rPr>
      <t>Eletroduto Kanaflex diâmetro 1 1/4</t>
    </r>
  </si>
  <si>
    <r>
      <rPr>
        <sz val="7"/>
        <rFont val="Arial"/>
        <family val="2"/>
      </rPr>
      <t>Eletroduto Kanaflex diâmetro 2</t>
    </r>
  </si>
  <si>
    <r>
      <rPr>
        <sz val="7"/>
        <rFont val="Arial"/>
        <family val="2"/>
      </rPr>
      <t>Eletroduto Kanaflex diâmetro 4</t>
    </r>
  </si>
  <si>
    <r>
      <rPr>
        <sz val="7"/>
        <rFont val="Arial"/>
        <family val="2"/>
      </rPr>
      <t>Emulsão Asfáltica para Imprimação (EAI)</t>
    </r>
  </si>
  <si>
    <r>
      <rPr>
        <sz val="7"/>
        <rFont val="Arial"/>
        <family val="2"/>
      </rPr>
      <t>Emulsão RC 1C-E</t>
    </r>
  </si>
  <si>
    <r>
      <rPr>
        <sz val="7"/>
        <rFont val="Arial"/>
        <family val="2"/>
      </rPr>
      <t>Emulsao RL 1C</t>
    </r>
  </si>
  <si>
    <r>
      <rPr>
        <sz val="7"/>
        <rFont val="Arial"/>
        <family val="2"/>
      </rPr>
      <t>Emulsão RL 1C-E</t>
    </r>
  </si>
  <si>
    <r>
      <rPr>
        <sz val="7"/>
        <rFont val="Arial"/>
        <family val="2"/>
      </rPr>
      <t>Emulsao RM 1C</t>
    </r>
  </si>
  <si>
    <r>
      <rPr>
        <sz val="7"/>
        <rFont val="Arial"/>
        <family val="2"/>
      </rPr>
      <t>Emulsão RR 1C</t>
    </r>
  </si>
  <si>
    <r>
      <rPr>
        <sz val="7"/>
        <rFont val="Arial"/>
        <family val="2"/>
      </rPr>
      <t>Emulsão RR 1C-E</t>
    </r>
  </si>
  <si>
    <r>
      <rPr>
        <sz val="7"/>
        <rFont val="Arial"/>
        <family val="2"/>
      </rPr>
      <t>Emulsao RR 2C</t>
    </r>
  </si>
  <si>
    <r>
      <rPr>
        <sz val="7"/>
        <rFont val="Arial"/>
        <family val="2"/>
      </rPr>
      <t>Emulsão RR 2C-E</t>
    </r>
  </si>
  <si>
    <r>
      <rPr>
        <sz val="7"/>
        <rFont val="Arial"/>
        <family val="2"/>
      </rPr>
      <t>Endurecedor químico de superfícies de concreto aplicado, referência -Sikafloor Cure Hard 24  da Sika</t>
    </r>
  </si>
  <si>
    <r>
      <rPr>
        <sz val="7"/>
        <rFont val="Arial"/>
        <family val="2"/>
      </rPr>
      <t>Escoras de eucalipto (4,00m - D=0,10m)</t>
    </r>
  </si>
  <si>
    <r>
      <rPr>
        <sz val="7"/>
        <rFont val="Arial"/>
        <family val="2"/>
      </rPr>
      <t>DZ</t>
    </r>
  </si>
  <si>
    <r>
      <rPr>
        <sz val="7"/>
        <rFont val="Arial"/>
        <family val="2"/>
      </rPr>
      <t>Escória de aciaria, posto em Vitória</t>
    </r>
  </si>
  <si>
    <r>
      <rPr>
        <sz val="7"/>
        <rFont val="Arial"/>
        <family val="2"/>
      </rPr>
      <t>Escova de Aço 18 x 6 cm</t>
    </r>
  </si>
  <si>
    <r>
      <rPr>
        <sz val="7"/>
        <rFont val="Arial"/>
        <family val="2"/>
      </rPr>
      <t>Esmalte sintético brilhante secagem rápida</t>
    </r>
  </si>
  <si>
    <r>
      <rPr>
        <sz val="7"/>
        <rFont val="Arial"/>
        <family val="2"/>
      </rPr>
      <t>Esmalte sintético fosco secagem rápida</t>
    </r>
  </si>
  <si>
    <r>
      <rPr>
        <sz val="7"/>
        <rFont val="Arial"/>
        <family val="2"/>
      </rPr>
      <t>Espoleta elétrica nº 8 - 3 metros</t>
    </r>
  </si>
  <si>
    <r>
      <rPr>
        <sz val="7"/>
        <rFont val="Arial"/>
        <family val="2"/>
      </rPr>
      <t>Espoleta simples</t>
    </r>
  </si>
  <si>
    <r>
      <rPr>
        <sz val="7"/>
        <rFont val="Arial"/>
        <family val="2"/>
      </rPr>
      <t>Estaca de concreto pré-moldada, carga 40T</t>
    </r>
  </si>
  <si>
    <r>
      <rPr>
        <sz val="7"/>
        <rFont val="Arial"/>
        <family val="2"/>
      </rPr>
      <t>Estaca de concreto pré-moldada, carga 60T</t>
    </r>
  </si>
  <si>
    <r>
      <rPr>
        <sz val="7"/>
        <rFont val="Arial"/>
        <family val="2"/>
      </rPr>
      <t>Estaca de concreto pré-moldada, carga 90T</t>
    </r>
  </si>
  <si>
    <r>
      <rPr>
        <sz val="7"/>
        <rFont val="Arial"/>
        <family val="2"/>
      </rPr>
      <t>Estaca prancha de aço até 400 mm</t>
    </r>
  </si>
  <si>
    <r>
      <rPr>
        <sz val="7"/>
        <rFont val="Arial"/>
        <family val="2"/>
      </rPr>
      <t>Esticador com catraca</t>
    </r>
  </si>
  <si>
    <r>
      <rPr>
        <sz val="7"/>
        <rFont val="Arial"/>
        <family val="2"/>
      </rPr>
      <t>Estopa branca de 2ª (pacote de 10kg)</t>
    </r>
  </si>
  <si>
    <r>
      <rPr>
        <sz val="7"/>
        <rFont val="Arial"/>
        <family val="2"/>
      </rPr>
      <t>Estopim simples</t>
    </r>
  </si>
  <si>
    <r>
      <rPr>
        <sz val="7"/>
        <rFont val="Arial"/>
        <family val="2"/>
      </rPr>
      <t>Filler</t>
    </r>
  </si>
  <si>
    <r>
      <rPr>
        <sz val="7"/>
        <rFont val="Arial"/>
        <family val="2"/>
      </rPr>
      <t>Filmagem para Consulta / Audiência Publica</t>
    </r>
  </si>
  <si>
    <r>
      <rPr>
        <sz val="7"/>
        <rFont val="Arial"/>
        <family val="2"/>
      </rPr>
      <t>Fio diamantado</t>
    </r>
  </si>
  <si>
    <r>
      <rPr>
        <sz val="7"/>
        <rFont val="Arial"/>
        <family val="2"/>
      </rPr>
      <t>Fio isolado de PVC 705V -70°C - baixa tensão 6mm²</t>
    </r>
  </si>
  <si>
    <r>
      <rPr>
        <sz val="7"/>
        <rFont val="Arial"/>
        <family val="2"/>
      </rPr>
      <t>Fio isolado em PVC 4,00 mm² - 750V</t>
    </r>
  </si>
  <si>
    <r>
      <rPr>
        <sz val="7"/>
        <rFont val="Arial"/>
        <family val="2"/>
      </rPr>
      <t>Fio paralelo de cobre (2,50mm²)</t>
    </r>
  </si>
  <si>
    <r>
      <rPr>
        <sz val="7"/>
        <rFont val="Arial"/>
        <family val="2"/>
      </rPr>
      <t>Fita isolante NR 33 19m x 20mm</t>
    </r>
  </si>
  <si>
    <r>
      <rPr>
        <sz val="7"/>
        <rFont val="Arial"/>
        <family val="2"/>
      </rPr>
      <t>Formicida - referência:macro e microgranulado tipo Mirex</t>
    </r>
  </si>
  <si>
    <r>
      <rPr>
        <sz val="7"/>
        <rFont val="Arial"/>
        <family val="2"/>
      </rPr>
      <t>Fosfato natural</t>
    </r>
  </si>
  <si>
    <r>
      <rPr>
        <sz val="7"/>
        <rFont val="Arial"/>
        <family val="2"/>
      </rPr>
      <t>Fundo preparador de superfície</t>
    </r>
  </si>
  <si>
    <r>
      <rPr>
        <sz val="7"/>
        <rFont val="Arial"/>
        <family val="2"/>
      </rPr>
      <t>Gabião malha hex. 8X10mm PVC, e= 2,4mm, dimensões = 1,00 m</t>
    </r>
  </si>
  <si>
    <r>
      <rPr>
        <sz val="7"/>
        <rFont val="Arial"/>
        <family val="2"/>
      </rPr>
      <t>Gabião malha hex. 8X10mm PVC, e-&gt; 2,7mm, h-&gt; 0,50m</t>
    </r>
  </si>
  <si>
    <r>
      <rPr>
        <sz val="7"/>
        <rFont val="Arial"/>
        <family val="2"/>
      </rPr>
      <t>Gabião malha hex. 8X10mm ZN/AL, e-&gt; 2,7mm, h-&gt; 0,50m</t>
    </r>
  </si>
  <si>
    <r>
      <rPr>
        <sz val="7"/>
        <rFont val="Arial"/>
        <family val="2"/>
      </rPr>
      <t>Gabião malha hex. 8X10mm ZN/AL, e= 2,7mm, h =1,00m</t>
    </r>
  </si>
  <si>
    <r>
      <rPr>
        <sz val="7"/>
        <rFont val="Arial"/>
        <family val="2"/>
      </rPr>
      <t>Gabião manta hex. 6X8mm Zn-Al/PVC, e=2,8mm, h=0,23m, para revestimento de canal</t>
    </r>
  </si>
  <si>
    <r>
      <rPr>
        <sz val="7"/>
        <rFont val="Arial"/>
        <family val="2"/>
      </rPr>
      <t>Gabião tipo saco malha hex. de dupla torção 8x10mm PVC e=2,7mm e diâmetro 0,65m</t>
    </r>
  </si>
  <si>
    <r>
      <rPr>
        <sz val="7"/>
        <rFont val="Arial"/>
        <family val="2"/>
      </rPr>
      <t>Gasolina</t>
    </r>
  </si>
  <si>
    <r>
      <rPr>
        <sz val="7"/>
        <rFont val="Arial"/>
        <family val="2"/>
      </rPr>
      <t>Gelatina a 75%</t>
    </r>
  </si>
  <si>
    <r>
      <rPr>
        <sz val="7"/>
        <rFont val="Arial"/>
        <family val="2"/>
      </rPr>
      <t>Geodreno vertical, em forma de fita</t>
    </r>
  </si>
  <si>
    <r>
      <rPr>
        <sz val="7"/>
        <rFont val="Arial"/>
        <family val="2"/>
      </rPr>
      <t>Geogrelha com resistência longit. a tração 300 kN, resist. transv. a tração 30 kN</t>
    </r>
  </si>
  <si>
    <r>
      <rPr>
        <sz val="7"/>
        <rFont val="Arial"/>
        <family val="2"/>
      </rPr>
      <t>Geogrelha com resistência longit. tração 35 a 40 kN, resist. transv. a tração de 25 a 30 kN e deformação de 5%</t>
    </r>
  </si>
  <si>
    <r>
      <rPr>
        <sz val="7"/>
        <rFont val="Arial"/>
        <family val="2"/>
      </rPr>
      <t>Geogrelha com resistência longit. tração 55 a 60 kN, resist. transv. a tração de 25 a 30 kN e deformação de 5%</t>
    </r>
  </si>
  <si>
    <r>
      <rPr>
        <sz val="7"/>
        <rFont val="Arial"/>
        <family val="2"/>
      </rPr>
      <t>Geogrelha com resistência longit. tração 80 a 90 kN, resist. transv. a tração de 25 a 30 kN e deformação 5%</t>
    </r>
  </si>
  <si>
    <r>
      <rPr>
        <sz val="7"/>
        <rFont val="Arial"/>
        <family val="2"/>
      </rPr>
      <t>Geogrelha com resistência longitudinal a tração de 35 a 40 KN e resistência transversal a tração de 25 a 30 KN com deformação de 10%</t>
    </r>
  </si>
  <si>
    <r>
      <rPr>
        <sz val="7"/>
        <rFont val="Arial"/>
        <family val="2"/>
      </rPr>
      <t>Geogrelha com resistência longitudinal a tração de 55 a 60 KN e resistência transversal a tração de 25 a 30 KN com deformação de 10%</t>
    </r>
  </si>
  <si>
    <r>
      <rPr>
        <sz val="7"/>
        <rFont val="Arial"/>
        <family val="2"/>
      </rPr>
      <t>Geogrelha com resistência longitudinal a tração de 80 a 90 KN e resistência transversal a tração de 25 a 30 KN com deformação de 10%</t>
    </r>
  </si>
  <si>
    <r>
      <rPr>
        <sz val="7"/>
        <rFont val="Arial"/>
        <family val="2"/>
      </rPr>
      <t>Geogrelha de poliéster monodirecional com resistência de 200KN na longitudinal e 25kN na transversal</t>
    </r>
  </si>
  <si>
    <r>
      <rPr>
        <sz val="7"/>
        <rFont val="Arial"/>
        <family val="2"/>
      </rPr>
      <t>Geogrelha em polipropileno (PP) módulo de rigidez nominal 400KN/m nas duas direções</t>
    </r>
  </si>
  <si>
    <r>
      <rPr>
        <sz val="7"/>
        <rFont val="Arial"/>
        <family val="2"/>
      </rPr>
      <t>Grama esmeralda em placas</t>
    </r>
  </si>
  <si>
    <r>
      <rPr>
        <sz val="7"/>
        <rFont val="Arial"/>
        <family val="2"/>
      </rPr>
      <t>Grampo para cerca (galvanizado)</t>
    </r>
  </si>
  <si>
    <r>
      <rPr>
        <sz val="7"/>
        <rFont val="Arial"/>
        <family val="2"/>
      </rPr>
      <t>Graxa comum (chassis 2), tambores com 170kg</t>
    </r>
  </si>
  <si>
    <r>
      <rPr>
        <sz val="7"/>
        <rFont val="Arial"/>
        <family val="2"/>
      </rPr>
      <t>Grelha articulada, inclusive caixilho em ferro fundido</t>
    </r>
  </si>
  <si>
    <r>
      <rPr>
        <sz val="7"/>
        <rFont val="Arial"/>
        <family val="2"/>
      </rPr>
      <t>Grelha e caixilho de concreto (cx. ralo)</t>
    </r>
  </si>
  <si>
    <r>
      <rPr>
        <sz val="7"/>
        <rFont val="Arial"/>
        <family val="2"/>
      </rPr>
      <t>Grupo focal gradativo veicular 200 x 200 x 200mm, com lâmpada tipo LED</t>
    </r>
  </si>
  <si>
    <r>
      <rPr>
        <sz val="7"/>
        <rFont val="Arial"/>
        <family val="2"/>
      </rPr>
      <t>Grupo focal repetidor 2 x 200mm, com lâmpada LED, pedestre, inclusive abraçadeira para fixação</t>
    </r>
  </si>
  <si>
    <r>
      <rPr>
        <sz val="7"/>
        <rFont val="Arial"/>
        <family val="2"/>
      </rPr>
      <t>Grupo focal repetidor 3x200mm, com lâmpada tipo LED, inclusive suporte de fixação</t>
    </r>
  </si>
  <si>
    <r>
      <rPr>
        <sz val="7"/>
        <rFont val="Arial"/>
        <family val="2"/>
      </rPr>
      <t>Grupo focal repetidor 3x300mm, com lâmpada tipo LED, inclusive suporte para fixação</t>
    </r>
  </si>
  <si>
    <r>
      <rPr>
        <sz val="7"/>
        <rFont val="Arial"/>
        <family val="2"/>
      </rPr>
      <t>Guia pré-moldada para caixa boca de lobo</t>
    </r>
  </si>
  <si>
    <r>
      <rPr>
        <sz val="7"/>
        <rFont val="Arial"/>
        <family val="2"/>
      </rPr>
      <t>Haste cobreada para aterramento diam. 5/8" x 2,40m</t>
    </r>
  </si>
  <si>
    <r>
      <rPr>
        <sz val="7"/>
        <rFont val="Arial"/>
        <family val="2"/>
      </rPr>
      <t>Imposto sobre serviços (ISS)</t>
    </r>
  </si>
  <si>
    <r>
      <rPr>
        <sz val="7"/>
        <rFont val="Arial"/>
        <family val="2"/>
      </rPr>
      <t>Interruptor</t>
    </r>
  </si>
  <si>
    <r>
      <rPr>
        <sz val="7"/>
        <rFont val="Arial"/>
        <family val="2"/>
      </rPr>
      <t>Isolador de porcelana tipo roldana</t>
    </r>
  </si>
  <si>
    <r>
      <rPr>
        <sz val="7"/>
        <rFont val="Arial"/>
        <family val="2"/>
      </rPr>
      <t>Jogo de brocas p/ perfuratriz (S-12)</t>
    </r>
  </si>
  <si>
    <r>
      <rPr>
        <sz val="7"/>
        <rFont val="Arial"/>
        <family val="2"/>
      </rPr>
      <t>JG</t>
    </r>
  </si>
  <si>
    <r>
      <rPr>
        <sz val="7"/>
        <rFont val="Arial"/>
        <family val="2"/>
      </rPr>
      <t>Junta de dilatação elástica prémoldada tipo fungenband em perfil O-12, de PVC de alta densidade, Uniontech ou equivalente</t>
    </r>
  </si>
  <si>
    <r>
      <rPr>
        <sz val="7"/>
        <rFont val="Arial"/>
        <family val="2"/>
      </rPr>
      <t>Ladrilho hidráulico podotátil</t>
    </r>
  </si>
  <si>
    <r>
      <rPr>
        <sz val="7"/>
        <rFont val="Arial"/>
        <family val="2"/>
      </rPr>
      <t>Ladrilho hidráulico 2 cores p/ calçada</t>
    </r>
  </si>
  <si>
    <r>
      <rPr>
        <sz val="7"/>
        <rFont val="Arial"/>
        <family val="2"/>
      </rPr>
      <t>Lajota de 20 X 20 X 10 cm</t>
    </r>
  </si>
  <si>
    <r>
      <rPr>
        <sz val="7"/>
        <rFont val="Arial"/>
        <family val="2"/>
      </rPr>
      <t>MIL</t>
    </r>
  </si>
  <si>
    <r>
      <rPr>
        <sz val="7"/>
        <rFont val="Arial"/>
        <family val="2"/>
      </rPr>
      <t>Lâmpada de LED equivalente a incandescente (60Watts)</t>
    </r>
  </si>
  <si>
    <r>
      <rPr>
        <sz val="7"/>
        <rFont val="Arial"/>
        <family val="2"/>
      </rPr>
      <t>Lanche (coffee break) p/ pessoa</t>
    </r>
  </si>
  <si>
    <r>
      <rPr>
        <sz val="7"/>
        <rFont val="Arial"/>
        <family val="2"/>
      </rPr>
      <t>Lixa d'água</t>
    </r>
  </si>
  <si>
    <r>
      <rPr>
        <sz val="7"/>
        <rFont val="Arial"/>
        <family val="2"/>
      </rPr>
      <t>Lixa d'água nº 80</t>
    </r>
  </si>
  <si>
    <r>
      <rPr>
        <sz val="7"/>
        <rFont val="Arial"/>
        <family val="2"/>
      </rPr>
      <t>Lixa para madeira nº 100</t>
    </r>
  </si>
  <si>
    <r>
      <rPr>
        <sz val="7"/>
        <rFont val="Arial"/>
        <family val="2"/>
      </rPr>
      <t>Lixa para superfície metálica</t>
    </r>
  </si>
  <si>
    <r>
      <rPr>
        <sz val="7"/>
        <rFont val="Arial"/>
        <family val="2"/>
      </rPr>
      <t>Lona plástica preta para isolamento de concretagem sobre solo</t>
    </r>
  </si>
  <si>
    <r>
      <rPr>
        <sz val="7"/>
        <rFont val="Arial"/>
        <family val="2"/>
      </rPr>
      <t>Luva de PVC rígido para eletroduto 3/4"</t>
    </r>
  </si>
  <si>
    <r>
      <rPr>
        <sz val="7"/>
        <rFont val="Arial"/>
        <family val="2"/>
      </rPr>
      <t>Luva de PVC rígido, roscável de 3/4"</t>
    </r>
  </si>
  <si>
    <r>
      <rPr>
        <sz val="7"/>
        <rFont val="Arial"/>
        <family val="2"/>
      </rPr>
      <t>Luva DN 4" ferro galvanizado</t>
    </r>
  </si>
  <si>
    <r>
      <rPr>
        <sz val="7"/>
        <rFont val="Arial"/>
        <family val="2"/>
      </rPr>
      <t>Luva para tirante referência Rocsolo d=50mm</t>
    </r>
  </si>
  <si>
    <r>
      <rPr>
        <sz val="7"/>
        <rFont val="Arial"/>
        <family val="2"/>
      </rPr>
      <t>Madeira roliça (aprox. 8,00m - D=0,15m)</t>
    </r>
  </si>
  <si>
    <r>
      <rPr>
        <sz val="7"/>
        <rFont val="Arial"/>
        <family val="2"/>
      </rPr>
      <t>Madeira roliça (aprox. 8,00m - D=0,20m)</t>
    </r>
  </si>
  <si>
    <r>
      <rPr>
        <sz val="7"/>
        <rFont val="Arial"/>
        <family val="2"/>
      </rPr>
      <t>Madeira serrada (passadeira 30 X 8 cm)</t>
    </r>
  </si>
  <si>
    <r>
      <rPr>
        <sz val="7"/>
        <rFont val="Arial"/>
        <family val="2"/>
      </rPr>
      <t>Madeira serrada (pranchões 20 X 8 cm)</t>
    </r>
  </si>
  <si>
    <r>
      <rPr>
        <sz val="7"/>
        <rFont val="Arial"/>
        <family val="2"/>
      </rPr>
      <t>Madeira tratada (aprox. 4,00m - D=0,15m)</t>
    </r>
  </si>
  <si>
    <r>
      <rPr>
        <sz val="7"/>
        <rFont val="Arial"/>
        <family val="2"/>
      </rPr>
      <t>Mangueira para bomba injetora manual Putzmeister de 10, diam. 35mm</t>
    </r>
  </si>
  <si>
    <r>
      <rPr>
        <sz val="7"/>
        <rFont val="Arial"/>
        <family val="2"/>
      </rPr>
      <t>Mangueira para bomba injetora manual Putzmeister de 10, diam. 50mm</t>
    </r>
  </si>
  <si>
    <r>
      <rPr>
        <sz val="7"/>
        <rFont val="Arial"/>
        <family val="2"/>
      </rPr>
      <t>Manta de fibras vegetais, 0,5kg/m², fornecimento e aplicação, inclusive grampos</t>
    </r>
  </si>
  <si>
    <r>
      <rPr>
        <sz val="7"/>
        <rFont val="Arial"/>
        <family val="2"/>
      </rPr>
      <t>Manta Geotêxtil não tecida RT- 07 (07 kN/m)</t>
    </r>
  </si>
  <si>
    <r>
      <rPr>
        <sz val="7"/>
        <rFont val="Arial"/>
        <family val="2"/>
      </rPr>
      <t>Manta Geotêxtil não tecida RT-10 (10kN/m)</t>
    </r>
  </si>
  <si>
    <r>
      <rPr>
        <sz val="7"/>
        <rFont val="Arial"/>
        <family val="2"/>
      </rPr>
      <t>Manta Geotêxtil não tecida RT-16 (16kN/m)</t>
    </r>
  </si>
  <si>
    <r>
      <rPr>
        <sz val="7"/>
        <rFont val="Arial"/>
        <family val="2"/>
      </rPr>
      <t>Massa asfáltica CBUQ - usina comercial</t>
    </r>
  </si>
  <si>
    <r>
      <rPr>
        <sz val="7"/>
        <rFont val="Arial"/>
        <family val="2"/>
      </rPr>
      <t>Material termoplástico (extrusão)</t>
    </r>
  </si>
  <si>
    <r>
      <rPr>
        <sz val="7"/>
        <rFont val="Arial"/>
        <family val="2"/>
      </rPr>
      <t>Material termoplástico (SPRAY) (25 kg)</t>
    </r>
  </si>
  <si>
    <r>
      <rPr>
        <sz val="7"/>
        <rFont val="Arial"/>
        <family val="2"/>
      </rPr>
      <t>Meio fio 12 X 30 X 15 cm X 1 m</t>
    </r>
  </si>
  <si>
    <r>
      <rPr>
        <sz val="7"/>
        <rFont val="Arial"/>
        <family val="2"/>
      </rPr>
      <t>PÇ</t>
    </r>
  </si>
  <si>
    <r>
      <rPr>
        <sz val="7"/>
        <rFont val="Arial"/>
        <family val="2"/>
      </rPr>
      <t>Micro esfera (DROP-ON) saco 25 kg</t>
    </r>
  </si>
  <si>
    <r>
      <rPr>
        <sz val="7"/>
        <rFont val="Arial"/>
        <family val="2"/>
      </rPr>
      <t>Micro-esfera (preço médio)</t>
    </r>
  </si>
  <si>
    <r>
      <rPr>
        <sz val="7"/>
        <rFont val="Arial"/>
        <family val="2"/>
      </rPr>
      <t>Micro-esfera (PRE-MIX) saco 25 kg</t>
    </r>
  </si>
  <si>
    <r>
      <rPr>
        <sz val="7"/>
        <rFont val="Arial"/>
        <family val="2"/>
      </rPr>
      <t>Mourão de concreto 2,50m "T"</t>
    </r>
  </si>
  <si>
    <r>
      <rPr>
        <sz val="7"/>
        <rFont val="Arial"/>
        <family val="2"/>
      </rPr>
      <t>Mourao p/ cerca (2,20m - D=0,10m) m. branca</t>
    </r>
  </si>
  <si>
    <r>
      <rPr>
        <sz val="7"/>
        <rFont val="Arial"/>
        <family val="2"/>
      </rPr>
      <t>Mourão p/ cerca (2,50m - D=0,20m) madeira branca (estic.)</t>
    </r>
  </si>
  <si>
    <r>
      <rPr>
        <sz val="7"/>
        <rFont val="Arial"/>
        <family val="2"/>
      </rPr>
      <t>Mourão para cerca (2,80 - D=0,20m) m. branca (esticador)</t>
    </r>
  </si>
  <si>
    <r>
      <rPr>
        <sz val="7"/>
        <rFont val="Arial"/>
        <family val="2"/>
      </rPr>
      <t>Mourao quadrado (tipo DNIT) 10 X 10 cm X 2,20 m</t>
    </r>
  </si>
  <si>
    <r>
      <rPr>
        <sz val="7"/>
        <rFont val="Arial"/>
        <family val="2"/>
      </rPr>
      <t>Mourao triangular (tipo DNIT) 10 cm X 2,00 m</t>
    </r>
  </si>
  <si>
    <r>
      <rPr>
        <sz val="7"/>
        <rFont val="Arial"/>
        <family val="2"/>
      </rPr>
      <t>Muda de árvore (altura até 1,50m)</t>
    </r>
  </si>
  <si>
    <r>
      <rPr>
        <sz val="7"/>
        <rFont val="Arial"/>
        <family val="2"/>
      </rPr>
      <t>Muda de árvore grande (altura maior que 150cm)</t>
    </r>
  </si>
  <si>
    <r>
      <rPr>
        <sz val="7"/>
        <rFont val="Arial"/>
        <family val="2"/>
      </rPr>
      <t>Muda de árvore/arbusto espécies da Mata Atlântica (mudas em sacolas ou tubetes)</t>
    </r>
  </si>
  <si>
    <r>
      <rPr>
        <sz val="7"/>
        <rFont val="Arial"/>
        <family val="2"/>
      </rPr>
      <t>Óleo combustível BPF - baixo pto. fusão</t>
    </r>
  </si>
  <si>
    <r>
      <rPr>
        <sz val="7"/>
        <rFont val="Arial"/>
        <family val="2"/>
      </rPr>
      <t>Oleo de linhaça</t>
    </r>
  </si>
  <si>
    <r>
      <rPr>
        <sz val="7"/>
        <rFont val="Arial"/>
        <family val="2"/>
      </rPr>
      <t>Óleo diesel</t>
    </r>
  </si>
  <si>
    <r>
      <rPr>
        <sz val="7"/>
        <rFont val="Arial"/>
        <family val="2"/>
      </rPr>
      <t>Oxigênio</t>
    </r>
  </si>
  <si>
    <r>
      <rPr>
        <sz val="7"/>
        <rFont val="Arial"/>
        <family val="2"/>
      </rPr>
      <t>Parafuso c/ porca e arruela (3/16x1 1/2")</t>
    </r>
  </si>
  <si>
    <r>
      <rPr>
        <sz val="7"/>
        <rFont val="Arial"/>
        <family val="2"/>
      </rPr>
      <t>Parafuso de 1/2 X 230 mm (galvanizado)</t>
    </r>
  </si>
  <si>
    <r>
      <rPr>
        <sz val="7"/>
        <rFont val="Arial"/>
        <family val="2"/>
      </rPr>
      <t>Parafuso em aço galvanizado comp. 250mm, diâmetro = 16mm</t>
    </r>
  </si>
  <si>
    <r>
      <rPr>
        <sz val="7"/>
        <rFont val="Arial"/>
        <family val="2"/>
      </rPr>
      <t>Parafuso sextavado, soberba 5/8" x 6" com porca e arruela</t>
    </r>
  </si>
  <si>
    <r>
      <rPr>
        <sz val="7"/>
        <rFont val="Arial"/>
        <family val="2"/>
      </rPr>
      <t>Parafusos completos 5/16 X 65 mm</t>
    </r>
  </si>
  <si>
    <r>
      <rPr>
        <sz val="7"/>
        <rFont val="Arial"/>
        <family val="2"/>
      </rPr>
      <t>Paralelepípedo de pedra (milheiro)</t>
    </r>
  </si>
  <si>
    <r>
      <rPr>
        <sz val="7"/>
        <rFont val="Arial"/>
        <family val="2"/>
      </rPr>
      <t>Peça em madeira de 1ª qualidade 10,0 x 2,5 cm</t>
    </r>
  </si>
  <si>
    <r>
      <rPr>
        <sz val="7"/>
        <rFont val="Arial"/>
        <family val="2"/>
      </rPr>
      <t>Peça em madeira de 1ª qualidade 7,0 x 2,0 cm</t>
    </r>
  </si>
  <si>
    <r>
      <rPr>
        <sz val="7"/>
        <rFont val="Arial"/>
        <family val="2"/>
      </rPr>
      <t>Peça em madeira de 1ª qualidade 8,0 x 8,0 cm</t>
    </r>
  </si>
  <si>
    <r>
      <rPr>
        <sz val="7"/>
        <rFont val="Arial"/>
        <family val="2"/>
      </rPr>
      <t>Pedra britada p/ concreto, sem frete</t>
    </r>
  </si>
  <si>
    <r>
      <rPr>
        <sz val="7"/>
        <rFont val="Arial"/>
        <family val="2"/>
      </rPr>
      <t>Pedra de mao (incl. 0% IUM) s/ frete</t>
    </r>
  </si>
  <si>
    <r>
      <rPr>
        <sz val="7"/>
        <rFont val="Arial"/>
        <family val="2"/>
      </rPr>
      <t>Pedra p/ enrocamento</t>
    </r>
  </si>
  <si>
    <r>
      <rPr>
        <sz val="7"/>
        <rFont val="Arial"/>
        <family val="2"/>
      </rPr>
      <t>Pedra portuguesa (só a pedra)</t>
    </r>
  </si>
  <si>
    <r>
      <rPr>
        <sz val="7"/>
        <rFont val="Arial"/>
        <family val="2"/>
      </rPr>
      <t>Pedrisco</t>
    </r>
  </si>
  <si>
    <r>
      <rPr>
        <sz val="7"/>
        <rFont val="Arial"/>
        <family val="2"/>
      </rPr>
      <t>Película preto legenda</t>
    </r>
  </si>
  <si>
    <r>
      <rPr>
        <sz val="7"/>
        <rFont val="Arial"/>
        <family val="2"/>
      </rPr>
      <t>Película refletiva grau técnico todas as cores</t>
    </r>
  </si>
  <si>
    <r>
      <rPr>
        <sz val="7"/>
        <rFont val="Arial"/>
        <family val="2"/>
      </rPr>
      <t>Película refletiva lentes inclusas</t>
    </r>
  </si>
  <si>
    <r>
      <rPr>
        <sz val="7"/>
        <rFont val="Arial"/>
        <family val="2"/>
      </rPr>
      <t>Perfil elastomérico de vedação em juntas de pontes com abertura média de 25 mm ±  10 mm, inclusive lábios poliméricos e mão de obra para colocação (Ref. JEENE JJ2540 VV)</t>
    </r>
  </si>
  <si>
    <r>
      <rPr>
        <sz val="7"/>
        <rFont val="Arial"/>
        <family val="2"/>
      </rPr>
      <t>Perfil elastomérico de vedação em juntas de pontes com abertura média de 50 mm ±  25 mm, inclusive lábios poliméricos e mão de obra para colocação</t>
    </r>
  </si>
  <si>
    <r>
      <rPr>
        <sz val="7"/>
        <rFont val="Arial"/>
        <family val="2"/>
      </rPr>
      <t>Perfil laminado W 250 x 44.80, Perfil I</t>
    </r>
  </si>
  <si>
    <r>
      <rPr>
        <sz val="7"/>
        <rFont val="Arial"/>
        <family val="2"/>
      </rPr>
      <t>Perfil metálico seção I</t>
    </r>
  </si>
  <si>
    <r>
      <rPr>
        <sz val="7"/>
        <rFont val="Arial"/>
        <family val="2"/>
      </rPr>
      <t>Pescoço p/ PV H= 0,30 m diam= 0,60 m (anel de concreto pré-moldado)</t>
    </r>
  </si>
  <si>
    <r>
      <rPr>
        <sz val="7"/>
        <rFont val="Arial"/>
        <family val="2"/>
      </rPr>
      <t>PIS/COFINS</t>
    </r>
  </si>
  <si>
    <r>
      <rPr>
        <sz val="7"/>
        <rFont val="Arial"/>
        <family val="2"/>
      </rPr>
      <t>Placa de neoprene fretado esp = 5 cm (18% I.P.I. e embalagem)</t>
    </r>
  </si>
  <si>
    <r>
      <rPr>
        <sz val="7"/>
        <rFont val="Arial"/>
        <family val="2"/>
      </rPr>
      <t>Placa em alumínio espessura = 1,5mm</t>
    </r>
  </si>
  <si>
    <r>
      <rPr>
        <sz val="7"/>
        <rFont val="Arial"/>
        <family val="2"/>
      </rPr>
      <t>Placa metálica para ancoragem, sextavada, de (160x160x19)mm</t>
    </r>
  </si>
  <si>
    <r>
      <rPr>
        <sz val="7"/>
        <rFont val="Arial"/>
        <family val="2"/>
      </rPr>
      <t>Placa sinalizaçao pronta - chapa de ferro N. 20</t>
    </r>
  </si>
  <si>
    <r>
      <rPr>
        <sz val="7"/>
        <rFont val="Arial"/>
        <family val="2"/>
      </rPr>
      <t>Placa 160 x 160 x 10mm</t>
    </r>
  </si>
  <si>
    <r>
      <rPr>
        <sz val="7"/>
        <rFont val="Arial"/>
        <family val="2"/>
      </rPr>
      <t>Placa 20 x 20 x 3/4" para tirante Rocsolo</t>
    </r>
  </si>
  <si>
    <r>
      <rPr>
        <sz val="7"/>
        <rFont val="Arial"/>
        <family val="2"/>
      </rPr>
      <t>Plastiment VZ (10% I.P.I. e 8% frete), marca de referência Sika</t>
    </r>
  </si>
  <si>
    <r>
      <rPr>
        <sz val="7"/>
        <rFont val="Arial"/>
        <family val="2"/>
      </rPr>
      <t>Plotagem de desenho P/B em papel Sulfit</t>
    </r>
  </si>
  <si>
    <r>
      <rPr>
        <sz val="7"/>
        <rFont val="Arial"/>
        <family val="2"/>
      </rPr>
      <t>Pó calcáreo dolomítico</t>
    </r>
  </si>
  <si>
    <r>
      <rPr>
        <sz val="7"/>
        <rFont val="Arial"/>
        <family val="2"/>
      </rPr>
      <t>Pó de pedra (incl. 0% IUM) s/ frete</t>
    </r>
  </si>
  <si>
    <r>
      <rPr>
        <sz val="7"/>
        <rFont val="Arial"/>
        <family val="2"/>
      </rPr>
      <t>Pontalete de Pinho de 1ª de 3" x 3", sem aparelhamento</t>
    </r>
  </si>
  <si>
    <r>
      <rPr>
        <sz val="7"/>
        <rFont val="Arial"/>
        <family val="2"/>
      </rPr>
      <t>Pontalete de Pinho de 3ª ou similar de 3" x 3", sem aparelhamento</t>
    </r>
  </si>
  <si>
    <r>
      <rPr>
        <sz val="7"/>
        <rFont val="Arial"/>
        <family val="2"/>
      </rPr>
      <t>Porca de ancoragem de aço, sextavada, para protensão, com altura de 50mm</t>
    </r>
  </si>
  <si>
    <r>
      <rPr>
        <sz val="7"/>
        <rFont val="Arial"/>
        <family val="2"/>
      </rPr>
      <t>Porca sextavada esférica H=70mm, chave 55mm</t>
    </r>
  </si>
  <si>
    <r>
      <rPr>
        <sz val="7"/>
        <rFont val="Arial"/>
        <family val="2"/>
      </rPr>
      <t>Poste galvanizado reto com 4,0m e base</t>
    </r>
  </si>
  <si>
    <r>
      <rPr>
        <sz val="7"/>
        <rFont val="Arial"/>
        <family val="2"/>
      </rPr>
      <t>Poste galvanizado 101mm simples, h= 6,0 m para semáforo</t>
    </r>
  </si>
  <si>
    <r>
      <rPr>
        <sz val="7"/>
        <rFont val="Arial"/>
        <family val="2"/>
      </rPr>
      <t>Poste galvanizado 114mm - 1 boca, h = 6,00 m para semáforo</t>
    </r>
  </si>
  <si>
    <r>
      <rPr>
        <sz val="7"/>
        <rFont val="Arial"/>
        <family val="2"/>
      </rPr>
      <t>Poste galvanizado 114mm - 2 bocas, h = 6,00 m para semáforo</t>
    </r>
  </si>
  <si>
    <r>
      <rPr>
        <sz val="7"/>
        <rFont val="Arial"/>
        <family val="2"/>
      </rPr>
      <t>Poste Intermediário 40x60 mm, para Gradil Nylofor</t>
    </r>
  </si>
  <si>
    <r>
      <rPr>
        <sz val="7"/>
        <rFont val="Arial"/>
        <family val="2"/>
      </rPr>
      <t>Pranchoes 30 X 5 cm (p/ ensecadeira)</t>
    </r>
  </si>
  <si>
    <r>
      <rPr>
        <sz val="7"/>
        <rFont val="Arial"/>
        <family val="2"/>
      </rPr>
      <t>Prego 18 X 24</t>
    </r>
  </si>
  <si>
    <r>
      <rPr>
        <sz val="7"/>
        <rFont val="Arial"/>
        <family val="2"/>
      </rPr>
      <t>Prego 25 X 72 (para pontes de madeira)</t>
    </r>
  </si>
  <si>
    <r>
      <rPr>
        <sz val="7"/>
        <rFont val="Arial"/>
        <family val="2"/>
      </rPr>
      <t>Primer base cromato de zinco</t>
    </r>
  </si>
  <si>
    <r>
      <rPr>
        <sz val="7"/>
        <rFont val="Arial"/>
        <family val="2"/>
      </rPr>
      <t>Primer epoxi tipo Quinnducot 5800/14 na cor vermelha. Química União ou similar</t>
    </r>
  </si>
  <si>
    <r>
      <rPr>
        <sz val="7"/>
        <rFont val="Arial"/>
        <family val="2"/>
      </rPr>
      <t>Primer epoxi tipo Quinnducot 5806 na cor branca, Química União ou similar</t>
    </r>
  </si>
  <si>
    <r>
      <rPr>
        <sz val="7"/>
        <rFont val="Arial"/>
        <family val="2"/>
      </rPr>
      <t>Primer (PCF)</t>
    </r>
  </si>
  <si>
    <r>
      <rPr>
        <sz val="7"/>
        <rFont val="Arial"/>
        <family val="2"/>
      </rPr>
      <t>Redutor  tipo 2002 primeira qualidade</t>
    </r>
  </si>
  <si>
    <r>
      <rPr>
        <sz val="7"/>
        <rFont val="Arial"/>
        <family val="2"/>
      </rPr>
      <t>Reservatório de polietileno 1000 litros tampa redonda</t>
    </r>
  </si>
  <si>
    <r>
      <rPr>
        <sz val="7"/>
        <rFont val="Arial"/>
        <family val="2"/>
      </rPr>
      <t>Retardo</t>
    </r>
  </si>
  <si>
    <r>
      <rPr>
        <sz val="7"/>
        <rFont val="Arial"/>
        <family val="2"/>
      </rPr>
      <t>Ripão de 2,5 X 7.0 cm</t>
    </r>
  </si>
  <si>
    <r>
      <rPr>
        <sz val="7"/>
        <rFont val="Arial"/>
        <family val="2"/>
      </rPr>
      <t>Ripas de 2,5cm x 5,0cm</t>
    </r>
  </si>
  <si>
    <r>
      <rPr>
        <sz val="7"/>
        <rFont val="Arial"/>
        <family val="2"/>
      </rPr>
      <t>Saco de propileno (RIP RAP)</t>
    </r>
  </si>
  <si>
    <r>
      <rPr>
        <sz val="7"/>
        <rFont val="Arial"/>
        <family val="2"/>
      </rPr>
      <t>Sapata de widea NW</t>
    </r>
  </si>
  <si>
    <r>
      <rPr>
        <sz val="7"/>
        <rFont val="Arial"/>
        <family val="2"/>
      </rPr>
      <t>Sarrafo 10 X 2,5 cm</t>
    </r>
  </si>
  <si>
    <r>
      <rPr>
        <sz val="7"/>
        <rFont val="Arial"/>
        <family val="2"/>
      </rPr>
      <t>SBS 55 75 (CAP FLEX 55/75)</t>
    </r>
  </si>
  <si>
    <r>
      <rPr>
        <sz val="7"/>
        <rFont val="Arial"/>
        <family val="2"/>
      </rPr>
      <t>SBS 60 85 (CAP FLEX 60/85)</t>
    </r>
  </si>
  <si>
    <r>
      <rPr>
        <sz val="7"/>
        <rFont val="Arial"/>
        <family val="2"/>
      </rPr>
      <t>SBS 65 90 (CAP FLEX 65/90)</t>
    </r>
  </si>
  <si>
    <r>
      <rPr>
        <sz val="7"/>
        <rFont val="Arial"/>
        <family val="2"/>
      </rPr>
      <t>Sementes</t>
    </r>
  </si>
  <si>
    <r>
      <rPr>
        <sz val="7"/>
        <rFont val="Arial"/>
        <family val="2"/>
      </rPr>
      <t>Serviços gráficos e materiais de consumo</t>
    </r>
  </si>
  <si>
    <r>
      <rPr>
        <sz val="7"/>
        <rFont val="Arial"/>
        <family val="2"/>
      </rPr>
      <t>Sigunit STM-35 AF, Aditivo de pega, Sika ou similar</t>
    </r>
  </si>
  <si>
    <r>
      <rPr>
        <sz val="7"/>
        <rFont val="Arial"/>
        <family val="2"/>
      </rPr>
      <t>Sikacrete BR</t>
    </r>
  </si>
  <si>
    <r>
      <rPr>
        <sz val="7"/>
        <rFont val="Arial"/>
        <family val="2"/>
      </rPr>
      <t>Sikadur 43 (argamassa epoxídica)</t>
    </r>
  </si>
  <si>
    <r>
      <rPr>
        <sz val="7"/>
        <rFont val="Arial"/>
        <family val="2"/>
      </rPr>
      <t>Sikagrout</t>
    </r>
  </si>
  <si>
    <r>
      <rPr>
        <sz val="7"/>
        <rFont val="Arial"/>
        <family val="2"/>
      </rPr>
      <t>Silica ativa (micro-silica) saco 15 kg</t>
    </r>
  </si>
  <si>
    <r>
      <rPr>
        <sz val="7"/>
        <rFont val="Arial"/>
        <family val="2"/>
      </rPr>
      <t>Sistema  de cercamento tipo Gradil Nylofor Pintura Simples (preto, verde ou branco), #50x200mm, fio 5mm, L=2,50m, H=2,03m</t>
    </r>
  </si>
  <si>
    <r>
      <rPr>
        <sz val="7"/>
        <rFont val="Arial"/>
        <family val="2"/>
      </rPr>
      <t>Solo brita (incl. 0% IUM) sem frete</t>
    </r>
  </si>
  <si>
    <r>
      <rPr>
        <sz val="7"/>
        <rFont val="Arial"/>
        <family val="2"/>
      </rPr>
      <t>Solvente epoxi</t>
    </r>
  </si>
  <si>
    <r>
      <rPr>
        <sz val="7"/>
        <rFont val="Arial"/>
        <family val="2"/>
      </rPr>
      <t>Suporte em madeira de 1ª qualidade (8x8x320cm)</t>
    </r>
  </si>
  <si>
    <r>
      <rPr>
        <sz val="7"/>
        <rFont val="Arial"/>
        <family val="2"/>
      </rPr>
      <t>Suporte para placa de sinalização vertical em madeira de 1ª qualidade, tratada e pintada (8x8) com 3,40m</t>
    </r>
  </si>
  <si>
    <r>
      <rPr>
        <sz val="7"/>
        <rFont val="Arial"/>
        <family val="2"/>
      </rPr>
      <t>Tábua de pinho de 1ª de 1" x 12"</t>
    </r>
  </si>
  <si>
    <r>
      <rPr>
        <sz val="7"/>
        <rFont val="Arial"/>
        <family val="2"/>
      </rPr>
      <t>Tábuas de 2,5 cm (Não Aparelhada)</t>
    </r>
  </si>
  <si>
    <r>
      <rPr>
        <sz val="7"/>
        <rFont val="Arial"/>
        <family val="2"/>
      </rPr>
      <t>Tábuas de 30 X 2,5 cm (Aparelhada)</t>
    </r>
  </si>
  <si>
    <r>
      <rPr>
        <sz val="7"/>
        <rFont val="Arial"/>
        <family val="2"/>
      </rPr>
      <t>Tacha bidirecional</t>
    </r>
  </si>
  <si>
    <r>
      <rPr>
        <sz val="7"/>
        <rFont val="Arial"/>
        <family val="2"/>
      </rPr>
      <t>Tacha monodirecional</t>
    </r>
  </si>
  <si>
    <r>
      <rPr>
        <sz val="7"/>
        <rFont val="Arial"/>
        <family val="2"/>
      </rPr>
      <t>Tachao bidirecional</t>
    </r>
  </si>
  <si>
    <r>
      <rPr>
        <sz val="7"/>
        <rFont val="Arial"/>
        <family val="2"/>
      </rPr>
      <t>Tachao monodirecional</t>
    </r>
  </si>
  <si>
    <r>
      <rPr>
        <sz val="7"/>
        <rFont val="Arial"/>
        <family val="2"/>
      </rPr>
      <t>Taipá de 1ª com 2,5 cm</t>
    </r>
  </si>
  <si>
    <r>
      <rPr>
        <sz val="7"/>
        <rFont val="Arial"/>
        <family val="2"/>
      </rPr>
      <t>Tampa pré-moldada em concreto para sumidouro d=2,00m</t>
    </r>
  </si>
  <si>
    <r>
      <rPr>
        <sz val="7"/>
        <rFont val="Arial"/>
        <family val="2"/>
      </rPr>
      <t>Tampão de aço galvanizado D=3"</t>
    </r>
  </si>
  <si>
    <r>
      <rPr>
        <sz val="7"/>
        <rFont val="Arial"/>
        <family val="2"/>
      </rPr>
      <t>Tampao F.F. articulado pesado p / poço visita Classe D400 (carga 400kN)</t>
    </r>
  </si>
  <si>
    <r>
      <rPr>
        <sz val="7"/>
        <rFont val="Arial"/>
        <family val="2"/>
      </rPr>
      <t>Tampão simples 1,07x0,62 Padrão R2 Telemar</t>
    </r>
  </si>
  <si>
    <r>
      <rPr>
        <sz val="7"/>
        <rFont val="Arial"/>
        <family val="2"/>
      </rPr>
      <t>Tela de aço galvanizada 8 x 10 cm , d=2,70mm, dupla torção</t>
    </r>
  </si>
  <si>
    <r>
      <rPr>
        <sz val="7"/>
        <rFont val="Arial"/>
        <family val="2"/>
      </rPr>
      <t>Tela de aço soldada Telcon Q-138 ou similar</t>
    </r>
  </si>
  <si>
    <r>
      <rPr>
        <sz val="7"/>
        <rFont val="Arial"/>
        <family val="2"/>
      </rPr>
      <t>Tela de aço soldada Telcon Q-196 ou similar</t>
    </r>
  </si>
  <si>
    <r>
      <rPr>
        <sz val="7"/>
        <rFont val="Arial"/>
        <family val="2"/>
      </rPr>
      <t>Tela de PVC na cor laranja, para proteção de segurança (tapume), rolo com 50,00 m</t>
    </r>
  </si>
  <si>
    <r>
      <rPr>
        <sz val="7"/>
        <rFont val="Arial"/>
        <family val="2"/>
      </rPr>
      <t>Tela losangular fio 10 galvanizado, malha 3"</t>
    </r>
  </si>
  <si>
    <r>
      <rPr>
        <sz val="7"/>
        <rFont val="Arial"/>
        <family val="2"/>
      </rPr>
      <t>Tela losangular fio 12 galvanizado, malha 3"</t>
    </r>
  </si>
  <si>
    <r>
      <rPr>
        <sz val="7"/>
        <rFont val="Arial"/>
        <family val="2"/>
      </rPr>
      <t>Tela losangular fio 12, revestido em PVC, malha 3"</t>
    </r>
  </si>
  <si>
    <r>
      <rPr>
        <sz val="7"/>
        <rFont val="Arial"/>
        <family val="2"/>
      </rPr>
      <t>Telha de fribrocimento ondulada de 6 mm</t>
    </r>
  </si>
  <si>
    <r>
      <rPr>
        <sz val="7"/>
        <rFont val="Arial"/>
        <family val="2"/>
      </rPr>
      <t>Telha fibrocimento - Canalete normal 49 - Comp. = 2,50 m</t>
    </r>
  </si>
  <si>
    <r>
      <rPr>
        <sz val="7"/>
        <rFont val="Arial"/>
        <family val="2"/>
      </rPr>
      <t>Telha fibrocimento - Canalete normal 49 - Comp. = 3,60 m</t>
    </r>
  </si>
  <si>
    <r>
      <rPr>
        <sz val="7"/>
        <rFont val="Arial"/>
        <family val="2"/>
      </rPr>
      <t>Telha fibrocimento - Canalete terminal 49 - Comp. = 2,50 m</t>
    </r>
  </si>
  <si>
    <r>
      <rPr>
        <sz val="7"/>
        <rFont val="Arial"/>
        <family val="2"/>
      </rPr>
      <t>Telha fibrocimento - Canalete terminal 49 - Comp. = 3,60 m</t>
    </r>
  </si>
  <si>
    <r>
      <rPr>
        <sz val="7"/>
        <rFont val="Arial"/>
        <family val="2"/>
      </rPr>
      <t>Terra vegetal</t>
    </r>
  </si>
  <si>
    <r>
      <rPr>
        <sz val="7"/>
        <rFont val="Arial"/>
        <family val="2"/>
      </rPr>
      <t>Terramesh System malha hexagonal 8x10mm, PVC, diâmetro 2,7 mm, 0,50x1,00x6,00m</t>
    </r>
  </si>
  <si>
    <r>
      <rPr>
        <sz val="7"/>
        <rFont val="Arial"/>
        <family val="2"/>
      </rPr>
      <t>Terramesh System malha hexagonal 8x10mm, PVC, diâmetro 2,7mm, 0,50x1,00x4,00m</t>
    </r>
  </si>
  <si>
    <r>
      <rPr>
        <sz val="7"/>
        <rFont val="Arial"/>
        <family val="2"/>
      </rPr>
      <t>Terramesh System malha hexagonal 8x10mm, PVC, diâmetro 2,7mm, 0,50x1,00x7,00m</t>
    </r>
  </si>
  <si>
    <r>
      <rPr>
        <sz val="7"/>
        <rFont val="Arial"/>
        <family val="2"/>
      </rPr>
      <t>Terramesh System malha hexagonal, 8x10mm, PVC, diâmetro 2,7mm, 1,00x1,00x4,00m</t>
    </r>
  </si>
  <si>
    <r>
      <rPr>
        <sz val="7"/>
        <rFont val="Arial"/>
        <family val="2"/>
      </rPr>
      <t>Terramesh System malha hexagonal 8x10mm, PVC, diâmetro 2,7mm, 1,00x1,00x5,00m</t>
    </r>
  </si>
  <si>
    <r>
      <rPr>
        <sz val="7"/>
        <rFont val="Arial"/>
        <family val="2"/>
      </rPr>
      <t>Tijolinho a vista (placa de revestimento)</t>
    </r>
  </si>
  <si>
    <r>
      <rPr>
        <sz val="7"/>
        <rFont val="Arial"/>
        <family val="2"/>
      </rPr>
      <t>Tijolo cerâmico maciço 5x10x20 cm</t>
    </r>
  </si>
  <si>
    <r>
      <rPr>
        <sz val="7"/>
        <rFont val="Arial"/>
        <family val="2"/>
      </rPr>
      <t>Tinner comum</t>
    </r>
  </si>
  <si>
    <r>
      <rPr>
        <sz val="7"/>
        <rFont val="Arial"/>
        <family val="2"/>
      </rPr>
      <t>Tinta a base de borracha clorada para acabamento a cores</t>
    </r>
  </si>
  <si>
    <r>
      <rPr>
        <sz val="7"/>
        <rFont val="Arial"/>
        <family val="2"/>
      </rPr>
      <t>Tinta à base de epóxi, Coral (Wandepóxi), Suvinil (Esmalte Epóxi) ou equivalente</t>
    </r>
  </si>
  <si>
    <r>
      <rPr>
        <sz val="7"/>
        <rFont val="Arial"/>
        <family val="2"/>
      </rPr>
      <t>Tinta a óleo</t>
    </r>
  </si>
  <si>
    <r>
      <rPr>
        <sz val="7"/>
        <rFont val="Arial"/>
        <family val="2"/>
      </rPr>
      <t>Tinta acrílica</t>
    </r>
  </si>
  <si>
    <r>
      <rPr>
        <sz val="7"/>
        <rFont val="Arial"/>
        <family val="2"/>
      </rPr>
      <t>BD</t>
    </r>
  </si>
  <si>
    <r>
      <rPr>
        <sz val="7"/>
        <rFont val="Arial"/>
        <family val="2"/>
      </rPr>
      <t>Tinta base água (preço médio)</t>
    </r>
  </si>
  <si>
    <r>
      <rPr>
        <sz val="7"/>
        <rFont val="Arial"/>
        <family val="2"/>
      </rPr>
      <t>Tinta epóxica isenta de solvente</t>
    </r>
  </si>
  <si>
    <r>
      <rPr>
        <sz val="7"/>
        <rFont val="Arial"/>
        <family val="2"/>
      </rPr>
      <t>Tinta látex acrílica</t>
    </r>
  </si>
  <si>
    <r>
      <rPr>
        <sz val="7"/>
        <rFont val="Arial"/>
        <family val="2"/>
      </rPr>
      <t>Tinta para demarc.viária à base de resina acrílica emuls. água (Preço médio)</t>
    </r>
  </si>
  <si>
    <r>
      <rPr>
        <sz val="7"/>
        <rFont val="Arial"/>
        <family val="2"/>
      </rPr>
      <t>Trilho usado</t>
    </r>
  </si>
  <si>
    <r>
      <rPr>
        <sz val="7"/>
        <rFont val="Arial"/>
        <family val="2"/>
      </rPr>
      <t>Tubo de aço galvanizado D=1 1/2"</t>
    </r>
  </si>
  <si>
    <r>
      <rPr>
        <sz val="7"/>
        <rFont val="Arial"/>
        <family val="2"/>
      </rPr>
      <t>Tubo de aço galvanizado D=3"</t>
    </r>
  </si>
  <si>
    <r>
      <rPr>
        <sz val="7"/>
        <rFont val="Arial"/>
        <family val="2"/>
      </rPr>
      <t>Tubo de aço galvanizado, semi-pesado d=2"</t>
    </r>
  </si>
  <si>
    <r>
      <rPr>
        <sz val="7"/>
        <rFont val="Arial"/>
        <family val="2"/>
      </rPr>
      <t>Tubo de aço redondo preto DIN2440 diâm. 2"</t>
    </r>
  </si>
  <si>
    <r>
      <rPr>
        <sz val="7"/>
        <rFont val="Arial"/>
        <family val="2"/>
      </rPr>
      <t>Tubo de concreto armado D=0,30m CA-1 MF</t>
    </r>
  </si>
  <si>
    <r>
      <rPr>
        <sz val="7"/>
        <rFont val="Arial"/>
        <family val="2"/>
      </rPr>
      <t>Tubo de concreto armado D=0,40m CA-1 MF</t>
    </r>
  </si>
  <si>
    <r>
      <rPr>
        <sz val="7"/>
        <rFont val="Arial"/>
        <family val="2"/>
      </rPr>
      <t>Tubo de concreto armado D=0,40m CA-2 MF</t>
    </r>
  </si>
  <si>
    <r>
      <rPr>
        <sz val="7"/>
        <rFont val="Arial"/>
        <family val="2"/>
      </rPr>
      <t>Tubo de concreto armado D=0,60m CA-1 MF</t>
    </r>
  </si>
  <si>
    <r>
      <rPr>
        <sz val="7"/>
        <rFont val="Arial"/>
        <family val="2"/>
      </rPr>
      <t>Tubo de concreto armado D=0,60m CA-1 PB</t>
    </r>
  </si>
  <si>
    <r>
      <rPr>
        <sz val="7"/>
        <rFont val="Arial"/>
        <family val="2"/>
      </rPr>
      <t>Tubo de concreto armado D=0,60m CA-2 MF</t>
    </r>
  </si>
  <si>
    <r>
      <rPr>
        <sz val="7"/>
        <rFont val="Arial"/>
        <family val="2"/>
      </rPr>
      <t>Tubo de concreto armado D=0,60m CA-2 PB</t>
    </r>
  </si>
  <si>
    <r>
      <rPr>
        <sz val="7"/>
        <rFont val="Arial"/>
        <family val="2"/>
      </rPr>
      <t>Tubo de concreto armado D=0,80m CA-1 MF</t>
    </r>
  </si>
  <si>
    <r>
      <rPr>
        <sz val="7"/>
        <rFont val="Arial"/>
        <family val="2"/>
      </rPr>
      <t>Tubo de concreto armado D=0,80m CA-1 PB</t>
    </r>
  </si>
  <si>
    <r>
      <rPr>
        <sz val="7"/>
        <rFont val="Arial"/>
        <family val="2"/>
      </rPr>
      <t>Tubo de concreto armado D=0,80m CA-2 MF</t>
    </r>
  </si>
  <si>
    <r>
      <rPr>
        <sz val="7"/>
        <rFont val="Arial"/>
        <family val="2"/>
      </rPr>
      <t>Tubo de concreto armado D=0,80m CA-2 PB</t>
    </r>
  </si>
  <si>
    <r>
      <rPr>
        <sz val="7"/>
        <rFont val="Arial"/>
        <family val="2"/>
      </rPr>
      <t>Tubo de concreto armado D=1,00m CA-1 MF</t>
    </r>
  </si>
  <si>
    <r>
      <rPr>
        <sz val="7"/>
        <rFont val="Arial"/>
        <family val="2"/>
      </rPr>
      <t>Tubo de concreto armado D=1,00m CA-1 PB</t>
    </r>
  </si>
  <si>
    <r>
      <rPr>
        <sz val="7"/>
        <rFont val="Arial"/>
        <family val="2"/>
      </rPr>
      <t>Tubo de concreto armado D=1,00m CA-2 MF</t>
    </r>
  </si>
  <si>
    <r>
      <rPr>
        <sz val="7"/>
        <rFont val="Arial"/>
        <family val="2"/>
      </rPr>
      <t>Tubo de concreto armado D=1,00m CA-2 PB</t>
    </r>
  </si>
  <si>
    <r>
      <rPr>
        <sz val="7"/>
        <rFont val="Arial"/>
        <family val="2"/>
      </rPr>
      <t>Tubo de concreto armado D=1,00m CA-3 MF</t>
    </r>
  </si>
  <si>
    <r>
      <rPr>
        <sz val="7"/>
        <rFont val="Arial"/>
        <family val="2"/>
      </rPr>
      <t>Tubo de concreto armado D=1,20m CA-1 MF</t>
    </r>
  </si>
  <si>
    <r>
      <rPr>
        <sz val="7"/>
        <rFont val="Arial"/>
        <family val="2"/>
      </rPr>
      <t>Tubo de concreto armado D=1,20m CA-1 PB</t>
    </r>
  </si>
  <si>
    <r>
      <rPr>
        <sz val="7"/>
        <rFont val="Arial"/>
        <family val="2"/>
      </rPr>
      <t>Tubo de concreto armado D=1,20m CA-2 MF</t>
    </r>
  </si>
  <si>
    <r>
      <rPr>
        <sz val="7"/>
        <rFont val="Arial"/>
        <family val="2"/>
      </rPr>
      <t>Tubo de concreto armado D=1,20m CA-2 PB</t>
    </r>
  </si>
  <si>
    <r>
      <rPr>
        <sz val="7"/>
        <rFont val="Arial"/>
        <family val="2"/>
      </rPr>
      <t>Tubo de concreto armado D=1,20m CA-3 MF</t>
    </r>
  </si>
  <si>
    <r>
      <rPr>
        <sz val="7"/>
        <rFont val="Arial"/>
        <family val="2"/>
      </rPr>
      <t>Tubo de concreto armado D=1,50m CA-1 MF</t>
    </r>
  </si>
  <si>
    <r>
      <rPr>
        <sz val="7"/>
        <rFont val="Arial"/>
        <family val="2"/>
      </rPr>
      <t>Tubo de concreto armado D=1,50m CA-1 PB</t>
    </r>
  </si>
  <si>
    <r>
      <rPr>
        <sz val="7"/>
        <rFont val="Arial"/>
        <family val="2"/>
      </rPr>
      <t>Tubo de concreto armado D=1,50m CA-2 MF</t>
    </r>
  </si>
  <si>
    <r>
      <rPr>
        <sz val="7"/>
        <rFont val="Arial"/>
        <family val="2"/>
      </rPr>
      <t>Tubo de concreto armado D=1,50m CA-2 PB</t>
    </r>
  </si>
  <si>
    <r>
      <rPr>
        <sz val="7"/>
        <rFont val="Arial"/>
        <family val="2"/>
      </rPr>
      <t>Tubo de concreto armado D=1,50m CA-3 MF</t>
    </r>
  </si>
  <si>
    <r>
      <rPr>
        <sz val="7"/>
        <rFont val="Arial"/>
        <family val="2"/>
      </rPr>
      <t>Tubo de concreto poroso D=0,20 m</t>
    </r>
  </si>
  <si>
    <r>
      <rPr>
        <sz val="7"/>
        <rFont val="Arial"/>
        <family val="2"/>
      </rPr>
      <t>Tubo de concreto s/ armaçao D=0,20m MF</t>
    </r>
  </si>
  <si>
    <r>
      <rPr>
        <sz val="7"/>
        <rFont val="Arial"/>
        <family val="2"/>
      </rPr>
      <t>Tubo de concreto s/ armaçao D=0,20m PB</t>
    </r>
  </si>
  <si>
    <r>
      <rPr>
        <sz val="7"/>
        <rFont val="Arial"/>
        <family val="2"/>
      </rPr>
      <t>Tubo de concreto s/ armaçao D=0,30m MF</t>
    </r>
  </si>
  <si>
    <r>
      <rPr>
        <sz val="7"/>
        <rFont val="Arial"/>
        <family val="2"/>
      </rPr>
      <t>Tubo de concreto s/ armaçao D=0,30m PB</t>
    </r>
  </si>
  <si>
    <r>
      <rPr>
        <sz val="7"/>
        <rFont val="Arial"/>
        <family val="2"/>
      </rPr>
      <t>Tubo de concreto s/ armaçao D=0,40m MF</t>
    </r>
  </si>
  <si>
    <r>
      <rPr>
        <sz val="7"/>
        <rFont val="Arial"/>
        <family val="2"/>
      </rPr>
      <t>Tubo de concreto s/ armaçao D=0,40m PB</t>
    </r>
  </si>
  <si>
    <r>
      <rPr>
        <sz val="7"/>
        <rFont val="Arial"/>
        <family val="2"/>
      </rPr>
      <t>Tubo de concreto s/ armaçao D=0,60m MF</t>
    </r>
  </si>
  <si>
    <r>
      <rPr>
        <sz val="7"/>
        <rFont val="Arial"/>
        <family val="2"/>
      </rPr>
      <t>Tubo de concreto s/ armaçao D=0,60m PB</t>
    </r>
  </si>
  <si>
    <r>
      <rPr>
        <sz val="7"/>
        <rFont val="Arial"/>
        <family val="2"/>
      </rPr>
      <t>Tubo de PVC de 100mm para esgoto</t>
    </r>
  </si>
  <si>
    <r>
      <rPr>
        <sz val="7"/>
        <rFont val="Arial"/>
        <family val="2"/>
      </rPr>
      <t>Tubo de PVC PBA CL 15 DN 75mm</t>
    </r>
  </si>
  <si>
    <r>
      <rPr>
        <sz val="7"/>
        <rFont val="Arial"/>
        <family val="2"/>
      </rPr>
      <t>Tubo de PVC PBA CL 15 DN 100mm</t>
    </r>
  </si>
  <si>
    <r>
      <rPr>
        <sz val="7"/>
        <rFont val="Arial"/>
        <family val="2"/>
      </rPr>
      <t>Tubo de PVC PBA, JEI (junta elástica) Classe 12 - NBR 5647, diam. 75mm</t>
    </r>
  </si>
  <si>
    <r>
      <rPr>
        <sz val="7"/>
        <rFont val="Arial"/>
        <family val="2"/>
      </rPr>
      <t>Tubo de PVC PBA, JEI (junta elástica) Classe 12 - NBR 5647 diâm. 50mm</t>
    </r>
  </si>
  <si>
    <r>
      <rPr>
        <sz val="7"/>
        <rFont val="Arial"/>
        <family val="2"/>
      </rPr>
      <t>Tubo de PVC rígido D= 50mm (dreno) - vara 6m</t>
    </r>
  </si>
  <si>
    <r>
      <rPr>
        <sz val="7"/>
        <rFont val="Arial"/>
        <family val="2"/>
      </rPr>
      <t>Tubo de PVC rígido D= 75mm (dreno) - vara 6m</t>
    </r>
  </si>
  <si>
    <r>
      <rPr>
        <sz val="7"/>
        <rFont val="Arial"/>
        <family val="2"/>
      </rPr>
      <t>Tubo de PVC rígido D= 100mm (dreno) - vara 6m</t>
    </r>
  </si>
  <si>
    <r>
      <rPr>
        <sz val="7"/>
        <rFont val="Arial"/>
        <family val="2"/>
      </rPr>
      <t>Tubo de PVC rígido, PBV, Série R, vara com 3m, diâmetro nominal de 50mm</t>
    </r>
  </si>
  <si>
    <r>
      <rPr>
        <sz val="7"/>
        <rFont val="Arial"/>
        <family val="2"/>
      </rPr>
      <t>Tubo de PVC rígido, roscável, vara com 6m de 3/4"</t>
    </r>
  </si>
  <si>
    <r>
      <rPr>
        <sz val="7"/>
        <rFont val="Arial"/>
        <family val="2"/>
      </rPr>
      <t>Tubo de PVC rígido, série R NBR5688, diam.100mm</t>
    </r>
  </si>
  <si>
    <r>
      <rPr>
        <sz val="7"/>
        <rFont val="Arial"/>
        <family val="2"/>
      </rPr>
      <t>Tubo de PVC soldável DN 20mm</t>
    </r>
  </si>
  <si>
    <r>
      <rPr>
        <sz val="7"/>
        <rFont val="Arial"/>
        <family val="2"/>
      </rPr>
      <t>Tubo de PVC soldável DN 25mm</t>
    </r>
  </si>
  <si>
    <r>
      <rPr>
        <sz val="7"/>
        <rFont val="Arial"/>
        <family val="2"/>
      </rPr>
      <t>Tubo de PVC soldável DN 32mm</t>
    </r>
  </si>
  <si>
    <r>
      <rPr>
        <sz val="7"/>
        <rFont val="Arial"/>
        <family val="2"/>
      </rPr>
      <t>Tubo de PVC soldável DN 50 mm (água)</t>
    </r>
  </si>
  <si>
    <r>
      <rPr>
        <sz val="7"/>
        <rFont val="Arial"/>
        <family val="2"/>
      </rPr>
      <t>Tubo IRRIFORT agropecuário diâmetro 32</t>
    </r>
  </si>
  <si>
    <r>
      <rPr>
        <sz val="7"/>
        <rFont val="Arial"/>
        <family val="2"/>
      </rPr>
      <t>Tubo para irrigação linha fixa PN40, diâm. 50mm</t>
    </r>
  </si>
  <si>
    <r>
      <rPr>
        <sz val="7"/>
        <rFont val="Arial"/>
        <family val="2"/>
      </rPr>
      <t>Tubo para irrigação linha fixa PN40, diam. 75mm</t>
    </r>
  </si>
  <si>
    <r>
      <rPr>
        <sz val="7"/>
        <rFont val="Arial"/>
        <family val="2"/>
      </rPr>
      <t>Tubo plástico, corrugado, perfurado de PEAD (polietileno de alta densidade), padrão NBR, diâmetro 100mm</t>
    </r>
  </si>
  <si>
    <r>
      <rPr>
        <sz val="7"/>
        <rFont val="Arial"/>
        <family val="2"/>
      </rPr>
      <t>Tubo plástico, corrugado, perfurado de PEAD (polietileno de alta densidade), padrão NBR, diâmetro 65mm</t>
    </r>
  </si>
  <si>
    <r>
      <rPr>
        <sz val="7"/>
        <rFont val="Arial"/>
        <family val="2"/>
      </rPr>
      <t>TX 10,00% de custos diretos</t>
    </r>
  </si>
  <si>
    <r>
      <rPr>
        <sz val="7"/>
        <rFont val="Arial"/>
        <family val="2"/>
      </rPr>
      <t>TX 2,00% de custos diretos + remuneraçao</t>
    </r>
  </si>
  <si>
    <r>
      <rPr>
        <sz val="7"/>
        <rFont val="Arial"/>
        <family val="2"/>
      </rPr>
      <t>TX 25.00% s/ mao obra/equip. projeto</t>
    </r>
  </si>
  <si>
    <r>
      <rPr>
        <sz val="7"/>
        <rFont val="Arial"/>
        <family val="2"/>
      </rPr>
      <t>TX 80,40 s/ mao obra/equip. projeto</t>
    </r>
  </si>
  <si>
    <r>
      <rPr>
        <sz val="7"/>
        <rFont val="Arial"/>
        <family val="2"/>
      </rPr>
      <t>Vassoura tipo gari</t>
    </r>
  </si>
  <si>
    <r>
      <rPr>
        <sz val="7"/>
        <rFont val="Arial"/>
        <family val="2"/>
      </rPr>
      <t>Verniz (para tijolinho a vista)</t>
    </r>
  </si>
  <si>
    <r>
      <rPr>
        <sz val="7"/>
        <rFont val="Arial"/>
        <family val="2"/>
      </rPr>
      <t>Zarcão, Suvinil ou equivalente</t>
    </r>
  </si>
  <si>
    <t>Transporte TR-301-00    1,334XP+1,384XR+10,265 - XP=29,50 / XR=2,52 - CBUQ</t>
  </si>
  <si>
    <t>Transporte de Material Asfáltico (DNIT), inclusive BDI diferenciado0,595XP+0,702XR+63,46 - XP=399,40 / XR=0,00 - CM - 30</t>
  </si>
  <si>
    <t>Transporte de Material Asfáltico (DNIT), inclusive BDI diferenciado0,595XP+0,702XR+63,46 - XP=399,40 / XR=0,00 - CAP-50/70</t>
  </si>
  <si>
    <t>Transporte de Material Asfáltico (DNIT), inclusive BDI diferenciado0,595XP+0,702XR+63,46 - XP=399,40 / XR=0,00 - Dope</t>
  </si>
  <si>
    <t>0,419XP + 0,495XR + 44,64</t>
  </si>
  <si>
    <r>
      <t xml:space="preserve">DEMONSTRATIVO DO ORÇAMENTO </t>
    </r>
    <r>
      <rPr>
        <b/>
        <i/>
        <sz val="14"/>
        <color theme="1"/>
        <rFont val="Times New Roman"/>
        <family val="1"/>
      </rPr>
      <t>(DER-ES 11/2020) S/Desoneração</t>
    </r>
  </si>
  <si>
    <t>DER/ES  nov/2020   BDI 23,32%</t>
  </si>
  <si>
    <r>
      <rPr>
        <b/>
        <sz val="14"/>
        <color theme="1"/>
        <rFont val="Arial"/>
        <family val="2"/>
      </rPr>
      <t xml:space="preserve">CRONOGRAMA FÍSICO </t>
    </r>
    <r>
      <rPr>
        <sz val="14"/>
        <color theme="1"/>
        <rFont val="Arial"/>
        <family val="2"/>
      </rPr>
      <t xml:space="preserve"> - SÃO PAULO - ÁGUA PRETINHA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</si>
</sst>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7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(* #,##0.00_);_(* \(#,##0.00\);_(* &quot;-&quot;??_);_(@_)"/>
    <numFmt numFmtId="166" formatCode="_([$€-2]* #,##0.00_);_([$€-2]* \(#,##0.00\);_([$€-2]* &quot;-&quot;??_)"/>
    <numFmt numFmtId="167" formatCode="_(&quot;R$&quot;* #,##0.00_);_(&quot;R$&quot;* \(#,##0.00\);_(&quot;R$&quot;* &quot;-&quot;??_);_(@_)"/>
    <numFmt numFmtId="168" formatCode="0.000"/>
    <numFmt numFmtId="169" formatCode="_-* #,##0.000_-;\-* #,##0.000_-;_-* &quot;-&quot;??_-;_-@_-"/>
    <numFmt numFmtId="170" formatCode="_(* #,##0.00_);_(* \(#,##0.00\);_(* \-??_);_(@_)"/>
    <numFmt numFmtId="171" formatCode="_(* #,##0.0000_);_(* \(#,##0.0000\);_(* &quot;-&quot;??_);_(@_)"/>
    <numFmt numFmtId="172" formatCode="_(* #,##0.00000_);_(* \(#,##0.00000\);_(* &quot;-&quot;??_);_(@_)"/>
    <numFmt numFmtId="173" formatCode="_(* #,##0.0_);_(* \(#,##0.0\);_(* \-??_);_(@_)"/>
    <numFmt numFmtId="174" formatCode="0.0000"/>
    <numFmt numFmtId="175" formatCode="_(* #,##0_);_(* \(#,##0\);_(* \-??_);_(@_)"/>
    <numFmt numFmtId="176" formatCode="_-* #,##0.0000_-;\-* #,##0.0000_-;_-* &quot;-&quot;??_-;_-@_-"/>
    <numFmt numFmtId="177" formatCode="_(&quot;R$ &quot;* #,##0.00_);_(&quot;R$ &quot;* \(#,##0.00\);_(&quot;R$ &quot;* &quot;-&quot;??_);_(@_)"/>
    <numFmt numFmtId="178" formatCode="0.0"/>
    <numFmt numFmtId="179" formatCode="0;[Red]0"/>
    <numFmt numFmtId="180" formatCode="#,##0.00_ ;\-#,##0.00\ "/>
    <numFmt numFmtId="181" formatCode="_(* #,##0.000_);_(* \(#,##0.000\);_(* &quot;-&quot;??_);_(@_)"/>
    <numFmt numFmtId="182" formatCode="&quot;R$&quot;\ #,##0.00"/>
    <numFmt numFmtId="183" formatCode="0.00000"/>
    <numFmt numFmtId="184" formatCode="0.000000"/>
    <numFmt numFmtId="185" formatCode="###0;###0"/>
    <numFmt numFmtId="186" formatCode="#,##0.000"/>
    <numFmt numFmtId="187" formatCode="###0.00;###0.00"/>
    <numFmt numFmtId="188" formatCode="#,##0.00;#,##0.00"/>
  </numFmts>
  <fonts count="118" x14ac:knownFonts="1">
    <font>
      <sz val="11"/>
      <color theme="1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8"/>
      <color indexed="8"/>
      <name val="Arial Narrow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b/>
      <sz val="12"/>
      <color indexed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sz val="7"/>
      <name val="Arial"/>
      <family val="2"/>
    </font>
    <font>
      <b/>
      <i/>
      <sz val="8"/>
      <color rgb="FF0000FF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  <scheme val="minor"/>
    </font>
    <font>
      <sz val="8"/>
      <name val="Arial Narrow"/>
      <family val="2"/>
    </font>
    <font>
      <b/>
      <sz val="8"/>
      <color indexed="12"/>
      <name val="Arial Narrow"/>
      <family val="2"/>
    </font>
    <font>
      <sz val="7"/>
      <name val="Arial Narrow"/>
      <family val="2"/>
    </font>
    <font>
      <b/>
      <sz val="8"/>
      <name val="Arial Narrow"/>
      <family val="2"/>
    </font>
    <font>
      <b/>
      <i/>
      <sz val="8"/>
      <color rgb="FF0000FF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FF0000"/>
      <name val="Arial"/>
      <family val="2"/>
    </font>
    <font>
      <sz val="10"/>
      <color indexed="8"/>
      <name val="Arial"/>
      <family val="2"/>
    </font>
    <font>
      <b/>
      <sz val="18"/>
      <color theme="3"/>
      <name val="Arial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i/>
      <sz val="11"/>
      <color rgb="FF7F7F7F"/>
      <name val="Arial"/>
      <family val="2"/>
      <scheme val="minor"/>
    </font>
    <font>
      <sz val="11"/>
      <color theme="0"/>
      <name val="Arial"/>
      <family val="2"/>
      <scheme val="minor"/>
    </font>
    <font>
      <b/>
      <sz val="11"/>
      <name val="Times New Roman"/>
      <family val="1"/>
    </font>
    <font>
      <sz val="10"/>
      <name val="Verdana"/>
      <family val="2"/>
    </font>
    <font>
      <sz val="10"/>
      <name val="Arial"/>
      <family val="2"/>
    </font>
    <font>
      <sz val="11"/>
      <name val="Arial"/>
      <family val="2"/>
      <scheme val="minor"/>
    </font>
    <font>
      <b/>
      <sz val="11"/>
      <color theme="1"/>
      <name val="Times New Roman"/>
      <family val="1"/>
    </font>
    <font>
      <b/>
      <sz val="12"/>
      <color theme="1"/>
      <name val="Times New Roman"/>
      <family val="1"/>
    </font>
    <font>
      <b/>
      <sz val="12"/>
      <color rgb="FFFF0000"/>
      <name val="Times New Roman"/>
      <family val="1"/>
    </font>
    <font>
      <sz val="11"/>
      <name val="Times New Roman"/>
      <family val="1"/>
    </font>
    <font>
      <b/>
      <sz val="11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Times New Roman"/>
      <family val="1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u/>
      <sz val="10"/>
      <color rgb="FF0000FF"/>
      <name val="Times New Roman"/>
      <family val="1"/>
    </font>
    <font>
      <b/>
      <sz val="10"/>
      <color rgb="FF0000FF"/>
      <name val="Times New Roman"/>
      <family val="1"/>
    </font>
    <font>
      <sz val="10"/>
      <color rgb="FF0000FF"/>
      <name val="Times New Roman"/>
      <family val="1"/>
    </font>
    <font>
      <b/>
      <u/>
      <sz val="10"/>
      <name val="Times New Roman"/>
      <family val="1"/>
    </font>
    <font>
      <b/>
      <u/>
      <sz val="10"/>
      <color rgb="FF0033CC"/>
      <name val="Times New Roman"/>
      <family val="1"/>
    </font>
    <font>
      <b/>
      <sz val="10"/>
      <color rgb="FF0033CC"/>
      <name val="Times New Roman"/>
      <family val="1"/>
    </font>
    <font>
      <sz val="10"/>
      <color rgb="FF0033CC"/>
      <name val="Times New Roman"/>
      <family val="1"/>
    </font>
    <font>
      <u/>
      <sz val="11"/>
      <color theme="10"/>
      <name val="Arial"/>
      <family val="2"/>
      <scheme val="minor"/>
    </font>
    <font>
      <u/>
      <sz val="11"/>
      <color theme="11"/>
      <name val="Arial"/>
      <family val="2"/>
      <scheme val="minor"/>
    </font>
    <font>
      <sz val="11"/>
      <color theme="1"/>
      <name val="Calibri"/>
      <family val="2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1"/>
      <color rgb="FF0000FF"/>
      <name val="Times New Roman"/>
      <family val="1"/>
    </font>
    <font>
      <i/>
      <sz val="11"/>
      <color rgb="FF0000FF"/>
      <name val="Times New Roman"/>
      <family val="1"/>
    </font>
    <font>
      <sz val="11"/>
      <color rgb="FF0000FF"/>
      <name val="Times New Roman"/>
      <family val="1"/>
    </font>
    <font>
      <b/>
      <sz val="14"/>
      <color theme="1"/>
      <name val="Times New Roman"/>
      <family val="1"/>
    </font>
    <font>
      <b/>
      <i/>
      <sz val="14"/>
      <color theme="1"/>
      <name val="Times New Roman"/>
      <family val="1"/>
    </font>
    <font>
      <vertAlign val="superscript"/>
      <sz val="8"/>
      <name val="Arial"/>
      <family val="2"/>
    </font>
    <font>
      <sz val="11"/>
      <color rgb="FF000000"/>
      <name val="Arial"/>
      <family val="2"/>
      <scheme val="minor"/>
    </font>
    <font>
      <b/>
      <sz val="11"/>
      <color rgb="FF000000"/>
      <name val="Arial"/>
      <family val="2"/>
      <scheme val="minor"/>
    </font>
    <font>
      <b/>
      <sz val="10"/>
      <color rgb="FFFF0000"/>
      <name val="Times New Roman"/>
      <family val="1"/>
    </font>
    <font>
      <sz val="10"/>
      <color theme="1"/>
      <name val="Arial"/>
      <family val="2"/>
      <scheme val="minor"/>
    </font>
    <font>
      <sz val="10"/>
      <color theme="1"/>
      <name val="Arial"/>
      <family val="2"/>
      <scheme val="major"/>
    </font>
    <font>
      <sz val="7"/>
      <color rgb="FF000000"/>
      <name val="Arial"/>
      <family val="2"/>
    </font>
    <font>
      <sz val="10"/>
      <color rgb="FFFF0000"/>
      <name val="Times New Roman"/>
      <family val="1"/>
    </font>
    <font>
      <b/>
      <u/>
      <sz val="10"/>
      <color rgb="FFFF0000"/>
      <name val="Times New Roman"/>
      <family val="1"/>
    </font>
    <font>
      <sz val="10"/>
      <name val="Arial"/>
      <family val="2"/>
    </font>
    <font>
      <b/>
      <sz val="7"/>
      <name val="Arial"/>
      <family val="2"/>
    </font>
    <font>
      <sz val="11"/>
      <color rgb="FFFF0000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sz val="12"/>
      <color indexed="8"/>
      <name val="Arial"/>
      <family val="2"/>
    </font>
    <font>
      <sz val="12"/>
      <color theme="1"/>
      <name val="Arial"/>
      <family val="2"/>
    </font>
    <font>
      <sz val="11"/>
      <color theme="1"/>
      <name val="Arial Narrow"/>
      <family val="2"/>
    </font>
    <font>
      <b/>
      <sz val="14"/>
      <color theme="1"/>
      <name val="Arial Narrow"/>
      <family val="2"/>
    </font>
    <font>
      <b/>
      <sz val="8"/>
      <color theme="0"/>
      <name val="Arial Narrow"/>
      <family val="2"/>
    </font>
    <font>
      <b/>
      <sz val="8"/>
      <color theme="1"/>
      <name val="Arial Narrow"/>
      <family val="2"/>
    </font>
    <font>
      <b/>
      <i/>
      <sz val="11"/>
      <color indexed="8"/>
      <name val="Calibri"/>
      <family val="2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b/>
      <i/>
      <sz val="10"/>
      <color theme="1"/>
      <name val="Arial Narrow"/>
      <family val="2"/>
    </font>
    <font>
      <b/>
      <sz val="7"/>
      <name val="Arial"/>
      <family val="2"/>
    </font>
    <font>
      <sz val="11"/>
      <color rgb="FF000000"/>
      <name val="Arial"/>
      <family val="2"/>
    </font>
  </fonts>
  <fills count="6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E5E5E5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00FF"/>
        <bgColor indexed="64"/>
      </patternFill>
    </fill>
  </fills>
  <borders count="90">
    <border>
      <left/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theme="0"/>
      </bottom>
      <diagonal/>
    </border>
    <border>
      <left/>
      <right/>
      <top style="thin">
        <color indexed="64"/>
      </top>
      <bottom style="hair">
        <color theme="0"/>
      </bottom>
      <diagonal/>
    </border>
    <border>
      <left/>
      <right style="hair">
        <color indexed="64"/>
      </right>
      <top style="thin">
        <color indexed="64"/>
      </top>
      <bottom style="hair">
        <color theme="0"/>
      </bottom>
      <diagonal/>
    </border>
    <border>
      <left style="hair">
        <color indexed="64"/>
      </left>
      <right/>
      <top style="hair">
        <color theme="0"/>
      </top>
      <bottom/>
      <diagonal/>
    </border>
    <border>
      <left/>
      <right/>
      <top style="hair">
        <color theme="0"/>
      </top>
      <bottom/>
      <diagonal/>
    </border>
    <border>
      <left/>
      <right style="hair">
        <color indexed="64"/>
      </right>
      <top style="hair">
        <color theme="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3323">
    <xf numFmtId="0" fontId="0" fillId="0" borderId="0"/>
    <xf numFmtId="43" fontId="2" fillId="0" borderId="0" applyFont="0" applyFill="0" applyBorder="0" applyAlignment="0" applyProtection="0"/>
    <xf numFmtId="0" fontId="3" fillId="0" borderId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9" borderId="0" applyNumberFormat="0" applyBorder="0" applyAlignment="0" applyProtection="0"/>
    <xf numFmtId="0" fontId="5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7" fillId="0" borderId="2" applyNumberFormat="0" applyFont="0" applyAlignment="0">
      <alignment horizontal="left" vertical="top" indent="1"/>
    </xf>
    <xf numFmtId="0" fontId="8" fillId="5" borderId="0" applyNumberFormat="0" applyBorder="0" applyAlignment="0" applyProtection="0"/>
    <xf numFmtId="0" fontId="9" fillId="17" borderId="8" applyNumberFormat="0" applyAlignment="0" applyProtection="0"/>
    <xf numFmtId="0" fontId="10" fillId="18" borderId="9" applyNumberFormat="0" applyAlignment="0" applyProtection="0"/>
    <xf numFmtId="0" fontId="11" fillId="0" borderId="10" applyNumberFormat="0" applyFill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12" fillId="8" borderId="8" applyNumberFormat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13" fillId="4" borderId="0" applyNumberFormat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24" borderId="11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17" borderId="12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13" applyNumberFormat="0" applyFill="0" applyAlignment="0" applyProtection="0"/>
    <xf numFmtId="0" fontId="20" fillId="0" borderId="14" applyNumberFormat="0" applyFill="0" applyAlignment="0" applyProtection="0"/>
    <xf numFmtId="0" fontId="21" fillId="0" borderId="15" applyNumberFormat="0" applyFill="0" applyAlignment="0" applyProtection="0"/>
    <xf numFmtId="0" fontId="21" fillId="0" borderId="0" applyNumberFormat="0" applyFill="0" applyBorder="0" applyAlignment="0" applyProtection="0"/>
    <xf numFmtId="0" fontId="22" fillId="0" borderId="16" applyNumberFormat="0" applyFill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9" fontId="2" fillId="0" borderId="0" applyFont="0" applyFill="0" applyBorder="0" applyAlignment="0" applyProtection="0"/>
    <xf numFmtId="0" fontId="23" fillId="0" borderId="0"/>
    <xf numFmtId="165" fontId="3" fillId="0" borderId="0" applyFont="0" applyFill="0" applyBorder="0" applyAlignment="0" applyProtection="0"/>
    <xf numFmtId="0" fontId="7" fillId="0" borderId="32" applyNumberFormat="0" applyFont="0" applyAlignment="0">
      <alignment horizontal="left" vertical="top" indent="1"/>
    </xf>
    <xf numFmtId="166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4" fillId="0" borderId="0"/>
    <xf numFmtId="0" fontId="7" fillId="0" borderId="32" applyNumberFormat="0" applyFont="0" applyAlignment="0">
      <alignment horizontal="left" vertical="top" indent="1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24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24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24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24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24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24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32" applyNumberFormat="0" applyFont="0" applyAlignment="0">
      <alignment horizontal="left" vertical="top" indent="1"/>
    </xf>
    <xf numFmtId="166" fontId="3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3" fillId="0" borderId="0"/>
    <xf numFmtId="0" fontId="2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8" borderId="8" applyNumberFormat="0" applyAlignment="0" applyProtection="0"/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45" fillId="0" borderId="0"/>
    <xf numFmtId="43" fontId="45" fillId="0" borderId="0" applyFont="0" applyFill="0" applyBorder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2" fillId="0" borderId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43" fontId="3" fillId="0" borderId="0" applyFont="0" applyFill="0" applyBorder="0" applyAlignment="0" applyProtection="0"/>
    <xf numFmtId="0" fontId="15" fillId="17" borderId="12" applyNumberFormat="0" applyAlignment="0" applyProtection="0"/>
    <xf numFmtId="165" fontId="3" fillId="0" borderId="0" applyFont="0" applyFill="0" applyBorder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3" fillId="0" borderId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46" fillId="0" borderId="0" applyNumberFormat="0" applyFill="0" applyBorder="0" applyAlignment="0" applyProtection="0"/>
    <xf numFmtId="0" fontId="47" fillId="0" borderId="63" applyNumberFormat="0" applyFill="0" applyAlignment="0" applyProtection="0"/>
    <xf numFmtId="0" fontId="48" fillId="0" borderId="64" applyNumberFormat="0" applyFill="0" applyAlignment="0" applyProtection="0"/>
    <xf numFmtId="0" fontId="49" fillId="0" borderId="65" applyNumberFormat="0" applyFill="0" applyAlignment="0" applyProtection="0"/>
    <xf numFmtId="0" fontId="49" fillId="0" borderId="0" applyNumberFormat="0" applyFill="0" applyBorder="0" applyAlignment="0" applyProtection="0"/>
    <xf numFmtId="0" fontId="50" fillId="26" borderId="0" applyNumberFormat="0" applyBorder="0" applyAlignment="0" applyProtection="0"/>
    <xf numFmtId="0" fontId="51" fillId="27" borderId="0" applyNumberFormat="0" applyBorder="0" applyAlignment="0" applyProtection="0"/>
    <xf numFmtId="0" fontId="52" fillId="28" borderId="0" applyNumberFormat="0" applyBorder="0" applyAlignment="0" applyProtection="0"/>
    <xf numFmtId="0" fontId="53" fillId="29" borderId="66" applyNumberFormat="0" applyAlignment="0" applyProtection="0"/>
    <xf numFmtId="0" fontId="54" fillId="30" borderId="67" applyNumberFormat="0" applyAlignment="0" applyProtection="0"/>
    <xf numFmtId="0" fontId="55" fillId="30" borderId="66" applyNumberFormat="0" applyAlignment="0" applyProtection="0"/>
    <xf numFmtId="0" fontId="56" fillId="0" borderId="68" applyNumberFormat="0" applyFill="0" applyAlignment="0" applyProtection="0"/>
    <xf numFmtId="0" fontId="57" fillId="31" borderId="69" applyNumberFormat="0" applyAlignment="0" applyProtection="0"/>
    <xf numFmtId="0" fontId="36" fillId="0" borderId="0" applyNumberFormat="0" applyFill="0" applyBorder="0" applyAlignment="0" applyProtection="0"/>
    <xf numFmtId="0" fontId="2" fillId="32" borderId="70" applyNumberFormat="0" applyFont="0" applyAlignment="0" applyProtection="0"/>
    <xf numFmtId="0" fontId="58" fillId="0" borderId="0" applyNumberFormat="0" applyFill="0" applyBorder="0" applyAlignment="0" applyProtection="0"/>
    <xf numFmtId="0" fontId="1" fillId="0" borderId="71" applyNumberFormat="0" applyFill="0" applyAlignment="0" applyProtection="0"/>
    <xf numFmtId="0" fontId="59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59" fillId="36" borderId="0" applyNumberFormat="0" applyBorder="0" applyAlignment="0" applyProtection="0"/>
    <xf numFmtId="0" fontId="59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59" fillId="40" borderId="0" applyNumberFormat="0" applyBorder="0" applyAlignment="0" applyProtection="0"/>
    <xf numFmtId="0" fontId="59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3" borderId="0" applyNumberFormat="0" applyBorder="0" applyAlignment="0" applyProtection="0"/>
    <xf numFmtId="0" fontId="59" fillId="44" borderId="0" applyNumberFormat="0" applyBorder="0" applyAlignment="0" applyProtection="0"/>
    <xf numFmtId="0" fontId="59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59" fillId="52" borderId="0" applyNumberFormat="0" applyBorder="0" applyAlignment="0" applyProtection="0"/>
    <xf numFmtId="0" fontId="59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59" fillId="56" borderId="0" applyNumberFormat="0" applyBorder="0" applyAlignment="0" applyProtection="0"/>
    <xf numFmtId="0" fontId="21" fillId="0" borderId="15" applyNumberFormat="0" applyFill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7" fillId="0" borderId="2" applyNumberFormat="0" applyFont="0" applyAlignment="0">
      <alignment horizontal="left" vertical="top" indent="1"/>
    </xf>
    <xf numFmtId="0" fontId="3" fillId="0" borderId="0"/>
    <xf numFmtId="177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9" fontId="3" fillId="0" borderId="0" applyFill="0" applyBorder="0" applyAlignment="0" applyProtection="0"/>
    <xf numFmtId="170" fontId="3" fillId="0" borderId="0" applyFill="0" applyBorder="0" applyAlignment="0" applyProtection="0"/>
    <xf numFmtId="0" fontId="7" fillId="0" borderId="32" applyNumberFormat="0" applyFont="0" applyAlignment="0">
      <alignment horizontal="left" vertical="top" indent="1"/>
    </xf>
    <xf numFmtId="0" fontId="3" fillId="0" borderId="0"/>
    <xf numFmtId="0" fontId="3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0" fontId="21" fillId="0" borderId="15" applyNumberFormat="0" applyFill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7" fillId="0" borderId="2" applyNumberFormat="0" applyFont="0" applyAlignment="0">
      <alignment horizontal="left" vertical="top" indent="1"/>
    </xf>
    <xf numFmtId="0" fontId="21" fillId="0" borderId="15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7" fillId="0" borderId="32" applyNumberFormat="0" applyFont="0" applyAlignment="0">
      <alignment horizontal="left" vertical="top" indent="1"/>
    </xf>
    <xf numFmtId="0" fontId="2" fillId="0" borderId="0"/>
    <xf numFmtId="0" fontId="21" fillId="0" borderId="15" applyNumberFormat="0" applyFill="0" applyAlignment="0" applyProtection="0"/>
    <xf numFmtId="0" fontId="21" fillId="0" borderId="15" applyNumberFormat="0" applyFill="0" applyAlignment="0" applyProtection="0"/>
    <xf numFmtId="0" fontId="7" fillId="0" borderId="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21" fillId="0" borderId="15" applyNumberFormat="0" applyFill="0" applyAlignment="0" applyProtection="0"/>
    <xf numFmtId="0" fontId="7" fillId="0" borderId="2" applyNumberFormat="0" applyFont="0" applyAlignment="0">
      <alignment horizontal="left" vertical="top" indent="1"/>
    </xf>
    <xf numFmtId="0" fontId="21" fillId="0" borderId="15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7" fillId="0" borderId="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7" fillId="0" borderId="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7" fillId="0" borderId="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7" fillId="0" borderId="3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7" fillId="0" borderId="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5" fillId="32" borderId="70" applyNumberFormat="0" applyFon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2" fillId="0" borderId="0"/>
    <xf numFmtId="0" fontId="9" fillId="17" borderId="8" applyNumberFormat="0" applyAlignment="0" applyProtection="0"/>
    <xf numFmtId="0" fontId="12" fillId="8" borderId="8" applyNumberFormat="0" applyAlignment="0" applyProtection="0"/>
    <xf numFmtId="165" fontId="3" fillId="0" borderId="0" applyFont="0" applyFill="0" applyBorder="0" applyAlignment="0" applyProtection="0"/>
    <xf numFmtId="0" fontId="9" fillId="17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7" fillId="0" borderId="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2" fillId="32" borderId="70" applyNumberFormat="0" applyFont="0" applyAlignment="0" applyProtection="0"/>
    <xf numFmtId="0" fontId="2" fillId="32" borderId="70" applyNumberFormat="0" applyFont="0" applyAlignment="0" applyProtection="0"/>
    <xf numFmtId="0" fontId="2" fillId="32" borderId="70" applyNumberFormat="0" applyFont="0" applyAlignment="0" applyProtection="0"/>
    <xf numFmtId="0" fontId="2" fillId="32" borderId="70" applyNumberFormat="0" applyFont="0" applyAlignment="0" applyProtection="0"/>
    <xf numFmtId="0" fontId="2" fillId="32" borderId="70" applyNumberFormat="0" applyFon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7" fillId="0" borderId="2" applyNumberFormat="0" applyFont="0" applyAlignment="0">
      <alignment horizontal="left" vertical="top" indent="1"/>
    </xf>
    <xf numFmtId="0" fontId="2" fillId="32" borderId="70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" fillId="32" borderId="70" applyNumberFormat="0" applyFon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2" fillId="8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7" fillId="0" borderId="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7" fillId="0" borderId="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7" fillId="0" borderId="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7" fillId="0" borderId="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7" fillId="0" borderId="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7" fillId="0" borderId="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2" fillId="8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7" fillId="0" borderId="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7" fillId="0" borderId="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7" fillId="0" borderId="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7" fillId="0" borderId="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7" fillId="0" borderId="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7" fillId="0" borderId="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2" fillId="8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7" fillId="0" borderId="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7" fillId="0" borderId="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7" fillId="0" borderId="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7" fillId="0" borderId="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7" fillId="0" borderId="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7" fillId="0" borderId="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2" fillId="8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7" fillId="0" borderId="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7" fillId="0" borderId="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7" fillId="0" borderId="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7" fillId="0" borderId="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7" fillId="0" borderId="2" applyNumberFormat="0" applyFont="0" applyAlignment="0">
      <alignment horizontal="left" vertical="top" indent="1"/>
    </xf>
    <xf numFmtId="0" fontId="15" fillId="17" borderId="12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2" fillId="8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7" fillId="0" borderId="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7" fillId="0" borderId="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7" fillId="0" borderId="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7" fillId="0" borderId="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7" fillId="0" borderId="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2" fillId="8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7" fillId="0" borderId="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7" fillId="0" borderId="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7" fillId="0" borderId="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7" fillId="0" borderId="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2" fillId="8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7" fillId="0" borderId="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7" fillId="0" borderId="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7" fillId="0" borderId="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7" fillId="0" borderId="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7" fillId="0" borderId="2" applyNumberFormat="0" applyFont="0" applyAlignment="0">
      <alignment horizontal="left" vertical="top" indent="1"/>
    </xf>
    <xf numFmtId="0" fontId="12" fillId="8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7" fillId="0" borderId="2" applyNumberFormat="0" applyFont="0" applyAlignment="0">
      <alignment horizontal="left" vertical="top" indent="1"/>
    </xf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5" fillId="24" borderId="11" applyNumberFormat="0" applyFont="0" applyAlignment="0" applyProtection="0"/>
    <xf numFmtId="0" fontId="15" fillId="17" borderId="12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12" fillId="8" borderId="8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9" fillId="17" borderId="8" applyNumberFormat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22" fillId="0" borderId="16" applyNumberFormat="0" applyFill="0" applyAlignment="0" applyProtection="0"/>
    <xf numFmtId="0" fontId="21" fillId="0" borderId="15" applyNumberFormat="0" applyFill="0" applyAlignment="0" applyProtection="0"/>
    <xf numFmtId="0" fontId="7" fillId="0" borderId="2" applyNumberFormat="0" applyFont="0" applyAlignment="0">
      <alignment horizontal="left" vertical="top" indent="1"/>
    </xf>
    <xf numFmtId="0" fontId="21" fillId="0" borderId="15" applyNumberFormat="0" applyFill="0" applyAlignment="0" applyProtection="0"/>
    <xf numFmtId="0" fontId="7" fillId="0" borderId="32" applyNumberFormat="0" applyFont="0" applyAlignment="0">
      <alignment horizontal="left" vertical="top" indent="1"/>
    </xf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15" fillId="17" borderId="12" applyNumberFormat="0" applyAlignment="0" applyProtection="0"/>
    <xf numFmtId="0" fontId="5" fillId="24" borderId="11" applyNumberFormat="0" applyFont="0" applyAlignment="0" applyProtection="0"/>
    <xf numFmtId="0" fontId="9" fillId="17" borderId="8" applyNumberFormat="0" applyAlignment="0" applyProtection="0"/>
    <xf numFmtId="0" fontId="12" fillId="8" borderId="8" applyNumberFormat="0" applyAlignment="0" applyProtection="0"/>
    <xf numFmtId="0" fontId="22" fillId="0" borderId="16" applyNumberFormat="0" applyFill="0" applyAlignment="0" applyProtection="0"/>
    <xf numFmtId="0" fontId="5" fillId="24" borderId="11" applyNumberFormat="0" applyFont="0" applyAlignment="0" applyProtection="0"/>
    <xf numFmtId="0" fontId="12" fillId="8" borderId="8" applyNumberFormat="0" applyAlignment="0" applyProtection="0"/>
    <xf numFmtId="0" fontId="15" fillId="17" borderId="12" applyNumberFormat="0" applyAlignment="0" applyProtection="0"/>
    <xf numFmtId="0" fontId="9" fillId="17" borderId="8" applyNumberFormat="0" applyAlignment="0" applyProtection="0"/>
    <xf numFmtId="0" fontId="5" fillId="24" borderId="11" applyNumberFormat="0" applyFont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47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7" fillId="0" borderId="32" applyNumberFormat="0" applyFont="0" applyAlignment="0">
      <alignment horizontal="left" vertical="top" indent="1"/>
    </xf>
    <xf numFmtId="177" fontId="3" fillId="0" borderId="0" applyFont="0" applyFill="0" applyBorder="0" applyAlignment="0" applyProtection="0"/>
    <xf numFmtId="164" fontId="6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4" fontId="6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4" fontId="61" fillId="0" borderId="0" applyFont="0" applyFill="0" applyBorder="0" applyAlignment="0" applyProtection="0"/>
    <xf numFmtId="164" fontId="6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1" fillId="0" borderId="0"/>
    <xf numFmtId="0" fontId="61" fillId="0" borderId="0"/>
    <xf numFmtId="0" fontId="3" fillId="0" borderId="0"/>
    <xf numFmtId="0" fontId="61" fillId="0" borderId="0"/>
    <xf numFmtId="0" fontId="6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1" fillId="0" borderId="0"/>
    <xf numFmtId="0" fontId="61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70" applyNumberFormat="0" applyFont="0" applyAlignment="0" applyProtection="0"/>
    <xf numFmtId="0" fontId="2" fillId="32" borderId="70" applyNumberFormat="0" applyFont="0" applyAlignment="0" applyProtection="0"/>
    <xf numFmtId="0" fontId="2" fillId="32" borderId="70" applyNumberFormat="0" applyFont="0" applyAlignment="0" applyProtection="0"/>
    <xf numFmtId="0" fontId="2" fillId="32" borderId="70" applyNumberFormat="0" applyFont="0" applyAlignment="0" applyProtection="0"/>
    <xf numFmtId="0" fontId="2" fillId="32" borderId="70" applyNumberFormat="0" applyFont="0" applyAlignment="0" applyProtection="0"/>
    <xf numFmtId="0" fontId="2" fillId="32" borderId="70" applyNumberFormat="0" applyFont="0" applyAlignment="0" applyProtection="0"/>
    <xf numFmtId="0" fontId="2" fillId="32" borderId="70" applyNumberFormat="0" applyFont="0" applyAlignment="0" applyProtection="0"/>
    <xf numFmtId="0" fontId="2" fillId="32" borderId="70" applyNumberFormat="0" applyFont="0" applyAlignment="0" applyProtection="0"/>
    <xf numFmtId="0" fontId="2" fillId="32" borderId="70" applyNumberFormat="0" applyFont="0" applyAlignment="0" applyProtection="0"/>
    <xf numFmtId="0" fontId="2" fillId="32" borderId="70" applyNumberFormat="0" applyFont="0" applyAlignment="0" applyProtection="0"/>
    <xf numFmtId="0" fontId="2" fillId="32" borderId="70" applyNumberFormat="0" applyFont="0" applyAlignment="0" applyProtection="0"/>
    <xf numFmtId="0" fontId="2" fillId="32" borderId="70" applyNumberFormat="0" applyFont="0" applyAlignment="0" applyProtection="0"/>
    <xf numFmtId="0" fontId="2" fillId="32" borderId="70" applyNumberFormat="0" applyFont="0" applyAlignment="0" applyProtection="0"/>
    <xf numFmtId="0" fontId="2" fillId="32" borderId="70" applyNumberFormat="0" applyFont="0" applyAlignment="0" applyProtection="0"/>
    <xf numFmtId="0" fontId="2" fillId="32" borderId="70" applyNumberFormat="0" applyFont="0" applyAlignment="0" applyProtection="0"/>
    <xf numFmtId="0" fontId="2" fillId="32" borderId="70" applyNumberFormat="0" applyFont="0" applyAlignment="0" applyProtection="0"/>
    <xf numFmtId="0" fontId="2" fillId="32" borderId="70" applyNumberFormat="0" applyFont="0" applyAlignment="0" applyProtection="0"/>
    <xf numFmtId="0" fontId="2" fillId="32" borderId="70" applyNumberFormat="0" applyFont="0" applyAlignment="0" applyProtection="0"/>
    <xf numFmtId="0" fontId="2" fillId="32" borderId="70" applyNumberFormat="0" applyFont="0" applyAlignment="0" applyProtection="0"/>
    <xf numFmtId="9" fontId="3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62" fillId="0" borderId="0"/>
    <xf numFmtId="0" fontId="45" fillId="0" borderId="0"/>
    <xf numFmtId="0" fontId="45" fillId="0" borderId="0"/>
    <xf numFmtId="0" fontId="6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0" borderId="0"/>
    <xf numFmtId="0" fontId="2" fillId="32" borderId="70" applyNumberFormat="0" applyFont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70" applyNumberFormat="0" applyFont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70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70" applyNumberFormat="0" applyFon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2" borderId="70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0" borderId="0"/>
    <xf numFmtId="0" fontId="2" fillId="32" borderId="70" applyNumberFormat="0" applyFont="0" applyAlignment="0" applyProtection="0"/>
    <xf numFmtId="0" fontId="2" fillId="0" borderId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42" borderId="0" applyNumberFormat="0" applyBorder="0" applyAlignment="0" applyProtection="0"/>
    <xf numFmtId="0" fontId="2" fillId="46" borderId="0" applyNumberFormat="0" applyBorder="0" applyAlignment="0" applyProtection="0"/>
    <xf numFmtId="0" fontId="2" fillId="50" borderId="0" applyNumberFormat="0" applyBorder="0" applyAlignment="0" applyProtection="0"/>
    <xf numFmtId="0" fontId="2" fillId="54" borderId="0" applyNumberFormat="0" applyBorder="0" applyAlignment="0" applyProtection="0"/>
    <xf numFmtId="0" fontId="2" fillId="35" borderId="0" applyNumberFormat="0" applyBorder="0" applyAlignment="0" applyProtection="0"/>
    <xf numFmtId="0" fontId="2" fillId="39" borderId="0" applyNumberFormat="0" applyBorder="0" applyAlignment="0" applyProtection="0"/>
    <xf numFmtId="0" fontId="2" fillId="43" borderId="0" applyNumberFormat="0" applyBorder="0" applyAlignment="0" applyProtection="0"/>
    <xf numFmtId="0" fontId="2" fillId="47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32" borderId="70" applyNumberFormat="0" applyFont="0" applyAlignment="0" applyProtection="0"/>
    <xf numFmtId="0" fontId="2" fillId="0" borderId="0"/>
    <xf numFmtId="0" fontId="2" fillId="32" borderId="7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0" borderId="0"/>
    <xf numFmtId="0" fontId="2" fillId="32" borderId="70" applyNumberFormat="0" applyFont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42" borderId="0" applyNumberFormat="0" applyBorder="0" applyAlignment="0" applyProtection="0"/>
    <xf numFmtId="0" fontId="2" fillId="46" borderId="0" applyNumberFormat="0" applyBorder="0" applyAlignment="0" applyProtection="0"/>
    <xf numFmtId="0" fontId="2" fillId="50" borderId="0" applyNumberFormat="0" applyBorder="0" applyAlignment="0" applyProtection="0"/>
    <xf numFmtId="0" fontId="2" fillId="54" borderId="0" applyNumberFormat="0" applyBorder="0" applyAlignment="0" applyProtection="0"/>
    <xf numFmtId="0" fontId="2" fillId="35" borderId="0" applyNumberFormat="0" applyBorder="0" applyAlignment="0" applyProtection="0"/>
    <xf numFmtId="0" fontId="2" fillId="39" borderId="0" applyNumberFormat="0" applyBorder="0" applyAlignment="0" applyProtection="0"/>
    <xf numFmtId="0" fontId="2" fillId="43" borderId="0" applyNumberFormat="0" applyBorder="0" applyAlignment="0" applyProtection="0"/>
    <xf numFmtId="0" fontId="2" fillId="47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32" borderId="70" applyNumberFormat="0" applyFont="0" applyAlignment="0" applyProtection="0"/>
    <xf numFmtId="0" fontId="2" fillId="0" borderId="0"/>
    <xf numFmtId="0" fontId="2" fillId="32" borderId="70" applyNumberFormat="0" applyFont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42" borderId="0" applyNumberFormat="0" applyBorder="0" applyAlignment="0" applyProtection="0"/>
    <xf numFmtId="0" fontId="2" fillId="46" borderId="0" applyNumberFormat="0" applyBorder="0" applyAlignment="0" applyProtection="0"/>
    <xf numFmtId="0" fontId="2" fillId="50" borderId="0" applyNumberFormat="0" applyBorder="0" applyAlignment="0" applyProtection="0"/>
    <xf numFmtId="0" fontId="2" fillId="54" borderId="0" applyNumberFormat="0" applyBorder="0" applyAlignment="0" applyProtection="0"/>
    <xf numFmtId="0" fontId="2" fillId="35" borderId="0" applyNumberFormat="0" applyBorder="0" applyAlignment="0" applyProtection="0"/>
    <xf numFmtId="0" fontId="2" fillId="39" borderId="0" applyNumberFormat="0" applyBorder="0" applyAlignment="0" applyProtection="0"/>
    <xf numFmtId="0" fontId="2" fillId="43" borderId="0" applyNumberFormat="0" applyBorder="0" applyAlignment="0" applyProtection="0"/>
    <xf numFmtId="0" fontId="2" fillId="47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0" borderId="0"/>
    <xf numFmtId="0" fontId="2" fillId="32" borderId="70" applyNumberFormat="0" applyFont="0" applyAlignment="0" applyProtection="0"/>
    <xf numFmtId="0" fontId="2" fillId="0" borderId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42" borderId="0" applyNumberFormat="0" applyBorder="0" applyAlignment="0" applyProtection="0"/>
    <xf numFmtId="0" fontId="2" fillId="46" borderId="0" applyNumberFormat="0" applyBorder="0" applyAlignment="0" applyProtection="0"/>
    <xf numFmtId="0" fontId="2" fillId="50" borderId="0" applyNumberFormat="0" applyBorder="0" applyAlignment="0" applyProtection="0"/>
    <xf numFmtId="0" fontId="2" fillId="54" borderId="0" applyNumberFormat="0" applyBorder="0" applyAlignment="0" applyProtection="0"/>
    <xf numFmtId="0" fontId="2" fillId="35" borderId="0" applyNumberFormat="0" applyBorder="0" applyAlignment="0" applyProtection="0"/>
    <xf numFmtId="0" fontId="2" fillId="39" borderId="0" applyNumberFormat="0" applyBorder="0" applyAlignment="0" applyProtection="0"/>
    <xf numFmtId="0" fontId="2" fillId="43" borderId="0" applyNumberFormat="0" applyBorder="0" applyAlignment="0" applyProtection="0"/>
    <xf numFmtId="0" fontId="2" fillId="47" borderId="0" applyNumberFormat="0" applyBorder="0" applyAlignment="0" applyProtection="0"/>
    <xf numFmtId="0" fontId="2" fillId="51" borderId="0" applyNumberFormat="0" applyBorder="0" applyAlignment="0" applyProtection="0"/>
    <xf numFmtId="0" fontId="2" fillId="55" borderId="0" applyNumberFormat="0" applyBorder="0" applyAlignment="0" applyProtection="0"/>
    <xf numFmtId="0" fontId="2" fillId="32" borderId="70" applyNumberFormat="0" applyFont="0" applyAlignment="0" applyProtection="0"/>
    <xf numFmtId="0" fontId="2" fillId="0" borderId="0"/>
    <xf numFmtId="0" fontId="2" fillId="32" borderId="70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6" borderId="0" applyNumberFormat="0" applyBorder="0" applyAlignment="0" applyProtection="0"/>
    <xf numFmtId="0" fontId="2" fillId="47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0" borderId="0"/>
    <xf numFmtId="0" fontId="2" fillId="32" borderId="70" applyNumberFormat="0" applyFont="0" applyAlignment="0" applyProtection="0"/>
    <xf numFmtId="0" fontId="83" fillId="0" borderId="0" applyNumberFormat="0" applyFill="0" applyBorder="0" applyAlignment="0" applyProtection="0"/>
    <xf numFmtId="0" fontId="84" fillId="0" borderId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5" fillId="32" borderId="70" applyNumberFormat="0" applyFont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5" fillId="32" borderId="70" applyNumberFormat="0" applyFont="0" applyAlignment="0" applyProtection="0"/>
    <xf numFmtId="0" fontId="5" fillId="32" borderId="70" applyNumberFormat="0" applyFont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5" fillId="32" borderId="70" applyNumberFormat="0" applyFont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2" fillId="32" borderId="70" applyNumberFormat="0" applyFont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2" fillId="32" borderId="70" applyNumberFormat="0" applyFont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2" fillId="32" borderId="70" applyNumberFormat="0" applyFont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5" fillId="32" borderId="70" applyNumberFormat="0" applyFont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2" fillId="32" borderId="70" applyNumberFormat="0" applyFont="0" applyAlignment="0" applyProtection="0"/>
    <xf numFmtId="0" fontId="5" fillId="32" borderId="70" applyNumberFormat="0" applyFont="0" applyAlignment="0" applyProtection="0"/>
    <xf numFmtId="0" fontId="5" fillId="32" borderId="70" applyNumberFormat="0" applyFont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2" fillId="32" borderId="70" applyNumberFormat="0" applyFont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2" fillId="32" borderId="70" applyNumberFormat="0" applyFont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2" fillId="32" borderId="70" applyNumberFormat="0" applyFont="0" applyAlignment="0" applyProtection="0"/>
    <xf numFmtId="0" fontId="84" fillId="0" borderId="0"/>
    <xf numFmtId="0" fontId="83" fillId="0" borderId="0" applyNumberFormat="0" applyFill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9" borderId="0" applyNumberFormat="0" applyBorder="0" applyAlignment="0" applyProtection="0"/>
    <xf numFmtId="0" fontId="5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13" fillId="4" borderId="0" applyNumberFormat="0" applyBorder="0" applyAlignment="0" applyProtection="0"/>
    <xf numFmtId="0" fontId="9" fillId="17" borderId="8" applyNumberFormat="0" applyAlignment="0" applyProtection="0"/>
    <xf numFmtId="0" fontId="10" fillId="18" borderId="9" applyNumberFormat="0" applyAlignment="0" applyProtection="0"/>
    <xf numFmtId="0" fontId="17" fillId="0" borderId="0" applyNumberFormat="0" applyFill="0" applyBorder="0" applyAlignment="0" applyProtection="0"/>
    <xf numFmtId="0" fontId="8" fillId="5" borderId="0" applyNumberFormat="0" applyBorder="0" applyAlignment="0" applyProtection="0"/>
    <xf numFmtId="0" fontId="19" fillId="0" borderId="13" applyNumberFormat="0" applyFill="0" applyAlignment="0" applyProtection="0"/>
    <xf numFmtId="0" fontId="20" fillId="0" borderId="14" applyNumberFormat="0" applyFill="0" applyAlignment="0" applyProtection="0"/>
    <xf numFmtId="0" fontId="21" fillId="0" borderId="15" applyNumberFormat="0" applyFill="0" applyAlignment="0" applyProtection="0"/>
    <xf numFmtId="0" fontId="21" fillId="0" borderId="0" applyNumberFormat="0" applyFill="0" applyBorder="0" applyAlignment="0" applyProtection="0"/>
    <xf numFmtId="0" fontId="12" fillId="8" borderId="8" applyNumberFormat="0" applyAlignment="0" applyProtection="0"/>
    <xf numFmtId="0" fontId="11" fillId="0" borderId="10" applyNumberFormat="0" applyFill="0" applyAlignment="0" applyProtection="0"/>
    <xf numFmtId="0" fontId="14" fillId="23" borderId="0" applyNumberFormat="0" applyBorder="0" applyAlignment="0" applyProtection="0"/>
    <xf numFmtId="0" fontId="3" fillId="24" borderId="11" applyNumberFormat="0" applyFont="0" applyAlignment="0" applyProtection="0"/>
    <xf numFmtId="0" fontId="15" fillId="17" borderId="12" applyNumberFormat="0" applyAlignment="0" applyProtection="0"/>
    <xf numFmtId="165" fontId="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" fillId="24" borderId="11" applyNumberFormat="0" applyFont="0" applyAlignment="0" applyProtection="0"/>
    <xf numFmtId="0" fontId="3" fillId="24" borderId="11" applyNumberFormat="0" applyFont="0" applyAlignment="0" applyProtection="0"/>
    <xf numFmtId="165" fontId="3" fillId="0" borderId="0" applyFont="0" applyFill="0" applyBorder="0" applyAlignment="0" applyProtection="0"/>
    <xf numFmtId="0" fontId="22" fillId="0" borderId="16" applyNumberFormat="0" applyFill="0" applyAlignment="0" applyProtection="0"/>
    <xf numFmtId="0" fontId="82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0" fontId="83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0" fontId="22" fillId="0" borderId="16" applyNumberFormat="0" applyFill="0" applyAlignment="0" applyProtection="0"/>
    <xf numFmtId="0" fontId="83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0" fontId="22" fillId="0" borderId="16" applyNumberFormat="0" applyFill="0" applyAlignment="0" applyProtection="0"/>
    <xf numFmtId="0" fontId="82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2" fillId="0" borderId="16" applyNumberFormat="0" applyFill="0" applyAlignment="0" applyProtection="0"/>
    <xf numFmtId="165" fontId="3" fillId="0" borderId="0" applyFont="0" applyFill="0" applyBorder="0" applyAlignment="0" applyProtection="0"/>
    <xf numFmtId="0" fontId="22" fillId="0" borderId="16" applyNumberFormat="0" applyFill="0" applyAlignment="0" applyProtection="0"/>
    <xf numFmtId="0" fontId="83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2" fillId="0" borderId="16" applyNumberFormat="0" applyFill="0" applyAlignment="0" applyProtection="0"/>
    <xf numFmtId="0" fontId="82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0" fontId="83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22" fillId="0" borderId="16" applyNumberFormat="0" applyFill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22" fillId="0" borderId="1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0" fontId="22" fillId="0" borderId="16" applyNumberFormat="0" applyFill="0" applyAlignment="0" applyProtection="0"/>
    <xf numFmtId="0" fontId="82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0" fontId="22" fillId="0" borderId="16" applyNumberFormat="0" applyFill="0" applyAlignment="0" applyProtection="0"/>
    <xf numFmtId="0" fontId="83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0" fontId="22" fillId="0" borderId="16" applyNumberFormat="0" applyFill="0" applyAlignment="0" applyProtection="0"/>
    <xf numFmtId="0" fontId="82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0" fontId="22" fillId="0" borderId="16" applyNumberFormat="0" applyFill="0" applyAlignment="0" applyProtection="0"/>
    <xf numFmtId="0" fontId="83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0" fontId="22" fillId="0" borderId="16" applyNumberFormat="0" applyFill="0" applyAlignment="0" applyProtection="0"/>
    <xf numFmtId="0" fontId="82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" fillId="24" borderId="11" applyNumberFormat="0" applyFont="0" applyAlignment="0" applyProtection="0"/>
    <xf numFmtId="0" fontId="83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2" fillId="8" borderId="8" applyNumberFormat="0" applyAlignment="0" applyProtection="0"/>
    <xf numFmtId="0" fontId="6" fillId="22" borderId="0" applyNumberFormat="0" applyBorder="0" applyAlignment="0" applyProtection="0"/>
    <xf numFmtId="0" fontId="6" fillId="15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20" borderId="0" applyNumberFormat="0" applyBorder="0" applyAlignment="0" applyProtection="0"/>
    <xf numFmtId="0" fontId="6" fillId="19" borderId="0" applyNumberFormat="0" applyBorder="0" applyAlignment="0" applyProtection="0"/>
    <xf numFmtId="0" fontId="11" fillId="0" borderId="10" applyNumberFormat="0" applyFill="0" applyAlignment="0" applyProtection="0"/>
    <xf numFmtId="0" fontId="10" fillId="18" borderId="9" applyNumberFormat="0" applyAlignment="0" applyProtection="0"/>
    <xf numFmtId="0" fontId="9" fillId="17" borderId="8" applyNumberFormat="0" applyAlignment="0" applyProtection="0"/>
    <xf numFmtId="0" fontId="8" fillId="5" borderId="0" applyNumberFormat="0" applyBorder="0" applyAlignment="0" applyProtection="0"/>
    <xf numFmtId="0" fontId="6" fillId="16" borderId="0" applyNumberFormat="0" applyBorder="0" applyAlignment="0" applyProtection="0"/>
    <xf numFmtId="0" fontId="6" fillId="15" borderId="0" applyNumberFormat="0" applyBorder="0" applyAlignment="0" applyProtection="0"/>
    <xf numFmtId="0" fontId="6" fillId="14" borderId="0" applyNumberFormat="0" applyBorder="0" applyAlignment="0" applyProtection="0"/>
    <xf numFmtId="0" fontId="6" fillId="11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6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9" borderId="0" applyNumberFormat="0" applyBorder="0" applyAlignment="0" applyProtection="0"/>
    <xf numFmtId="0" fontId="5" fillId="8" borderId="0" applyNumberFormat="0" applyBorder="0" applyAlignment="0" applyProtection="0"/>
    <xf numFmtId="0" fontId="5" fillId="7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4" borderId="0" applyNumberFormat="0" applyBorder="0" applyAlignment="0" applyProtection="0"/>
    <xf numFmtId="0" fontId="5" fillId="3" borderId="0" applyNumberFormat="0" applyBorder="0" applyAlignment="0" applyProtection="0"/>
    <xf numFmtId="0" fontId="83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0" fontId="14" fillId="23" borderId="0" applyNumberFormat="0" applyBorder="0" applyAlignment="0" applyProtection="0"/>
    <xf numFmtId="0" fontId="82" fillId="0" borderId="0" applyNumberFormat="0" applyFill="0" applyBorder="0" applyAlignment="0" applyProtection="0"/>
    <xf numFmtId="0" fontId="3" fillId="24" borderId="11" applyNumberFormat="0" applyFont="0" applyAlignment="0" applyProtection="0"/>
    <xf numFmtId="0" fontId="15" fillId="17" borderId="12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13" applyNumberFormat="0" applyFill="0" applyAlignment="0" applyProtection="0"/>
    <xf numFmtId="0" fontId="20" fillId="0" borderId="14" applyNumberFormat="0" applyFill="0" applyAlignment="0" applyProtection="0"/>
    <xf numFmtId="0" fontId="21" fillId="0" borderId="15" applyNumberFormat="0" applyFill="0" applyAlignment="0" applyProtection="0"/>
    <xf numFmtId="0" fontId="21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17" borderId="12" applyNumberFormat="0" applyAlignment="0" applyProtection="0"/>
    <xf numFmtId="0" fontId="3" fillId="24" borderId="11" applyNumberFormat="0" applyFont="0" applyAlignment="0" applyProtection="0"/>
    <xf numFmtId="0" fontId="83" fillId="0" borderId="0" applyNumberFormat="0" applyFill="0" applyBorder="0" applyAlignment="0" applyProtection="0"/>
    <xf numFmtId="0" fontId="14" fillId="23" borderId="0" applyNumberFormat="0" applyBorder="0" applyAlignment="0" applyProtection="0"/>
    <xf numFmtId="0" fontId="13" fillId="4" borderId="0" applyNumberFormat="0" applyBorder="0" applyAlignment="0" applyProtection="0"/>
    <xf numFmtId="0" fontId="12" fillId="8" borderId="8" applyNumberFormat="0" applyAlignment="0" applyProtection="0"/>
    <xf numFmtId="0" fontId="6" fillId="22" borderId="0" applyNumberFormat="0" applyBorder="0" applyAlignment="0" applyProtection="0"/>
    <xf numFmtId="0" fontId="6" fillId="15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20" borderId="0" applyNumberFormat="0" applyBorder="0" applyAlignment="0" applyProtection="0"/>
    <xf numFmtId="0" fontId="6" fillId="19" borderId="0" applyNumberFormat="0" applyBorder="0" applyAlignment="0" applyProtection="0"/>
    <xf numFmtId="0" fontId="11" fillId="0" borderId="10" applyNumberFormat="0" applyFill="0" applyAlignment="0" applyProtection="0"/>
    <xf numFmtId="0" fontId="10" fillId="18" borderId="9" applyNumberFormat="0" applyAlignment="0" applyProtection="0"/>
    <xf numFmtId="0" fontId="9" fillId="17" borderId="8" applyNumberFormat="0" applyAlignment="0" applyProtection="0"/>
    <xf numFmtId="0" fontId="8" fillId="5" borderId="0" applyNumberFormat="0" applyBorder="0" applyAlignment="0" applyProtection="0"/>
    <xf numFmtId="0" fontId="6" fillId="16" borderId="0" applyNumberFormat="0" applyBorder="0" applyAlignment="0" applyProtection="0"/>
    <xf numFmtId="0" fontId="6" fillId="15" borderId="0" applyNumberFormat="0" applyBorder="0" applyAlignment="0" applyProtection="0"/>
    <xf numFmtId="0" fontId="6" fillId="14" borderId="0" applyNumberFormat="0" applyBorder="0" applyAlignment="0" applyProtection="0"/>
    <xf numFmtId="0" fontId="6" fillId="11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6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9" borderId="0" applyNumberFormat="0" applyBorder="0" applyAlignment="0" applyProtection="0"/>
    <xf numFmtId="0" fontId="5" fillId="8" borderId="0" applyNumberFormat="0" applyBorder="0" applyAlignment="0" applyProtection="0"/>
    <xf numFmtId="0" fontId="5" fillId="7" borderId="0" applyNumberFormat="0" applyBorder="0" applyAlignment="0" applyProtection="0"/>
    <xf numFmtId="0" fontId="5" fillId="6" borderId="0" applyNumberFormat="0" applyBorder="0" applyAlignment="0" applyProtection="0"/>
    <xf numFmtId="0" fontId="5" fillId="4" borderId="0" applyNumberFormat="0" applyBorder="0" applyAlignment="0" applyProtection="0"/>
    <xf numFmtId="0" fontId="5" fillId="3" borderId="0" applyNumberFormat="0" applyBorder="0" applyAlignment="0" applyProtection="0"/>
    <xf numFmtId="0" fontId="83" fillId="0" borderId="0" applyNumberFormat="0" applyFill="0" applyBorder="0" applyAlignment="0" applyProtection="0"/>
    <xf numFmtId="0" fontId="5" fillId="5" borderId="0" applyNumberFormat="0" applyBorder="0" applyAlignment="0" applyProtection="0"/>
    <xf numFmtId="165" fontId="3" fillId="0" borderId="0" applyFont="0" applyFill="0" applyBorder="0" applyAlignment="0" applyProtection="0"/>
    <xf numFmtId="0" fontId="19" fillId="0" borderId="13" applyNumberFormat="0" applyFill="0" applyAlignment="0" applyProtection="0"/>
    <xf numFmtId="0" fontId="20" fillId="0" borderId="14" applyNumberFormat="0" applyFill="0" applyAlignment="0" applyProtection="0"/>
    <xf numFmtId="0" fontId="21" fillId="0" borderId="15" applyNumberFormat="0" applyFill="0" applyAlignment="0" applyProtection="0"/>
    <xf numFmtId="0" fontId="21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17" borderId="12" applyNumberFormat="0" applyAlignment="0" applyProtection="0"/>
    <xf numFmtId="0" fontId="3" fillId="24" borderId="11" applyNumberFormat="0" applyFont="0" applyAlignment="0" applyProtection="0"/>
    <xf numFmtId="0" fontId="82" fillId="0" borderId="0" applyNumberFormat="0" applyFill="0" applyBorder="0" applyAlignment="0" applyProtection="0"/>
    <xf numFmtId="0" fontId="14" fillId="23" borderId="0" applyNumberFormat="0" applyBorder="0" applyAlignment="0" applyProtection="0"/>
    <xf numFmtId="0" fontId="13" fillId="4" borderId="0" applyNumberFormat="0" applyBorder="0" applyAlignment="0" applyProtection="0"/>
    <xf numFmtId="0" fontId="12" fillId="8" borderId="8" applyNumberFormat="0" applyAlignment="0" applyProtection="0"/>
    <xf numFmtId="0" fontId="6" fillId="22" borderId="0" applyNumberFormat="0" applyBorder="0" applyAlignment="0" applyProtection="0"/>
    <xf numFmtId="0" fontId="6" fillId="15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20" borderId="0" applyNumberFormat="0" applyBorder="0" applyAlignment="0" applyProtection="0"/>
    <xf numFmtId="0" fontId="6" fillId="19" borderId="0" applyNumberFormat="0" applyBorder="0" applyAlignment="0" applyProtection="0"/>
    <xf numFmtId="0" fontId="11" fillId="0" borderId="10" applyNumberFormat="0" applyFill="0" applyAlignment="0" applyProtection="0"/>
    <xf numFmtId="0" fontId="10" fillId="18" borderId="9" applyNumberFormat="0" applyAlignment="0" applyProtection="0"/>
    <xf numFmtId="0" fontId="9" fillId="17" borderId="8" applyNumberFormat="0" applyAlignment="0" applyProtection="0"/>
    <xf numFmtId="0" fontId="8" fillId="5" borderId="0" applyNumberFormat="0" applyBorder="0" applyAlignment="0" applyProtection="0"/>
    <xf numFmtId="0" fontId="6" fillId="16" borderId="0" applyNumberFormat="0" applyBorder="0" applyAlignment="0" applyProtection="0"/>
    <xf numFmtId="0" fontId="6" fillId="15" borderId="0" applyNumberFormat="0" applyBorder="0" applyAlignment="0" applyProtection="0"/>
    <xf numFmtId="0" fontId="6" fillId="14" borderId="0" applyNumberFormat="0" applyBorder="0" applyAlignment="0" applyProtection="0"/>
    <xf numFmtId="0" fontId="6" fillId="11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6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9" borderId="0" applyNumberFormat="0" applyBorder="0" applyAlignment="0" applyProtection="0"/>
    <xf numFmtId="0" fontId="5" fillId="8" borderId="0" applyNumberFormat="0" applyBorder="0" applyAlignment="0" applyProtection="0"/>
    <xf numFmtId="0" fontId="5" fillId="7" borderId="0" applyNumberFormat="0" applyBorder="0" applyAlignment="0" applyProtection="0"/>
    <xf numFmtId="0" fontId="5" fillId="6" borderId="0" applyNumberFormat="0" applyBorder="0" applyAlignment="0" applyProtection="0"/>
    <xf numFmtId="0" fontId="5" fillId="4" borderId="0" applyNumberFormat="0" applyBorder="0" applyAlignment="0" applyProtection="0"/>
    <xf numFmtId="0" fontId="5" fillId="3" borderId="0" applyNumberFormat="0" applyBorder="0" applyAlignment="0" applyProtection="0"/>
    <xf numFmtId="0" fontId="5" fillId="5" borderId="0" applyNumberFormat="0" applyBorder="0" applyAlignment="0" applyProtection="0"/>
    <xf numFmtId="165" fontId="3" fillId="0" borderId="0" applyFont="0" applyFill="0" applyBorder="0" applyAlignment="0" applyProtection="0"/>
    <xf numFmtId="0" fontId="19" fillId="0" borderId="13" applyNumberFormat="0" applyFill="0" applyAlignment="0" applyProtection="0"/>
    <xf numFmtId="0" fontId="20" fillId="0" borderId="14" applyNumberFormat="0" applyFill="0" applyAlignment="0" applyProtection="0"/>
    <xf numFmtId="0" fontId="21" fillId="0" borderId="15" applyNumberFormat="0" applyFill="0" applyAlignment="0" applyProtection="0"/>
    <xf numFmtId="0" fontId="21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17" borderId="12" applyNumberFormat="0" applyAlignment="0" applyProtection="0"/>
    <xf numFmtId="0" fontId="3" fillId="24" borderId="11" applyNumberFormat="0" applyFont="0" applyAlignment="0" applyProtection="0"/>
    <xf numFmtId="0" fontId="3" fillId="0" borderId="0"/>
    <xf numFmtId="0" fontId="14" fillId="23" borderId="0" applyNumberFormat="0" applyBorder="0" applyAlignment="0" applyProtection="0"/>
    <xf numFmtId="0" fontId="13" fillId="4" borderId="0" applyNumberFormat="0" applyBorder="0" applyAlignment="0" applyProtection="0"/>
    <xf numFmtId="0" fontId="12" fillId="8" borderId="8" applyNumberFormat="0" applyAlignment="0" applyProtection="0"/>
    <xf numFmtId="0" fontId="6" fillId="22" borderId="0" applyNumberFormat="0" applyBorder="0" applyAlignment="0" applyProtection="0"/>
    <xf numFmtId="0" fontId="6" fillId="15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20" borderId="0" applyNumberFormat="0" applyBorder="0" applyAlignment="0" applyProtection="0"/>
    <xf numFmtId="0" fontId="6" fillId="19" borderId="0" applyNumberFormat="0" applyBorder="0" applyAlignment="0" applyProtection="0"/>
    <xf numFmtId="0" fontId="11" fillId="0" borderId="10" applyNumberFormat="0" applyFill="0" applyAlignment="0" applyProtection="0"/>
    <xf numFmtId="0" fontId="10" fillId="18" borderId="9" applyNumberFormat="0" applyAlignment="0" applyProtection="0"/>
    <xf numFmtId="0" fontId="9" fillId="17" borderId="8" applyNumberFormat="0" applyAlignment="0" applyProtection="0"/>
    <xf numFmtId="0" fontId="8" fillId="5" borderId="0" applyNumberFormat="0" applyBorder="0" applyAlignment="0" applyProtection="0"/>
    <xf numFmtId="0" fontId="6" fillId="16" borderId="0" applyNumberFormat="0" applyBorder="0" applyAlignment="0" applyProtection="0"/>
    <xf numFmtId="0" fontId="6" fillId="15" borderId="0" applyNumberFormat="0" applyBorder="0" applyAlignment="0" applyProtection="0"/>
    <xf numFmtId="0" fontId="6" fillId="14" borderId="0" applyNumberFormat="0" applyBorder="0" applyAlignment="0" applyProtection="0"/>
    <xf numFmtId="0" fontId="6" fillId="11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6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9" borderId="0" applyNumberFormat="0" applyBorder="0" applyAlignment="0" applyProtection="0"/>
    <xf numFmtId="0" fontId="5" fillId="8" borderId="0" applyNumberFormat="0" applyBorder="0" applyAlignment="0" applyProtection="0"/>
    <xf numFmtId="0" fontId="5" fillId="7" borderId="0" applyNumberFormat="0" applyBorder="0" applyAlignment="0" applyProtection="0"/>
    <xf numFmtId="0" fontId="5" fillId="6" borderId="0" applyNumberFormat="0" applyBorder="0" applyAlignment="0" applyProtection="0"/>
    <xf numFmtId="0" fontId="5" fillId="4" borderId="0" applyNumberFormat="0" applyBorder="0" applyAlignment="0" applyProtection="0"/>
    <xf numFmtId="0" fontId="5" fillId="3" borderId="0" applyNumberFormat="0" applyBorder="0" applyAlignment="0" applyProtection="0"/>
    <xf numFmtId="0" fontId="5" fillId="5" borderId="0" applyNumberFormat="0" applyBorder="0" applyAlignment="0" applyProtection="0"/>
    <xf numFmtId="165" fontId="3" fillId="0" borderId="0" applyFont="0" applyFill="0" applyBorder="0" applyAlignment="0" applyProtection="0"/>
    <xf numFmtId="0" fontId="19" fillId="0" borderId="13" applyNumberFormat="0" applyFill="0" applyAlignment="0" applyProtection="0"/>
    <xf numFmtId="0" fontId="20" fillId="0" borderId="14" applyNumberFormat="0" applyFill="0" applyAlignment="0" applyProtection="0"/>
    <xf numFmtId="0" fontId="21" fillId="0" borderId="15" applyNumberFormat="0" applyFill="0" applyAlignment="0" applyProtection="0"/>
    <xf numFmtId="0" fontId="21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17" borderId="12" applyNumberFormat="0" applyAlignment="0" applyProtection="0"/>
    <xf numFmtId="0" fontId="3" fillId="24" borderId="11" applyNumberFormat="0" applyFont="0" applyAlignment="0" applyProtection="0"/>
    <xf numFmtId="0" fontId="3" fillId="0" borderId="0"/>
    <xf numFmtId="0" fontId="14" fillId="23" borderId="0" applyNumberFormat="0" applyBorder="0" applyAlignment="0" applyProtection="0"/>
    <xf numFmtId="0" fontId="13" fillId="4" borderId="0" applyNumberFormat="0" applyBorder="0" applyAlignment="0" applyProtection="0"/>
    <xf numFmtId="0" fontId="12" fillId="8" borderId="8" applyNumberFormat="0" applyAlignment="0" applyProtection="0"/>
    <xf numFmtId="0" fontId="6" fillId="22" borderId="0" applyNumberFormat="0" applyBorder="0" applyAlignment="0" applyProtection="0"/>
    <xf numFmtId="0" fontId="6" fillId="15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20" borderId="0" applyNumberFormat="0" applyBorder="0" applyAlignment="0" applyProtection="0"/>
    <xf numFmtId="0" fontId="6" fillId="19" borderId="0" applyNumberFormat="0" applyBorder="0" applyAlignment="0" applyProtection="0"/>
    <xf numFmtId="0" fontId="11" fillId="0" borderId="10" applyNumberFormat="0" applyFill="0" applyAlignment="0" applyProtection="0"/>
    <xf numFmtId="0" fontId="10" fillId="18" borderId="9" applyNumberFormat="0" applyAlignment="0" applyProtection="0"/>
    <xf numFmtId="0" fontId="9" fillId="17" borderId="8" applyNumberFormat="0" applyAlignment="0" applyProtection="0"/>
    <xf numFmtId="0" fontId="8" fillId="5" borderId="0" applyNumberFormat="0" applyBorder="0" applyAlignment="0" applyProtection="0"/>
    <xf numFmtId="0" fontId="6" fillId="16" borderId="0" applyNumberFormat="0" applyBorder="0" applyAlignment="0" applyProtection="0"/>
    <xf numFmtId="0" fontId="6" fillId="15" borderId="0" applyNumberFormat="0" applyBorder="0" applyAlignment="0" applyProtection="0"/>
    <xf numFmtId="0" fontId="6" fillId="14" borderId="0" applyNumberFormat="0" applyBorder="0" applyAlignment="0" applyProtection="0"/>
    <xf numFmtId="0" fontId="6" fillId="11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6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9" borderId="0" applyNumberFormat="0" applyBorder="0" applyAlignment="0" applyProtection="0"/>
    <xf numFmtId="0" fontId="5" fillId="8" borderId="0" applyNumberFormat="0" applyBorder="0" applyAlignment="0" applyProtection="0"/>
    <xf numFmtId="0" fontId="5" fillId="7" borderId="0" applyNumberFormat="0" applyBorder="0" applyAlignment="0" applyProtection="0"/>
    <xf numFmtId="0" fontId="5" fillId="6" borderId="0" applyNumberFormat="0" applyBorder="0" applyAlignment="0" applyProtection="0"/>
    <xf numFmtId="0" fontId="5" fillId="4" borderId="0" applyNumberFormat="0" applyBorder="0" applyAlignment="0" applyProtection="0"/>
    <xf numFmtId="0" fontId="5" fillId="3" borderId="0" applyNumberFormat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5" fillId="5" borderId="0" applyNumberFormat="0" applyBorder="0" applyAlignment="0" applyProtection="0"/>
    <xf numFmtId="165" fontId="3" fillId="0" borderId="0" applyFont="0" applyFill="0" applyBorder="0" applyAlignment="0" applyProtection="0"/>
    <xf numFmtId="0" fontId="19" fillId="0" borderId="13" applyNumberFormat="0" applyFill="0" applyAlignment="0" applyProtection="0"/>
    <xf numFmtId="0" fontId="20" fillId="0" borderId="14" applyNumberFormat="0" applyFill="0" applyAlignment="0" applyProtection="0"/>
    <xf numFmtId="0" fontId="21" fillId="0" borderId="15" applyNumberFormat="0" applyFill="0" applyAlignment="0" applyProtection="0"/>
    <xf numFmtId="0" fontId="21" fillId="0" borderId="0" applyNumberFormat="0" applyFill="0" applyBorder="0" applyAlignment="0" applyProtection="0"/>
    <xf numFmtId="0" fontId="15" fillId="17" borderId="12" applyNumberFormat="0" applyAlignment="0" applyProtection="0"/>
    <xf numFmtId="0" fontId="3" fillId="24" borderId="11" applyNumberFormat="0" applyFont="0" applyAlignment="0" applyProtection="0"/>
    <xf numFmtId="0" fontId="3" fillId="0" borderId="0"/>
    <xf numFmtId="0" fontId="14" fillId="23" borderId="0" applyNumberFormat="0" applyBorder="0" applyAlignment="0" applyProtection="0"/>
    <xf numFmtId="0" fontId="13" fillId="4" borderId="0" applyNumberFormat="0" applyBorder="0" applyAlignment="0" applyProtection="0"/>
    <xf numFmtId="0" fontId="12" fillId="8" borderId="8" applyNumberFormat="0" applyAlignment="0" applyProtection="0"/>
    <xf numFmtId="0" fontId="6" fillId="22" borderId="0" applyNumberFormat="0" applyBorder="0" applyAlignment="0" applyProtection="0"/>
    <xf numFmtId="0" fontId="6" fillId="15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20" borderId="0" applyNumberFormat="0" applyBorder="0" applyAlignment="0" applyProtection="0"/>
    <xf numFmtId="0" fontId="6" fillId="19" borderId="0" applyNumberFormat="0" applyBorder="0" applyAlignment="0" applyProtection="0"/>
    <xf numFmtId="0" fontId="11" fillId="0" borderId="10" applyNumberFormat="0" applyFill="0" applyAlignment="0" applyProtection="0"/>
    <xf numFmtId="0" fontId="10" fillId="18" borderId="9" applyNumberFormat="0" applyAlignment="0" applyProtection="0"/>
    <xf numFmtId="0" fontId="9" fillId="17" borderId="8" applyNumberFormat="0" applyAlignment="0" applyProtection="0"/>
    <xf numFmtId="0" fontId="8" fillId="5" borderId="0" applyNumberFormat="0" applyBorder="0" applyAlignment="0" applyProtection="0"/>
    <xf numFmtId="0" fontId="6" fillId="16" borderId="0" applyNumberFormat="0" applyBorder="0" applyAlignment="0" applyProtection="0"/>
    <xf numFmtId="0" fontId="6" fillId="15" borderId="0" applyNumberFormat="0" applyBorder="0" applyAlignment="0" applyProtection="0"/>
    <xf numFmtId="0" fontId="6" fillId="14" borderId="0" applyNumberFormat="0" applyBorder="0" applyAlignment="0" applyProtection="0"/>
    <xf numFmtId="0" fontId="6" fillId="11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6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9" borderId="0" applyNumberFormat="0" applyBorder="0" applyAlignment="0" applyProtection="0"/>
    <xf numFmtId="0" fontId="5" fillId="8" borderId="0" applyNumberFormat="0" applyBorder="0" applyAlignment="0" applyProtection="0"/>
    <xf numFmtId="0" fontId="5" fillId="7" borderId="0" applyNumberFormat="0" applyBorder="0" applyAlignment="0" applyProtection="0"/>
    <xf numFmtId="0" fontId="5" fillId="6" borderId="0" applyNumberFormat="0" applyBorder="0" applyAlignment="0" applyProtection="0"/>
    <xf numFmtId="0" fontId="5" fillId="5" borderId="0" applyNumberFormat="0" applyBorder="0" applyAlignment="0" applyProtection="0"/>
    <xf numFmtId="0" fontId="5" fillId="4" borderId="0" applyNumberFormat="0" applyBorder="0" applyAlignment="0" applyProtection="0"/>
    <xf numFmtId="0" fontId="5" fillId="3" borderId="0" applyNumberFormat="0" applyBorder="0" applyAlignment="0" applyProtection="0"/>
    <xf numFmtId="0" fontId="83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13" applyNumberFormat="0" applyFill="0" applyAlignment="0" applyProtection="0"/>
    <xf numFmtId="0" fontId="20" fillId="0" borderId="14" applyNumberFormat="0" applyFill="0" applyAlignment="0" applyProtection="0"/>
    <xf numFmtId="0" fontId="21" fillId="0" borderId="15" applyNumberFormat="0" applyFill="0" applyAlignment="0" applyProtection="0"/>
    <xf numFmtId="0" fontId="21" fillId="0" borderId="0" applyNumberFormat="0" applyFill="0" applyBorder="0" applyAlignment="0" applyProtection="0"/>
    <xf numFmtId="0" fontId="19" fillId="0" borderId="13" applyNumberFormat="0" applyFill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17" borderId="12" applyNumberFormat="0" applyAlignment="0" applyProtection="0"/>
    <xf numFmtId="0" fontId="3" fillId="24" borderId="11" applyNumberFormat="0" applyFont="0" applyAlignment="0" applyProtection="0"/>
    <xf numFmtId="0" fontId="3" fillId="0" borderId="0"/>
    <xf numFmtId="0" fontId="14" fillId="23" borderId="0" applyNumberFormat="0" applyBorder="0" applyAlignment="0" applyProtection="0"/>
    <xf numFmtId="0" fontId="13" fillId="4" borderId="0" applyNumberFormat="0" applyBorder="0" applyAlignment="0" applyProtection="0"/>
    <xf numFmtId="0" fontId="12" fillId="8" borderId="8" applyNumberFormat="0" applyAlignment="0" applyProtection="0"/>
    <xf numFmtId="0" fontId="6" fillId="22" borderId="0" applyNumberFormat="0" applyBorder="0" applyAlignment="0" applyProtection="0"/>
    <xf numFmtId="0" fontId="6" fillId="15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20" borderId="0" applyNumberFormat="0" applyBorder="0" applyAlignment="0" applyProtection="0"/>
    <xf numFmtId="0" fontId="6" fillId="19" borderId="0" applyNumberFormat="0" applyBorder="0" applyAlignment="0" applyProtection="0"/>
    <xf numFmtId="0" fontId="11" fillId="0" borderId="10" applyNumberFormat="0" applyFill="0" applyAlignment="0" applyProtection="0"/>
    <xf numFmtId="0" fontId="10" fillId="18" borderId="9" applyNumberFormat="0" applyAlignment="0" applyProtection="0"/>
    <xf numFmtId="0" fontId="9" fillId="17" borderId="8" applyNumberFormat="0" applyAlignment="0" applyProtection="0"/>
    <xf numFmtId="0" fontId="8" fillId="5" borderId="0" applyNumberFormat="0" applyBorder="0" applyAlignment="0" applyProtection="0"/>
    <xf numFmtId="0" fontId="6" fillId="16" borderId="0" applyNumberFormat="0" applyBorder="0" applyAlignment="0" applyProtection="0"/>
    <xf numFmtId="0" fontId="6" fillId="15" borderId="0" applyNumberFormat="0" applyBorder="0" applyAlignment="0" applyProtection="0"/>
    <xf numFmtId="0" fontId="6" fillId="14" borderId="0" applyNumberFormat="0" applyBorder="0" applyAlignment="0" applyProtection="0"/>
    <xf numFmtId="0" fontId="6" fillId="11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6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9" borderId="0" applyNumberFormat="0" applyBorder="0" applyAlignment="0" applyProtection="0"/>
    <xf numFmtId="0" fontId="5" fillId="8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4" borderId="0" applyNumberFormat="0" applyBorder="0" applyAlignment="0" applyProtection="0"/>
    <xf numFmtId="0" fontId="5" fillId="3" borderId="0" applyNumberFormat="0" applyBorder="0" applyAlignment="0" applyProtection="0"/>
    <xf numFmtId="0" fontId="82" fillId="0" borderId="0" applyNumberFormat="0" applyFill="0" applyBorder="0" applyAlignment="0" applyProtection="0"/>
    <xf numFmtId="0" fontId="5" fillId="6" borderId="0" applyNumberFormat="0" applyBorder="0" applyAlignment="0" applyProtection="0"/>
    <xf numFmtId="165" fontId="3" fillId="0" borderId="0" applyFont="0" applyFill="0" applyBorder="0" applyAlignment="0" applyProtection="0"/>
    <xf numFmtId="0" fontId="20" fillId="0" borderId="14" applyNumberFormat="0" applyFill="0" applyAlignment="0" applyProtection="0"/>
    <xf numFmtId="0" fontId="21" fillId="0" borderId="15" applyNumberFormat="0" applyFill="0" applyAlignment="0" applyProtection="0"/>
    <xf numFmtId="0" fontId="21" fillId="0" borderId="0" applyNumberFormat="0" applyFill="0" applyBorder="0" applyAlignment="0" applyProtection="0"/>
    <xf numFmtId="0" fontId="19" fillId="0" borderId="13" applyNumberFormat="0" applyFill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17" borderId="12" applyNumberFormat="0" applyAlignment="0" applyProtection="0"/>
    <xf numFmtId="0" fontId="3" fillId="24" borderId="11" applyNumberFormat="0" applyFont="0" applyAlignment="0" applyProtection="0"/>
    <xf numFmtId="0" fontId="3" fillId="0" borderId="0"/>
    <xf numFmtId="0" fontId="14" fillId="23" borderId="0" applyNumberFormat="0" applyBorder="0" applyAlignment="0" applyProtection="0"/>
    <xf numFmtId="0" fontId="13" fillId="4" borderId="0" applyNumberFormat="0" applyBorder="0" applyAlignment="0" applyProtection="0"/>
    <xf numFmtId="0" fontId="12" fillId="8" borderId="8" applyNumberFormat="0" applyAlignment="0" applyProtection="0"/>
    <xf numFmtId="0" fontId="6" fillId="22" borderId="0" applyNumberFormat="0" applyBorder="0" applyAlignment="0" applyProtection="0"/>
    <xf numFmtId="0" fontId="6" fillId="15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20" borderId="0" applyNumberFormat="0" applyBorder="0" applyAlignment="0" applyProtection="0"/>
    <xf numFmtId="0" fontId="6" fillId="19" borderId="0" applyNumberFormat="0" applyBorder="0" applyAlignment="0" applyProtection="0"/>
    <xf numFmtId="0" fontId="11" fillId="0" borderId="10" applyNumberFormat="0" applyFill="0" applyAlignment="0" applyProtection="0"/>
    <xf numFmtId="0" fontId="10" fillId="18" borderId="9" applyNumberFormat="0" applyAlignment="0" applyProtection="0"/>
    <xf numFmtId="0" fontId="9" fillId="17" borderId="8" applyNumberFormat="0" applyAlignment="0" applyProtection="0"/>
    <xf numFmtId="0" fontId="8" fillId="5" borderId="0" applyNumberFormat="0" applyBorder="0" applyAlignment="0" applyProtection="0"/>
    <xf numFmtId="0" fontId="6" fillId="16" borderId="0" applyNumberFormat="0" applyBorder="0" applyAlignment="0" applyProtection="0"/>
    <xf numFmtId="0" fontId="6" fillId="15" borderId="0" applyNumberFormat="0" applyBorder="0" applyAlignment="0" applyProtection="0"/>
    <xf numFmtId="0" fontId="6" fillId="14" borderId="0" applyNumberFormat="0" applyBorder="0" applyAlignment="0" applyProtection="0"/>
    <xf numFmtId="0" fontId="6" fillId="11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6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9" borderId="0" applyNumberFormat="0" applyBorder="0" applyAlignment="0" applyProtection="0"/>
    <xf numFmtId="0" fontId="5" fillId="8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4" borderId="0" applyNumberFormat="0" applyBorder="0" applyAlignment="0" applyProtection="0"/>
    <xf numFmtId="0" fontId="5" fillId="3" borderId="0" applyNumberFormat="0" applyBorder="0" applyAlignment="0" applyProtection="0"/>
    <xf numFmtId="0" fontId="5" fillId="6" borderId="0" applyNumberFormat="0" applyBorder="0" applyAlignment="0" applyProtection="0"/>
    <xf numFmtId="165" fontId="3" fillId="0" borderId="0" applyFont="0" applyFill="0" applyBorder="0" applyAlignment="0" applyProtection="0"/>
    <xf numFmtId="0" fontId="20" fillId="0" borderId="14" applyNumberFormat="0" applyFill="0" applyAlignment="0" applyProtection="0"/>
    <xf numFmtId="0" fontId="21" fillId="0" borderId="15" applyNumberFormat="0" applyFill="0" applyAlignment="0" applyProtection="0"/>
    <xf numFmtId="0" fontId="21" fillId="0" borderId="0" applyNumberFormat="0" applyFill="0" applyBorder="0" applyAlignment="0" applyProtection="0"/>
    <xf numFmtId="0" fontId="19" fillId="0" borderId="13" applyNumberFormat="0" applyFill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17" borderId="12" applyNumberFormat="0" applyAlignment="0" applyProtection="0"/>
    <xf numFmtId="0" fontId="3" fillId="24" borderId="11" applyNumberFormat="0" applyFont="0" applyAlignment="0" applyProtection="0"/>
    <xf numFmtId="0" fontId="3" fillId="0" borderId="0"/>
    <xf numFmtId="0" fontId="14" fillId="23" borderId="0" applyNumberFormat="0" applyBorder="0" applyAlignment="0" applyProtection="0"/>
    <xf numFmtId="0" fontId="13" fillId="4" borderId="0" applyNumberFormat="0" applyBorder="0" applyAlignment="0" applyProtection="0"/>
    <xf numFmtId="0" fontId="12" fillId="8" borderId="8" applyNumberFormat="0" applyAlignment="0" applyProtection="0"/>
    <xf numFmtId="0" fontId="6" fillId="22" borderId="0" applyNumberFormat="0" applyBorder="0" applyAlignment="0" applyProtection="0"/>
    <xf numFmtId="0" fontId="6" fillId="15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20" borderId="0" applyNumberFormat="0" applyBorder="0" applyAlignment="0" applyProtection="0"/>
    <xf numFmtId="0" fontId="6" fillId="19" borderId="0" applyNumberFormat="0" applyBorder="0" applyAlignment="0" applyProtection="0"/>
    <xf numFmtId="0" fontId="11" fillId="0" borderId="10" applyNumberFormat="0" applyFill="0" applyAlignment="0" applyProtection="0"/>
    <xf numFmtId="0" fontId="10" fillId="18" borderId="9" applyNumberFormat="0" applyAlignment="0" applyProtection="0"/>
    <xf numFmtId="0" fontId="9" fillId="17" borderId="8" applyNumberFormat="0" applyAlignment="0" applyProtection="0"/>
    <xf numFmtId="0" fontId="8" fillId="5" borderId="0" applyNumberFormat="0" applyBorder="0" applyAlignment="0" applyProtection="0"/>
    <xf numFmtId="0" fontId="6" fillId="16" borderId="0" applyNumberFormat="0" applyBorder="0" applyAlignment="0" applyProtection="0"/>
    <xf numFmtId="0" fontId="6" fillId="15" borderId="0" applyNumberFormat="0" applyBorder="0" applyAlignment="0" applyProtection="0"/>
    <xf numFmtId="0" fontId="6" fillId="14" borderId="0" applyNumberFormat="0" applyBorder="0" applyAlignment="0" applyProtection="0"/>
    <xf numFmtId="0" fontId="6" fillId="11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6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9" borderId="0" applyNumberFormat="0" applyBorder="0" applyAlignment="0" applyProtection="0"/>
    <xf numFmtId="0" fontId="5" fillId="8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4" borderId="0" applyNumberFormat="0" applyBorder="0" applyAlignment="0" applyProtection="0"/>
    <xf numFmtId="0" fontId="5" fillId="3" borderId="0" applyNumberFormat="0" applyBorder="0" applyAlignment="0" applyProtection="0"/>
    <xf numFmtId="0" fontId="83" fillId="0" borderId="0" applyNumberFormat="0" applyFill="0" applyBorder="0" applyAlignment="0" applyProtection="0"/>
    <xf numFmtId="0" fontId="5" fillId="6" borderId="0" applyNumberFormat="0" applyBorder="0" applyAlignment="0" applyProtection="0"/>
    <xf numFmtId="165" fontId="3" fillId="0" borderId="0" applyFont="0" applyFill="0" applyBorder="0" applyAlignment="0" applyProtection="0"/>
    <xf numFmtId="0" fontId="20" fillId="0" borderId="14" applyNumberFormat="0" applyFill="0" applyAlignment="0" applyProtection="0"/>
    <xf numFmtId="0" fontId="21" fillId="0" borderId="15" applyNumberFormat="0" applyFill="0" applyAlignment="0" applyProtection="0"/>
    <xf numFmtId="0" fontId="21" fillId="0" borderId="0" applyNumberFormat="0" applyFill="0" applyBorder="0" applyAlignment="0" applyProtection="0"/>
    <xf numFmtId="0" fontId="19" fillId="0" borderId="13" applyNumberFormat="0" applyFill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17" borderId="12" applyNumberFormat="0" applyAlignment="0" applyProtection="0"/>
    <xf numFmtId="0" fontId="3" fillId="24" borderId="11" applyNumberFormat="0" applyFont="0" applyAlignment="0" applyProtection="0"/>
    <xf numFmtId="0" fontId="3" fillId="0" borderId="0"/>
    <xf numFmtId="0" fontId="14" fillId="23" borderId="0" applyNumberFormat="0" applyBorder="0" applyAlignment="0" applyProtection="0"/>
    <xf numFmtId="0" fontId="13" fillId="4" borderId="0" applyNumberFormat="0" applyBorder="0" applyAlignment="0" applyProtection="0"/>
    <xf numFmtId="0" fontId="12" fillId="8" borderId="8" applyNumberFormat="0" applyAlignment="0" applyProtection="0"/>
    <xf numFmtId="0" fontId="6" fillId="22" borderId="0" applyNumberFormat="0" applyBorder="0" applyAlignment="0" applyProtection="0"/>
    <xf numFmtId="0" fontId="6" fillId="15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20" borderId="0" applyNumberFormat="0" applyBorder="0" applyAlignment="0" applyProtection="0"/>
    <xf numFmtId="0" fontId="6" fillId="19" borderId="0" applyNumberFormat="0" applyBorder="0" applyAlignment="0" applyProtection="0"/>
    <xf numFmtId="0" fontId="11" fillId="0" borderId="10" applyNumberFormat="0" applyFill="0" applyAlignment="0" applyProtection="0"/>
    <xf numFmtId="0" fontId="10" fillId="18" borderId="9" applyNumberFormat="0" applyAlignment="0" applyProtection="0"/>
    <xf numFmtId="0" fontId="9" fillId="17" borderId="8" applyNumberFormat="0" applyAlignment="0" applyProtection="0"/>
    <xf numFmtId="0" fontId="8" fillId="5" borderId="0" applyNumberFormat="0" applyBorder="0" applyAlignment="0" applyProtection="0"/>
    <xf numFmtId="0" fontId="6" fillId="16" borderId="0" applyNumberFormat="0" applyBorder="0" applyAlignment="0" applyProtection="0"/>
    <xf numFmtId="0" fontId="6" fillId="15" borderId="0" applyNumberFormat="0" applyBorder="0" applyAlignment="0" applyProtection="0"/>
    <xf numFmtId="0" fontId="6" fillId="14" borderId="0" applyNumberFormat="0" applyBorder="0" applyAlignment="0" applyProtection="0"/>
    <xf numFmtId="0" fontId="6" fillId="11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6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9" borderId="0" applyNumberFormat="0" applyBorder="0" applyAlignment="0" applyProtection="0"/>
    <xf numFmtId="0" fontId="5" fillId="8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4" borderId="0" applyNumberFormat="0" applyBorder="0" applyAlignment="0" applyProtection="0"/>
    <xf numFmtId="0" fontId="5" fillId="3" borderId="0" applyNumberFormat="0" applyBorder="0" applyAlignment="0" applyProtection="0"/>
    <xf numFmtId="0" fontId="82" fillId="0" borderId="0" applyNumberFormat="0" applyFill="0" applyBorder="0" applyAlignment="0" applyProtection="0"/>
    <xf numFmtId="0" fontId="5" fillId="6" borderId="0" applyNumberFormat="0" applyBorder="0" applyAlignment="0" applyProtection="0"/>
    <xf numFmtId="165" fontId="3" fillId="0" borderId="0" applyFont="0" applyFill="0" applyBorder="0" applyAlignment="0" applyProtection="0"/>
    <xf numFmtId="0" fontId="20" fillId="0" borderId="14" applyNumberFormat="0" applyFill="0" applyAlignment="0" applyProtection="0"/>
    <xf numFmtId="0" fontId="21" fillId="0" borderId="15" applyNumberFormat="0" applyFill="0" applyAlignment="0" applyProtection="0"/>
    <xf numFmtId="0" fontId="21" fillId="0" borderId="0" applyNumberFormat="0" applyFill="0" applyBorder="0" applyAlignment="0" applyProtection="0"/>
    <xf numFmtId="0" fontId="19" fillId="0" borderId="13" applyNumberFormat="0" applyFill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17" borderId="12" applyNumberFormat="0" applyAlignment="0" applyProtection="0"/>
    <xf numFmtId="0" fontId="3" fillId="24" borderId="11" applyNumberFormat="0" applyFont="0" applyAlignment="0" applyProtection="0"/>
    <xf numFmtId="0" fontId="3" fillId="0" borderId="0"/>
    <xf numFmtId="0" fontId="14" fillId="23" borderId="0" applyNumberFormat="0" applyBorder="0" applyAlignment="0" applyProtection="0"/>
    <xf numFmtId="0" fontId="13" fillId="4" borderId="0" applyNumberFormat="0" applyBorder="0" applyAlignment="0" applyProtection="0"/>
    <xf numFmtId="0" fontId="12" fillId="8" borderId="8" applyNumberFormat="0" applyAlignment="0" applyProtection="0"/>
    <xf numFmtId="0" fontId="6" fillId="22" borderId="0" applyNumberFormat="0" applyBorder="0" applyAlignment="0" applyProtection="0"/>
    <xf numFmtId="0" fontId="6" fillId="15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20" borderId="0" applyNumberFormat="0" applyBorder="0" applyAlignment="0" applyProtection="0"/>
    <xf numFmtId="0" fontId="6" fillId="19" borderId="0" applyNumberFormat="0" applyBorder="0" applyAlignment="0" applyProtection="0"/>
    <xf numFmtId="0" fontId="11" fillId="0" borderId="10" applyNumberFormat="0" applyFill="0" applyAlignment="0" applyProtection="0"/>
    <xf numFmtId="0" fontId="10" fillId="18" borderId="9" applyNumberFormat="0" applyAlignment="0" applyProtection="0"/>
    <xf numFmtId="0" fontId="9" fillId="17" borderId="8" applyNumberFormat="0" applyAlignment="0" applyProtection="0"/>
    <xf numFmtId="0" fontId="8" fillId="5" borderId="0" applyNumberFormat="0" applyBorder="0" applyAlignment="0" applyProtection="0"/>
    <xf numFmtId="0" fontId="6" fillId="16" borderId="0" applyNumberFormat="0" applyBorder="0" applyAlignment="0" applyProtection="0"/>
    <xf numFmtId="0" fontId="6" fillId="15" borderId="0" applyNumberFormat="0" applyBorder="0" applyAlignment="0" applyProtection="0"/>
    <xf numFmtId="0" fontId="6" fillId="14" borderId="0" applyNumberFormat="0" applyBorder="0" applyAlignment="0" applyProtection="0"/>
    <xf numFmtId="0" fontId="6" fillId="11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6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9" borderId="0" applyNumberFormat="0" applyBorder="0" applyAlignment="0" applyProtection="0"/>
    <xf numFmtId="0" fontId="5" fillId="8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4" borderId="0" applyNumberFormat="0" applyBorder="0" applyAlignment="0" applyProtection="0"/>
    <xf numFmtId="0" fontId="5" fillId="3" borderId="0" applyNumberFormat="0" applyBorder="0" applyAlignment="0" applyProtection="0"/>
    <xf numFmtId="0" fontId="83" fillId="0" borderId="0" applyNumberFormat="0" applyFill="0" applyBorder="0" applyAlignment="0" applyProtection="0"/>
    <xf numFmtId="0" fontId="5" fillId="6" borderId="0" applyNumberFormat="0" applyBorder="0" applyAlignment="0" applyProtection="0"/>
    <xf numFmtId="165" fontId="3" fillId="0" borderId="0" applyFont="0" applyFill="0" applyBorder="0" applyAlignment="0" applyProtection="0"/>
    <xf numFmtId="0" fontId="20" fillId="0" borderId="14" applyNumberFormat="0" applyFill="0" applyAlignment="0" applyProtection="0"/>
    <xf numFmtId="0" fontId="21" fillId="0" borderId="15" applyNumberFormat="0" applyFill="0" applyAlignment="0" applyProtection="0"/>
    <xf numFmtId="0" fontId="21" fillId="0" borderId="0" applyNumberFormat="0" applyFill="0" applyBorder="0" applyAlignment="0" applyProtection="0"/>
    <xf numFmtId="0" fontId="19" fillId="0" borderId="13" applyNumberFormat="0" applyFill="0" applyAlignment="0" applyProtection="0"/>
    <xf numFmtId="0" fontId="18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17" borderId="12" applyNumberFormat="0" applyAlignment="0" applyProtection="0"/>
    <xf numFmtId="0" fontId="3" fillId="24" borderId="11" applyNumberFormat="0" applyFont="0" applyAlignment="0" applyProtection="0"/>
    <xf numFmtId="0" fontId="3" fillId="0" borderId="0"/>
    <xf numFmtId="0" fontId="14" fillId="23" borderId="0" applyNumberFormat="0" applyBorder="0" applyAlignment="0" applyProtection="0"/>
    <xf numFmtId="0" fontId="13" fillId="4" borderId="0" applyNumberFormat="0" applyBorder="0" applyAlignment="0" applyProtection="0"/>
    <xf numFmtId="0" fontId="12" fillId="8" borderId="8" applyNumberFormat="0" applyAlignment="0" applyProtection="0"/>
    <xf numFmtId="0" fontId="6" fillId="22" borderId="0" applyNumberFormat="0" applyBorder="0" applyAlignment="0" applyProtection="0"/>
    <xf numFmtId="0" fontId="6" fillId="15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20" borderId="0" applyNumberFormat="0" applyBorder="0" applyAlignment="0" applyProtection="0"/>
    <xf numFmtId="0" fontId="6" fillId="19" borderId="0" applyNumberFormat="0" applyBorder="0" applyAlignment="0" applyProtection="0"/>
    <xf numFmtId="0" fontId="11" fillId="0" borderId="10" applyNumberFormat="0" applyFill="0" applyAlignment="0" applyProtection="0"/>
    <xf numFmtId="0" fontId="10" fillId="18" borderId="9" applyNumberFormat="0" applyAlignment="0" applyProtection="0"/>
    <xf numFmtId="0" fontId="9" fillId="17" borderId="8" applyNumberFormat="0" applyAlignment="0" applyProtection="0"/>
    <xf numFmtId="0" fontId="8" fillId="5" borderId="0" applyNumberFormat="0" applyBorder="0" applyAlignment="0" applyProtection="0"/>
    <xf numFmtId="0" fontId="6" fillId="16" borderId="0" applyNumberFormat="0" applyBorder="0" applyAlignment="0" applyProtection="0"/>
    <xf numFmtId="0" fontId="6" fillId="15" borderId="0" applyNumberFormat="0" applyBorder="0" applyAlignment="0" applyProtection="0"/>
    <xf numFmtId="0" fontId="6" fillId="14" borderId="0" applyNumberFormat="0" applyBorder="0" applyAlignment="0" applyProtection="0"/>
    <xf numFmtId="0" fontId="6" fillId="11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6" borderId="0" applyNumberFormat="0" applyBorder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9" borderId="0" applyNumberFormat="0" applyBorder="0" applyAlignment="0" applyProtection="0"/>
    <xf numFmtId="0" fontId="5" fillId="8" borderId="0" applyNumberFormat="0" applyBorder="0" applyAlignment="0" applyProtection="0"/>
    <xf numFmtId="0" fontId="5" fillId="7" borderId="0" applyNumberFormat="0" applyBorder="0" applyAlignment="0" applyProtection="0"/>
    <xf numFmtId="0" fontId="5" fillId="5" borderId="0" applyNumberFormat="0" applyBorder="0" applyAlignment="0" applyProtection="0"/>
    <xf numFmtId="0" fontId="5" fillId="4" borderId="0" applyNumberFormat="0" applyBorder="0" applyAlignment="0" applyProtection="0"/>
    <xf numFmtId="0" fontId="5" fillId="3" borderId="0" applyNumberFormat="0" applyBorder="0" applyAlignment="0" applyProtection="0"/>
    <xf numFmtId="0" fontId="82" fillId="0" borderId="0" applyNumberFormat="0" applyFill="0" applyBorder="0" applyAlignment="0" applyProtection="0"/>
    <xf numFmtId="0" fontId="5" fillId="6" borderId="0" applyNumberFormat="0" applyBorder="0" applyAlignment="0" applyProtection="0"/>
    <xf numFmtId="165" fontId="3" fillId="0" borderId="0" applyFont="0" applyFill="0" applyBorder="0" applyAlignment="0" applyProtection="0"/>
    <xf numFmtId="0" fontId="20" fillId="0" borderId="14" applyNumberFormat="0" applyFill="0" applyAlignment="0" applyProtection="0"/>
    <xf numFmtId="0" fontId="21" fillId="0" borderId="15" applyNumberFormat="0" applyFill="0" applyAlignment="0" applyProtection="0"/>
    <xf numFmtId="0" fontId="21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0" fontId="84" fillId="0" borderId="0"/>
    <xf numFmtId="0" fontId="3" fillId="0" borderId="0"/>
    <xf numFmtId="165" fontId="3" fillId="0" borderId="0" applyFont="0" applyFill="0" applyBorder="0" applyAlignment="0" applyProtection="0"/>
    <xf numFmtId="0" fontId="84" fillId="0" borderId="0"/>
    <xf numFmtId="0" fontId="3" fillId="0" borderId="0"/>
    <xf numFmtId="0" fontId="84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84" fillId="0" borderId="0"/>
    <xf numFmtId="0" fontId="84" fillId="0" borderId="0"/>
    <xf numFmtId="0" fontId="84" fillId="0" borderId="0"/>
    <xf numFmtId="165" fontId="84" fillId="0" borderId="0" applyFont="0" applyFill="0" applyBorder="0" applyAlignment="0" applyProtection="0"/>
    <xf numFmtId="0" fontId="3" fillId="0" borderId="0"/>
    <xf numFmtId="0" fontId="3" fillId="0" borderId="0"/>
    <xf numFmtId="0" fontId="84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84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84" fillId="0" borderId="0"/>
    <xf numFmtId="0" fontId="3" fillId="0" borderId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22" fillId="0" borderId="1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165" fontId="3" fillId="0" borderId="0" applyFont="0" applyFill="0" applyBorder="0" applyAlignment="0" applyProtection="0"/>
    <xf numFmtId="0" fontId="22" fillId="0" borderId="16" applyNumberFormat="0" applyFill="0" applyAlignment="0" applyProtection="0"/>
    <xf numFmtId="165" fontId="3" fillId="0" borderId="0" applyFont="0" applyFill="0" applyBorder="0" applyAlignment="0" applyProtection="0"/>
    <xf numFmtId="0" fontId="22" fillId="0" borderId="16" applyNumberFormat="0" applyFill="0" applyAlignment="0" applyProtection="0"/>
    <xf numFmtId="165" fontId="3" fillId="0" borderId="0" applyFont="0" applyFill="0" applyBorder="0" applyAlignment="0" applyProtection="0"/>
    <xf numFmtId="0" fontId="22" fillId="0" borderId="16" applyNumberFormat="0" applyFill="0" applyAlignment="0" applyProtection="0"/>
    <xf numFmtId="0" fontId="83" fillId="0" borderId="0" applyNumberFormat="0" applyFill="0" applyBorder="0" applyAlignment="0" applyProtection="0"/>
    <xf numFmtId="0" fontId="22" fillId="0" borderId="16" applyNumberFormat="0" applyFill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22" fillId="0" borderId="16" applyNumberFormat="0" applyFill="0" applyAlignment="0" applyProtection="0"/>
    <xf numFmtId="0" fontId="83" fillId="0" borderId="0" applyNumberFormat="0" applyFill="0" applyBorder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82" fillId="0" borderId="0" applyNumberFormat="0" applyFill="0" applyBorder="0" applyAlignment="0" applyProtection="0"/>
    <xf numFmtId="0" fontId="3" fillId="0" borderId="0"/>
    <xf numFmtId="0" fontId="3" fillId="0" borderId="0"/>
    <xf numFmtId="0" fontId="22" fillId="0" borderId="16" applyNumberFormat="0" applyFill="0" applyAlignment="0" applyProtection="0"/>
    <xf numFmtId="0" fontId="82" fillId="0" borderId="0" applyNumberFormat="0" applyFill="0" applyBorder="0" applyAlignment="0" applyProtection="0"/>
    <xf numFmtId="0" fontId="22" fillId="0" borderId="16" applyNumberFormat="0" applyFill="0" applyAlignment="0" applyProtection="0"/>
    <xf numFmtId="0" fontId="3" fillId="0" borderId="0"/>
    <xf numFmtId="0" fontId="22" fillId="0" borderId="16" applyNumberFormat="0" applyFill="0" applyAlignment="0" applyProtection="0"/>
    <xf numFmtId="0" fontId="3" fillId="0" borderId="0"/>
    <xf numFmtId="0" fontId="82" fillId="0" borderId="0" applyNumberFormat="0" applyFill="0" applyBorder="0" applyAlignment="0" applyProtection="0"/>
    <xf numFmtId="0" fontId="22" fillId="0" borderId="16" applyNumberFormat="0" applyFill="0" applyAlignment="0" applyProtection="0"/>
    <xf numFmtId="0" fontId="83" fillId="0" borderId="0" applyNumberFormat="0" applyFill="0" applyBorder="0" applyAlignment="0" applyProtection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2" fillId="0" borderId="0" applyNumberFormat="0" applyFill="0" applyBorder="0" applyAlignment="0" applyProtection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22" fillId="0" borderId="16" applyNumberFormat="0" applyFill="0" applyAlignment="0" applyProtection="0"/>
    <xf numFmtId="0" fontId="3" fillId="0" borderId="0"/>
    <xf numFmtId="0" fontId="84" fillId="0" borderId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82" fillId="0" borderId="0" applyNumberFormat="0" applyFill="0" applyBorder="0" applyAlignment="0" applyProtection="0"/>
    <xf numFmtId="0" fontId="3" fillId="0" borderId="0"/>
    <xf numFmtId="0" fontId="3" fillId="0" borderId="0"/>
    <xf numFmtId="0" fontId="22" fillId="0" borderId="16" applyNumberFormat="0" applyFill="0" applyAlignment="0" applyProtection="0"/>
    <xf numFmtId="0" fontId="22" fillId="0" borderId="16" applyNumberFormat="0" applyFill="0" applyAlignment="0" applyProtection="0"/>
    <xf numFmtId="0" fontId="82" fillId="0" borderId="0" applyNumberFormat="0" applyFill="0" applyBorder="0" applyAlignment="0" applyProtection="0"/>
    <xf numFmtId="0" fontId="84" fillId="0" borderId="0"/>
    <xf numFmtId="0" fontId="3" fillId="0" borderId="0"/>
    <xf numFmtId="0" fontId="84" fillId="0" borderId="0"/>
    <xf numFmtId="0" fontId="84" fillId="0" borderId="0"/>
    <xf numFmtId="0" fontId="84" fillId="0" borderId="0"/>
    <xf numFmtId="165" fontId="84" fillId="0" borderId="0" applyFont="0" applyFill="0" applyBorder="0" applyAlignment="0" applyProtection="0"/>
    <xf numFmtId="0" fontId="84" fillId="0" borderId="0"/>
    <xf numFmtId="165" fontId="3" fillId="0" borderId="0" applyFont="0" applyFill="0" applyBorder="0" applyAlignment="0" applyProtection="0"/>
    <xf numFmtId="0" fontId="84" fillId="0" borderId="0"/>
    <xf numFmtId="0" fontId="84" fillId="0" borderId="0"/>
    <xf numFmtId="0" fontId="3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3" fillId="0" borderId="0"/>
    <xf numFmtId="0" fontId="84" fillId="0" borderId="0"/>
    <xf numFmtId="0" fontId="84" fillId="0" borderId="0"/>
    <xf numFmtId="0" fontId="3" fillId="0" borderId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5" fillId="32" borderId="70" applyNumberFormat="0" applyFont="0" applyAlignment="0" applyProtection="0"/>
    <xf numFmtId="0" fontId="2" fillId="32" borderId="70" applyNumberFormat="0" applyFont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5" fillId="32" borderId="70" applyNumberFormat="0" applyFont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2" fillId="32" borderId="70" applyNumberFormat="0" applyFont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5" fillId="32" borderId="70" applyNumberFormat="0" applyFont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5" fillId="32" borderId="70" applyNumberFormat="0" applyFont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2" fillId="32" borderId="70" applyNumberFormat="0" applyFont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5" fillId="32" borderId="70" applyNumberFormat="0" applyFont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2" fillId="32" borderId="70" applyNumberFormat="0" applyFont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4" fillId="0" borderId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0" fontId="101" fillId="0" borderId="0"/>
    <xf numFmtId="9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0" fontId="101" fillId="0" borderId="0"/>
    <xf numFmtId="43" fontId="101" fillId="0" borderId="0" applyFont="0" applyFill="0" applyBorder="0" applyAlignment="0" applyProtection="0"/>
  </cellStyleXfs>
  <cellXfs count="1157">
    <xf numFmtId="0" fontId="0" fillId="0" borderId="0" xfId="0"/>
    <xf numFmtId="0" fontId="0" fillId="2" borderId="0" xfId="0" applyFill="1"/>
    <xf numFmtId="2" fontId="25" fillId="2" borderId="27" xfId="1119" applyNumberFormat="1" applyFont="1" applyFill="1" applyBorder="1" applyAlignment="1">
      <alignment horizontal="center" vertical="center" wrapText="1"/>
    </xf>
    <xf numFmtId="2" fontId="25" fillId="2" borderId="27" xfId="1105" applyNumberFormat="1" applyFont="1" applyFill="1" applyBorder="1" applyAlignment="1">
      <alignment horizontal="center" vertical="center"/>
    </xf>
    <xf numFmtId="0" fontId="26" fillId="2" borderId="27" xfId="0" applyFont="1" applyFill="1" applyBorder="1" applyAlignment="1">
      <alignment horizontal="center" vertical="distributed"/>
    </xf>
    <xf numFmtId="0" fontId="26" fillId="2" borderId="27" xfId="0" applyFont="1" applyFill="1" applyBorder="1" applyAlignment="1">
      <alignment horizontal="center" vertical="center"/>
    </xf>
    <xf numFmtId="0" fontId="0" fillId="2" borderId="0" xfId="0" applyFill="1" applyAlignment="1">
      <alignment horizontal="center"/>
    </xf>
    <xf numFmtId="0" fontId="0" fillId="2" borderId="37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39" xfId="0" applyFill="1" applyBorder="1" applyAlignment="1">
      <alignment horizontal="center"/>
    </xf>
    <xf numFmtId="0" fontId="0" fillId="2" borderId="40" xfId="0" applyFill="1" applyBorder="1" applyAlignment="1">
      <alignment horizontal="center"/>
    </xf>
    <xf numFmtId="0" fontId="0" fillId="2" borderId="0" xfId="0" applyFill="1" applyAlignment="1">
      <alignment horizontal="center" vertical="center"/>
    </xf>
    <xf numFmtId="0" fontId="0" fillId="2" borderId="34" xfId="0" applyFill="1" applyBorder="1" applyAlignment="1">
      <alignment horizontal="center" vertical="center"/>
    </xf>
    <xf numFmtId="0" fontId="0" fillId="2" borderId="35" xfId="0" applyFill="1" applyBorder="1" applyAlignment="1">
      <alignment horizontal="center" vertical="center"/>
    </xf>
    <xf numFmtId="0" fontId="0" fillId="25" borderId="0" xfId="0" applyFill="1" applyBorder="1" applyAlignment="1">
      <alignment horizontal="center" vertical="center"/>
    </xf>
    <xf numFmtId="0" fontId="0" fillId="2" borderId="37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25" borderId="38" xfId="0" applyFill="1" applyBorder="1" applyAlignment="1">
      <alignment horizontal="center" vertical="center"/>
    </xf>
    <xf numFmtId="0" fontId="0" fillId="25" borderId="40" xfId="0" applyFill="1" applyBorder="1" applyAlignment="1">
      <alignment horizontal="center" vertical="center"/>
    </xf>
    <xf numFmtId="0" fontId="0" fillId="2" borderId="39" xfId="0" applyFill="1" applyBorder="1" applyAlignment="1">
      <alignment horizontal="center" vertical="center"/>
    </xf>
    <xf numFmtId="0" fontId="0" fillId="2" borderId="40" xfId="0" applyFill="1" applyBorder="1" applyAlignment="1">
      <alignment horizontal="center" vertical="center"/>
    </xf>
    <xf numFmtId="0" fontId="0" fillId="25" borderId="41" xfId="0" applyFill="1" applyBorder="1" applyAlignment="1">
      <alignment horizontal="center" vertical="center"/>
    </xf>
    <xf numFmtId="0" fontId="28" fillId="2" borderId="0" xfId="0" applyFont="1" applyFill="1"/>
    <xf numFmtId="0" fontId="28" fillId="2" borderId="32" xfId="0" applyFont="1" applyFill="1" applyBorder="1"/>
    <xf numFmtId="0" fontId="29" fillId="2" borderId="42" xfId="0" applyFont="1" applyFill="1" applyBorder="1"/>
    <xf numFmtId="0" fontId="28" fillId="2" borderId="42" xfId="0" applyFont="1" applyFill="1" applyBorder="1"/>
    <xf numFmtId="0" fontId="28" fillId="2" borderId="7" xfId="0" applyFont="1" applyFill="1" applyBorder="1"/>
    <xf numFmtId="0" fontId="28" fillId="2" borderId="0" xfId="0" applyFont="1" applyFill="1" applyBorder="1"/>
    <xf numFmtId="0" fontId="29" fillId="2" borderId="0" xfId="0" applyFont="1" applyFill="1" applyBorder="1"/>
    <xf numFmtId="0" fontId="28" fillId="2" borderId="5" xfId="0" applyFont="1" applyFill="1" applyBorder="1"/>
    <xf numFmtId="0" fontId="29" fillId="2" borderId="30" xfId="0" applyFont="1" applyFill="1" applyBorder="1"/>
    <xf numFmtId="0" fontId="28" fillId="2" borderId="30" xfId="0" applyFont="1" applyFill="1" applyBorder="1"/>
    <xf numFmtId="0" fontId="28" fillId="2" borderId="26" xfId="0" applyFont="1" applyFill="1" applyBorder="1"/>
    <xf numFmtId="0" fontId="28" fillId="2" borderId="27" xfId="0" applyFont="1" applyFill="1" applyBorder="1" applyAlignment="1">
      <alignment horizontal="center"/>
    </xf>
    <xf numFmtId="0" fontId="31" fillId="2" borderId="27" xfId="0" applyFont="1" applyFill="1" applyBorder="1" applyAlignment="1">
      <alignment horizontal="center"/>
    </xf>
    <xf numFmtId="3" fontId="28" fillId="2" borderId="33" xfId="0" applyNumberFormat="1" applyFont="1" applyFill="1" applyBorder="1" applyAlignment="1">
      <alignment horizontal="center"/>
    </xf>
    <xf numFmtId="170" fontId="28" fillId="2" borderId="33" xfId="1" applyNumberFormat="1" applyFont="1" applyFill="1" applyBorder="1"/>
    <xf numFmtId="0" fontId="28" fillId="2" borderId="7" xfId="0" applyFont="1" applyFill="1" applyBorder="1" applyAlignment="1">
      <alignment horizontal="left"/>
    </xf>
    <xf numFmtId="0" fontId="28" fillId="2" borderId="0" xfId="0" applyFont="1" applyFill="1" applyBorder="1" applyAlignment="1">
      <alignment horizontal="left"/>
    </xf>
    <xf numFmtId="0" fontId="28" fillId="2" borderId="6" xfId="0" applyFont="1" applyFill="1" applyBorder="1" applyAlignment="1">
      <alignment horizontal="left"/>
    </xf>
    <xf numFmtId="3" fontId="28" fillId="2" borderId="6" xfId="0" applyNumberFormat="1" applyFont="1" applyFill="1" applyBorder="1" applyAlignment="1">
      <alignment horizontal="center"/>
    </xf>
    <xf numFmtId="0" fontId="28" fillId="2" borderId="3" xfId="0" applyFont="1" applyFill="1" applyBorder="1" applyAlignment="1">
      <alignment horizontal="center"/>
    </xf>
    <xf numFmtId="170" fontId="28" fillId="2" borderId="4" xfId="1" applyNumberFormat="1" applyFont="1" applyFill="1" applyBorder="1"/>
    <xf numFmtId="170" fontId="29" fillId="2" borderId="27" xfId="1" applyNumberFormat="1" applyFont="1" applyFill="1" applyBorder="1"/>
    <xf numFmtId="0" fontId="28" fillId="2" borderId="6" xfId="0" applyFont="1" applyFill="1" applyBorder="1" applyAlignment="1">
      <alignment horizontal="center"/>
    </xf>
    <xf numFmtId="10" fontId="28" fillId="2" borderId="33" xfId="0" applyNumberFormat="1" applyFont="1" applyFill="1" applyBorder="1"/>
    <xf numFmtId="0" fontId="28" fillId="2" borderId="33" xfId="0" applyFont="1" applyFill="1" applyBorder="1"/>
    <xf numFmtId="0" fontId="28" fillId="2" borderId="4" xfId="0" applyFont="1" applyFill="1" applyBorder="1"/>
    <xf numFmtId="170" fontId="28" fillId="2" borderId="27" xfId="1" applyNumberFormat="1" applyFont="1" applyFill="1" applyBorder="1"/>
    <xf numFmtId="0" fontId="28" fillId="2" borderId="32" xfId="0" applyFont="1" applyFill="1" applyBorder="1" applyAlignment="1"/>
    <xf numFmtId="0" fontId="28" fillId="2" borderId="42" xfId="0" applyFont="1" applyFill="1" applyBorder="1" applyAlignment="1"/>
    <xf numFmtId="0" fontId="28" fillId="2" borderId="1" xfId="0" applyFont="1" applyFill="1" applyBorder="1" applyAlignment="1"/>
    <xf numFmtId="49" fontId="28" fillId="2" borderId="6" xfId="0" applyNumberFormat="1" applyFont="1" applyFill="1" applyBorder="1" applyAlignment="1">
      <alignment horizontal="center"/>
    </xf>
    <xf numFmtId="0" fontId="28" fillId="2" borderId="33" xfId="0" applyFont="1" applyFill="1" applyBorder="1" applyAlignment="1">
      <alignment horizontal="center"/>
    </xf>
    <xf numFmtId="170" fontId="28" fillId="2" borderId="33" xfId="1" applyNumberFormat="1" applyFont="1" applyFill="1" applyBorder="1" applyAlignment="1">
      <alignment horizontal="center"/>
    </xf>
    <xf numFmtId="171" fontId="28" fillId="2" borderId="33" xfId="1" applyNumberFormat="1" applyFont="1" applyFill="1" applyBorder="1"/>
    <xf numFmtId="0" fontId="28" fillId="2" borderId="0" xfId="0" applyFont="1" applyFill="1" applyBorder="1" applyAlignment="1">
      <alignment horizontal="left" wrapText="1"/>
    </xf>
    <xf numFmtId="0" fontId="28" fillId="2" borderId="6" xfId="0" applyFont="1" applyFill="1" applyBorder="1" applyAlignment="1">
      <alignment horizontal="left" wrapText="1"/>
    </xf>
    <xf numFmtId="49" fontId="28" fillId="2" borderId="3" xfId="0" applyNumberFormat="1" applyFont="1" applyFill="1" applyBorder="1" applyAlignment="1">
      <alignment horizontal="center"/>
    </xf>
    <xf numFmtId="0" fontId="28" fillId="2" borderId="4" xfId="0" applyFont="1" applyFill="1" applyBorder="1" applyAlignment="1">
      <alignment horizontal="center"/>
    </xf>
    <xf numFmtId="170" fontId="28" fillId="2" borderId="4" xfId="1" applyNumberFormat="1" applyFont="1" applyFill="1" applyBorder="1" applyAlignment="1">
      <alignment horizontal="center"/>
    </xf>
    <xf numFmtId="170" fontId="28" fillId="2" borderId="26" xfId="1" applyNumberFormat="1" applyFont="1" applyFill="1" applyBorder="1"/>
    <xf numFmtId="172" fontId="28" fillId="2" borderId="33" xfId="1" applyNumberFormat="1" applyFont="1" applyFill="1" applyBorder="1"/>
    <xf numFmtId="172" fontId="28" fillId="2" borderId="33" xfId="1" applyNumberFormat="1" applyFont="1" applyFill="1" applyBorder="1" applyAlignment="1">
      <alignment horizontal="center"/>
    </xf>
    <xf numFmtId="165" fontId="29" fillId="2" borderId="26" xfId="0" applyNumberFormat="1" applyFont="1" applyFill="1" applyBorder="1"/>
    <xf numFmtId="0" fontId="28" fillId="2" borderId="42" xfId="0" applyFont="1" applyFill="1" applyBorder="1" applyAlignment="1">
      <alignment horizontal="left"/>
    </xf>
    <xf numFmtId="0" fontId="28" fillId="2" borderId="42" xfId="0" applyFont="1" applyFill="1" applyBorder="1" applyAlignment="1">
      <alignment horizontal="right"/>
    </xf>
    <xf numFmtId="10" fontId="28" fillId="2" borderId="23" xfId="0" applyNumberFormat="1" applyFont="1" applyFill="1" applyBorder="1" applyAlignment="1">
      <alignment horizontal="left"/>
    </xf>
    <xf numFmtId="0" fontId="28" fillId="2" borderId="23" xfId="0" applyFont="1" applyFill="1" applyBorder="1"/>
    <xf numFmtId="0" fontId="28" fillId="2" borderId="23" xfId="0" applyFont="1" applyFill="1" applyBorder="1" applyAlignment="1">
      <alignment horizontal="right"/>
    </xf>
    <xf numFmtId="0" fontId="29" fillId="2" borderId="23" xfId="0" applyFont="1" applyFill="1" applyBorder="1" applyAlignment="1">
      <alignment horizontal="left"/>
    </xf>
    <xf numFmtId="0" fontId="29" fillId="2" borderId="23" xfId="0" applyFont="1" applyFill="1" applyBorder="1"/>
    <xf numFmtId="0" fontId="29" fillId="2" borderId="23" xfId="0" applyFont="1" applyFill="1" applyBorder="1" applyAlignment="1">
      <alignment horizontal="right"/>
    </xf>
    <xf numFmtId="171" fontId="32" fillId="2" borderId="6" xfId="1" applyNumberFormat="1" applyFont="1" applyFill="1" applyBorder="1"/>
    <xf numFmtId="43" fontId="29" fillId="2" borderId="3" xfId="0" applyNumberFormat="1" applyFont="1" applyFill="1" applyBorder="1"/>
    <xf numFmtId="0" fontId="28" fillId="2" borderId="7" xfId="0" applyFont="1" applyFill="1" applyBorder="1" applyAlignment="1">
      <alignment horizontal="left"/>
    </xf>
    <xf numFmtId="0" fontId="28" fillId="2" borderId="0" xfId="0" applyFont="1" applyFill="1" applyBorder="1" applyAlignment="1">
      <alignment horizontal="left"/>
    </xf>
    <xf numFmtId="0" fontId="28" fillId="2" borderId="6" xfId="0" applyFont="1" applyFill="1" applyBorder="1" applyAlignment="1">
      <alignment horizontal="left"/>
    </xf>
    <xf numFmtId="0" fontId="29" fillId="2" borderId="23" xfId="0" applyFont="1" applyFill="1" applyBorder="1" applyAlignment="1">
      <alignment horizontal="right"/>
    </xf>
    <xf numFmtId="0" fontId="29" fillId="2" borderId="23" xfId="0" applyFont="1" applyFill="1" applyBorder="1" applyAlignment="1">
      <alignment horizontal="left"/>
    </xf>
    <xf numFmtId="0" fontId="28" fillId="2" borderId="0" xfId="0" applyFont="1" applyFill="1" applyBorder="1" applyAlignment="1">
      <alignment horizontal="left" wrapText="1"/>
    </xf>
    <xf numFmtId="0" fontId="28" fillId="2" borderId="6" xfId="0" applyFont="1" applyFill="1" applyBorder="1" applyAlignment="1">
      <alignment horizontal="left" wrapText="1"/>
    </xf>
    <xf numFmtId="0" fontId="29" fillId="2" borderId="45" xfId="0" applyFont="1" applyFill="1" applyBorder="1"/>
    <xf numFmtId="0" fontId="28" fillId="2" borderId="45" xfId="0" applyFont="1" applyFill="1" applyBorder="1"/>
    <xf numFmtId="0" fontId="28" fillId="2" borderId="1" xfId="0" applyFont="1" applyFill="1" applyBorder="1"/>
    <xf numFmtId="0" fontId="29" fillId="2" borderId="0" xfId="0" applyFont="1" applyFill="1" applyBorder="1" applyAlignment="1"/>
    <xf numFmtId="0" fontId="28" fillId="2" borderId="6" xfId="0" applyFont="1" applyFill="1" applyBorder="1"/>
    <xf numFmtId="0" fontId="28" fillId="2" borderId="3" xfId="0" applyFont="1" applyFill="1" applyBorder="1"/>
    <xf numFmtId="173" fontId="28" fillId="2" borderId="4" xfId="1" applyNumberFormat="1" applyFont="1" applyFill="1" applyBorder="1"/>
    <xf numFmtId="0" fontId="28" fillId="2" borderId="45" xfId="0" applyFont="1" applyFill="1" applyBorder="1" applyAlignment="1"/>
    <xf numFmtId="165" fontId="28" fillId="2" borderId="33" xfId="1" applyNumberFormat="1" applyFont="1" applyFill="1" applyBorder="1"/>
    <xf numFmtId="0" fontId="28" fillId="2" borderId="45" xfId="0" applyFont="1" applyFill="1" applyBorder="1" applyAlignment="1">
      <alignment horizontal="left"/>
    </xf>
    <xf numFmtId="0" fontId="28" fillId="2" borderId="45" xfId="0" applyFont="1" applyFill="1" applyBorder="1" applyAlignment="1">
      <alignment horizontal="right"/>
    </xf>
    <xf numFmtId="170" fontId="28" fillId="2" borderId="0" xfId="0" applyNumberFormat="1" applyFont="1" applyFill="1"/>
    <xf numFmtId="0" fontId="28" fillId="2" borderId="7" xfId="0" applyFont="1" applyFill="1" applyBorder="1" applyAlignment="1">
      <alignment horizontal="left"/>
    </xf>
    <xf numFmtId="0" fontId="28" fillId="2" borderId="0" xfId="0" applyFont="1" applyFill="1" applyBorder="1" applyAlignment="1">
      <alignment horizontal="left"/>
    </xf>
    <xf numFmtId="0" fontId="28" fillId="2" borderId="6" xfId="0" applyFont="1" applyFill="1" applyBorder="1" applyAlignment="1">
      <alignment horizontal="left"/>
    </xf>
    <xf numFmtId="0" fontId="29" fillId="2" borderId="23" xfId="0" applyFont="1" applyFill="1" applyBorder="1" applyAlignment="1">
      <alignment horizontal="right"/>
    </xf>
    <xf numFmtId="0" fontId="29" fillId="2" borderId="23" xfId="0" applyFont="1" applyFill="1" applyBorder="1" applyAlignment="1">
      <alignment horizontal="left"/>
    </xf>
    <xf numFmtId="0" fontId="28" fillId="2" borderId="7" xfId="0" applyFont="1" applyFill="1" applyBorder="1" applyAlignment="1">
      <alignment horizontal="left" wrapText="1"/>
    </xf>
    <xf numFmtId="0" fontId="28" fillId="2" borderId="0" xfId="0" applyFont="1" applyFill="1" applyBorder="1" applyAlignment="1">
      <alignment horizontal="left" wrapText="1"/>
    </xf>
    <xf numFmtId="0" fontId="28" fillId="2" borderId="6" xfId="0" applyFont="1" applyFill="1" applyBorder="1" applyAlignment="1">
      <alignment horizontal="left" wrapText="1"/>
    </xf>
    <xf numFmtId="0" fontId="28" fillId="2" borderId="42" xfId="0" applyFont="1" applyFill="1" applyBorder="1" applyAlignment="1">
      <alignment horizontal="left"/>
    </xf>
    <xf numFmtId="0" fontId="28" fillId="2" borderId="27" xfId="0" applyFont="1" applyFill="1" applyBorder="1" applyAlignment="1">
      <alignment horizontal="center"/>
    </xf>
    <xf numFmtId="0" fontId="28" fillId="2" borderId="46" xfId="0" applyFont="1" applyFill="1" applyBorder="1" applyAlignment="1"/>
    <xf numFmtId="0" fontId="28" fillId="2" borderId="47" xfId="0" applyFont="1" applyFill="1" applyBorder="1" applyAlignment="1"/>
    <xf numFmtId="175" fontId="28" fillId="2" borderId="26" xfId="1" applyNumberFormat="1" applyFont="1" applyFill="1" applyBorder="1"/>
    <xf numFmtId="0" fontId="28" fillId="2" borderId="7" xfId="0" applyFont="1" applyFill="1" applyBorder="1" applyAlignment="1"/>
    <xf numFmtId="0" fontId="28" fillId="2" borderId="0" xfId="0" applyFont="1" applyFill="1" applyBorder="1" applyAlignment="1"/>
    <xf numFmtId="0" fontId="28" fillId="2" borderId="6" xfId="0" applyFont="1" applyFill="1" applyBorder="1" applyAlignment="1"/>
    <xf numFmtId="9" fontId="28" fillId="2" borderId="33" xfId="677" applyFont="1" applyFill="1" applyBorder="1"/>
    <xf numFmtId="0" fontId="28" fillId="2" borderId="7" xfId="0" applyFont="1" applyFill="1" applyBorder="1" applyAlignment="1">
      <alignment wrapText="1"/>
    </xf>
    <xf numFmtId="0" fontId="28" fillId="2" borderId="0" xfId="0" applyFont="1" applyFill="1" applyBorder="1" applyAlignment="1">
      <alignment wrapText="1"/>
    </xf>
    <xf numFmtId="0" fontId="28" fillId="2" borderId="6" xfId="0" applyFont="1" applyFill="1" applyBorder="1" applyAlignment="1">
      <alignment wrapText="1"/>
    </xf>
    <xf numFmtId="0" fontId="28" fillId="2" borderId="6" xfId="0" applyNumberFormat="1" applyFont="1" applyFill="1" applyBorder="1" applyAlignment="1">
      <alignment horizontal="center"/>
    </xf>
    <xf numFmtId="0" fontId="28" fillId="2" borderId="5" xfId="0" applyFont="1" applyFill="1" applyBorder="1" applyAlignment="1"/>
    <xf numFmtId="0" fontId="28" fillId="2" borderId="30" xfId="0" applyFont="1" applyFill="1" applyBorder="1" applyAlignment="1"/>
    <xf numFmtId="0" fontId="28" fillId="2" borderId="3" xfId="0" applyFont="1" applyFill="1" applyBorder="1" applyAlignment="1"/>
    <xf numFmtId="175" fontId="28" fillId="2" borderId="33" xfId="1" applyNumberFormat="1" applyFont="1" applyFill="1" applyBorder="1" applyAlignment="1">
      <alignment horizontal="center"/>
    </xf>
    <xf numFmtId="175" fontId="28" fillId="2" borderId="33" xfId="1" applyNumberFormat="1" applyFont="1" applyFill="1" applyBorder="1"/>
    <xf numFmtId="0" fontId="37" fillId="2" borderId="27" xfId="0" applyFont="1" applyFill="1" applyBorder="1" applyAlignment="1">
      <alignment horizontal="center"/>
    </xf>
    <xf numFmtId="0" fontId="39" fillId="2" borderId="27" xfId="0" applyFont="1" applyFill="1" applyBorder="1" applyAlignment="1">
      <alignment horizontal="center"/>
    </xf>
    <xf numFmtId="3" fontId="37" fillId="2" borderId="33" xfId="0" applyNumberFormat="1" applyFont="1" applyFill="1" applyBorder="1" applyAlignment="1">
      <alignment horizontal="center"/>
    </xf>
    <xf numFmtId="170" fontId="37" fillId="2" borderId="33" xfId="1" applyNumberFormat="1" applyFont="1" applyFill="1" applyBorder="1"/>
    <xf numFmtId="3" fontId="37" fillId="2" borderId="6" xfId="0" applyNumberFormat="1" applyFont="1" applyFill="1" applyBorder="1" applyAlignment="1">
      <alignment horizontal="center"/>
    </xf>
    <xf numFmtId="0" fontId="37" fillId="2" borderId="7" xfId="0" applyFont="1" applyFill="1" applyBorder="1" applyAlignment="1">
      <alignment horizontal="left"/>
    </xf>
    <xf numFmtId="0" fontId="37" fillId="2" borderId="0" xfId="0" applyFont="1" applyFill="1" applyBorder="1" applyAlignment="1">
      <alignment horizontal="left"/>
    </xf>
    <xf numFmtId="0" fontId="37" fillId="2" borderId="6" xfId="0" applyFont="1" applyFill="1" applyBorder="1" applyAlignment="1">
      <alignment horizontal="left"/>
    </xf>
    <xf numFmtId="9" fontId="37" fillId="2" borderId="33" xfId="677" applyFont="1" applyFill="1" applyBorder="1"/>
    <xf numFmtId="0" fontId="37" fillId="2" borderId="7" xfId="0" applyFont="1" applyFill="1" applyBorder="1" applyAlignment="1">
      <alignment horizontal="left"/>
    </xf>
    <xf numFmtId="0" fontId="37" fillId="2" borderId="0" xfId="0" applyFont="1" applyFill="1" applyBorder="1" applyAlignment="1">
      <alignment horizontal="left"/>
    </xf>
    <xf numFmtId="0" fontId="37" fillId="2" borderId="6" xfId="0" applyFont="1" applyFill="1" applyBorder="1" applyAlignment="1">
      <alignment horizontal="left"/>
    </xf>
    <xf numFmtId="0" fontId="37" fillId="2" borderId="5" xfId="0" applyFont="1" applyFill="1" applyBorder="1" applyAlignment="1">
      <alignment horizontal="left"/>
    </xf>
    <xf numFmtId="0" fontId="37" fillId="2" borderId="30" xfId="0" applyFont="1" applyFill="1" applyBorder="1" applyAlignment="1">
      <alignment horizontal="left"/>
    </xf>
    <xf numFmtId="0" fontId="37" fillId="2" borderId="3" xfId="0" applyFont="1" applyFill="1" applyBorder="1" applyAlignment="1">
      <alignment horizontal="center"/>
    </xf>
    <xf numFmtId="170" fontId="37" fillId="2" borderId="4" xfId="1" applyNumberFormat="1" applyFont="1" applyFill="1" applyBorder="1"/>
    <xf numFmtId="170" fontId="40" fillId="2" borderId="27" xfId="1" applyNumberFormat="1" applyFont="1" applyFill="1" applyBorder="1"/>
    <xf numFmtId="0" fontId="37" fillId="2" borderId="6" xfId="0" applyFont="1" applyFill="1" applyBorder="1" applyAlignment="1">
      <alignment horizontal="center"/>
    </xf>
    <xf numFmtId="10" fontId="37" fillId="2" borderId="33" xfId="0" applyNumberFormat="1" applyFont="1" applyFill="1" applyBorder="1"/>
    <xf numFmtId="0" fontId="37" fillId="2" borderId="7" xfId="0" applyFont="1" applyFill="1" applyBorder="1" applyAlignment="1"/>
    <xf numFmtId="0" fontId="37" fillId="2" borderId="0" xfId="0" applyFont="1" applyFill="1" applyBorder="1" applyAlignment="1"/>
    <xf numFmtId="0" fontId="37" fillId="2" borderId="6" xfId="0" applyFont="1" applyFill="1" applyBorder="1" applyAlignment="1"/>
    <xf numFmtId="0" fontId="37" fillId="2" borderId="33" xfId="0" applyFont="1" applyFill="1" applyBorder="1"/>
    <xf numFmtId="0" fontId="37" fillId="2" borderId="4" xfId="0" applyFont="1" applyFill="1" applyBorder="1"/>
    <xf numFmtId="170" fontId="37" fillId="2" borderId="27" xfId="1" applyNumberFormat="1" applyFont="1" applyFill="1" applyBorder="1"/>
    <xf numFmtId="170" fontId="37" fillId="2" borderId="33" xfId="1" applyNumberFormat="1" applyFont="1" applyFill="1" applyBorder="1" applyAlignment="1">
      <alignment horizontal="center"/>
    </xf>
    <xf numFmtId="171" fontId="37" fillId="2" borderId="33" xfId="1" applyNumberFormat="1" applyFont="1" applyFill="1" applyBorder="1"/>
    <xf numFmtId="0" fontId="37" fillId="2" borderId="6" xfId="0" applyNumberFormat="1" applyFont="1" applyFill="1" applyBorder="1" applyAlignment="1">
      <alignment horizontal="center"/>
    </xf>
    <xf numFmtId="49" fontId="37" fillId="2" borderId="6" xfId="0" applyNumberFormat="1" applyFont="1" applyFill="1" applyBorder="1" applyAlignment="1">
      <alignment horizontal="center"/>
    </xf>
    <xf numFmtId="0" fontId="37" fillId="2" borderId="7" xfId="0" applyFont="1" applyFill="1" applyBorder="1" applyAlignment="1">
      <alignment wrapText="1"/>
    </xf>
    <xf numFmtId="0" fontId="37" fillId="2" borderId="0" xfId="0" applyFont="1" applyFill="1" applyBorder="1" applyAlignment="1">
      <alignment wrapText="1"/>
    </xf>
    <xf numFmtId="0" fontId="37" fillId="2" borderId="6" xfId="0" applyFont="1" applyFill="1" applyBorder="1" applyAlignment="1">
      <alignment wrapText="1"/>
    </xf>
    <xf numFmtId="0" fontId="37" fillId="2" borderId="33" xfId="0" applyFont="1" applyFill="1" applyBorder="1" applyAlignment="1">
      <alignment horizontal="center"/>
    </xf>
    <xf numFmtId="0" fontId="37" fillId="2" borderId="0" xfId="0" applyFont="1" applyFill="1" applyBorder="1" applyAlignment="1">
      <alignment horizontal="left" wrapText="1"/>
    </xf>
    <xf numFmtId="0" fontId="37" fillId="2" borderId="6" xfId="0" applyFont="1" applyFill="1" applyBorder="1" applyAlignment="1">
      <alignment horizontal="left" wrapText="1"/>
    </xf>
    <xf numFmtId="49" fontId="37" fillId="2" borderId="3" xfId="0" applyNumberFormat="1" applyFont="1" applyFill="1" applyBorder="1" applyAlignment="1">
      <alignment horizontal="center"/>
    </xf>
    <xf numFmtId="0" fontId="37" fillId="2" borderId="4" xfId="0" applyFont="1" applyFill="1" applyBorder="1" applyAlignment="1">
      <alignment horizontal="center"/>
    </xf>
    <xf numFmtId="170" fontId="37" fillId="2" borderId="4" xfId="1" applyNumberFormat="1" applyFont="1" applyFill="1" applyBorder="1" applyAlignment="1">
      <alignment horizontal="center"/>
    </xf>
    <xf numFmtId="0" fontId="37" fillId="2" borderId="32" xfId="0" applyFont="1" applyFill="1" applyBorder="1" applyAlignment="1"/>
    <xf numFmtId="0" fontId="37" fillId="2" borderId="46" xfId="0" applyFont="1" applyFill="1" applyBorder="1" applyAlignment="1"/>
    <xf numFmtId="0" fontId="37" fillId="2" borderId="47" xfId="0" applyFont="1" applyFill="1" applyBorder="1" applyAlignment="1"/>
    <xf numFmtId="175" fontId="37" fillId="2" borderId="26" xfId="1" applyNumberFormat="1" applyFont="1" applyFill="1" applyBorder="1"/>
    <xf numFmtId="170" fontId="37" fillId="2" borderId="26" xfId="1" applyNumberFormat="1" applyFont="1" applyFill="1" applyBorder="1"/>
    <xf numFmtId="172" fontId="37" fillId="2" borderId="33" xfId="1" applyNumberFormat="1" applyFont="1" applyFill="1" applyBorder="1"/>
    <xf numFmtId="175" fontId="37" fillId="2" borderId="33" xfId="1" applyNumberFormat="1" applyFont="1" applyFill="1" applyBorder="1" applyAlignment="1">
      <alignment horizontal="center"/>
    </xf>
    <xf numFmtId="172" fontId="37" fillId="2" borderId="33" xfId="1" applyNumberFormat="1" applyFont="1" applyFill="1" applyBorder="1" applyAlignment="1">
      <alignment horizontal="center"/>
    </xf>
    <xf numFmtId="175" fontId="37" fillId="2" borderId="33" xfId="1" applyNumberFormat="1" applyFont="1" applyFill="1" applyBorder="1"/>
    <xf numFmtId="0" fontId="37" fillId="2" borderId="5" xfId="0" applyFont="1" applyFill="1" applyBorder="1" applyAlignment="1"/>
    <xf numFmtId="0" fontId="37" fillId="2" borderId="30" xfId="0" applyFont="1" applyFill="1" applyBorder="1" applyAlignment="1"/>
    <xf numFmtId="0" fontId="37" fillId="2" borderId="3" xfId="0" applyFont="1" applyFill="1" applyBorder="1" applyAlignment="1"/>
    <xf numFmtId="165" fontId="40" fillId="2" borderId="26" xfId="0" applyNumberFormat="1" applyFont="1" applyFill="1" applyBorder="1"/>
    <xf numFmtId="0" fontId="37" fillId="2" borderId="42" xfId="0" applyFont="1" applyFill="1" applyBorder="1" applyAlignment="1">
      <alignment horizontal="left"/>
    </xf>
    <xf numFmtId="0" fontId="37" fillId="2" borderId="42" xfId="0" applyFont="1" applyFill="1" applyBorder="1"/>
    <xf numFmtId="0" fontId="37" fillId="2" borderId="42" xfId="0" applyFont="1" applyFill="1" applyBorder="1" applyAlignment="1">
      <alignment horizontal="right"/>
    </xf>
    <xf numFmtId="10" fontId="37" fillId="2" borderId="23" xfId="0" applyNumberFormat="1" applyFont="1" applyFill="1" applyBorder="1" applyAlignment="1">
      <alignment horizontal="left"/>
    </xf>
    <xf numFmtId="0" fontId="37" fillId="2" borderId="23" xfId="0" applyFont="1" applyFill="1" applyBorder="1"/>
    <xf numFmtId="0" fontId="37" fillId="2" borderId="23" xfId="0" applyFont="1" applyFill="1" applyBorder="1" applyAlignment="1">
      <alignment horizontal="right"/>
    </xf>
    <xf numFmtId="0" fontId="40" fillId="2" borderId="23" xfId="0" applyFont="1" applyFill="1" applyBorder="1" applyAlignment="1">
      <alignment horizontal="left"/>
    </xf>
    <xf numFmtId="0" fontId="40" fillId="2" borderId="23" xfId="0" applyFont="1" applyFill="1" applyBorder="1"/>
    <xf numFmtId="0" fontId="40" fillId="2" borderId="23" xfId="0" applyFont="1" applyFill="1" applyBorder="1" applyAlignment="1">
      <alignment horizontal="right"/>
    </xf>
    <xf numFmtId="0" fontId="37" fillId="2" borderId="32" xfId="0" applyFont="1" applyFill="1" applyBorder="1"/>
    <xf numFmtId="0" fontId="40" fillId="2" borderId="42" xfId="0" applyFont="1" applyFill="1" applyBorder="1"/>
    <xf numFmtId="171" fontId="41" fillId="2" borderId="6" xfId="1" applyNumberFormat="1" applyFont="1" applyFill="1" applyBorder="1"/>
    <xf numFmtId="0" fontId="37" fillId="2" borderId="26" xfId="0" applyFont="1" applyFill="1" applyBorder="1"/>
    <xf numFmtId="0" fontId="37" fillId="2" borderId="0" xfId="0" applyFont="1" applyFill="1"/>
    <xf numFmtId="0" fontId="37" fillId="2" borderId="48" xfId="0" applyFont="1" applyFill="1" applyBorder="1" applyAlignment="1"/>
    <xf numFmtId="0" fontId="37" fillId="2" borderId="1" xfId="0" applyFont="1" applyFill="1" applyBorder="1" applyAlignment="1"/>
    <xf numFmtId="0" fontId="37" fillId="2" borderId="30" xfId="0" applyFont="1" applyFill="1" applyBorder="1" applyAlignment="1">
      <alignment horizontal="center"/>
    </xf>
    <xf numFmtId="0" fontId="37" fillId="2" borderId="30" xfId="0" applyFont="1" applyFill="1" applyBorder="1"/>
    <xf numFmtId="170" fontId="37" fillId="2" borderId="30" xfId="1" applyNumberFormat="1" applyFont="1" applyFill="1" applyBorder="1"/>
    <xf numFmtId="170" fontId="37" fillId="2" borderId="3" xfId="1" applyNumberFormat="1" applyFont="1" applyFill="1" applyBorder="1"/>
    <xf numFmtId="0" fontId="37" fillId="2" borderId="42" xfId="0" applyFont="1" applyFill="1" applyBorder="1" applyAlignment="1"/>
    <xf numFmtId="0" fontId="37" fillId="2" borderId="7" xfId="0" applyFont="1" applyFill="1" applyBorder="1"/>
    <xf numFmtId="0" fontId="37" fillId="2" borderId="0" xfId="0" applyFont="1" applyFill="1" applyBorder="1"/>
    <xf numFmtId="0" fontId="40" fillId="2" borderId="0" xfId="0" applyFont="1" applyFill="1" applyBorder="1"/>
    <xf numFmtId="0" fontId="37" fillId="2" borderId="5" xfId="0" applyFont="1" applyFill="1" applyBorder="1"/>
    <xf numFmtId="0" fontId="40" fillId="2" borderId="30" xfId="0" applyFont="1" applyFill="1" applyBorder="1"/>
    <xf numFmtId="43" fontId="40" fillId="2" borderId="3" xfId="0" applyNumberFormat="1" applyFont="1" applyFill="1" applyBorder="1"/>
    <xf numFmtId="0" fontId="0" fillId="0" borderId="0" xfId="0" applyFill="1"/>
    <xf numFmtId="0" fontId="28" fillId="2" borderId="0" xfId="0" applyFont="1" applyFill="1" applyBorder="1" applyAlignment="1">
      <alignment horizontal="left" vertical="center"/>
    </xf>
    <xf numFmtId="0" fontId="42" fillId="2" borderId="0" xfId="0" applyFont="1" applyFill="1" applyBorder="1" applyAlignment="1">
      <alignment horizontal="left" vertical="center"/>
    </xf>
    <xf numFmtId="43" fontId="0" fillId="0" borderId="0" xfId="1" applyFont="1" applyFill="1"/>
    <xf numFmtId="43" fontId="1" fillId="0" borderId="0" xfId="1" applyFont="1" applyFill="1"/>
    <xf numFmtId="174" fontId="28" fillId="2" borderId="57" xfId="0" applyNumberFormat="1" applyFont="1" applyFill="1" applyBorder="1" applyAlignment="1">
      <alignment horizontal="center" vertical="center"/>
    </xf>
    <xf numFmtId="0" fontId="64" fillId="0" borderId="0" xfId="0" applyFont="1" applyAlignment="1">
      <alignment horizontal="right"/>
    </xf>
    <xf numFmtId="0" fontId="69" fillId="0" borderId="0" xfId="0" applyFont="1" applyAlignment="1"/>
    <xf numFmtId="0" fontId="69" fillId="0" borderId="0" xfId="0" applyFont="1" applyAlignment="1">
      <alignment horizontal="center"/>
    </xf>
    <xf numFmtId="0" fontId="69" fillId="0" borderId="0" xfId="0" applyFont="1"/>
    <xf numFmtId="0" fontId="69" fillId="0" borderId="0" xfId="0" applyFont="1" applyAlignment="1">
      <alignment horizontal="center" vertical="center" wrapText="1"/>
    </xf>
    <xf numFmtId="0" fontId="69" fillId="0" borderId="0" xfId="0" applyFont="1" applyAlignment="1">
      <alignment horizontal="left" vertical="center"/>
    </xf>
    <xf numFmtId="0" fontId="69" fillId="0" borderId="0" xfId="0" applyFont="1" applyAlignment="1">
      <alignment horizontal="center" vertical="top" wrapText="1"/>
    </xf>
    <xf numFmtId="0" fontId="69" fillId="0" borderId="0" xfId="0" applyFont="1" applyAlignment="1">
      <alignment horizontal="left" vertical="top" wrapText="1"/>
    </xf>
    <xf numFmtId="0" fontId="69" fillId="0" borderId="0" xfId="0" applyFont="1" applyAlignment="1">
      <alignment horizontal="right" vertical="center" wrapText="1"/>
    </xf>
    <xf numFmtId="0" fontId="69" fillId="0" borderId="0" xfId="0" applyFont="1" applyAlignment="1">
      <alignment horizontal="left" vertical="center" wrapText="1"/>
    </xf>
    <xf numFmtId="0" fontId="60" fillId="0" borderId="0" xfId="0" applyFont="1" applyAlignment="1"/>
    <xf numFmtId="0" fontId="60" fillId="2" borderId="0" xfId="48463" applyFont="1" applyFill="1" applyBorder="1" applyAlignment="1"/>
    <xf numFmtId="0" fontId="68" fillId="2" borderId="0" xfId="48463" applyFont="1" applyFill="1" applyBorder="1" applyAlignment="1"/>
    <xf numFmtId="0" fontId="64" fillId="2" borderId="0" xfId="48463" applyFont="1" applyFill="1" applyBorder="1" applyAlignment="1"/>
    <xf numFmtId="0" fontId="64" fillId="0" borderId="0" xfId="0" applyFont="1" applyAlignment="1">
      <alignment vertical="center"/>
    </xf>
    <xf numFmtId="0" fontId="69" fillId="0" borderId="0" xfId="0" applyFont="1" applyAlignment="1">
      <alignment vertical="center"/>
    </xf>
    <xf numFmtId="0" fontId="64" fillId="0" borderId="0" xfId="0" applyFont="1" applyAlignment="1">
      <alignment vertical="center" wrapText="1"/>
    </xf>
    <xf numFmtId="0" fontId="69" fillId="0" borderId="0" xfId="0" applyFont="1" applyAlignment="1">
      <alignment horizontal="center" vertical="center"/>
    </xf>
    <xf numFmtId="0" fontId="71" fillId="2" borderId="27" xfId="48463" applyFont="1" applyFill="1" applyBorder="1" applyAlignment="1">
      <alignment horizontal="center" vertical="center"/>
    </xf>
    <xf numFmtId="0" fontId="71" fillId="2" borderId="27" xfId="48463" applyFont="1" applyFill="1" applyBorder="1" applyAlignment="1">
      <alignment horizontal="right" vertical="center"/>
    </xf>
    <xf numFmtId="0" fontId="72" fillId="2" borderId="26" xfId="48463" applyFont="1" applyFill="1" applyBorder="1" applyAlignment="1">
      <alignment horizontal="center" vertical="center" wrapText="1"/>
    </xf>
    <xf numFmtId="0" fontId="72" fillId="2" borderId="26" xfId="48463" applyFont="1" applyFill="1" applyBorder="1" applyAlignment="1">
      <alignment horizontal="right" vertical="center"/>
    </xf>
    <xf numFmtId="0" fontId="72" fillId="2" borderId="33" xfId="48463" applyNumberFormat="1" applyFont="1" applyFill="1" applyBorder="1" applyAlignment="1">
      <alignment horizontal="center" vertical="center" wrapText="1"/>
    </xf>
    <xf numFmtId="0" fontId="72" fillId="2" borderId="33" xfId="48463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left" vertical="center"/>
    </xf>
    <xf numFmtId="0" fontId="28" fillId="2" borderId="0" xfId="0" applyFont="1" applyFill="1" applyBorder="1" applyAlignment="1">
      <alignment horizontal="center" vertical="center"/>
    </xf>
    <xf numFmtId="0" fontId="29" fillId="2" borderId="0" xfId="0" applyFont="1" applyFill="1" applyBorder="1" applyAlignment="1">
      <alignment horizontal="right" vertical="center"/>
    </xf>
    <xf numFmtId="0" fontId="29" fillId="2" borderId="49" xfId="0" applyFont="1" applyFill="1" applyBorder="1" applyAlignment="1">
      <alignment horizontal="left" vertical="center" wrapText="1"/>
    </xf>
    <xf numFmtId="0" fontId="29" fillId="2" borderId="49" xfId="0" applyFont="1" applyFill="1" applyBorder="1" applyAlignment="1">
      <alignment horizontal="center" vertical="center" wrapText="1"/>
    </xf>
    <xf numFmtId="0" fontId="28" fillId="2" borderId="51" xfId="0" applyFont="1" applyFill="1" applyBorder="1" applyAlignment="1">
      <alignment horizontal="left" vertical="center" wrapText="1"/>
    </xf>
    <xf numFmtId="0" fontId="28" fillId="2" borderId="57" xfId="0" applyFont="1" applyFill="1" applyBorder="1" applyAlignment="1">
      <alignment horizontal="center" vertical="center"/>
    </xf>
    <xf numFmtId="43" fontId="28" fillId="2" borderId="57" xfId="1" applyFont="1" applyFill="1" applyBorder="1" applyAlignment="1">
      <alignment horizontal="center" vertical="center"/>
    </xf>
    <xf numFmtId="174" fontId="28" fillId="2" borderId="49" xfId="0" applyNumberFormat="1" applyFont="1" applyFill="1" applyBorder="1" applyAlignment="1">
      <alignment horizontal="center" vertical="center"/>
    </xf>
    <xf numFmtId="43" fontId="28" fillId="2" borderId="57" xfId="1" applyFont="1" applyFill="1" applyBorder="1" applyAlignment="1">
      <alignment horizontal="right" vertical="center"/>
    </xf>
    <xf numFmtId="168" fontId="28" fillId="2" borderId="57" xfId="0" applyNumberFormat="1" applyFont="1" applyFill="1" applyBorder="1" applyAlignment="1">
      <alignment horizontal="right" vertical="center"/>
    </xf>
    <xf numFmtId="43" fontId="28" fillId="2" borderId="57" xfId="1" applyFont="1" applyFill="1" applyBorder="1" applyAlignment="1">
      <alignment horizontal="left" vertical="center"/>
    </xf>
    <xf numFmtId="0" fontId="28" fillId="2" borderId="51" xfId="0" applyFont="1" applyFill="1" applyBorder="1" applyAlignment="1">
      <alignment horizontal="left" vertical="center"/>
    </xf>
    <xf numFmtId="0" fontId="28" fillId="2" borderId="52" xfId="0" applyFont="1" applyFill="1" applyBorder="1" applyAlignment="1">
      <alignment horizontal="left" vertical="center"/>
    </xf>
    <xf numFmtId="0" fontId="29" fillId="2" borderId="49" xfId="0" applyFont="1" applyFill="1" applyBorder="1" applyAlignment="1">
      <alignment horizontal="left" vertical="center"/>
    </xf>
    <xf numFmtId="0" fontId="29" fillId="2" borderId="49" xfId="0" applyFont="1" applyFill="1" applyBorder="1" applyAlignment="1">
      <alignment horizontal="center" vertical="center"/>
    </xf>
    <xf numFmtId="0" fontId="28" fillId="2" borderId="57" xfId="0" applyFont="1" applyFill="1" applyBorder="1" applyAlignment="1">
      <alignment horizontal="left" vertical="center" wrapText="1"/>
    </xf>
    <xf numFmtId="0" fontId="29" fillId="2" borderId="50" xfId="0" applyFont="1" applyFill="1" applyBorder="1" applyAlignment="1">
      <alignment horizontal="left" vertical="center" wrapText="1"/>
    </xf>
    <xf numFmtId="0" fontId="28" fillId="2" borderId="57" xfId="0" applyFont="1" applyFill="1" applyBorder="1" applyAlignment="1">
      <alignment horizontal="left" vertical="center"/>
    </xf>
    <xf numFmtId="0" fontId="28" fillId="2" borderId="59" xfId="0" applyFont="1" applyFill="1" applyBorder="1" applyAlignment="1">
      <alignment horizontal="left" vertical="center" wrapText="1"/>
    </xf>
    <xf numFmtId="0" fontId="28" fillId="2" borderId="60" xfId="0" applyFont="1" applyFill="1" applyBorder="1" applyAlignment="1">
      <alignment horizontal="center" vertical="center"/>
    </xf>
    <xf numFmtId="0" fontId="28" fillId="2" borderId="60" xfId="0" applyFont="1" applyFill="1" applyBorder="1" applyAlignment="1">
      <alignment horizontal="left" vertical="center"/>
    </xf>
    <xf numFmtId="0" fontId="29" fillId="2" borderId="61" xfId="0" applyFont="1" applyFill="1" applyBorder="1" applyAlignment="1">
      <alignment horizontal="right" vertical="center"/>
    </xf>
    <xf numFmtId="0" fontId="28" fillId="2" borderId="50" xfId="0" applyFont="1" applyFill="1" applyBorder="1" applyAlignment="1">
      <alignment horizontal="left" vertical="center" wrapText="1"/>
    </xf>
    <xf numFmtId="0" fontId="28" fillId="2" borderId="58" xfId="0" applyFont="1" applyFill="1" applyBorder="1" applyAlignment="1">
      <alignment horizontal="center" vertical="center"/>
    </xf>
    <xf numFmtId="0" fontId="28" fillId="2" borderId="58" xfId="0" applyFont="1" applyFill="1" applyBorder="1" applyAlignment="1">
      <alignment horizontal="left" vertical="center"/>
    </xf>
    <xf numFmtId="0" fontId="29" fillId="2" borderId="56" xfId="0" applyFont="1" applyFill="1" applyBorder="1" applyAlignment="1">
      <alignment horizontal="right" vertical="center"/>
    </xf>
    <xf numFmtId="0" fontId="28" fillId="2" borderId="50" xfId="0" applyFont="1" applyFill="1" applyBorder="1" applyAlignment="1">
      <alignment horizontal="left" vertical="center"/>
    </xf>
    <xf numFmtId="0" fontId="28" fillId="2" borderId="52" xfId="0" applyFont="1" applyFill="1" applyBorder="1" applyAlignment="1">
      <alignment horizontal="center" vertical="center"/>
    </xf>
    <xf numFmtId="0" fontId="29" fillId="2" borderId="53" xfId="0" applyFont="1" applyFill="1" applyBorder="1" applyAlignment="1">
      <alignment horizontal="right" vertical="center"/>
    </xf>
    <xf numFmtId="0" fontId="28" fillId="2" borderId="0" xfId="0" applyFont="1" applyFill="1" applyBorder="1" applyAlignment="1">
      <alignment horizontal="right" vertical="center"/>
    </xf>
    <xf numFmtId="0" fontId="28" fillId="2" borderId="49" xfId="0" applyFont="1" applyFill="1" applyBorder="1" applyAlignment="1">
      <alignment horizontal="left" vertical="center" wrapText="1"/>
    </xf>
    <xf numFmtId="0" fontId="28" fillId="2" borderId="49" xfId="0" applyFont="1" applyFill="1" applyBorder="1" applyAlignment="1">
      <alignment horizontal="center" vertical="center"/>
    </xf>
    <xf numFmtId="43" fontId="28" fillId="2" borderId="49" xfId="1" applyFont="1" applyFill="1" applyBorder="1" applyAlignment="1">
      <alignment horizontal="left" vertical="center"/>
    </xf>
    <xf numFmtId="170" fontId="28" fillId="2" borderId="0" xfId="0" applyNumberFormat="1" applyFont="1" applyFill="1" applyBorder="1" applyAlignment="1">
      <alignment horizontal="left" vertical="center"/>
    </xf>
    <xf numFmtId="0" fontId="29" fillId="2" borderId="50" xfId="0" applyFont="1" applyFill="1" applyBorder="1" applyAlignment="1">
      <alignment horizontal="left" vertical="center"/>
    </xf>
    <xf numFmtId="0" fontId="42" fillId="2" borderId="0" xfId="0" applyFont="1" applyFill="1" applyBorder="1" applyAlignment="1">
      <alignment horizontal="center" vertical="center"/>
    </xf>
    <xf numFmtId="0" fontId="43" fillId="2" borderId="0" xfId="0" applyFont="1" applyFill="1" applyBorder="1" applyAlignment="1">
      <alignment horizontal="right" vertical="center"/>
    </xf>
    <xf numFmtId="0" fontId="42" fillId="2" borderId="58" xfId="0" applyFont="1" applyFill="1" applyBorder="1" applyAlignment="1">
      <alignment horizontal="left" vertical="center"/>
    </xf>
    <xf numFmtId="0" fontId="43" fillId="2" borderId="49" xfId="0" applyFont="1" applyFill="1" applyBorder="1" applyAlignment="1">
      <alignment horizontal="left" vertical="center" wrapText="1"/>
    </xf>
    <xf numFmtId="0" fontId="43" fillId="2" borderId="49" xfId="0" applyFont="1" applyFill="1" applyBorder="1" applyAlignment="1">
      <alignment horizontal="center" vertical="center"/>
    </xf>
    <xf numFmtId="0" fontId="28" fillId="2" borderId="57" xfId="0" applyFont="1" applyFill="1" applyBorder="1" applyAlignment="1">
      <alignment horizontal="center" vertical="center" wrapText="1"/>
    </xf>
    <xf numFmtId="169" fontId="28" fillId="2" borderId="57" xfId="1" applyNumberFormat="1" applyFont="1" applyFill="1" applyBorder="1" applyAlignment="1">
      <alignment horizontal="left" vertical="center"/>
    </xf>
    <xf numFmtId="176" fontId="28" fillId="2" borderId="57" xfId="1" applyNumberFormat="1" applyFont="1" applyFill="1" applyBorder="1" applyAlignment="1">
      <alignment horizontal="left" vertical="center"/>
    </xf>
    <xf numFmtId="0" fontId="42" fillId="2" borderId="52" xfId="0" applyFont="1" applyFill="1" applyBorder="1" applyAlignment="1">
      <alignment horizontal="left" vertical="center"/>
    </xf>
    <xf numFmtId="0" fontId="42" fillId="2" borderId="59" xfId="0" applyFont="1" applyFill="1" applyBorder="1" applyAlignment="1">
      <alignment horizontal="left" vertical="center"/>
    </xf>
    <xf numFmtId="0" fontId="42" fillId="2" borderId="60" xfId="0" applyFont="1" applyFill="1" applyBorder="1" applyAlignment="1">
      <alignment horizontal="center" vertical="center"/>
    </xf>
    <xf numFmtId="0" fontId="42" fillId="2" borderId="60" xfId="0" applyFont="1" applyFill="1" applyBorder="1" applyAlignment="1">
      <alignment horizontal="left" vertical="center"/>
    </xf>
    <xf numFmtId="0" fontId="43" fillId="2" borderId="60" xfId="0" applyFont="1" applyFill="1" applyBorder="1" applyAlignment="1">
      <alignment horizontal="right" vertical="center"/>
    </xf>
    <xf numFmtId="43" fontId="44" fillId="2" borderId="58" xfId="0" applyNumberFormat="1" applyFont="1" applyFill="1" applyBorder="1" applyAlignment="1">
      <alignment horizontal="center" vertical="center"/>
    </xf>
    <xf numFmtId="0" fontId="43" fillId="2" borderId="58" xfId="0" applyFont="1" applyFill="1" applyBorder="1" applyAlignment="1">
      <alignment horizontal="right" vertical="center"/>
    </xf>
    <xf numFmtId="43" fontId="44" fillId="2" borderId="52" xfId="0" applyNumberFormat="1" applyFont="1" applyFill="1" applyBorder="1" applyAlignment="1">
      <alignment horizontal="center" vertical="center"/>
    </xf>
    <xf numFmtId="0" fontId="43" fillId="2" borderId="52" xfId="0" applyFont="1" applyFill="1" applyBorder="1" applyAlignment="1">
      <alignment horizontal="right" vertical="center"/>
    </xf>
    <xf numFmtId="0" fontId="73" fillId="2" borderId="0" xfId="0" applyFont="1" applyFill="1" applyAlignment="1">
      <alignment vertical="center"/>
    </xf>
    <xf numFmtId="0" fontId="74" fillId="2" borderId="0" xfId="0" applyFont="1" applyFill="1" applyAlignment="1">
      <alignment vertical="center"/>
    </xf>
    <xf numFmtId="0" fontId="73" fillId="2" borderId="17" xfId="0" applyFont="1" applyFill="1" applyBorder="1" applyAlignment="1">
      <alignment vertical="center"/>
    </xf>
    <xf numFmtId="0" fontId="73" fillId="2" borderId="0" xfId="0" applyFont="1" applyFill="1" applyBorder="1" applyAlignment="1">
      <alignment horizontal="center" vertical="center"/>
    </xf>
    <xf numFmtId="2" fontId="73" fillId="2" borderId="0" xfId="0" applyNumberFormat="1" applyFont="1" applyFill="1" applyBorder="1" applyAlignment="1">
      <alignment horizontal="left" vertical="center"/>
    </xf>
    <xf numFmtId="0" fontId="73" fillId="2" borderId="18" xfId="0" applyFont="1" applyFill="1" applyBorder="1" applyAlignment="1">
      <alignment horizontal="center" vertical="center"/>
    </xf>
    <xf numFmtId="0" fontId="73" fillId="2" borderId="7" xfId="0" applyFont="1" applyFill="1" applyBorder="1" applyAlignment="1">
      <alignment horizontal="center" vertical="center"/>
    </xf>
    <xf numFmtId="0" fontId="73" fillId="2" borderId="18" xfId="0" applyFont="1" applyFill="1" applyBorder="1" applyAlignment="1">
      <alignment vertical="center"/>
    </xf>
    <xf numFmtId="0" fontId="73" fillId="2" borderId="0" xfId="0" applyFont="1" applyFill="1" applyBorder="1" applyAlignment="1">
      <alignment vertical="center"/>
    </xf>
    <xf numFmtId="43" fontId="73" fillId="2" borderId="0" xfId="1" applyFont="1" applyFill="1" applyBorder="1" applyAlignment="1">
      <alignment vertical="center" wrapText="1"/>
    </xf>
    <xf numFmtId="43" fontId="73" fillId="2" borderId="18" xfId="1" applyFont="1" applyFill="1" applyBorder="1" applyAlignment="1">
      <alignment vertical="center" wrapText="1"/>
    </xf>
    <xf numFmtId="43" fontId="73" fillId="2" borderId="19" xfId="1" applyFont="1" applyFill="1" applyBorder="1" applyAlignment="1">
      <alignment vertical="center" wrapText="1"/>
    </xf>
    <xf numFmtId="174" fontId="28" fillId="2" borderId="56" xfId="0" applyNumberFormat="1" applyFont="1" applyFill="1" applyBorder="1" applyAlignment="1">
      <alignment horizontal="center" vertical="center"/>
    </xf>
    <xf numFmtId="43" fontId="73" fillId="2" borderId="0" xfId="1" applyFont="1" applyFill="1" applyBorder="1" applyAlignment="1">
      <alignment vertical="center"/>
    </xf>
    <xf numFmtId="0" fontId="0" fillId="2" borderId="0" xfId="0" applyFill="1"/>
    <xf numFmtId="0" fontId="29" fillId="2" borderId="52" xfId="0" applyFont="1" applyFill="1" applyBorder="1" applyAlignment="1">
      <alignment horizontal="center" vertical="center"/>
    </xf>
    <xf numFmtId="0" fontId="69" fillId="2" borderId="0" xfId="0" applyFont="1" applyFill="1" applyAlignment="1">
      <alignment horizontal="center" vertical="center"/>
    </xf>
    <xf numFmtId="0" fontId="86" fillId="2" borderId="0" xfId="0" applyFont="1" applyFill="1" applyAlignment="1">
      <alignment horizontal="center" vertical="center"/>
    </xf>
    <xf numFmtId="0" fontId="87" fillId="2" borderId="0" xfId="0" applyFont="1" applyFill="1" applyAlignment="1">
      <alignment horizontal="center" vertical="center"/>
    </xf>
    <xf numFmtId="0" fontId="67" fillId="2" borderId="0" xfId="0" applyFont="1" applyFill="1" applyAlignment="1">
      <alignment horizontal="center" vertical="center"/>
    </xf>
    <xf numFmtId="0" fontId="70" fillId="2" borderId="0" xfId="0" applyFont="1" applyFill="1" applyAlignment="1">
      <alignment horizontal="center" vertical="center"/>
    </xf>
    <xf numFmtId="0" fontId="89" fillId="2" borderId="0" xfId="0" applyFont="1" applyFill="1" applyAlignment="1">
      <alignment horizontal="center" vertical="center"/>
    </xf>
    <xf numFmtId="43" fontId="69" fillId="2" borderId="0" xfId="1" applyFont="1" applyFill="1" applyAlignment="1">
      <alignment horizontal="center" vertical="center"/>
    </xf>
    <xf numFmtId="0" fontId="87" fillId="2" borderId="43" xfId="0" applyFont="1" applyFill="1" applyBorder="1" applyAlignment="1">
      <alignment horizontal="center" vertical="center" wrapText="1"/>
    </xf>
    <xf numFmtId="0" fontId="74" fillId="2" borderId="18" xfId="0" applyFont="1" applyFill="1" applyBorder="1" applyAlignment="1">
      <alignment vertical="center"/>
    </xf>
    <xf numFmtId="43" fontId="74" fillId="2" borderId="18" xfId="1" applyFont="1" applyFill="1" applyBorder="1" applyAlignment="1">
      <alignment horizontal="center" vertical="center" wrapText="1"/>
    </xf>
    <xf numFmtId="43" fontId="74" fillId="2" borderId="0" xfId="1" applyFont="1" applyFill="1" applyBorder="1" applyAlignment="1">
      <alignment vertical="center"/>
    </xf>
    <xf numFmtId="0" fontId="74" fillId="2" borderId="0" xfId="0" applyFont="1" applyFill="1" applyBorder="1" applyAlignment="1">
      <alignment horizontal="center" vertical="center"/>
    </xf>
    <xf numFmtId="0" fontId="81" fillId="2" borderId="0" xfId="0" applyFont="1" applyFill="1" applyAlignment="1">
      <alignment vertical="center"/>
    </xf>
    <xf numFmtId="0" fontId="74" fillId="2" borderId="0" xfId="0" applyFont="1" applyFill="1" applyBorder="1" applyAlignment="1">
      <alignment vertical="center"/>
    </xf>
    <xf numFmtId="0" fontId="78" fillId="2" borderId="0" xfId="0" applyFont="1" applyFill="1" applyBorder="1" applyAlignment="1">
      <alignment vertical="center"/>
    </xf>
    <xf numFmtId="0" fontId="85" fillId="2" borderId="27" xfId="0" applyFont="1" applyFill="1" applyBorder="1" applyAlignment="1">
      <alignment vertical="center"/>
    </xf>
    <xf numFmtId="0" fontId="87" fillId="2" borderId="43" xfId="0" applyFont="1" applyFill="1" applyBorder="1" applyAlignment="1">
      <alignment horizontal="center" vertical="center"/>
    </xf>
    <xf numFmtId="0" fontId="87" fillId="2" borderId="43" xfId="0" applyFont="1" applyFill="1" applyBorder="1" applyAlignment="1">
      <alignment horizontal="left" vertical="center" wrapText="1"/>
    </xf>
    <xf numFmtId="43" fontId="87" fillId="2" borderId="43" xfId="1" applyFont="1" applyFill="1" applyBorder="1" applyAlignment="1">
      <alignment horizontal="right" vertical="center"/>
    </xf>
    <xf numFmtId="0" fontId="88" fillId="2" borderId="44" xfId="0" applyFont="1" applyFill="1" applyBorder="1" applyAlignment="1">
      <alignment horizontal="left" vertical="center" wrapText="1"/>
    </xf>
    <xf numFmtId="0" fontId="67" fillId="2" borderId="44" xfId="0" applyFont="1" applyFill="1" applyBorder="1" applyAlignment="1">
      <alignment horizontal="center" vertical="center"/>
    </xf>
    <xf numFmtId="0" fontId="67" fillId="2" borderId="44" xfId="0" applyFont="1" applyFill="1" applyBorder="1" applyAlignment="1">
      <alignment horizontal="left" vertical="center" wrapText="1"/>
    </xf>
    <xf numFmtId="0" fontId="67" fillId="2" borderId="44" xfId="0" applyFont="1" applyFill="1" applyBorder="1" applyAlignment="1">
      <alignment horizontal="center" vertical="center" wrapText="1"/>
    </xf>
    <xf numFmtId="43" fontId="67" fillId="2" borderId="44" xfId="1" applyFont="1" applyFill="1" applyBorder="1" applyAlignment="1">
      <alignment horizontal="right" vertical="center" wrapText="1"/>
    </xf>
    <xf numFmtId="0" fontId="69" fillId="2" borderId="0" xfId="0" applyFont="1" applyFill="1" applyAlignment="1">
      <alignment horizontal="left" vertical="center"/>
    </xf>
    <xf numFmtId="0" fontId="75" fillId="2" borderId="17" xfId="2" applyFont="1" applyFill="1" applyBorder="1" applyAlignment="1">
      <alignment horizontal="left" vertical="center"/>
    </xf>
    <xf numFmtId="0" fontId="76" fillId="2" borderId="17" xfId="2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horizontal="center" vertical="center"/>
    </xf>
    <xf numFmtId="2" fontId="76" fillId="2" borderId="0" xfId="2" applyNumberFormat="1" applyFont="1" applyFill="1" applyBorder="1" applyAlignment="1">
      <alignment horizontal="left" vertical="center"/>
    </xf>
    <xf numFmtId="0" fontId="76" fillId="2" borderId="18" xfId="2" applyFont="1" applyFill="1" applyBorder="1" applyAlignment="1">
      <alignment horizontal="center" vertical="center"/>
    </xf>
    <xf numFmtId="43" fontId="76" fillId="2" borderId="0" xfId="1" applyFont="1" applyFill="1" applyBorder="1" applyAlignment="1">
      <alignment horizontal="center" vertical="center" wrapText="1"/>
    </xf>
    <xf numFmtId="43" fontId="76" fillId="2" borderId="18" xfId="1" applyFont="1" applyFill="1" applyBorder="1" applyAlignment="1">
      <alignment horizontal="center" vertical="center" wrapText="1"/>
    </xf>
    <xf numFmtId="43" fontId="76" fillId="2" borderId="19" xfId="1" applyFont="1" applyFill="1" applyBorder="1" applyAlignment="1">
      <alignment horizontal="center" vertical="center" wrapText="1"/>
    </xf>
    <xf numFmtId="0" fontId="77" fillId="2" borderId="0" xfId="0" applyFont="1" applyFill="1" applyAlignment="1">
      <alignment vertical="center"/>
    </xf>
    <xf numFmtId="0" fontId="74" fillId="2" borderId="17" xfId="0" applyFont="1" applyFill="1" applyBorder="1" applyAlignment="1">
      <alignment horizontal="center" vertical="center"/>
    </xf>
    <xf numFmtId="2" fontId="74" fillId="2" borderId="18" xfId="0" applyNumberFormat="1" applyFont="1" applyFill="1" applyBorder="1" applyAlignment="1">
      <alignment vertical="center"/>
    </xf>
    <xf numFmtId="0" fontId="74" fillId="2" borderId="0" xfId="2" applyFont="1" applyFill="1" applyBorder="1" applyAlignment="1">
      <alignment horizontal="center" vertical="center"/>
    </xf>
    <xf numFmtId="0" fontId="74" fillId="2" borderId="18" xfId="2" applyFont="1" applyFill="1" applyBorder="1" applyAlignment="1">
      <alignment horizontal="center" vertical="center"/>
    </xf>
    <xf numFmtId="0" fontId="74" fillId="2" borderId="17" xfId="2" applyFont="1" applyFill="1" applyBorder="1" applyAlignment="1">
      <alignment vertical="center" wrapText="1"/>
    </xf>
    <xf numFmtId="0" fontId="73" fillId="2" borderId="17" xfId="2" applyFont="1" applyFill="1" applyBorder="1" applyAlignment="1">
      <alignment horizontal="left" vertical="center"/>
    </xf>
    <xf numFmtId="0" fontId="73" fillId="2" borderId="18" xfId="2" applyFont="1" applyFill="1" applyBorder="1" applyAlignment="1">
      <alignment horizontal="center" vertical="center"/>
    </xf>
    <xf numFmtId="43" fontId="73" fillId="2" borderId="0" xfId="1" applyFont="1" applyFill="1" applyBorder="1" applyAlignment="1">
      <alignment horizontal="right" vertical="center" wrapText="1"/>
    </xf>
    <xf numFmtId="2" fontId="73" fillId="2" borderId="18" xfId="2" applyNumberFormat="1" applyFont="1" applyFill="1" applyBorder="1" applyAlignment="1">
      <alignment horizontal="center" vertical="center"/>
    </xf>
    <xf numFmtId="0" fontId="73" fillId="2" borderId="23" xfId="0" applyFont="1" applyFill="1" applyBorder="1" applyAlignment="1">
      <alignment horizontal="center" vertical="center"/>
    </xf>
    <xf numFmtId="0" fontId="73" fillId="2" borderId="21" xfId="0" applyFont="1" applyFill="1" applyBorder="1" applyAlignment="1">
      <alignment horizontal="center" vertical="center"/>
    </xf>
    <xf numFmtId="0" fontId="74" fillId="2" borderId="22" xfId="0" applyFont="1" applyFill="1" applyBorder="1" applyAlignment="1">
      <alignment horizontal="center" vertical="center"/>
    </xf>
    <xf numFmtId="0" fontId="73" fillId="2" borderId="22" xfId="0" applyFont="1" applyFill="1" applyBorder="1" applyAlignment="1">
      <alignment vertical="center"/>
    </xf>
    <xf numFmtId="2" fontId="73" fillId="2" borderId="23" xfId="0" applyNumberFormat="1" applyFont="1" applyFill="1" applyBorder="1" applyAlignment="1">
      <alignment horizontal="left" vertical="center"/>
    </xf>
    <xf numFmtId="43" fontId="73" fillId="2" borderId="23" xfId="1" applyFont="1" applyFill="1" applyBorder="1" applyAlignment="1">
      <alignment vertical="center" wrapText="1"/>
    </xf>
    <xf numFmtId="43" fontId="73" fillId="2" borderId="21" xfId="1" applyFont="1" applyFill="1" applyBorder="1" applyAlignment="1">
      <alignment vertical="center" wrapText="1"/>
    </xf>
    <xf numFmtId="43" fontId="73" fillId="2" borderId="24" xfId="1" applyFont="1" applyFill="1" applyBorder="1" applyAlignment="1">
      <alignment vertical="center" wrapText="1"/>
    </xf>
    <xf numFmtId="43" fontId="74" fillId="2" borderId="21" xfId="1" applyFont="1" applyFill="1" applyBorder="1" applyAlignment="1">
      <alignment horizontal="center" vertical="center" wrapText="1"/>
    </xf>
    <xf numFmtId="2" fontId="74" fillId="2" borderId="21" xfId="0" applyNumberFormat="1" applyFont="1" applyFill="1" applyBorder="1" applyAlignment="1">
      <alignment vertical="center"/>
    </xf>
    <xf numFmtId="43" fontId="74" fillId="2" borderId="23" xfId="1" applyFont="1" applyFill="1" applyBorder="1" applyAlignment="1">
      <alignment vertical="center"/>
    </xf>
    <xf numFmtId="43" fontId="74" fillId="2" borderId="0" xfId="1" applyFont="1" applyFill="1" applyBorder="1" applyAlignment="1">
      <alignment horizontal="center" vertical="center"/>
    </xf>
    <xf numFmtId="0" fontId="74" fillId="2" borderId="23" xfId="0" applyFont="1" applyFill="1" applyBorder="1" applyAlignment="1">
      <alignment horizontal="center" vertical="center"/>
    </xf>
    <xf numFmtId="0" fontId="74" fillId="2" borderId="21" xfId="0" applyFont="1" applyFill="1" applyBorder="1" applyAlignment="1">
      <alignment horizontal="center" vertical="center"/>
    </xf>
    <xf numFmtId="0" fontId="74" fillId="2" borderId="22" xfId="0" applyFont="1" applyFill="1" applyBorder="1" applyAlignment="1">
      <alignment vertical="center"/>
    </xf>
    <xf numFmtId="2" fontId="74" fillId="2" borderId="23" xfId="0" applyNumberFormat="1" applyFont="1" applyFill="1" applyBorder="1" applyAlignment="1">
      <alignment horizontal="left" vertical="center"/>
    </xf>
    <xf numFmtId="43" fontId="74" fillId="2" borderId="23" xfId="1" applyFont="1" applyFill="1" applyBorder="1" applyAlignment="1">
      <alignment vertical="center" wrapText="1"/>
    </xf>
    <xf numFmtId="169" fontId="74" fillId="2" borderId="21" xfId="1" applyNumberFormat="1" applyFont="1" applyFill="1" applyBorder="1" applyAlignment="1">
      <alignment vertical="center" wrapText="1"/>
    </xf>
    <xf numFmtId="169" fontId="74" fillId="2" borderId="24" xfId="1" applyNumberFormat="1" applyFont="1" applyFill="1" applyBorder="1" applyAlignment="1">
      <alignment vertical="center" wrapText="1"/>
    </xf>
    <xf numFmtId="0" fontId="63" fillId="2" borderId="0" xfId="0" applyFont="1" applyFill="1"/>
    <xf numFmtId="0" fontId="29" fillId="2" borderId="0" xfId="0" applyFont="1" applyFill="1"/>
    <xf numFmtId="0" fontId="63" fillId="2" borderId="0" xfId="0" applyFont="1" applyFill="1" applyAlignment="1">
      <alignment horizontal="left"/>
    </xf>
    <xf numFmtId="178" fontId="63" fillId="2" borderId="0" xfId="0" applyNumberFormat="1" applyFont="1" applyFill="1"/>
    <xf numFmtId="0" fontId="29" fillId="2" borderId="0" xfId="0" applyFont="1" applyFill="1" applyAlignment="1">
      <alignment horizontal="right"/>
    </xf>
    <xf numFmtId="43" fontId="28" fillId="2" borderId="0" xfId="0" applyNumberFormat="1" applyFont="1" applyFill="1"/>
    <xf numFmtId="0" fontId="73" fillId="2" borderId="17" xfId="0" applyNumberFormat="1" applyFont="1" applyFill="1" applyBorder="1" applyAlignment="1">
      <alignment horizontal="right" vertical="center"/>
    </xf>
    <xf numFmtId="179" fontId="73" fillId="2" borderId="18" xfId="1" applyNumberFormat="1" applyFont="1" applyFill="1" applyBorder="1" applyAlignment="1">
      <alignment horizontal="center" vertical="center"/>
    </xf>
    <xf numFmtId="43" fontId="74" fillId="2" borderId="0" xfId="1" applyFont="1" applyFill="1" applyBorder="1" applyAlignment="1">
      <alignment vertical="center" wrapText="1"/>
    </xf>
    <xf numFmtId="169" fontId="74" fillId="2" borderId="18" xfId="1" applyNumberFormat="1" applyFont="1" applyFill="1" applyBorder="1" applyAlignment="1">
      <alignment vertical="center" wrapText="1"/>
    </xf>
    <xf numFmtId="169" fontId="74" fillId="2" borderId="19" xfId="1" applyNumberFormat="1" applyFont="1" applyFill="1" applyBorder="1" applyAlignment="1">
      <alignment vertical="center" wrapText="1"/>
    </xf>
    <xf numFmtId="0" fontId="78" fillId="2" borderId="17" xfId="2" applyFont="1" applyFill="1" applyBorder="1" applyAlignment="1">
      <alignment horizontal="left" vertical="center"/>
    </xf>
    <xf numFmtId="0" fontId="74" fillId="2" borderId="17" xfId="2" applyFont="1" applyFill="1" applyBorder="1" applyAlignment="1">
      <alignment horizontal="center" vertical="center"/>
    </xf>
    <xf numFmtId="2" fontId="74" fillId="2" borderId="0" xfId="2" applyNumberFormat="1" applyFont="1" applyFill="1" applyBorder="1" applyAlignment="1">
      <alignment horizontal="left" vertical="center"/>
    </xf>
    <xf numFmtId="43" fontId="74" fillId="2" borderId="0" xfId="1" applyFont="1" applyFill="1" applyBorder="1" applyAlignment="1">
      <alignment horizontal="center" vertical="center" wrapText="1"/>
    </xf>
    <xf numFmtId="43" fontId="74" fillId="2" borderId="19" xfId="1" applyFont="1" applyFill="1" applyBorder="1" applyAlignment="1">
      <alignment horizontal="center" vertical="center" wrapText="1"/>
    </xf>
    <xf numFmtId="0" fontId="79" fillId="2" borderId="17" xfId="2" applyFont="1" applyFill="1" applyBorder="1" applyAlignment="1">
      <alignment horizontal="left" vertical="center"/>
    </xf>
    <xf numFmtId="0" fontId="80" fillId="2" borderId="17" xfId="2" applyFont="1" applyFill="1" applyBorder="1" applyAlignment="1">
      <alignment horizontal="center" vertical="center"/>
    </xf>
    <xf numFmtId="0" fontId="80" fillId="2" borderId="0" xfId="2" applyFont="1" applyFill="1" applyBorder="1" applyAlignment="1">
      <alignment horizontal="center" vertical="center"/>
    </xf>
    <xf numFmtId="2" fontId="80" fillId="2" borderId="0" xfId="2" applyNumberFormat="1" applyFont="1" applyFill="1" applyBorder="1" applyAlignment="1">
      <alignment horizontal="left" vertical="center"/>
    </xf>
    <xf numFmtId="0" fontId="80" fillId="2" borderId="18" xfId="2" applyFont="1" applyFill="1" applyBorder="1" applyAlignment="1">
      <alignment horizontal="center" vertical="center"/>
    </xf>
    <xf numFmtId="43" fontId="80" fillId="2" borderId="0" xfId="1" applyFont="1" applyFill="1" applyBorder="1" applyAlignment="1">
      <alignment horizontal="center" vertical="center" wrapText="1"/>
    </xf>
    <xf numFmtId="43" fontId="80" fillId="2" borderId="18" xfId="1" applyFont="1" applyFill="1" applyBorder="1" applyAlignment="1">
      <alignment horizontal="center" vertical="center" wrapText="1"/>
    </xf>
    <xf numFmtId="43" fontId="80" fillId="2" borderId="19" xfId="1" applyFont="1" applyFill="1" applyBorder="1" applyAlignment="1">
      <alignment horizontal="center" vertical="center" wrapText="1"/>
    </xf>
    <xf numFmtId="43" fontId="80" fillId="2" borderId="0" xfId="1" applyFont="1" applyFill="1" applyBorder="1" applyAlignment="1">
      <alignment horizontal="center" vertical="center"/>
    </xf>
    <xf numFmtId="43" fontId="74" fillId="2" borderId="17" xfId="1" quotePrefix="1" applyFont="1" applyFill="1" applyBorder="1" applyAlignment="1">
      <alignment horizontal="center" vertical="center" wrapText="1"/>
    </xf>
    <xf numFmtId="0" fontId="73" fillId="2" borderId="17" xfId="2" applyFont="1" applyFill="1" applyBorder="1" applyAlignment="1">
      <alignment horizontal="right" vertical="center"/>
    </xf>
    <xf numFmtId="2" fontId="73" fillId="2" borderId="0" xfId="2" applyNumberFormat="1" applyFont="1" applyFill="1" applyBorder="1" applyAlignment="1">
      <alignment horizontal="left" vertical="center"/>
    </xf>
    <xf numFmtId="0" fontId="26" fillId="2" borderId="0" xfId="0" applyFont="1" applyFill="1" applyAlignment="1">
      <alignment vertical="center"/>
    </xf>
    <xf numFmtId="4" fontId="26" fillId="2" borderId="0" xfId="0" applyNumberFormat="1" applyFont="1" applyFill="1" applyAlignment="1">
      <alignment vertical="center"/>
    </xf>
    <xf numFmtId="43" fontId="26" fillId="2" borderId="0" xfId="0" applyNumberFormat="1" applyFont="1" applyFill="1" applyAlignment="1">
      <alignment vertical="center"/>
    </xf>
    <xf numFmtId="0" fontId="0" fillId="0" borderId="0" xfId="0"/>
    <xf numFmtId="0" fontId="26" fillId="2" borderId="0" xfId="0" applyFont="1" applyFill="1"/>
    <xf numFmtId="43" fontId="26" fillId="2" borderId="0" xfId="1" applyFont="1" applyFill="1" applyAlignment="1">
      <alignment horizontal="center"/>
    </xf>
    <xf numFmtId="49" fontId="29" fillId="2" borderId="0" xfId="0" applyNumberFormat="1" applyFont="1" applyFill="1" applyBorder="1" applyAlignment="1">
      <alignment horizontal="left"/>
    </xf>
    <xf numFmtId="43" fontId="87" fillId="2" borderId="0" xfId="0" applyNumberFormat="1" applyFont="1" applyFill="1" applyAlignment="1">
      <alignment horizontal="center" vertical="center"/>
    </xf>
    <xf numFmtId="0" fontId="34" fillId="2" borderId="0" xfId="0" applyFont="1" applyFill="1" applyAlignment="1">
      <alignment vertical="center"/>
    </xf>
    <xf numFmtId="0" fontId="34" fillId="2" borderId="26" xfId="0" applyFont="1" applyFill="1" applyBorder="1" applyAlignment="1">
      <alignment vertical="center"/>
    </xf>
    <xf numFmtId="0" fontId="34" fillId="2" borderId="33" xfId="0" applyFont="1" applyFill="1" applyBorder="1" applyAlignment="1">
      <alignment vertical="center"/>
    </xf>
    <xf numFmtId="0" fontId="34" fillId="2" borderId="4" xfId="0" applyFont="1" applyFill="1" applyBorder="1" applyAlignment="1">
      <alignment vertical="center"/>
    </xf>
    <xf numFmtId="0" fontId="34" fillId="59" borderId="33" xfId="0" applyFont="1" applyFill="1" applyBorder="1" applyAlignment="1">
      <alignment vertical="center"/>
    </xf>
    <xf numFmtId="0" fontId="42" fillId="2" borderId="0" xfId="0" applyFont="1" applyFill="1"/>
    <xf numFmtId="0" fontId="28" fillId="2" borderId="59" xfId="0" applyFont="1" applyFill="1" applyBorder="1" applyAlignment="1">
      <alignment horizontal="left" vertical="center"/>
    </xf>
    <xf numFmtId="0" fontId="28" fillId="2" borderId="57" xfId="0" applyFont="1" applyFill="1" applyBorder="1" applyAlignment="1">
      <alignment horizontal="justify" vertical="justify" wrapText="1"/>
    </xf>
    <xf numFmtId="0" fontId="42" fillId="2" borderId="50" xfId="0" applyFont="1" applyFill="1" applyBorder="1" applyAlignment="1">
      <alignment horizontal="left" vertical="center"/>
    </xf>
    <xf numFmtId="0" fontId="42" fillId="2" borderId="51" xfId="0" applyFont="1" applyFill="1" applyBorder="1" applyAlignment="1">
      <alignment horizontal="left" vertical="center"/>
    </xf>
    <xf numFmtId="174" fontId="28" fillId="2" borderId="53" xfId="0" applyNumberFormat="1" applyFont="1" applyFill="1" applyBorder="1" applyAlignment="1">
      <alignment horizontal="center" vertical="center"/>
    </xf>
    <xf numFmtId="0" fontId="43" fillId="2" borderId="49" xfId="0" applyFont="1" applyFill="1" applyBorder="1" applyAlignment="1">
      <alignment horizontal="left" vertical="center"/>
    </xf>
    <xf numFmtId="0" fontId="28" fillId="2" borderId="49" xfId="0" applyFont="1" applyFill="1" applyBorder="1" applyAlignment="1">
      <alignment horizontal="left" vertical="center"/>
    </xf>
    <xf numFmtId="176" fontId="28" fillId="2" borderId="58" xfId="1" applyNumberFormat="1" applyFont="1" applyFill="1" applyBorder="1" applyAlignment="1">
      <alignment horizontal="left" vertical="center"/>
    </xf>
    <xf numFmtId="176" fontId="28" fillId="2" borderId="53" xfId="1" applyNumberFormat="1" applyFont="1" applyFill="1" applyBorder="1" applyAlignment="1">
      <alignment horizontal="left" vertical="center"/>
    </xf>
    <xf numFmtId="43" fontId="42" fillId="2" borderId="0" xfId="0" applyNumberFormat="1" applyFont="1" applyFill="1"/>
    <xf numFmtId="0" fontId="29" fillId="0" borderId="0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left" vertical="center"/>
    </xf>
    <xf numFmtId="0" fontId="29" fillId="0" borderId="0" xfId="0" applyFont="1" applyFill="1" applyBorder="1" applyAlignment="1">
      <alignment horizontal="right" vertical="center"/>
    </xf>
    <xf numFmtId="0" fontId="42" fillId="0" borderId="0" xfId="0" applyFont="1" applyFill="1"/>
    <xf numFmtId="0" fontId="28" fillId="0" borderId="57" xfId="0" applyFont="1" applyFill="1" applyBorder="1" applyAlignment="1">
      <alignment horizontal="left" vertical="center" wrapText="1"/>
    </xf>
    <xf numFmtId="0" fontId="28" fillId="0" borderId="57" xfId="0" applyFont="1" applyFill="1" applyBorder="1" applyAlignment="1">
      <alignment horizontal="center" vertical="center"/>
    </xf>
    <xf numFmtId="43" fontId="28" fillId="0" borderId="57" xfId="1" applyFont="1" applyFill="1" applyBorder="1" applyAlignment="1">
      <alignment horizontal="left" vertical="center"/>
    </xf>
    <xf numFmtId="0" fontId="28" fillId="0" borderId="50" xfId="0" applyFont="1" applyFill="1" applyBorder="1" applyAlignment="1">
      <alignment horizontal="left" vertical="center"/>
    </xf>
    <xf numFmtId="0" fontId="28" fillId="0" borderId="58" xfId="0" applyFont="1" applyFill="1" applyBorder="1" applyAlignment="1">
      <alignment horizontal="left" vertical="center"/>
    </xf>
    <xf numFmtId="174" fontId="28" fillId="0" borderId="56" xfId="0" applyNumberFormat="1" applyFont="1" applyFill="1" applyBorder="1" applyAlignment="1">
      <alignment horizontal="center" vertical="center"/>
    </xf>
    <xf numFmtId="0" fontId="28" fillId="0" borderId="51" xfId="0" applyFont="1" applyFill="1" applyBorder="1" applyAlignment="1">
      <alignment horizontal="left" vertical="center"/>
    </xf>
    <xf numFmtId="170" fontId="28" fillId="0" borderId="56" xfId="1" applyNumberFormat="1" applyFont="1" applyFill="1" applyBorder="1" applyAlignment="1">
      <alignment horizontal="left" vertical="center"/>
    </xf>
    <xf numFmtId="43" fontId="28" fillId="0" borderId="57" xfId="1" applyFont="1" applyFill="1" applyBorder="1" applyAlignment="1">
      <alignment horizontal="center" vertical="center"/>
    </xf>
    <xf numFmtId="0" fontId="28" fillId="0" borderId="57" xfId="0" applyFont="1" applyFill="1" applyBorder="1" applyAlignment="1">
      <alignment horizontal="left" vertical="center"/>
    </xf>
    <xf numFmtId="0" fontId="28" fillId="0" borderId="52" xfId="0" applyFont="1" applyFill="1" applyBorder="1" applyAlignment="1">
      <alignment horizontal="left" vertical="center"/>
    </xf>
    <xf numFmtId="170" fontId="28" fillId="0" borderId="53" xfId="1" applyNumberFormat="1" applyFont="1" applyFill="1" applyBorder="1" applyAlignment="1">
      <alignment horizontal="left" vertical="center"/>
    </xf>
    <xf numFmtId="0" fontId="28" fillId="0" borderId="49" xfId="0" applyFont="1" applyFill="1" applyBorder="1" applyAlignment="1">
      <alignment horizontal="left" vertical="center" wrapText="1"/>
    </xf>
    <xf numFmtId="0" fontId="28" fillId="0" borderId="49" xfId="0" applyFont="1" applyFill="1" applyBorder="1" applyAlignment="1">
      <alignment horizontal="center" vertical="center"/>
    </xf>
    <xf numFmtId="43" fontId="28" fillId="0" borderId="49" xfId="1" applyFont="1" applyFill="1" applyBorder="1" applyAlignment="1">
      <alignment horizontal="left" vertical="center"/>
    </xf>
    <xf numFmtId="0" fontId="29" fillId="0" borderId="50" xfId="0" applyFont="1" applyFill="1" applyBorder="1" applyAlignment="1">
      <alignment horizontal="left" vertical="center"/>
    </xf>
    <xf numFmtId="0" fontId="29" fillId="0" borderId="49" xfId="0" applyFont="1" applyFill="1" applyBorder="1" applyAlignment="1">
      <alignment horizontal="center" vertical="center"/>
    </xf>
    <xf numFmtId="0" fontId="29" fillId="0" borderId="49" xfId="0" applyFont="1" applyFill="1" applyBorder="1" applyAlignment="1">
      <alignment horizontal="left" vertical="center" wrapText="1"/>
    </xf>
    <xf numFmtId="0" fontId="29" fillId="0" borderId="49" xfId="0" applyFont="1" applyFill="1" applyBorder="1" applyAlignment="1">
      <alignment horizontal="center" vertical="center" wrapText="1"/>
    </xf>
    <xf numFmtId="0" fontId="36" fillId="2" borderId="0" xfId="0" applyFont="1" applyFill="1"/>
    <xf numFmtId="43" fontId="35" fillId="58" borderId="27" xfId="1" applyFont="1" applyFill="1" applyBorder="1" applyAlignment="1">
      <alignment vertical="center"/>
    </xf>
    <xf numFmtId="10" fontId="35" fillId="58" borderId="27" xfId="677" applyNumberFormat="1" applyFont="1" applyFill="1" applyBorder="1" applyAlignment="1">
      <alignment vertical="center"/>
    </xf>
    <xf numFmtId="43" fontId="28" fillId="0" borderId="53" xfId="1" applyFont="1" applyFill="1" applyBorder="1" applyAlignment="1">
      <alignment horizontal="left" vertical="center"/>
    </xf>
    <xf numFmtId="43" fontId="28" fillId="0" borderId="0" xfId="1" applyFont="1" applyFill="1" applyBorder="1" applyAlignment="1">
      <alignment horizontal="left" vertical="center"/>
    </xf>
    <xf numFmtId="0" fontId="42" fillId="0" borderId="0" xfId="0" applyFont="1" applyFill="1" applyBorder="1" applyAlignment="1">
      <alignment horizontal="left" vertical="center"/>
    </xf>
    <xf numFmtId="43" fontId="42" fillId="0" borderId="56" xfId="1" applyFont="1" applyFill="1" applyBorder="1" applyAlignment="1">
      <alignment horizontal="left" vertical="center"/>
    </xf>
    <xf numFmtId="0" fontId="43" fillId="0" borderId="49" xfId="0" applyFont="1" applyFill="1" applyBorder="1" applyAlignment="1">
      <alignment horizontal="center" vertical="center"/>
    </xf>
    <xf numFmtId="43" fontId="42" fillId="0" borderId="53" xfId="1" applyFont="1" applyFill="1" applyBorder="1" applyAlignment="1">
      <alignment horizontal="left" vertical="center"/>
    </xf>
    <xf numFmtId="43" fontId="42" fillId="0" borderId="0" xfId="1" applyFont="1" applyFill="1" applyBorder="1" applyAlignment="1">
      <alignment horizontal="left" vertical="center"/>
    </xf>
    <xf numFmtId="43" fontId="29" fillId="0" borderId="61" xfId="1" applyFont="1" applyFill="1" applyBorder="1" applyAlignment="1">
      <alignment horizontal="center" vertical="center"/>
    </xf>
    <xf numFmtId="43" fontId="29" fillId="0" borderId="56" xfId="1" applyFont="1" applyFill="1" applyBorder="1" applyAlignment="1">
      <alignment horizontal="center" vertical="center"/>
    </xf>
    <xf numFmtId="43" fontId="29" fillId="0" borderId="53" xfId="1" applyFont="1" applyFill="1" applyBorder="1" applyAlignment="1">
      <alignment horizontal="center" vertical="center"/>
    </xf>
    <xf numFmtId="0" fontId="29" fillId="0" borderId="49" xfId="0" applyFont="1" applyFill="1" applyBorder="1" applyAlignment="1">
      <alignment horizontal="left" vertical="center"/>
    </xf>
    <xf numFmtId="0" fontId="28" fillId="0" borderId="51" xfId="0" applyFont="1" applyFill="1" applyBorder="1" applyAlignment="1">
      <alignment horizontal="left" vertical="center" wrapText="1"/>
    </xf>
    <xf numFmtId="43" fontId="28" fillId="0" borderId="0" xfId="0" applyNumberFormat="1" applyFont="1" applyFill="1" applyBorder="1" applyAlignment="1">
      <alignment horizontal="center" vertical="center"/>
    </xf>
    <xf numFmtId="174" fontId="28" fillId="0" borderId="49" xfId="0" applyNumberFormat="1" applyFont="1" applyFill="1" applyBorder="1" applyAlignment="1">
      <alignment horizontal="center" vertical="center"/>
    </xf>
    <xf numFmtId="174" fontId="28" fillId="0" borderId="57" xfId="0" applyNumberFormat="1" applyFont="1" applyFill="1" applyBorder="1" applyAlignment="1">
      <alignment horizontal="center" vertical="center"/>
    </xf>
    <xf numFmtId="43" fontId="28" fillId="0" borderId="57" xfId="1" applyFont="1" applyFill="1" applyBorder="1" applyAlignment="1">
      <alignment horizontal="right" vertical="center"/>
    </xf>
    <xf numFmtId="168" fontId="28" fillId="0" borderId="57" xfId="0" applyNumberFormat="1" applyFont="1" applyFill="1" applyBorder="1" applyAlignment="1">
      <alignment horizontal="right" vertical="center"/>
    </xf>
    <xf numFmtId="169" fontId="28" fillId="0" borderId="57" xfId="1" applyNumberFormat="1" applyFont="1" applyFill="1" applyBorder="1" applyAlignment="1">
      <alignment horizontal="left" vertical="center"/>
    </xf>
    <xf numFmtId="176" fontId="28" fillId="0" borderId="57" xfId="1" applyNumberFormat="1" applyFont="1" applyFill="1" applyBorder="1" applyAlignment="1">
      <alignment horizontal="left" vertical="center"/>
    </xf>
    <xf numFmtId="0" fontId="26" fillId="0" borderId="0" xfId="0" applyFont="1" applyFill="1"/>
    <xf numFmtId="179" fontId="73" fillId="2" borderId="0" xfId="1" applyNumberFormat="1" applyFont="1" applyFill="1" applyBorder="1" applyAlignment="1">
      <alignment horizontal="center" vertical="center"/>
    </xf>
    <xf numFmtId="0" fontId="34" fillId="0" borderId="74" xfId="0" applyFont="1" applyFill="1" applyBorder="1"/>
    <xf numFmtId="0" fontId="34" fillId="0" borderId="44" xfId="0" applyFont="1" applyFill="1" applyBorder="1"/>
    <xf numFmtId="180" fontId="34" fillId="0" borderId="74" xfId="1" applyNumberFormat="1" applyFont="1" applyFill="1" applyBorder="1"/>
    <xf numFmtId="0" fontId="34" fillId="0" borderId="74" xfId="1" applyNumberFormat="1" applyFont="1" applyFill="1" applyBorder="1" applyAlignment="1">
      <alignment horizontal="center"/>
    </xf>
    <xf numFmtId="180" fontId="34" fillId="0" borderId="44" xfId="1" applyNumberFormat="1" applyFont="1" applyFill="1" applyBorder="1"/>
    <xf numFmtId="0" fontId="34" fillId="0" borderId="44" xfId="1" applyNumberFormat="1" applyFont="1" applyFill="1" applyBorder="1" applyAlignment="1">
      <alignment horizontal="center"/>
    </xf>
    <xf numFmtId="0" fontId="34" fillId="0" borderId="62" xfId="0" applyFont="1" applyFill="1" applyBorder="1"/>
    <xf numFmtId="0" fontId="34" fillId="0" borderId="62" xfId="1" applyNumberFormat="1" applyFont="1" applyFill="1" applyBorder="1" applyAlignment="1">
      <alignment horizontal="center"/>
    </xf>
    <xf numFmtId="43" fontId="42" fillId="0" borderId="0" xfId="0" applyNumberFormat="1" applyFont="1" applyFill="1"/>
    <xf numFmtId="0" fontId="43" fillId="2" borderId="59" xfId="0" applyFont="1" applyFill="1" applyBorder="1" applyAlignment="1">
      <alignment horizontal="left" vertical="center"/>
    </xf>
    <xf numFmtId="183" fontId="26" fillId="2" borderId="0" xfId="0" applyNumberFormat="1" applyFont="1" applyFill="1" applyAlignment="1">
      <alignment vertical="center"/>
    </xf>
    <xf numFmtId="184" fontId="26" fillId="2" borderId="0" xfId="0" applyNumberFormat="1" applyFont="1" applyFill="1" applyAlignment="1">
      <alignment vertical="center"/>
    </xf>
    <xf numFmtId="0" fontId="64" fillId="0" borderId="0" xfId="0" applyFont="1" applyFill="1" applyAlignment="1">
      <alignment horizontal="left"/>
    </xf>
    <xf numFmtId="0" fontId="64" fillId="0" borderId="0" xfId="0" applyFont="1" applyFill="1" applyAlignment="1">
      <alignment horizontal="right"/>
    </xf>
    <xf numFmtId="0" fontId="64" fillId="0" borderId="0" xfId="0" applyFont="1" applyFill="1" applyAlignment="1">
      <alignment horizontal="center" vertical="center" wrapText="1"/>
    </xf>
    <xf numFmtId="0" fontId="36" fillId="0" borderId="0" xfId="0" applyFont="1" applyFill="1"/>
    <xf numFmtId="0" fontId="63" fillId="0" borderId="0" xfId="0" applyFont="1" applyFill="1"/>
    <xf numFmtId="0" fontId="69" fillId="0" borderId="0" xfId="0" applyFont="1" applyFill="1" applyAlignment="1"/>
    <xf numFmtId="0" fontId="69" fillId="0" borderId="0" xfId="0" applyFont="1" applyFill="1" applyAlignment="1">
      <alignment horizontal="center"/>
    </xf>
    <xf numFmtId="0" fontId="69" fillId="0" borderId="0" xfId="0" applyFont="1" applyFill="1"/>
    <xf numFmtId="0" fontId="69" fillId="0" borderId="0" xfId="0" applyFont="1" applyFill="1" applyAlignment="1">
      <alignment horizontal="left" vertical="center"/>
    </xf>
    <xf numFmtId="0" fontId="68" fillId="0" borderId="0" xfId="0" applyFont="1" applyFill="1" applyAlignment="1">
      <alignment horizontal="center"/>
    </xf>
    <xf numFmtId="0" fontId="72" fillId="2" borderId="27" xfId="48463" applyFont="1" applyFill="1" applyBorder="1" applyAlignment="1">
      <alignment horizontal="center" vertical="center" wrapText="1"/>
    </xf>
    <xf numFmtId="0" fontId="72" fillId="2" borderId="33" xfId="48463" applyFont="1" applyFill="1" applyBorder="1" applyAlignment="1">
      <alignment horizontal="left" vertical="center" wrapText="1"/>
    </xf>
    <xf numFmtId="165" fontId="60" fillId="0" borderId="0" xfId="45287" applyFont="1" applyFill="1" applyAlignment="1">
      <alignment horizontal="center"/>
    </xf>
    <xf numFmtId="165" fontId="60" fillId="0" borderId="0" xfId="45287" applyFont="1" applyAlignment="1">
      <alignment horizontal="center"/>
    </xf>
    <xf numFmtId="0" fontId="0" fillId="0" borderId="0" xfId="0" applyAlignment="1">
      <alignment horizontal="center"/>
    </xf>
    <xf numFmtId="165" fontId="69" fillId="0" borderId="0" xfId="45287" applyFont="1" applyFill="1" applyAlignment="1">
      <alignment horizontal="center"/>
    </xf>
    <xf numFmtId="165" fontId="69" fillId="0" borderId="0" xfId="45287" applyFont="1" applyAlignment="1">
      <alignment horizontal="center"/>
    </xf>
    <xf numFmtId="165" fontId="69" fillId="0" borderId="0" xfId="45287" applyFont="1" applyFill="1" applyAlignment="1">
      <alignment horizontal="center" vertical="center" wrapText="1"/>
    </xf>
    <xf numFmtId="165" fontId="69" fillId="0" borderId="0" xfId="45287" applyFont="1" applyAlignment="1">
      <alignment horizontal="center" vertical="center" wrapText="1"/>
    </xf>
    <xf numFmtId="10" fontId="64" fillId="60" borderId="0" xfId="0" applyNumberFormat="1" applyFont="1" applyFill="1" applyAlignment="1">
      <alignment horizontal="left" vertical="center" wrapText="1"/>
    </xf>
    <xf numFmtId="0" fontId="69" fillId="0" borderId="0" xfId="0" applyFont="1" applyFill="1" applyAlignment="1">
      <alignment horizontal="center" vertical="center"/>
    </xf>
    <xf numFmtId="0" fontId="67" fillId="0" borderId="44" xfId="0" applyFont="1" applyFill="1" applyBorder="1" applyAlignment="1">
      <alignment horizontal="left" vertical="center" wrapText="1"/>
    </xf>
    <xf numFmtId="0" fontId="42" fillId="0" borderId="0" xfId="0" applyNumberFormat="1" applyFont="1" applyFill="1"/>
    <xf numFmtId="0" fontId="96" fillId="0" borderId="0" xfId="0" applyFont="1" applyFill="1"/>
    <xf numFmtId="0" fontId="97" fillId="0" borderId="44" xfId="0" applyFont="1" applyFill="1" applyBorder="1"/>
    <xf numFmtId="0" fontId="95" fillId="2" borderId="17" xfId="2" applyFont="1" applyFill="1" applyBorder="1" applyAlignment="1">
      <alignment horizontal="center" vertical="center"/>
    </xf>
    <xf numFmtId="0" fontId="87" fillId="0" borderId="72" xfId="0" applyFont="1" applyFill="1" applyBorder="1" applyAlignment="1">
      <alignment horizontal="center" vertical="center"/>
    </xf>
    <xf numFmtId="0" fontId="88" fillId="0" borderId="73" xfId="0" applyFont="1" applyFill="1" applyBorder="1" applyAlignment="1">
      <alignment horizontal="center" vertical="center"/>
    </xf>
    <xf numFmtId="0" fontId="67" fillId="0" borderId="73" xfId="0" applyFont="1" applyFill="1" applyBorder="1" applyAlignment="1">
      <alignment horizontal="center" vertical="center"/>
    </xf>
    <xf numFmtId="0" fontId="67" fillId="0" borderId="73" xfId="0" applyNumberFormat="1" applyFont="1" applyFill="1" applyBorder="1" applyAlignment="1">
      <alignment horizontal="center" vertical="center"/>
    </xf>
    <xf numFmtId="0" fontId="69" fillId="0" borderId="73" xfId="0" applyFont="1" applyFill="1" applyBorder="1" applyAlignment="1">
      <alignment horizontal="center" vertical="center"/>
    </xf>
    <xf numFmtId="0" fontId="69" fillId="0" borderId="73" xfId="0" applyNumberFormat="1" applyFont="1" applyFill="1" applyBorder="1" applyAlignment="1">
      <alignment horizontal="center" vertical="center"/>
    </xf>
    <xf numFmtId="0" fontId="86" fillId="0" borderId="0" xfId="0" applyFont="1" applyFill="1" applyAlignment="1">
      <alignment horizontal="center" vertical="center"/>
    </xf>
    <xf numFmtId="0" fontId="85" fillId="0" borderId="27" xfId="0" applyFont="1" applyFill="1" applyBorder="1" applyAlignment="1">
      <alignment vertical="center"/>
    </xf>
    <xf numFmtId="0" fontId="87" fillId="0" borderId="43" xfId="0" applyFont="1" applyFill="1" applyBorder="1" applyAlignment="1">
      <alignment horizontal="center" vertical="center"/>
    </xf>
    <xf numFmtId="0" fontId="87" fillId="0" borderId="43" xfId="0" applyFont="1" applyFill="1" applyBorder="1" applyAlignment="1">
      <alignment horizontal="left" vertical="center" wrapText="1"/>
    </xf>
    <xf numFmtId="0" fontId="87" fillId="0" borderId="43" xfId="0" applyFont="1" applyFill="1" applyBorder="1" applyAlignment="1">
      <alignment horizontal="center" vertical="center" wrapText="1"/>
    </xf>
    <xf numFmtId="43" fontId="87" fillId="0" borderId="43" xfId="1" applyFont="1" applyFill="1" applyBorder="1" applyAlignment="1">
      <alignment horizontal="right" vertical="center"/>
    </xf>
    <xf numFmtId="43" fontId="87" fillId="0" borderId="43" xfId="1" applyFont="1" applyFill="1" applyBorder="1" applyAlignment="1">
      <alignment horizontal="right" vertical="center" wrapText="1"/>
    </xf>
    <xf numFmtId="0" fontId="87" fillId="0" borderId="0" xfId="0" applyFont="1" applyFill="1" applyAlignment="1">
      <alignment horizontal="center" vertical="center"/>
    </xf>
    <xf numFmtId="0" fontId="88" fillId="0" borderId="44" xfId="0" applyFont="1" applyFill="1" applyBorder="1" applyAlignment="1">
      <alignment horizontal="center" vertical="center"/>
    </xf>
    <xf numFmtId="0" fontId="88" fillId="0" borderId="44" xfId="0" applyFont="1" applyFill="1" applyBorder="1" applyAlignment="1">
      <alignment horizontal="left" vertical="center" wrapText="1"/>
    </xf>
    <xf numFmtId="0" fontId="88" fillId="0" borderId="44" xfId="0" applyFont="1" applyFill="1" applyBorder="1" applyAlignment="1">
      <alignment horizontal="center" vertical="center" wrapText="1"/>
    </xf>
    <xf numFmtId="43" fontId="88" fillId="0" borderId="44" xfId="1" applyFont="1" applyFill="1" applyBorder="1" applyAlignment="1">
      <alignment horizontal="right" vertical="center" wrapText="1"/>
    </xf>
    <xf numFmtId="0" fontId="67" fillId="0" borderId="44" xfId="0" applyFont="1" applyFill="1" applyBorder="1" applyAlignment="1">
      <alignment horizontal="center" vertical="center"/>
    </xf>
    <xf numFmtId="0" fontId="67" fillId="0" borderId="44" xfId="0" applyFont="1" applyFill="1" applyBorder="1" applyAlignment="1">
      <alignment horizontal="center" vertical="center" wrapText="1"/>
    </xf>
    <xf numFmtId="43" fontId="67" fillId="0" borderId="44" xfId="1" applyFont="1" applyFill="1" applyBorder="1" applyAlignment="1">
      <alignment horizontal="right" vertical="center" wrapText="1"/>
    </xf>
    <xf numFmtId="0" fontId="67" fillId="0" borderId="0" xfId="0" applyFont="1" applyFill="1" applyAlignment="1">
      <alignment horizontal="center" vertical="center"/>
    </xf>
    <xf numFmtId="0" fontId="67" fillId="0" borderId="28" xfId="0" applyFont="1" applyFill="1" applyBorder="1" applyAlignment="1">
      <alignment horizontal="center" vertical="center"/>
    </xf>
    <xf numFmtId="0" fontId="60" fillId="0" borderId="23" xfId="0" applyFont="1" applyFill="1" applyBorder="1" applyAlignment="1">
      <alignment horizontal="left" vertical="center" wrapText="1"/>
    </xf>
    <xf numFmtId="0" fontId="60" fillId="0" borderId="23" xfId="0" applyFont="1" applyFill="1" applyBorder="1" applyAlignment="1">
      <alignment horizontal="center" vertical="center" wrapText="1"/>
    </xf>
    <xf numFmtId="43" fontId="60" fillId="0" borderId="23" xfId="1" applyFont="1" applyFill="1" applyBorder="1" applyAlignment="1">
      <alignment horizontal="center" vertical="center"/>
    </xf>
    <xf numFmtId="43" fontId="67" fillId="0" borderId="23" xfId="1" applyFont="1" applyFill="1" applyBorder="1" applyAlignment="1">
      <alignment horizontal="center" vertical="center" wrapText="1"/>
    </xf>
    <xf numFmtId="43" fontId="87" fillId="0" borderId="43" xfId="1" applyFont="1" applyFill="1" applyBorder="1" applyAlignment="1">
      <alignment horizontal="center" vertical="center"/>
    </xf>
    <xf numFmtId="43" fontId="67" fillId="0" borderId="43" xfId="1" applyFont="1" applyFill="1" applyBorder="1" applyAlignment="1">
      <alignment horizontal="center" vertical="center" wrapText="1"/>
    </xf>
    <xf numFmtId="0" fontId="70" fillId="0" borderId="0" xfId="0" applyFont="1" applyFill="1" applyAlignment="1">
      <alignment horizontal="center" vertical="center"/>
    </xf>
    <xf numFmtId="0" fontId="88" fillId="0" borderId="73" xfId="0" applyNumberFormat="1" applyFont="1" applyFill="1" applyBorder="1" applyAlignment="1">
      <alignment horizontal="center" vertical="center"/>
    </xf>
    <xf numFmtId="43" fontId="64" fillId="0" borderId="27" xfId="1" applyFont="1" applyFill="1" applyBorder="1" applyAlignment="1">
      <alignment horizontal="center" vertical="center"/>
    </xf>
    <xf numFmtId="43" fontId="69" fillId="0" borderId="0" xfId="1" applyFont="1" applyFill="1" applyAlignment="1">
      <alignment horizontal="center" vertical="center"/>
    </xf>
    <xf numFmtId="43" fontId="44" fillId="2" borderId="0" xfId="0" applyNumberFormat="1" applyFont="1" applyFill="1" applyBorder="1" applyAlignment="1">
      <alignment horizontal="center" vertical="center"/>
    </xf>
    <xf numFmtId="0" fontId="28" fillId="2" borderId="17" xfId="0" applyFont="1" applyFill="1" applyBorder="1" applyAlignment="1">
      <alignment horizontal="left" vertical="center"/>
    </xf>
    <xf numFmtId="0" fontId="42" fillId="2" borderId="17" xfId="0" applyFont="1" applyFill="1" applyBorder="1" applyAlignment="1">
      <alignment horizontal="left" vertical="center"/>
    </xf>
    <xf numFmtId="0" fontId="3" fillId="0" borderId="43" xfId="0" applyFont="1" applyFill="1" applyBorder="1"/>
    <xf numFmtId="0" fontId="3" fillId="0" borderId="43" xfId="1" applyNumberFormat="1" applyFont="1" applyFill="1" applyBorder="1" applyAlignment="1">
      <alignment horizontal="center"/>
    </xf>
    <xf numFmtId="0" fontId="25" fillId="0" borderId="0" xfId="0" applyFont="1" applyFill="1"/>
    <xf numFmtId="0" fontId="67" fillId="2" borderId="76" xfId="0" applyFont="1" applyFill="1" applyBorder="1" applyAlignment="1">
      <alignment horizontal="center" vertical="center" wrapText="1"/>
    </xf>
    <xf numFmtId="0" fontId="67" fillId="2" borderId="43" xfId="0" applyFont="1" applyFill="1" applyBorder="1" applyAlignment="1">
      <alignment horizontal="center" vertical="center" wrapText="1"/>
    </xf>
    <xf numFmtId="0" fontId="67" fillId="2" borderId="76" xfId="0" applyFont="1" applyFill="1" applyBorder="1" applyAlignment="1">
      <alignment horizontal="center" vertical="center"/>
    </xf>
    <xf numFmtId="0" fontId="67" fillId="2" borderId="43" xfId="0" applyFont="1" applyFill="1" applyBorder="1" applyAlignment="1">
      <alignment horizontal="center" vertical="center"/>
    </xf>
    <xf numFmtId="0" fontId="67" fillId="2" borderId="76" xfId="0" applyFont="1" applyFill="1" applyBorder="1" applyAlignment="1">
      <alignment horizontal="left" vertical="center" wrapText="1"/>
    </xf>
    <xf numFmtId="43" fontId="73" fillId="2" borderId="18" xfId="1" applyFont="1" applyFill="1" applyBorder="1" applyAlignment="1">
      <alignment horizontal="center" vertical="center" wrapText="1"/>
    </xf>
    <xf numFmtId="0" fontId="95" fillId="2" borderId="0" xfId="2" applyFont="1" applyFill="1" applyBorder="1" applyAlignment="1">
      <alignment horizontal="center" vertical="center"/>
    </xf>
    <xf numFmtId="2" fontId="95" fillId="2" borderId="0" xfId="2" applyNumberFormat="1" applyFont="1" applyFill="1" applyBorder="1" applyAlignment="1">
      <alignment horizontal="left" vertical="center"/>
    </xf>
    <xf numFmtId="0" fontId="95" fillId="2" borderId="18" xfId="2" applyFont="1" applyFill="1" applyBorder="1" applyAlignment="1">
      <alignment horizontal="center" vertical="center"/>
    </xf>
    <xf numFmtId="43" fontId="95" fillId="2" borderId="0" xfId="1" applyFont="1" applyFill="1" applyBorder="1" applyAlignment="1">
      <alignment horizontal="center" vertical="center" wrapText="1"/>
    </xf>
    <xf numFmtId="43" fontId="95" fillId="2" borderId="18" xfId="1" applyFont="1" applyFill="1" applyBorder="1" applyAlignment="1">
      <alignment horizontal="center" vertical="center" wrapText="1"/>
    </xf>
    <xf numFmtId="43" fontId="95" fillId="2" borderId="19" xfId="1" applyFont="1" applyFill="1" applyBorder="1" applyAlignment="1">
      <alignment horizontal="center" vertical="center" wrapText="1"/>
    </xf>
    <xf numFmtId="43" fontId="95" fillId="2" borderId="0" xfId="1" applyFont="1" applyFill="1" applyBorder="1" applyAlignment="1">
      <alignment horizontal="center" vertical="center"/>
    </xf>
    <xf numFmtId="0" fontId="99" fillId="2" borderId="0" xfId="0" applyFont="1" applyFill="1" applyAlignment="1">
      <alignment vertical="center"/>
    </xf>
    <xf numFmtId="2" fontId="99" fillId="2" borderId="0" xfId="0" applyNumberFormat="1" applyFont="1" applyFill="1" applyBorder="1" applyAlignment="1">
      <alignment horizontal="left" vertical="center"/>
    </xf>
    <xf numFmtId="43" fontId="99" fillId="2" borderId="18" xfId="1" applyFont="1" applyFill="1" applyBorder="1" applyAlignment="1">
      <alignment vertical="center" wrapText="1"/>
    </xf>
    <xf numFmtId="0" fontId="99" fillId="2" borderId="0" xfId="0" applyFont="1" applyFill="1" applyBorder="1" applyAlignment="1">
      <alignment horizontal="center" vertical="center"/>
    </xf>
    <xf numFmtId="0" fontId="99" fillId="2" borderId="18" xfId="0" applyFont="1" applyFill="1" applyBorder="1" applyAlignment="1">
      <alignment horizontal="center" vertical="center"/>
    </xf>
    <xf numFmtId="0" fontId="95" fillId="2" borderId="17" xfId="0" applyFont="1" applyFill="1" applyBorder="1" applyAlignment="1">
      <alignment horizontal="center" vertical="center"/>
    </xf>
    <xf numFmtId="0" fontId="99" fillId="2" borderId="17" xfId="0" applyFont="1" applyFill="1" applyBorder="1" applyAlignment="1">
      <alignment vertical="center"/>
    </xf>
    <xf numFmtId="43" fontId="99" fillId="2" borderId="0" xfId="1" applyFont="1" applyFill="1" applyBorder="1" applyAlignment="1">
      <alignment vertical="center" wrapText="1"/>
    </xf>
    <xf numFmtId="43" fontId="99" fillId="2" borderId="19" xfId="1" applyFont="1" applyFill="1" applyBorder="1" applyAlignment="1">
      <alignment vertical="center" wrapText="1"/>
    </xf>
    <xf numFmtId="2" fontId="95" fillId="2" borderId="18" xfId="0" applyNumberFormat="1" applyFont="1" applyFill="1" applyBorder="1" applyAlignment="1">
      <alignment vertical="center"/>
    </xf>
    <xf numFmtId="43" fontId="95" fillId="2" borderId="0" xfId="1" applyFont="1" applyFill="1" applyBorder="1" applyAlignment="1">
      <alignment vertical="center"/>
    </xf>
    <xf numFmtId="0" fontId="95" fillId="2" borderId="0" xfId="0" applyFont="1" applyFill="1" applyBorder="1" applyAlignment="1">
      <alignment vertical="center"/>
    </xf>
    <xf numFmtId="2" fontId="99" fillId="2" borderId="19" xfId="0" applyNumberFormat="1" applyFont="1" applyFill="1" applyBorder="1" applyAlignment="1">
      <alignment horizontal="left" vertical="center"/>
    </xf>
    <xf numFmtId="0" fontId="99" fillId="2" borderId="0" xfId="0" applyFont="1" applyFill="1" applyBorder="1" applyAlignment="1">
      <alignment vertical="center"/>
    </xf>
    <xf numFmtId="0" fontId="79" fillId="2" borderId="0" xfId="2" applyFont="1" applyFill="1" applyBorder="1" applyAlignment="1">
      <alignment horizontal="left" vertical="center"/>
    </xf>
    <xf numFmtId="0" fontId="74" fillId="2" borderId="18" xfId="0" applyFont="1" applyFill="1" applyBorder="1" applyAlignment="1">
      <alignment horizontal="center" vertical="center"/>
    </xf>
    <xf numFmtId="43" fontId="73" fillId="2" borderId="17" xfId="1" applyFont="1" applyFill="1" applyBorder="1" applyAlignment="1">
      <alignment vertical="center" wrapText="1"/>
    </xf>
    <xf numFmtId="10" fontId="73" fillId="2" borderId="19" xfId="677" applyNumberFormat="1" applyFont="1" applyFill="1" applyBorder="1" applyAlignment="1">
      <alignment horizontal="right" vertical="center" wrapText="1"/>
    </xf>
    <xf numFmtId="2" fontId="73" fillId="2" borderId="19" xfId="0" applyNumberFormat="1" applyFont="1" applyFill="1" applyBorder="1" applyAlignment="1">
      <alignment horizontal="left" vertical="center"/>
    </xf>
    <xf numFmtId="2" fontId="73" fillId="2" borderId="24" xfId="0" applyNumberFormat="1" applyFont="1" applyFill="1" applyBorder="1" applyAlignment="1">
      <alignment horizontal="left" vertical="center"/>
    </xf>
    <xf numFmtId="0" fontId="73" fillId="2" borderId="23" xfId="0" applyFont="1" applyFill="1" applyBorder="1" applyAlignment="1">
      <alignment vertical="center"/>
    </xf>
    <xf numFmtId="2" fontId="95" fillId="2" borderId="19" xfId="2" applyNumberFormat="1" applyFont="1" applyFill="1" applyBorder="1" applyAlignment="1">
      <alignment horizontal="left" vertical="center"/>
    </xf>
    <xf numFmtId="0" fontId="26" fillId="0" borderId="0" xfId="0" applyFont="1" applyFill="1" applyAlignment="1"/>
    <xf numFmtId="0" fontId="73" fillId="2" borderId="77" xfId="0" applyFont="1" applyFill="1" applyBorder="1" applyAlignment="1">
      <alignment vertical="center"/>
    </xf>
    <xf numFmtId="0" fontId="73" fillId="2" borderId="78" xfId="0" applyFont="1" applyFill="1" applyBorder="1" applyAlignment="1">
      <alignment horizontal="center" vertical="center"/>
    </xf>
    <xf numFmtId="2" fontId="73" fillId="2" borderId="79" xfId="0" applyNumberFormat="1" applyFont="1" applyFill="1" applyBorder="1" applyAlignment="1">
      <alignment horizontal="left" vertical="center"/>
    </xf>
    <xf numFmtId="2" fontId="74" fillId="2" borderId="17" xfId="0" applyNumberFormat="1" applyFont="1" applyFill="1" applyBorder="1" applyAlignment="1">
      <alignment vertical="center"/>
    </xf>
    <xf numFmtId="43" fontId="74" fillId="2" borderId="25" xfId="1" applyFont="1" applyFill="1" applyBorder="1" applyAlignment="1">
      <alignment vertical="center"/>
    </xf>
    <xf numFmtId="43" fontId="74" fillId="2" borderId="20" xfId="1" applyFont="1" applyFill="1" applyBorder="1" applyAlignment="1">
      <alignment vertical="center"/>
    </xf>
    <xf numFmtId="43" fontId="74" fillId="2" borderId="22" xfId="1" applyFont="1" applyFill="1" applyBorder="1" applyAlignment="1">
      <alignment horizontal="center" vertical="center" wrapText="1"/>
    </xf>
    <xf numFmtId="0" fontId="67" fillId="0" borderId="76" xfId="0" applyFont="1" applyFill="1" applyBorder="1" applyAlignment="1">
      <alignment horizontal="center" vertical="center" wrapText="1"/>
    </xf>
    <xf numFmtId="0" fontId="73" fillId="2" borderId="0" xfId="0" applyFont="1" applyFill="1" applyAlignment="1">
      <alignment horizontal="center" vertical="center"/>
    </xf>
    <xf numFmtId="0" fontId="77" fillId="2" borderId="0" xfId="0" applyFont="1" applyFill="1" applyAlignment="1">
      <alignment horizontal="center" vertical="center"/>
    </xf>
    <xf numFmtId="0" fontId="74" fillId="2" borderId="0" xfId="0" applyFont="1" applyFill="1" applyAlignment="1">
      <alignment horizontal="center" vertical="center"/>
    </xf>
    <xf numFmtId="0" fontId="99" fillId="2" borderId="0" xfId="0" applyFont="1" applyFill="1" applyAlignment="1">
      <alignment horizontal="center" vertical="center"/>
    </xf>
    <xf numFmtId="180" fontId="34" fillId="0" borderId="62" xfId="1" applyNumberFormat="1" applyFont="1" applyFill="1" applyBorder="1"/>
    <xf numFmtId="43" fontId="74" fillId="2" borderId="21" xfId="1" applyFont="1" applyFill="1" applyBorder="1" applyAlignment="1">
      <alignment vertical="center" wrapText="1"/>
    </xf>
    <xf numFmtId="43" fontId="74" fillId="2" borderId="22" xfId="1" quotePrefix="1" applyFont="1" applyFill="1" applyBorder="1" applyAlignment="1">
      <alignment horizontal="center" vertical="center" wrapText="1"/>
    </xf>
    <xf numFmtId="0" fontId="73" fillId="2" borderId="25" xfId="0" applyFont="1" applyFill="1" applyBorder="1" applyAlignment="1">
      <alignment vertical="center"/>
    </xf>
    <xf numFmtId="4" fontId="93" fillId="2" borderId="0" xfId="0" applyNumberFormat="1" applyFont="1" applyFill="1"/>
    <xf numFmtId="4" fontId="94" fillId="2" borderId="0" xfId="0" applyNumberFormat="1" applyFont="1" applyFill="1"/>
    <xf numFmtId="0" fontId="85" fillId="0" borderId="27" xfId="0" applyFont="1" applyFill="1" applyBorder="1" applyAlignment="1">
      <alignment horizontal="center" vertical="center"/>
    </xf>
    <xf numFmtId="0" fontId="60" fillId="0" borderId="23" xfId="0" applyFont="1" applyFill="1" applyBorder="1" applyAlignment="1">
      <alignment horizontal="center" vertical="center"/>
    </xf>
    <xf numFmtId="0" fontId="85" fillId="0" borderId="27" xfId="0" applyFont="1" applyFill="1" applyBorder="1" applyAlignment="1">
      <alignment horizontal="center" vertical="center"/>
    </xf>
    <xf numFmtId="165" fontId="74" fillId="2" borderId="0" xfId="45287" applyFont="1" applyFill="1" applyBorder="1" applyAlignment="1">
      <alignment vertical="center"/>
    </xf>
    <xf numFmtId="0" fontId="80" fillId="2" borderId="17" xfId="2" applyFont="1" applyFill="1" applyBorder="1" applyAlignment="1">
      <alignment horizontal="left" vertical="center"/>
    </xf>
    <xf numFmtId="0" fontId="73" fillId="2" borderId="18" xfId="0" applyFont="1" applyFill="1" applyBorder="1" applyAlignment="1">
      <alignment horizontal="center" vertical="center" wrapText="1"/>
    </xf>
    <xf numFmtId="182" fontId="74" fillId="2" borderId="0" xfId="0" applyNumberFormat="1" applyFont="1" applyFill="1" applyBorder="1" applyAlignment="1">
      <alignment vertical="center"/>
    </xf>
    <xf numFmtId="168" fontId="73" fillId="2" borderId="0" xfId="0" applyNumberFormat="1" applyFont="1" applyFill="1" applyBorder="1" applyAlignment="1">
      <alignment horizontal="center" vertical="center"/>
    </xf>
    <xf numFmtId="165" fontId="74" fillId="2" borderId="0" xfId="45287" applyFont="1" applyFill="1" applyBorder="1" applyAlignment="1">
      <alignment horizontal="center" vertical="center"/>
    </xf>
    <xf numFmtId="0" fontId="74" fillId="2" borderId="17" xfId="0" applyFont="1" applyFill="1" applyBorder="1" applyAlignment="1">
      <alignment horizontal="left" vertical="center" wrapText="1"/>
    </xf>
    <xf numFmtId="181" fontId="73" fillId="2" borderId="0" xfId="0" applyNumberFormat="1" applyFont="1" applyFill="1" applyBorder="1" applyAlignment="1">
      <alignment horizontal="center" vertical="center"/>
    </xf>
    <xf numFmtId="165" fontId="95" fillId="2" borderId="0" xfId="45287" applyFont="1" applyFill="1" applyBorder="1" applyAlignment="1">
      <alignment vertical="center"/>
    </xf>
    <xf numFmtId="0" fontId="73" fillId="2" borderId="18" xfId="2" applyFont="1" applyFill="1" applyBorder="1" applyAlignment="1">
      <alignment vertical="center"/>
    </xf>
    <xf numFmtId="0" fontId="74" fillId="2" borderId="17" xfId="0" applyFont="1" applyFill="1" applyBorder="1" applyAlignment="1">
      <alignment vertical="center"/>
    </xf>
    <xf numFmtId="2" fontId="74" fillId="2" borderId="0" xfId="0" applyNumberFormat="1" applyFont="1" applyFill="1" applyBorder="1" applyAlignment="1">
      <alignment horizontal="left" vertical="center"/>
    </xf>
    <xf numFmtId="43" fontId="73" fillId="2" borderId="18" xfId="1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left"/>
    </xf>
    <xf numFmtId="0" fontId="29" fillId="2" borderId="50" xfId="0" applyFont="1" applyFill="1" applyBorder="1" applyAlignment="1">
      <alignment horizontal="center" vertical="center"/>
    </xf>
    <xf numFmtId="0" fontId="29" fillId="2" borderId="58" xfId="0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left" vertical="center" wrapText="1"/>
    </xf>
    <xf numFmtId="0" fontId="42" fillId="57" borderId="0" xfId="0" applyFont="1" applyFill="1"/>
    <xf numFmtId="0" fontId="0" fillId="57" borderId="0" xfId="0" applyFill="1"/>
    <xf numFmtId="0" fontId="69" fillId="0" borderId="0" xfId="0" applyFont="1" applyAlignment="1">
      <alignment horizontal="left"/>
    </xf>
    <xf numFmtId="0" fontId="67" fillId="0" borderId="0" xfId="0" applyFont="1" applyFill="1" applyBorder="1" applyAlignment="1">
      <alignment horizontal="left" vertical="top"/>
    </xf>
    <xf numFmtId="0" fontId="31" fillId="0" borderId="83" xfId="0" applyFont="1" applyFill="1" applyBorder="1" applyAlignment="1">
      <alignment horizontal="center" vertical="top" wrapText="1"/>
    </xf>
    <xf numFmtId="2" fontId="98" fillId="0" borderId="83" xfId="0" applyNumberFormat="1" applyFont="1" applyFill="1" applyBorder="1" applyAlignment="1">
      <alignment horizontal="right" vertical="top" shrinkToFit="1"/>
    </xf>
    <xf numFmtId="0" fontId="31" fillId="0" borderId="83" xfId="0" applyFont="1" applyFill="1" applyBorder="1" applyAlignment="1">
      <alignment horizontal="left" vertical="top" wrapText="1"/>
    </xf>
    <xf numFmtId="0" fontId="0" fillId="0" borderId="0" xfId="0" applyFill="1" applyBorder="1" applyAlignment="1">
      <alignment horizontal="left" vertical="top"/>
    </xf>
    <xf numFmtId="0" fontId="69" fillId="2" borderId="0" xfId="0" applyFont="1" applyFill="1" applyAlignment="1">
      <alignment vertical="center"/>
    </xf>
    <xf numFmtId="0" fontId="67" fillId="0" borderId="83" xfId="0" applyFont="1" applyFill="1" applyBorder="1" applyAlignment="1">
      <alignment horizontal="left" vertical="top" wrapText="1"/>
    </xf>
    <xf numFmtId="168" fontId="70" fillId="2" borderId="0" xfId="0" applyNumberFormat="1" applyFont="1" applyFill="1" applyAlignment="1">
      <alignment vertical="center"/>
    </xf>
    <xf numFmtId="0" fontId="70" fillId="2" borderId="0" xfId="0" applyFont="1" applyFill="1" applyAlignment="1">
      <alignment vertical="center"/>
    </xf>
    <xf numFmtId="168" fontId="70" fillId="2" borderId="0" xfId="0" applyNumberFormat="1" applyFont="1" applyFill="1" applyBorder="1" applyAlignment="1">
      <alignment vertical="center"/>
    </xf>
    <xf numFmtId="0" fontId="70" fillId="2" borderId="0" xfId="0" applyFont="1" applyFill="1" applyBorder="1" applyAlignment="1">
      <alignment vertical="center"/>
    </xf>
    <xf numFmtId="0" fontId="69" fillId="2" borderId="0" xfId="0" applyFont="1" applyFill="1" applyBorder="1" applyAlignment="1">
      <alignment vertical="center"/>
    </xf>
    <xf numFmtId="2" fontId="86" fillId="0" borderId="0" xfId="45287" applyNumberFormat="1" applyFont="1" applyFill="1" applyBorder="1" applyAlignment="1"/>
    <xf numFmtId="185" fontId="0" fillId="0" borderId="0" xfId="0" applyNumberFormat="1" applyFill="1" applyBorder="1" applyAlignment="1">
      <alignment horizontal="left" vertical="top"/>
    </xf>
    <xf numFmtId="2" fontId="86" fillId="0" borderId="0" xfId="0" applyNumberFormat="1" applyFont="1" applyFill="1" applyBorder="1" applyAlignment="1"/>
    <xf numFmtId="0" fontId="86" fillId="0" borderId="0" xfId="0" applyFont="1" applyFill="1" applyBorder="1" applyAlignment="1">
      <alignment horizontal="left"/>
    </xf>
    <xf numFmtId="0" fontId="86" fillId="0" borderId="0" xfId="0" applyFont="1" applyFill="1" applyBorder="1" applyAlignment="1"/>
    <xf numFmtId="0" fontId="86" fillId="0" borderId="0" xfId="0" applyFont="1" applyFill="1" applyBorder="1" applyAlignment="1">
      <alignment horizontal="center"/>
    </xf>
    <xf numFmtId="1" fontId="98" fillId="0" borderId="84" xfId="0" applyNumberFormat="1" applyFont="1" applyFill="1" applyBorder="1" applyAlignment="1">
      <alignment horizontal="right" vertical="top" shrinkToFit="1"/>
    </xf>
    <xf numFmtId="0" fontId="64" fillId="0" borderId="0" xfId="0" applyFont="1" applyAlignment="1">
      <alignment horizontal="center" vertical="center"/>
    </xf>
    <xf numFmtId="168" fontId="69" fillId="2" borderId="0" xfId="0" applyNumberFormat="1" applyFont="1" applyFill="1" applyAlignment="1">
      <alignment vertical="center"/>
    </xf>
    <xf numFmtId="168" fontId="69" fillId="2" borderId="0" xfId="0" applyNumberFormat="1" applyFont="1" applyFill="1" applyBorder="1" applyAlignment="1">
      <alignment vertical="center"/>
    </xf>
    <xf numFmtId="0" fontId="29" fillId="2" borderId="58" xfId="0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left" vertical="center" wrapText="1"/>
    </xf>
    <xf numFmtId="0" fontId="29" fillId="0" borderId="58" xfId="0" applyFont="1" applyFill="1" applyBorder="1" applyAlignment="1">
      <alignment horizontal="center" vertical="center"/>
    </xf>
    <xf numFmtId="0" fontId="73" fillId="2" borderId="17" xfId="2" applyFont="1" applyFill="1" applyBorder="1" applyAlignment="1">
      <alignment horizontal="center" vertical="center"/>
    </xf>
    <xf numFmtId="0" fontId="73" fillId="2" borderId="0" xfId="2" applyFont="1" applyFill="1" applyBorder="1" applyAlignment="1">
      <alignment horizontal="center" vertical="center"/>
    </xf>
    <xf numFmtId="0" fontId="73" fillId="2" borderId="19" xfId="2" applyFont="1" applyFill="1" applyBorder="1" applyAlignment="1">
      <alignment horizontal="center" vertical="center" wrapText="1"/>
    </xf>
    <xf numFmtId="43" fontId="73" fillId="2" borderId="18" xfId="1" applyFont="1" applyFill="1" applyBorder="1" applyAlignment="1">
      <alignment horizontal="center" vertical="center" wrapText="1"/>
    </xf>
    <xf numFmtId="43" fontId="73" fillId="2" borderId="17" xfId="1" applyFont="1" applyFill="1" applyBorder="1" applyAlignment="1">
      <alignment horizontal="center" vertical="center"/>
    </xf>
    <xf numFmtId="43" fontId="73" fillId="2" borderId="0" xfId="1" applyFont="1" applyFill="1" applyBorder="1" applyAlignment="1">
      <alignment horizontal="center" vertical="center"/>
    </xf>
    <xf numFmtId="43" fontId="73" fillId="2" borderId="0" xfId="1" applyFont="1" applyFill="1" applyBorder="1" applyAlignment="1">
      <alignment horizontal="center" vertical="center" wrapText="1"/>
    </xf>
    <xf numFmtId="43" fontId="73" fillId="2" borderId="19" xfId="1" applyFont="1" applyFill="1" applyBorder="1" applyAlignment="1">
      <alignment horizontal="center" vertical="center" wrapText="1"/>
    </xf>
    <xf numFmtId="176" fontId="73" fillId="2" borderId="18" xfId="1" applyNumberFormat="1" applyFont="1" applyFill="1" applyBorder="1" applyAlignment="1">
      <alignment horizontal="center" vertical="center" wrapText="1"/>
    </xf>
    <xf numFmtId="176" fontId="74" fillId="2" borderId="21" xfId="1" applyNumberFormat="1" applyFont="1" applyFill="1" applyBorder="1" applyAlignment="1">
      <alignment horizontal="center" vertical="center" wrapText="1"/>
    </xf>
    <xf numFmtId="171" fontId="74" fillId="2" borderId="0" xfId="45287" applyNumberFormat="1" applyFont="1" applyFill="1" applyBorder="1" applyAlignment="1">
      <alignment vertical="center"/>
    </xf>
    <xf numFmtId="0" fontId="74" fillId="2" borderId="87" xfId="0" applyFont="1" applyFill="1" applyBorder="1" applyAlignment="1">
      <alignment horizontal="center" vertical="center"/>
    </xf>
    <xf numFmtId="0" fontId="75" fillId="2" borderId="7" xfId="2" applyFont="1" applyFill="1" applyBorder="1" applyAlignment="1">
      <alignment horizontal="center" vertical="center"/>
    </xf>
    <xf numFmtId="0" fontId="76" fillId="2" borderId="7" xfId="2" applyFont="1" applyFill="1" applyBorder="1" applyAlignment="1">
      <alignment horizontal="center" vertical="center"/>
    </xf>
    <xf numFmtId="0" fontId="74" fillId="2" borderId="7" xfId="2" applyFont="1" applyFill="1" applyBorder="1" applyAlignment="1">
      <alignment horizontal="center" vertical="center"/>
    </xf>
    <xf numFmtId="0" fontId="73" fillId="2" borderId="7" xfId="2" applyFont="1" applyFill="1" applyBorder="1" applyAlignment="1">
      <alignment horizontal="center" vertical="center"/>
    </xf>
    <xf numFmtId="0" fontId="73" fillId="2" borderId="6" xfId="2" applyFont="1" applyFill="1" applyBorder="1" applyAlignment="1">
      <alignment horizontal="center" vertical="center"/>
    </xf>
    <xf numFmtId="0" fontId="73" fillId="2" borderId="28" xfId="0" applyFont="1" applyFill="1" applyBorder="1" applyAlignment="1">
      <alignment horizontal="center" vertical="center"/>
    </xf>
    <xf numFmtId="2" fontId="73" fillId="2" borderId="29" xfId="0" applyNumberFormat="1" applyFont="1" applyFill="1" applyBorder="1" applyAlignment="1">
      <alignment vertical="center"/>
    </xf>
    <xf numFmtId="0" fontId="78" fillId="2" borderId="7" xfId="2" applyFont="1" applyFill="1" applyBorder="1" applyAlignment="1">
      <alignment horizontal="center" vertical="center"/>
    </xf>
    <xf numFmtId="0" fontId="74" fillId="2" borderId="6" xfId="2" applyFont="1" applyFill="1" applyBorder="1" applyAlignment="1">
      <alignment horizontal="center" vertical="center"/>
    </xf>
    <xf numFmtId="2" fontId="73" fillId="2" borderId="6" xfId="0" applyNumberFormat="1" applyFont="1" applyFill="1" applyBorder="1" applyAlignment="1">
      <alignment vertical="center"/>
    </xf>
    <xf numFmtId="0" fontId="74" fillId="2" borderId="28" xfId="0" applyFont="1" applyFill="1" applyBorder="1" applyAlignment="1">
      <alignment horizontal="center" vertical="center"/>
    </xf>
    <xf numFmtId="0" fontId="79" fillId="2" borderId="7" xfId="2" applyFont="1" applyFill="1" applyBorder="1" applyAlignment="1">
      <alignment horizontal="center" vertical="center"/>
    </xf>
    <xf numFmtId="0" fontId="80" fillId="2" borderId="6" xfId="2" applyFont="1" applyFill="1" applyBorder="1" applyAlignment="1">
      <alignment horizontal="center" vertical="center"/>
    </xf>
    <xf numFmtId="0" fontId="74" fillId="2" borderId="7" xfId="0" applyNumberFormat="1" applyFont="1" applyFill="1" applyBorder="1" applyAlignment="1">
      <alignment horizontal="center" vertical="center"/>
    </xf>
    <xf numFmtId="0" fontId="74" fillId="2" borderId="6" xfId="0" applyFont="1" applyFill="1" applyBorder="1" applyAlignment="1">
      <alignment vertical="center"/>
    </xf>
    <xf numFmtId="0" fontId="99" fillId="2" borderId="7" xfId="0" applyFont="1" applyFill="1" applyBorder="1" applyAlignment="1">
      <alignment horizontal="center" vertical="center"/>
    </xf>
    <xf numFmtId="2" fontId="99" fillId="2" borderId="6" xfId="0" applyNumberFormat="1" applyFont="1" applyFill="1" applyBorder="1" applyAlignment="1">
      <alignment vertical="center"/>
    </xf>
    <xf numFmtId="0" fontId="73" fillId="2" borderId="6" xfId="0" applyFont="1" applyFill="1" applyBorder="1" applyAlignment="1">
      <alignment vertical="center"/>
    </xf>
    <xf numFmtId="0" fontId="74" fillId="2" borderId="7" xfId="0" applyFont="1" applyFill="1" applyBorder="1" applyAlignment="1">
      <alignment horizontal="center" vertical="center"/>
    </xf>
    <xf numFmtId="0" fontId="95" fillId="2" borderId="6" xfId="2" applyFont="1" applyFill="1" applyBorder="1" applyAlignment="1">
      <alignment horizontal="center" vertical="center"/>
    </xf>
    <xf numFmtId="0" fontId="73" fillId="2" borderId="88" xfId="0" applyFont="1" applyFill="1" applyBorder="1" applyAlignment="1">
      <alignment horizontal="center" vertical="center"/>
    </xf>
    <xf numFmtId="2" fontId="73" fillId="2" borderId="88" xfId="0" applyNumberFormat="1" applyFont="1" applyFill="1" applyBorder="1" applyAlignment="1">
      <alignment horizontal="left" vertical="center"/>
    </xf>
    <xf numFmtId="2" fontId="73" fillId="2" borderId="89" xfId="0" applyNumberFormat="1" applyFont="1" applyFill="1" applyBorder="1" applyAlignment="1">
      <alignment vertical="center"/>
    </xf>
    <xf numFmtId="43" fontId="74" fillId="2" borderId="88" xfId="1" applyFont="1" applyFill="1" applyBorder="1" applyAlignment="1">
      <alignment vertical="center"/>
    </xf>
    <xf numFmtId="0" fontId="74" fillId="2" borderId="7" xfId="2" applyNumberFormat="1" applyFont="1" applyFill="1" applyBorder="1" applyAlignment="1">
      <alignment horizontal="center" vertical="center"/>
    </xf>
    <xf numFmtId="0" fontId="60" fillId="0" borderId="0" xfId="0" applyFont="1" applyFill="1" applyAlignment="1">
      <alignment horizontal="center" vertical="center"/>
    </xf>
    <xf numFmtId="10" fontId="60" fillId="0" borderId="0" xfId="677" applyNumberFormat="1" applyFont="1" applyFill="1" applyAlignment="1">
      <alignment horizontal="center" vertical="center"/>
    </xf>
    <xf numFmtId="0" fontId="90" fillId="0" borderId="0" xfId="0" applyFont="1" applyFill="1" applyBorder="1" applyAlignment="1">
      <alignment horizontal="center" vertical="center"/>
    </xf>
    <xf numFmtId="0" fontId="65" fillId="0" borderId="0" xfId="0" applyFont="1" applyFill="1" applyBorder="1" applyAlignment="1">
      <alignment horizontal="center" vertical="center"/>
    </xf>
    <xf numFmtId="43" fontId="85" fillId="0" borderId="0" xfId="1" applyFont="1" applyFill="1" applyBorder="1" applyAlignment="1">
      <alignment horizontal="center" vertical="center"/>
    </xf>
    <xf numFmtId="0" fontId="60" fillId="0" borderId="43" xfId="0" applyFont="1" applyFill="1" applyBorder="1" applyAlignment="1">
      <alignment horizontal="center" vertical="center"/>
    </xf>
    <xf numFmtId="43" fontId="85" fillId="0" borderId="5" xfId="1" applyFont="1" applyFill="1" applyBorder="1" applyAlignment="1">
      <alignment horizontal="center" vertical="center"/>
    </xf>
    <xf numFmtId="43" fontId="87" fillId="0" borderId="72" xfId="1" applyFont="1" applyFill="1" applyBorder="1" applyAlignment="1">
      <alignment horizontal="right" vertical="center"/>
    </xf>
    <xf numFmtId="43" fontId="88" fillId="0" borderId="73" xfId="1" applyFont="1" applyFill="1" applyBorder="1" applyAlignment="1">
      <alignment horizontal="right" vertical="center"/>
    </xf>
    <xf numFmtId="43" fontId="67" fillId="0" borderId="73" xfId="1" applyFont="1" applyFill="1" applyBorder="1" applyAlignment="1">
      <alignment horizontal="right" vertical="center"/>
    </xf>
    <xf numFmtId="43" fontId="87" fillId="0" borderId="72" xfId="1" applyFont="1" applyFill="1" applyBorder="1" applyAlignment="1">
      <alignment horizontal="center" vertical="center"/>
    </xf>
    <xf numFmtId="43" fontId="60" fillId="0" borderId="23" xfId="1" applyFont="1" applyFill="1" applyBorder="1" applyAlignment="1">
      <alignment horizontal="right" vertical="center"/>
    </xf>
    <xf numFmtId="43" fontId="68" fillId="0" borderId="23" xfId="1" applyFont="1" applyFill="1" applyBorder="1" applyAlignment="1">
      <alignment horizontal="center" vertical="center"/>
    </xf>
    <xf numFmtId="43" fontId="64" fillId="0" borderId="28" xfId="1" applyFont="1" applyFill="1" applyBorder="1" applyAlignment="1">
      <alignment horizontal="center" vertical="center"/>
    </xf>
    <xf numFmtId="43" fontId="67" fillId="0" borderId="27" xfId="0" applyNumberFormat="1" applyFont="1" applyFill="1" applyBorder="1" applyAlignment="1">
      <alignment horizontal="center" vertical="center"/>
    </xf>
    <xf numFmtId="43" fontId="60" fillId="0" borderId="27" xfId="1" applyFont="1" applyFill="1" applyBorder="1" applyAlignment="1">
      <alignment horizontal="center" vertical="center"/>
    </xf>
    <xf numFmtId="43" fontId="60" fillId="0" borderId="27" xfId="1" applyFont="1" applyFill="1" applyBorder="1" applyAlignment="1">
      <alignment horizontal="right" vertical="center"/>
    </xf>
    <xf numFmtId="0" fontId="69" fillId="0" borderId="27" xfId="0" applyFont="1" applyFill="1" applyBorder="1" applyAlignment="1">
      <alignment horizontal="center" vertical="center"/>
    </xf>
    <xf numFmtId="0" fontId="60" fillId="0" borderId="27" xfId="0" applyFont="1" applyFill="1" applyBorder="1" applyAlignment="1">
      <alignment horizontal="center" vertical="center"/>
    </xf>
    <xf numFmtId="10" fontId="60" fillId="0" borderId="27" xfId="677" applyNumberFormat="1" applyFont="1" applyFill="1" applyBorder="1" applyAlignment="1">
      <alignment horizontal="center" vertical="center"/>
    </xf>
    <xf numFmtId="43" fontId="68" fillId="0" borderId="27" xfId="1" applyFont="1" applyFill="1" applyBorder="1" applyAlignment="1">
      <alignment horizontal="center" vertical="center"/>
    </xf>
    <xf numFmtId="10" fontId="60" fillId="0" borderId="27" xfId="0" applyNumberFormat="1" applyFont="1" applyFill="1" applyBorder="1" applyAlignment="1">
      <alignment horizontal="center" vertical="center"/>
    </xf>
    <xf numFmtId="43" fontId="67" fillId="0" borderId="43" xfId="1" applyFont="1" applyFill="1" applyBorder="1" applyAlignment="1">
      <alignment horizontal="right" vertical="center"/>
    </xf>
    <xf numFmtId="43" fontId="67" fillId="0" borderId="43" xfId="0" applyNumberFormat="1" applyFont="1" applyFill="1" applyBorder="1" applyAlignment="1">
      <alignment horizontal="center" vertical="center"/>
    </xf>
    <xf numFmtId="0" fontId="67" fillId="0" borderId="43" xfId="0" applyFont="1" applyFill="1" applyBorder="1" applyAlignment="1">
      <alignment horizontal="center" vertical="center" wrapText="1"/>
    </xf>
    <xf numFmtId="43" fontId="67" fillId="0" borderId="44" xfId="1" applyFont="1" applyFill="1" applyBorder="1" applyAlignment="1">
      <alignment horizontal="right" vertical="center"/>
    </xf>
    <xf numFmtId="43" fontId="67" fillId="0" borderId="44" xfId="0" applyNumberFormat="1" applyFont="1" applyFill="1" applyBorder="1" applyAlignment="1">
      <alignment horizontal="center" vertical="center"/>
    </xf>
    <xf numFmtId="43" fontId="87" fillId="0" borderId="44" xfId="0" applyNumberFormat="1" applyFont="1" applyFill="1" applyBorder="1" applyAlignment="1">
      <alignment horizontal="center" vertical="center"/>
    </xf>
    <xf numFmtId="0" fontId="69" fillId="0" borderId="44" xfId="0" applyFont="1" applyFill="1" applyBorder="1" applyAlignment="1">
      <alignment horizontal="center" vertical="center"/>
    </xf>
    <xf numFmtId="0" fontId="70" fillId="0" borderId="44" xfId="0" applyFont="1" applyFill="1" applyBorder="1" applyAlignment="1">
      <alignment horizontal="center" vertical="center"/>
    </xf>
    <xf numFmtId="10" fontId="67" fillId="0" borderId="44" xfId="1" applyNumberFormat="1" applyFont="1" applyFill="1" applyBorder="1" applyAlignment="1">
      <alignment horizontal="right" vertical="center"/>
    </xf>
    <xf numFmtId="0" fontId="67" fillId="59" borderId="44" xfId="0" applyFont="1" applyFill="1" applyBorder="1" applyAlignment="1">
      <alignment horizontal="center" vertical="center" wrapText="1"/>
    </xf>
    <xf numFmtId="43" fontId="88" fillId="0" borderId="44" xfId="1" applyFont="1" applyFill="1" applyBorder="1" applyAlignment="1">
      <alignment horizontal="right" vertical="center"/>
    </xf>
    <xf numFmtId="43" fontId="67" fillId="0" borderId="76" xfId="1" applyFont="1" applyFill="1" applyBorder="1" applyAlignment="1">
      <alignment horizontal="right" vertical="center"/>
    </xf>
    <xf numFmtId="43" fontId="67" fillId="0" borderId="76" xfId="0" applyNumberFormat="1" applyFont="1" applyFill="1" applyBorder="1" applyAlignment="1">
      <alignment horizontal="center" vertical="center"/>
    </xf>
    <xf numFmtId="43" fontId="87" fillId="0" borderId="74" xfId="1" applyFont="1" applyFill="1" applyBorder="1" applyAlignment="1">
      <alignment horizontal="center" vertical="center"/>
    </xf>
    <xf numFmtId="43" fontId="67" fillId="0" borderId="74" xfId="0" applyNumberFormat="1" applyFont="1" applyFill="1" applyBorder="1" applyAlignment="1">
      <alignment horizontal="center" vertical="center"/>
    </xf>
    <xf numFmtId="43" fontId="87" fillId="0" borderId="74" xfId="0" applyNumberFormat="1" applyFont="1" applyFill="1" applyBorder="1" applyAlignment="1">
      <alignment horizontal="center" vertical="center"/>
    </xf>
    <xf numFmtId="43" fontId="87" fillId="0" borderId="27" xfId="0" applyNumberFormat="1" applyFont="1" applyFill="1" applyBorder="1" applyAlignment="1">
      <alignment horizontal="center" vertical="center"/>
    </xf>
    <xf numFmtId="0" fontId="67" fillId="0" borderId="74" xfId="0" applyFont="1" applyFill="1" applyBorder="1" applyAlignment="1">
      <alignment horizontal="center" vertical="center"/>
    </xf>
    <xf numFmtId="0" fontId="67" fillId="0" borderId="27" xfId="0" applyFont="1" applyFill="1" applyBorder="1" applyAlignment="1">
      <alignment horizontal="center" vertical="center"/>
    </xf>
    <xf numFmtId="0" fontId="69" fillId="0" borderId="74" xfId="0" applyFont="1" applyFill="1" applyBorder="1" applyAlignment="1">
      <alignment horizontal="center" vertical="center"/>
    </xf>
    <xf numFmtId="0" fontId="87" fillId="0" borderId="74" xfId="0" applyFont="1" applyFill="1" applyBorder="1" applyAlignment="1">
      <alignment horizontal="center" vertical="center"/>
    </xf>
    <xf numFmtId="43" fontId="85" fillId="0" borderId="27" xfId="1" applyFont="1" applyFill="1" applyBorder="1" applyAlignment="1">
      <alignment vertical="center" wrapText="1"/>
    </xf>
    <xf numFmtId="43" fontId="85" fillId="0" borderId="0" xfId="1" applyFont="1" applyFill="1" applyBorder="1" applyAlignment="1">
      <alignment vertical="center" wrapText="1"/>
    </xf>
    <xf numFmtId="43" fontId="29" fillId="62" borderId="53" xfId="1" applyFont="1" applyFill="1" applyBorder="1" applyAlignment="1">
      <alignment horizontal="center" vertical="center"/>
    </xf>
    <xf numFmtId="0" fontId="0" fillId="0" borderId="0" xfId="0" quotePrefix="1" applyFill="1" applyBorder="1" applyAlignment="1">
      <alignment horizontal="left" vertical="top"/>
    </xf>
    <xf numFmtId="0" fontId="73" fillId="2" borderId="17" xfId="2" applyFont="1" applyFill="1" applyBorder="1" applyAlignment="1">
      <alignment horizontal="center" vertical="center"/>
    </xf>
    <xf numFmtId="0" fontId="73" fillId="2" borderId="0" xfId="2" applyFont="1" applyFill="1" applyBorder="1" applyAlignment="1">
      <alignment horizontal="center" vertical="center"/>
    </xf>
    <xf numFmtId="43" fontId="73" fillId="2" borderId="0" xfId="1" applyFont="1" applyFill="1" applyBorder="1" applyAlignment="1">
      <alignment horizontal="center" vertical="center"/>
    </xf>
    <xf numFmtId="43" fontId="73" fillId="2" borderId="0" xfId="1" applyFont="1" applyFill="1" applyBorder="1" applyAlignment="1">
      <alignment horizontal="center" vertical="center" wrapText="1"/>
    </xf>
    <xf numFmtId="43" fontId="73" fillId="2" borderId="19" xfId="1" applyFont="1" applyFill="1" applyBorder="1" applyAlignment="1">
      <alignment horizontal="center" vertical="center" wrapText="1"/>
    </xf>
    <xf numFmtId="43" fontId="73" fillId="2" borderId="17" xfId="1" applyFont="1" applyFill="1" applyBorder="1" applyAlignment="1">
      <alignment horizontal="left" vertical="center"/>
    </xf>
    <xf numFmtId="43" fontId="73" fillId="2" borderId="18" xfId="1" applyFont="1" applyFill="1" applyBorder="1" applyAlignment="1">
      <alignment horizontal="center" vertical="center" wrapText="1"/>
    </xf>
    <xf numFmtId="0" fontId="29" fillId="2" borderId="58" xfId="0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left" vertical="center" wrapText="1"/>
    </xf>
    <xf numFmtId="0" fontId="29" fillId="2" borderId="58" xfId="0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left" vertical="center" wrapText="1"/>
    </xf>
    <xf numFmtId="0" fontId="29" fillId="0" borderId="58" xfId="0" applyFont="1" applyFill="1" applyBorder="1" applyAlignment="1">
      <alignment horizontal="center" vertical="center"/>
    </xf>
    <xf numFmtId="2" fontId="73" fillId="2" borderId="75" xfId="0" applyNumberFormat="1" applyFont="1" applyFill="1" applyBorder="1" applyAlignment="1">
      <alignment horizontal="left" vertical="center"/>
    </xf>
    <xf numFmtId="49" fontId="29" fillId="0" borderId="0" xfId="0" applyNumberFormat="1" applyFont="1" applyFill="1" applyBorder="1" applyAlignment="1">
      <alignment horizontal="right" vertical="center"/>
    </xf>
    <xf numFmtId="10" fontId="29" fillId="0" borderId="0" xfId="677" applyNumberFormat="1" applyFont="1" applyFill="1" applyBorder="1" applyAlignment="1">
      <alignment horizontal="right" vertical="center"/>
    </xf>
    <xf numFmtId="180" fontId="29" fillId="0" borderId="56" xfId="1" applyNumberFormat="1" applyFont="1" applyFill="1" applyBorder="1" applyAlignment="1">
      <alignment horizontal="right" vertical="center"/>
    </xf>
    <xf numFmtId="43" fontId="29" fillId="0" borderId="0" xfId="1" applyFont="1" applyFill="1" applyBorder="1" applyAlignment="1">
      <alignment horizontal="center" vertical="center"/>
    </xf>
    <xf numFmtId="0" fontId="28" fillId="2" borderId="0" xfId="0" quotePrefix="1" applyFont="1" applyFill="1" applyBorder="1" applyAlignment="1">
      <alignment horizontal="left" vertical="center"/>
    </xf>
    <xf numFmtId="0" fontId="35" fillId="58" borderId="27" xfId="0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left"/>
    </xf>
    <xf numFmtId="0" fontId="29" fillId="2" borderId="58" xfId="0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left" vertical="center" wrapText="1"/>
    </xf>
    <xf numFmtId="2" fontId="67" fillId="0" borderId="44" xfId="677" applyNumberFormat="1" applyFont="1" applyFill="1" applyBorder="1" applyAlignment="1">
      <alignment horizontal="right" vertical="center" wrapText="1"/>
    </xf>
    <xf numFmtId="0" fontId="26" fillId="2" borderId="27" xfId="0" applyFont="1" applyFill="1" applyBorder="1" applyAlignment="1">
      <alignment vertical="center"/>
    </xf>
    <xf numFmtId="43" fontId="26" fillId="2" borderId="27" xfId="1" applyFont="1" applyFill="1" applyBorder="1" applyAlignment="1">
      <alignment vertical="center"/>
    </xf>
    <xf numFmtId="10" fontId="26" fillId="2" borderId="27" xfId="677" applyNumberFormat="1" applyFont="1" applyFill="1" applyBorder="1" applyAlignment="1">
      <alignment vertical="center"/>
    </xf>
    <xf numFmtId="0" fontId="26" fillId="2" borderId="27" xfId="0" applyFont="1" applyFill="1" applyBorder="1" applyAlignment="1">
      <alignment vertical="center" wrapText="1"/>
    </xf>
    <xf numFmtId="0" fontId="26" fillId="2" borderId="27" xfId="0" quotePrefix="1" applyFont="1" applyFill="1" applyBorder="1" applyAlignment="1">
      <alignment vertical="center"/>
    </xf>
    <xf numFmtId="0" fontId="26" fillId="2" borderId="27" xfId="0" quotePrefix="1" applyFont="1" applyFill="1" applyBorder="1" applyAlignment="1">
      <alignment vertical="center" wrapText="1"/>
    </xf>
    <xf numFmtId="0" fontId="73" fillId="0" borderId="21" xfId="0" applyFont="1" applyFill="1" applyBorder="1" applyAlignment="1">
      <alignment horizontal="center" vertical="center"/>
    </xf>
    <xf numFmtId="0" fontId="79" fillId="0" borderId="18" xfId="2" applyFont="1" applyFill="1" applyBorder="1" applyAlignment="1">
      <alignment horizontal="center" vertical="center"/>
    </xf>
    <xf numFmtId="0" fontId="73" fillId="2" borderId="17" xfId="2" applyFont="1" applyFill="1" applyBorder="1" applyAlignment="1">
      <alignment horizontal="center" vertical="center"/>
    </xf>
    <xf numFmtId="0" fontId="73" fillId="2" borderId="0" xfId="2" applyFont="1" applyFill="1" applyBorder="1" applyAlignment="1">
      <alignment horizontal="center" vertical="center"/>
    </xf>
    <xf numFmtId="43" fontId="73" fillId="2" borderId="0" xfId="1" applyFont="1" applyFill="1" applyBorder="1" applyAlignment="1">
      <alignment horizontal="center" vertical="center"/>
    </xf>
    <xf numFmtId="43" fontId="73" fillId="2" borderId="19" xfId="1" applyFont="1" applyFill="1" applyBorder="1" applyAlignment="1">
      <alignment horizontal="center" vertical="center" wrapText="1"/>
    </xf>
    <xf numFmtId="0" fontId="73" fillId="2" borderId="17" xfId="2" applyFont="1" applyFill="1" applyBorder="1" applyAlignment="1">
      <alignment horizontal="center" vertical="center"/>
    </xf>
    <xf numFmtId="0" fontId="73" fillId="2" borderId="0" xfId="2" applyFont="1" applyFill="1" applyBorder="1" applyAlignment="1">
      <alignment horizontal="center" vertical="center"/>
    </xf>
    <xf numFmtId="43" fontId="73" fillId="2" borderId="0" xfId="1" applyFont="1" applyFill="1" applyBorder="1" applyAlignment="1">
      <alignment horizontal="center" vertical="center"/>
    </xf>
    <xf numFmtId="43" fontId="73" fillId="2" borderId="19" xfId="1" applyFont="1" applyFill="1" applyBorder="1" applyAlignment="1">
      <alignment horizontal="center" vertical="center" wrapText="1"/>
    </xf>
    <xf numFmtId="43" fontId="67" fillId="2" borderId="74" xfId="1" applyFont="1" applyFill="1" applyBorder="1" applyAlignment="1">
      <alignment horizontal="right" vertical="center" wrapText="1"/>
    </xf>
    <xf numFmtId="43" fontId="67" fillId="2" borderId="62" xfId="1" applyFont="1" applyFill="1" applyBorder="1" applyAlignment="1">
      <alignment horizontal="right" vertical="center" wrapText="1"/>
    </xf>
    <xf numFmtId="0" fontId="80" fillId="2" borderId="17" xfId="0" applyFont="1" applyFill="1" applyBorder="1" applyAlignment="1">
      <alignment horizontal="center" vertical="center"/>
    </xf>
    <xf numFmtId="0" fontId="80" fillId="2" borderId="17" xfId="0" applyFont="1" applyFill="1" applyBorder="1" applyAlignment="1">
      <alignment horizontal="left" vertical="center"/>
    </xf>
    <xf numFmtId="43" fontId="73" fillId="2" borderId="19" xfId="1" applyFont="1" applyFill="1" applyBorder="1" applyAlignment="1">
      <alignment horizontal="center" vertical="center" wrapText="1"/>
    </xf>
    <xf numFmtId="0" fontId="73" fillId="2" borderId="17" xfId="2" applyFont="1" applyFill="1" applyBorder="1" applyAlignment="1">
      <alignment horizontal="center" vertical="center"/>
    </xf>
    <xf numFmtId="0" fontId="73" fillId="2" borderId="0" xfId="2" applyFont="1" applyFill="1" applyBorder="1" applyAlignment="1">
      <alignment horizontal="center" vertical="center"/>
    </xf>
    <xf numFmtId="43" fontId="73" fillId="2" borderId="0" xfId="1" applyFont="1" applyFill="1" applyBorder="1" applyAlignment="1">
      <alignment horizontal="center" vertical="center"/>
    </xf>
    <xf numFmtId="43" fontId="73" fillId="2" borderId="19" xfId="1" applyFont="1" applyFill="1" applyBorder="1" applyAlignment="1">
      <alignment horizontal="center" vertical="center" wrapText="1"/>
    </xf>
    <xf numFmtId="43" fontId="74" fillId="2" borderId="22" xfId="1" applyFont="1" applyFill="1" applyBorder="1" applyAlignment="1">
      <alignment vertical="center"/>
    </xf>
    <xf numFmtId="0" fontId="89" fillId="2" borderId="44" xfId="0" applyFont="1" applyFill="1" applyBorder="1" applyAlignment="1">
      <alignment horizontal="left" vertical="center" wrapText="1"/>
    </xf>
    <xf numFmtId="0" fontId="28" fillId="2" borderId="0" xfId="0" applyFont="1" applyFill="1" applyBorder="1" applyAlignment="1">
      <alignment horizontal="left" vertical="center" wrapText="1"/>
    </xf>
    <xf numFmtId="0" fontId="29" fillId="2" borderId="58" xfId="0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left" vertical="center" wrapText="1"/>
    </xf>
    <xf numFmtId="0" fontId="29" fillId="2" borderId="58" xfId="0" applyFont="1" applyFill="1" applyBorder="1" applyAlignment="1">
      <alignment horizontal="center" vertical="center"/>
    </xf>
    <xf numFmtId="49" fontId="29" fillId="0" borderId="0" xfId="677" applyNumberFormat="1" applyFont="1" applyFill="1" applyBorder="1" applyAlignment="1">
      <alignment horizontal="right" vertical="center"/>
    </xf>
    <xf numFmtId="43" fontId="43" fillId="0" borderId="56" xfId="1" applyFont="1" applyFill="1" applyBorder="1" applyAlignment="1">
      <alignment horizontal="left" vertical="center"/>
    </xf>
    <xf numFmtId="0" fontId="28" fillId="2" borderId="0" xfId="0" applyFont="1" applyFill="1" applyBorder="1" applyAlignment="1">
      <alignment horizontal="left" vertical="center" wrapText="1"/>
    </xf>
    <xf numFmtId="0" fontId="29" fillId="2" borderId="58" xfId="0" applyFont="1" applyFill="1" applyBorder="1" applyAlignment="1">
      <alignment horizontal="center" vertical="center"/>
    </xf>
    <xf numFmtId="4" fontId="28" fillId="2" borderId="0" xfId="0" applyNumberFormat="1" applyFont="1" applyFill="1"/>
    <xf numFmtId="4" fontId="63" fillId="2" borderId="0" xfId="0" applyNumberFormat="1" applyFont="1" applyFill="1"/>
    <xf numFmtId="4" fontId="29" fillId="2" borderId="0" xfId="0" applyNumberFormat="1" applyFont="1" applyFill="1" applyAlignment="1">
      <alignment horizontal="left"/>
    </xf>
    <xf numFmtId="4" fontId="42" fillId="2" borderId="0" xfId="0" applyNumberFormat="1" applyFont="1" applyFill="1"/>
    <xf numFmtId="0" fontId="28" fillId="0" borderId="57" xfId="0" applyFont="1" applyFill="1" applyBorder="1" applyAlignment="1">
      <alignment horizontal="justify" vertical="center" wrapText="1"/>
    </xf>
    <xf numFmtId="43" fontId="29" fillId="2" borderId="0" xfId="1" applyFont="1" applyFill="1" applyBorder="1" applyAlignment="1">
      <alignment vertical="center"/>
    </xf>
    <xf numFmtId="43" fontId="29" fillId="0" borderId="0" xfId="1" applyFont="1" applyFill="1" applyBorder="1" applyAlignment="1">
      <alignment vertical="center"/>
    </xf>
    <xf numFmtId="0" fontId="28" fillId="2" borderId="0" xfId="0" applyFont="1" applyFill="1" applyBorder="1" applyAlignment="1">
      <alignment horizontal="left" vertical="center" wrapText="1"/>
    </xf>
    <xf numFmtId="0" fontId="29" fillId="2" borderId="58" xfId="0" applyFont="1" applyFill="1" applyBorder="1" applyAlignment="1">
      <alignment horizontal="center" vertical="center"/>
    </xf>
    <xf numFmtId="174" fontId="28" fillId="2" borderId="56" xfId="0" applyNumberFormat="1" applyFont="1" applyFill="1" applyBorder="1" applyAlignment="1">
      <alignment horizontal="right" vertical="center"/>
    </xf>
    <xf numFmtId="174" fontId="28" fillId="0" borderId="56" xfId="0" applyNumberFormat="1" applyFont="1" applyFill="1" applyBorder="1" applyAlignment="1">
      <alignment horizontal="right" vertical="center"/>
    </xf>
    <xf numFmtId="174" fontId="28" fillId="2" borderId="53" xfId="0" applyNumberFormat="1" applyFont="1" applyFill="1" applyBorder="1" applyAlignment="1">
      <alignment horizontal="right" vertical="center"/>
    </xf>
    <xf numFmtId="0" fontId="73" fillId="2" borderId="17" xfId="2" applyFont="1" applyFill="1" applyBorder="1" applyAlignment="1">
      <alignment horizontal="center" vertical="center"/>
    </xf>
    <xf numFmtId="0" fontId="73" fillId="2" borderId="0" xfId="2" applyFont="1" applyFill="1" applyBorder="1" applyAlignment="1">
      <alignment horizontal="center" vertical="center"/>
    </xf>
    <xf numFmtId="43" fontId="73" fillId="2" borderId="19" xfId="1" applyFont="1" applyFill="1" applyBorder="1" applyAlignment="1">
      <alignment horizontal="center" vertical="center" wrapText="1"/>
    </xf>
    <xf numFmtId="0" fontId="28" fillId="2" borderId="0" xfId="0" applyFont="1" applyFill="1" applyBorder="1" applyAlignment="1">
      <alignment horizontal="left"/>
    </xf>
    <xf numFmtId="0" fontId="29" fillId="2" borderId="58" xfId="0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left" vertical="center" wrapText="1"/>
    </xf>
    <xf numFmtId="0" fontId="73" fillId="2" borderId="17" xfId="2" applyFont="1" applyFill="1" applyBorder="1" applyAlignment="1">
      <alignment horizontal="center" vertical="center"/>
    </xf>
    <xf numFmtId="0" fontId="73" fillId="2" borderId="0" xfId="2" applyFont="1" applyFill="1" applyBorder="1" applyAlignment="1">
      <alignment horizontal="center" vertical="center"/>
    </xf>
    <xf numFmtId="43" fontId="73" fillId="2" borderId="19" xfId="1" applyFont="1" applyFill="1" applyBorder="1" applyAlignment="1">
      <alignment horizontal="center" vertical="center" wrapText="1"/>
    </xf>
    <xf numFmtId="0" fontId="28" fillId="2" borderId="0" xfId="0" applyFont="1" applyFill="1" applyBorder="1" applyAlignment="1">
      <alignment horizontal="left"/>
    </xf>
    <xf numFmtId="0" fontId="28" fillId="2" borderId="0" xfId="0" applyFont="1" applyFill="1" applyBorder="1" applyAlignment="1">
      <alignment horizontal="left" vertical="center" wrapText="1"/>
    </xf>
    <xf numFmtId="0" fontId="29" fillId="2" borderId="58" xfId="0" applyFont="1" applyFill="1" applyBorder="1" applyAlignment="1">
      <alignment horizontal="center" vertical="center"/>
    </xf>
    <xf numFmtId="0" fontId="29" fillId="0" borderId="58" xfId="0" applyFont="1" applyFill="1" applyBorder="1" applyAlignment="1">
      <alignment horizontal="center" vertical="center"/>
    </xf>
    <xf numFmtId="0" fontId="74" fillId="2" borderId="0" xfId="0" applyFont="1" applyFill="1" applyAlignment="1">
      <alignment horizontal="right" vertical="center"/>
    </xf>
    <xf numFmtId="0" fontId="74" fillId="0" borderId="17" xfId="2" applyFont="1" applyFill="1" applyBorder="1" applyAlignment="1">
      <alignment vertical="center" wrapText="1"/>
    </xf>
    <xf numFmtId="186" fontId="74" fillId="2" borderId="0" xfId="45287" applyNumberFormat="1" applyFont="1" applyFill="1" applyBorder="1" applyAlignment="1">
      <alignment vertical="center"/>
    </xf>
    <xf numFmtId="0" fontId="73" fillId="2" borderId="17" xfId="2" applyFont="1" applyFill="1" applyBorder="1" applyAlignment="1">
      <alignment horizontal="center" vertical="center"/>
    </xf>
    <xf numFmtId="0" fontId="73" fillId="2" borderId="0" xfId="2" applyFont="1" applyFill="1" applyBorder="1" applyAlignment="1">
      <alignment horizontal="center" vertical="center"/>
    </xf>
    <xf numFmtId="43" fontId="73" fillId="2" borderId="19" xfId="1" applyFont="1" applyFill="1" applyBorder="1" applyAlignment="1">
      <alignment horizontal="center" vertical="center" wrapText="1"/>
    </xf>
    <xf numFmtId="0" fontId="29" fillId="2" borderId="58" xfId="0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left" vertical="center" wrapText="1"/>
    </xf>
    <xf numFmtId="43" fontId="73" fillId="2" borderId="0" xfId="1" applyFont="1" applyFill="1" applyBorder="1" applyAlignment="1">
      <alignment horizontal="center" vertical="center"/>
    </xf>
    <xf numFmtId="0" fontId="29" fillId="2" borderId="58" xfId="0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left" vertical="center" wrapText="1"/>
    </xf>
    <xf numFmtId="43" fontId="73" fillId="2" borderId="0" xfId="1" applyFont="1" applyFill="1" applyBorder="1" applyAlignment="1">
      <alignment horizontal="center" vertical="center"/>
    </xf>
    <xf numFmtId="43" fontId="73" fillId="2" borderId="0" xfId="1" applyFont="1" applyFill="1" applyBorder="1" applyAlignment="1">
      <alignment horizontal="center" vertical="center"/>
    </xf>
    <xf numFmtId="0" fontId="29" fillId="2" borderId="58" xfId="0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left" vertical="center" wrapText="1"/>
    </xf>
    <xf numFmtId="0" fontId="29" fillId="0" borderId="58" xfId="0" applyFont="1" applyFill="1" applyBorder="1" applyAlignment="1">
      <alignment horizontal="center" vertical="center"/>
    </xf>
    <xf numFmtId="0" fontId="29" fillId="2" borderId="58" xfId="0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left" vertical="center" wrapText="1"/>
    </xf>
    <xf numFmtId="0" fontId="28" fillId="0" borderId="57" xfId="0" applyFont="1" applyFill="1" applyBorder="1" applyAlignment="1">
      <alignment horizontal="center" vertical="center" wrapText="1"/>
    </xf>
    <xf numFmtId="0" fontId="29" fillId="2" borderId="58" xfId="0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left" vertical="center" wrapText="1"/>
    </xf>
    <xf numFmtId="0" fontId="28" fillId="2" borderId="0" xfId="0" applyFont="1" applyFill="1" applyBorder="1" applyAlignment="1">
      <alignment horizontal="left" vertical="center" wrapText="1"/>
    </xf>
    <xf numFmtId="0" fontId="29" fillId="2" borderId="58" xfId="0" applyFont="1" applyFill="1" applyBorder="1" applyAlignment="1">
      <alignment horizontal="center" vertical="center"/>
    </xf>
    <xf numFmtId="43" fontId="73" fillId="2" borderId="0" xfId="1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left" vertical="center" wrapText="1"/>
    </xf>
    <xf numFmtId="0" fontId="29" fillId="2" borderId="58" xfId="0" applyFont="1" applyFill="1" applyBorder="1" applyAlignment="1">
      <alignment horizontal="center" vertical="center"/>
    </xf>
    <xf numFmtId="0" fontId="29" fillId="2" borderId="58" xfId="0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left" vertical="center" wrapText="1"/>
    </xf>
    <xf numFmtId="0" fontId="29" fillId="2" borderId="58" xfId="0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left" vertical="center" wrapText="1"/>
    </xf>
    <xf numFmtId="0" fontId="28" fillId="2" borderId="0" xfId="0" applyFont="1" applyFill="1" applyBorder="1" applyAlignment="1">
      <alignment horizontal="left" vertical="center" wrapText="1"/>
    </xf>
    <xf numFmtId="0" fontId="29" fillId="2" borderId="58" xfId="0" applyFont="1" applyFill="1" applyBorder="1" applyAlignment="1">
      <alignment horizontal="center" vertical="center"/>
    </xf>
    <xf numFmtId="0" fontId="29" fillId="2" borderId="58" xfId="0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left" vertical="center" wrapText="1"/>
    </xf>
    <xf numFmtId="0" fontId="26" fillId="2" borderId="27" xfId="0" applyFont="1" applyFill="1" applyBorder="1" applyAlignment="1">
      <alignment horizontal="left" vertical="center"/>
    </xf>
    <xf numFmtId="43" fontId="26" fillId="0" borderId="0" xfId="1" applyFont="1" applyFill="1"/>
    <xf numFmtId="43" fontId="33" fillId="0" borderId="27" xfId="1" applyFont="1" applyFill="1" applyBorder="1" applyAlignment="1">
      <alignment horizontal="center" vertical="center"/>
    </xf>
    <xf numFmtId="180" fontId="3" fillId="0" borderId="43" xfId="1" applyNumberFormat="1" applyFont="1" applyFill="1" applyBorder="1"/>
    <xf numFmtId="43" fontId="26" fillId="0" borderId="0" xfId="1" applyFont="1" applyFill="1" applyBorder="1"/>
    <xf numFmtId="0" fontId="106" fillId="2" borderId="7" xfId="0" applyFont="1" applyFill="1" applyBorder="1" applyAlignment="1">
      <alignment horizontal="left" vertical="center"/>
    </xf>
    <xf numFmtId="0" fontId="107" fillId="2" borderId="0" xfId="0" applyFont="1" applyFill="1" applyBorder="1" applyAlignment="1">
      <alignment horizontal="left" vertical="center"/>
    </xf>
    <xf numFmtId="0" fontId="107" fillId="2" borderId="6" xfId="0" applyFont="1" applyFill="1" applyBorder="1" applyAlignment="1">
      <alignment horizontal="left" vertical="center"/>
    </xf>
    <xf numFmtId="0" fontId="106" fillId="2" borderId="5" xfId="0" applyFont="1" applyFill="1" applyBorder="1" applyAlignment="1">
      <alignment horizontal="left" vertical="center"/>
    </xf>
    <xf numFmtId="0" fontId="107" fillId="2" borderId="30" xfId="0" applyFont="1" applyFill="1" applyBorder="1" applyAlignment="1">
      <alignment vertical="center"/>
    </xf>
    <xf numFmtId="0" fontId="42" fillId="2" borderId="30" xfId="0" applyFont="1" applyFill="1" applyBorder="1" applyAlignment="1">
      <alignment horizontal="right" vertical="center"/>
    </xf>
    <xf numFmtId="0" fontId="42" fillId="2" borderId="3" xfId="0" applyFont="1" applyFill="1" applyBorder="1" applyAlignment="1">
      <alignment horizontal="right" vertical="center"/>
    </xf>
    <xf numFmtId="0" fontId="26" fillId="63" borderId="27" xfId="0" applyFont="1" applyFill="1" applyBorder="1" applyAlignment="1">
      <alignment horizontal="center" vertical="center"/>
    </xf>
    <xf numFmtId="0" fontId="26" fillId="63" borderId="28" xfId="0" applyFont="1" applyFill="1" applyBorder="1" applyAlignment="1">
      <alignment horizontal="center" vertical="center"/>
    </xf>
    <xf numFmtId="0" fontId="26" fillId="63" borderId="23" xfId="0" applyFont="1" applyFill="1" applyBorder="1" applyAlignment="1">
      <alignment horizontal="center" vertical="center"/>
    </xf>
    <xf numFmtId="0" fontId="26" fillId="63" borderId="26" xfId="0" applyFont="1" applyFill="1" applyBorder="1" applyAlignment="1">
      <alignment horizontal="center" vertical="center"/>
    </xf>
    <xf numFmtId="0" fontId="26" fillId="63" borderId="26" xfId="0" applyFont="1" applyFill="1" applyBorder="1" applyAlignment="1">
      <alignment horizontal="left" vertical="center"/>
    </xf>
    <xf numFmtId="0" fontId="26" fillId="63" borderId="4" xfId="0" applyFont="1" applyFill="1" applyBorder="1" applyAlignment="1">
      <alignment horizontal="center" vertical="center"/>
    </xf>
    <xf numFmtId="0" fontId="108" fillId="0" borderId="26" xfId="0" applyFont="1" applyBorder="1" applyAlignment="1">
      <alignment horizontal="left" vertical="center" wrapText="1"/>
    </xf>
    <xf numFmtId="0" fontId="109" fillId="0" borderId="26" xfId="0" applyFont="1" applyFill="1" applyBorder="1" applyAlignment="1">
      <alignment horizontal="center" vertical="center"/>
    </xf>
    <xf numFmtId="0" fontId="108" fillId="0" borderId="33" xfId="0" applyFont="1" applyBorder="1" applyAlignment="1">
      <alignment horizontal="left" vertical="center" wrapText="1"/>
    </xf>
    <xf numFmtId="10" fontId="110" fillId="64" borderId="5" xfId="0" applyNumberFormat="1" applyFont="1" applyFill="1" applyBorder="1" applyAlignment="1">
      <alignment horizontal="center" vertical="center"/>
    </xf>
    <xf numFmtId="10" fontId="110" fillId="64" borderId="3" xfId="0" applyNumberFormat="1" applyFont="1" applyFill="1" applyBorder="1" applyAlignment="1">
      <alignment horizontal="center" vertical="center"/>
    </xf>
    <xf numFmtId="9" fontId="110" fillId="2" borderId="33" xfId="0" applyNumberFormat="1" applyFont="1" applyFill="1" applyBorder="1" applyAlignment="1">
      <alignment horizontal="center" vertical="center"/>
    </xf>
    <xf numFmtId="0" fontId="108" fillId="0" borderId="4" xfId="0" applyFont="1" applyBorder="1" applyAlignment="1">
      <alignment horizontal="left" vertical="center" wrapText="1"/>
    </xf>
    <xf numFmtId="186" fontId="111" fillId="0" borderId="27" xfId="0" applyNumberFormat="1" applyFont="1" applyFill="1" applyBorder="1" applyAlignment="1">
      <alignment horizontal="center" vertical="center"/>
    </xf>
    <xf numFmtId="3" fontId="111" fillId="0" borderId="4" xfId="0" applyNumberFormat="1" applyFont="1" applyFill="1" applyBorder="1" applyAlignment="1">
      <alignment horizontal="center" vertical="center"/>
    </xf>
    <xf numFmtId="10" fontId="110" fillId="64" borderId="33" xfId="0" applyNumberFormat="1" applyFont="1" applyFill="1" applyBorder="1" applyAlignment="1">
      <alignment horizontal="center" vertical="center"/>
    </xf>
    <xf numFmtId="4" fontId="111" fillId="0" borderId="4" xfId="0" applyNumberFormat="1" applyFont="1" applyFill="1" applyBorder="1" applyAlignment="1">
      <alignment horizontal="center" vertical="center"/>
    </xf>
    <xf numFmtId="0" fontId="112" fillId="0" borderId="27" xfId="0" applyFont="1" applyBorder="1" applyAlignment="1">
      <alignment horizontal="left" vertical="center"/>
    </xf>
    <xf numFmtId="4" fontId="113" fillId="0" borderId="27" xfId="0" applyNumberFormat="1" applyFont="1" applyBorder="1" applyAlignment="1">
      <alignment vertical="center"/>
    </xf>
    <xf numFmtId="4" fontId="115" fillId="0" borderId="27" xfId="0" applyNumberFormat="1" applyFont="1" applyBorder="1" applyAlignment="1">
      <alignment vertical="center"/>
    </xf>
    <xf numFmtId="0" fontId="0" fillId="0" borderId="0" xfId="0" applyAlignment="1">
      <alignment horizontal="left"/>
    </xf>
    <xf numFmtId="3" fontId="74" fillId="2" borderId="7" xfId="2" applyNumberFormat="1" applyFont="1" applyFill="1" applyBorder="1" applyAlignment="1">
      <alignment horizontal="center" vertical="center"/>
    </xf>
    <xf numFmtId="4" fontId="111" fillId="0" borderId="27" xfId="0" applyNumberFormat="1" applyFont="1" applyFill="1" applyBorder="1" applyAlignment="1">
      <alignment horizontal="center" vertical="center"/>
    </xf>
    <xf numFmtId="4" fontId="108" fillId="0" borderId="4" xfId="0" applyNumberFormat="1" applyFont="1" applyBorder="1" applyAlignment="1">
      <alignment horizontal="left" vertical="center" wrapText="1"/>
    </xf>
    <xf numFmtId="4" fontId="0" fillId="0" borderId="0" xfId="0" applyNumberFormat="1"/>
    <xf numFmtId="4" fontId="109" fillId="0" borderId="4" xfId="0" applyNumberFormat="1" applyFont="1" applyFill="1" applyBorder="1" applyAlignment="1">
      <alignment horizontal="center" vertical="center"/>
    </xf>
    <xf numFmtId="0" fontId="109" fillId="0" borderId="26" xfId="0" applyFont="1" applyFill="1" applyBorder="1" applyAlignment="1">
      <alignment horizontal="right" vertical="center"/>
    </xf>
    <xf numFmtId="9" fontId="111" fillId="0" borderId="33" xfId="0" applyNumberFormat="1" applyFont="1" applyFill="1" applyBorder="1" applyAlignment="1">
      <alignment horizontal="right" vertical="center"/>
    </xf>
    <xf numFmtId="4" fontId="111" fillId="0" borderId="4" xfId="1099" applyNumberFormat="1" applyFont="1" applyFill="1" applyBorder="1" applyAlignment="1">
      <alignment horizontal="right" vertical="center"/>
    </xf>
    <xf numFmtId="177" fontId="111" fillId="0" borderId="4" xfId="1099" applyNumberFormat="1" applyFont="1" applyFill="1" applyBorder="1" applyAlignment="1">
      <alignment horizontal="right" vertical="center"/>
    </xf>
    <xf numFmtId="10" fontId="111" fillId="0" borderId="33" xfId="0" applyNumberFormat="1" applyFont="1" applyFill="1" applyBorder="1" applyAlignment="1">
      <alignment horizontal="right" vertical="center"/>
    </xf>
    <xf numFmtId="177" fontId="114" fillId="0" borderId="27" xfId="1099" applyNumberFormat="1" applyFont="1" applyFill="1" applyBorder="1" applyAlignment="1">
      <alignment horizontal="right" vertical="center"/>
    </xf>
    <xf numFmtId="0" fontId="72" fillId="0" borderId="33" xfId="48463" applyFont="1" applyFill="1" applyBorder="1" applyAlignment="1">
      <alignment horizontal="left" vertical="center"/>
    </xf>
    <xf numFmtId="0" fontId="72" fillId="62" borderId="33" xfId="48463" applyNumberFormat="1" applyFont="1" applyFill="1" applyBorder="1" applyAlignment="1">
      <alignment horizontal="center" vertical="center" wrapText="1"/>
    </xf>
    <xf numFmtId="43" fontId="29" fillId="62" borderId="19" xfId="1" applyFont="1" applyFill="1" applyBorder="1" applyAlignment="1">
      <alignment horizontal="center" vertical="center"/>
    </xf>
    <xf numFmtId="180" fontId="29" fillId="62" borderId="53" xfId="1" applyNumberFormat="1" applyFont="1" applyFill="1" applyBorder="1" applyAlignment="1">
      <alignment horizontal="right" vertical="center"/>
    </xf>
    <xf numFmtId="43" fontId="29" fillId="62" borderId="56" xfId="1" applyFont="1" applyFill="1" applyBorder="1" applyAlignment="1">
      <alignment horizontal="center" vertical="center"/>
    </xf>
    <xf numFmtId="43" fontId="73" fillId="2" borderId="0" xfId="1" applyFont="1" applyFill="1" applyBorder="1" applyAlignment="1">
      <alignment horizontal="center" vertical="center"/>
    </xf>
    <xf numFmtId="0" fontId="74" fillId="0" borderId="31" xfId="2" applyFont="1" applyFill="1" applyBorder="1" applyAlignment="1">
      <alignment horizontal="center" vertical="center" wrapText="1"/>
    </xf>
    <xf numFmtId="0" fontId="73" fillId="0" borderId="18" xfId="0" applyFont="1" applyFill="1" applyBorder="1" applyAlignment="1">
      <alignment horizontal="center" vertical="center"/>
    </xf>
    <xf numFmtId="0" fontId="74" fillId="0" borderId="18" xfId="2" applyFont="1" applyFill="1" applyBorder="1" applyAlignment="1">
      <alignment horizontal="center" vertical="center"/>
    </xf>
    <xf numFmtId="0" fontId="74" fillId="0" borderId="0" xfId="0" applyFont="1" applyFill="1" applyBorder="1" applyAlignment="1">
      <alignment vertical="center"/>
    </xf>
    <xf numFmtId="0" fontId="75" fillId="0" borderId="20" xfId="2" applyFont="1" applyFill="1" applyBorder="1" applyAlignment="1">
      <alignment horizontal="center" vertical="center"/>
    </xf>
    <xf numFmtId="0" fontId="78" fillId="0" borderId="18" xfId="2" applyFont="1" applyFill="1" applyBorder="1" applyAlignment="1">
      <alignment horizontal="center" vertical="center"/>
    </xf>
    <xf numFmtId="0" fontId="74" fillId="0" borderId="21" xfId="0" applyFont="1" applyFill="1" applyBorder="1" applyAlignment="1">
      <alignment horizontal="center" vertical="center"/>
    </xf>
    <xf numFmtId="0" fontId="99" fillId="0" borderId="18" xfId="0" applyFont="1" applyFill="1" applyBorder="1" applyAlignment="1">
      <alignment horizontal="center" vertical="center"/>
    </xf>
    <xf numFmtId="0" fontId="100" fillId="0" borderId="18" xfId="2" applyFont="1" applyFill="1" applyBorder="1" applyAlignment="1">
      <alignment horizontal="center" vertical="center"/>
    </xf>
    <xf numFmtId="0" fontId="74" fillId="0" borderId="18" xfId="0" applyFont="1" applyFill="1" applyBorder="1" applyAlignment="1">
      <alignment horizontal="center" vertical="center"/>
    </xf>
    <xf numFmtId="0" fontId="73" fillId="0" borderId="18" xfId="2" applyFont="1" applyFill="1" applyBorder="1" applyAlignment="1">
      <alignment horizontal="center" vertical="center"/>
    </xf>
    <xf numFmtId="0" fontId="73" fillId="0" borderId="7" xfId="0" applyFont="1" applyFill="1" applyBorder="1" applyAlignment="1">
      <alignment horizontal="center" vertical="center"/>
    </xf>
    <xf numFmtId="43" fontId="73" fillId="2" borderId="0" xfId="1" applyFont="1" applyFill="1" applyBorder="1" applyAlignment="1">
      <alignment horizontal="center" vertical="center"/>
    </xf>
    <xf numFmtId="0" fontId="29" fillId="2" borderId="58" xfId="0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left" vertical="center" wrapText="1"/>
    </xf>
    <xf numFmtId="43" fontId="85" fillId="0" borderId="4" xfId="1" applyFont="1" applyFill="1" applyBorder="1" applyAlignment="1">
      <alignment horizontal="center" vertical="center"/>
    </xf>
    <xf numFmtId="0" fontId="72" fillId="0" borderId="33" xfId="48463" applyNumberFormat="1" applyFont="1" applyFill="1" applyBorder="1" applyAlignment="1">
      <alignment horizontal="center" vertical="center" wrapText="1"/>
    </xf>
    <xf numFmtId="43" fontId="0" fillId="0" borderId="0" xfId="0" applyNumberFormat="1"/>
    <xf numFmtId="0" fontId="90" fillId="2" borderId="27" xfId="0" applyFont="1" applyFill="1" applyBorder="1" applyAlignment="1">
      <alignment horizontal="center" vertical="center"/>
    </xf>
    <xf numFmtId="0" fontId="66" fillId="2" borderId="27" xfId="0" applyFont="1" applyFill="1" applyBorder="1" applyAlignment="1">
      <alignment horizontal="center" vertical="center"/>
    </xf>
    <xf numFmtId="0" fontId="65" fillId="2" borderId="27" xfId="0" applyFont="1" applyFill="1" applyBorder="1" applyAlignment="1">
      <alignment horizontal="center" vertical="center"/>
    </xf>
    <xf numFmtId="0" fontId="85" fillId="2" borderId="27" xfId="0" applyFont="1" applyFill="1" applyBorder="1" applyAlignment="1">
      <alignment horizontal="center" vertical="center"/>
    </xf>
    <xf numFmtId="0" fontId="85" fillId="2" borderId="26" xfId="0" applyFont="1" applyFill="1" applyBorder="1" applyAlignment="1">
      <alignment horizontal="center" vertical="center"/>
    </xf>
    <xf numFmtId="0" fontId="85" fillId="2" borderId="4" xfId="0" applyFont="1" applyFill="1" applyBorder="1" applyAlignment="1">
      <alignment horizontal="center" vertical="center"/>
    </xf>
    <xf numFmtId="43" fontId="85" fillId="2" borderId="26" xfId="1" applyFont="1" applyFill="1" applyBorder="1" applyAlignment="1">
      <alignment horizontal="center" vertical="center"/>
    </xf>
    <xf numFmtId="43" fontId="85" fillId="2" borderId="4" xfId="1" applyFont="1" applyFill="1" applyBorder="1" applyAlignment="1">
      <alignment horizontal="center" vertical="center"/>
    </xf>
    <xf numFmtId="0" fontId="35" fillId="58" borderId="27" xfId="0" applyFont="1" applyFill="1" applyBorder="1" applyAlignment="1">
      <alignment horizontal="center" vertical="center"/>
    </xf>
    <xf numFmtId="0" fontId="103" fillId="2" borderId="30" xfId="0" applyFont="1" applyFill="1" applyBorder="1" applyAlignment="1">
      <alignment horizontal="center" vertical="center"/>
    </xf>
    <xf numFmtId="0" fontId="60" fillId="0" borderId="23" xfId="0" applyFont="1" applyFill="1" applyBorder="1" applyAlignment="1">
      <alignment horizontal="center" vertical="center"/>
    </xf>
    <xf numFmtId="0" fontId="60" fillId="0" borderId="29" xfId="0" applyFont="1" applyFill="1" applyBorder="1" applyAlignment="1">
      <alignment horizontal="center" vertical="center"/>
    </xf>
    <xf numFmtId="0" fontId="85" fillId="0" borderId="26" xfId="0" applyFont="1" applyFill="1" applyBorder="1" applyAlignment="1">
      <alignment horizontal="center" vertical="center"/>
    </xf>
    <xf numFmtId="0" fontId="85" fillId="0" borderId="4" xfId="0" applyFont="1" applyFill="1" applyBorder="1" applyAlignment="1">
      <alignment horizontal="center" vertical="center"/>
    </xf>
    <xf numFmtId="43" fontId="85" fillId="0" borderId="26" xfId="1" applyFont="1" applyFill="1" applyBorder="1" applyAlignment="1">
      <alignment horizontal="center" vertical="center"/>
    </xf>
    <xf numFmtId="43" fontId="85" fillId="0" borderId="4" xfId="1" applyFont="1" applyFill="1" applyBorder="1" applyAlignment="1">
      <alignment horizontal="center" vertical="center"/>
    </xf>
    <xf numFmtId="0" fontId="90" fillId="0" borderId="27" xfId="0" applyFont="1" applyFill="1" applyBorder="1" applyAlignment="1">
      <alignment horizontal="center" vertical="center"/>
    </xf>
    <xf numFmtId="0" fontId="85" fillId="0" borderId="27" xfId="0" applyFont="1" applyFill="1" applyBorder="1" applyAlignment="1">
      <alignment horizontal="center" vertical="center"/>
    </xf>
    <xf numFmtId="43" fontId="85" fillId="0" borderId="27" xfId="1" applyFont="1" applyFill="1" applyBorder="1" applyAlignment="1">
      <alignment horizontal="center" vertical="center"/>
    </xf>
    <xf numFmtId="0" fontId="66" fillId="0" borderId="27" xfId="0" applyFont="1" applyFill="1" applyBorder="1" applyAlignment="1">
      <alignment horizontal="center" vertical="center"/>
    </xf>
    <xf numFmtId="0" fontId="65" fillId="0" borderId="27" xfId="0" applyFont="1" applyFill="1" applyBorder="1" applyAlignment="1">
      <alignment horizontal="center" vertical="center"/>
    </xf>
    <xf numFmtId="0" fontId="68" fillId="0" borderId="23" xfId="0" applyFont="1" applyFill="1" applyBorder="1" applyAlignment="1">
      <alignment horizontal="center" vertical="center"/>
    </xf>
    <xf numFmtId="0" fontId="68" fillId="0" borderId="29" xfId="0" applyFont="1" applyFill="1" applyBorder="1" applyAlignment="1">
      <alignment horizontal="center" vertical="center"/>
    </xf>
    <xf numFmtId="0" fontId="104" fillId="0" borderId="28" xfId="0" applyFont="1" applyFill="1" applyBorder="1" applyAlignment="1">
      <alignment horizontal="center" vertical="center"/>
    </xf>
    <xf numFmtId="0" fontId="104" fillId="0" borderId="23" xfId="0" applyFont="1" applyFill="1" applyBorder="1" applyAlignment="1">
      <alignment horizontal="center" vertical="center"/>
    </xf>
    <xf numFmtId="0" fontId="34" fillId="2" borderId="27" xfId="0" quotePrefix="1" applyFont="1" applyFill="1" applyBorder="1" applyAlignment="1">
      <alignment vertical="center" wrapText="1"/>
    </xf>
    <xf numFmtId="0" fontId="34" fillId="2" borderId="27" xfId="0" applyFont="1" applyFill="1" applyBorder="1" applyAlignment="1">
      <alignment vertical="center" wrapText="1"/>
    </xf>
    <xf numFmtId="0" fontId="73" fillId="2" borderId="17" xfId="2" applyFont="1" applyFill="1" applyBorder="1" applyAlignment="1">
      <alignment horizontal="center" vertical="center"/>
    </xf>
    <xf numFmtId="0" fontId="73" fillId="2" borderId="0" xfId="2" applyFont="1" applyFill="1" applyBorder="1" applyAlignment="1">
      <alignment horizontal="center" vertical="center"/>
    </xf>
    <xf numFmtId="0" fontId="73" fillId="2" borderId="19" xfId="2" applyFont="1" applyFill="1" applyBorder="1" applyAlignment="1">
      <alignment horizontal="center" vertical="center"/>
    </xf>
    <xf numFmtId="43" fontId="73" fillId="2" borderId="17" xfId="1" applyFont="1" applyFill="1" applyBorder="1" applyAlignment="1">
      <alignment horizontal="center" vertical="center"/>
    </xf>
    <xf numFmtId="43" fontId="73" fillId="2" borderId="0" xfId="1" applyFont="1" applyFill="1" applyBorder="1" applyAlignment="1">
      <alignment horizontal="center" vertical="center"/>
    </xf>
    <xf numFmtId="0" fontId="73" fillId="2" borderId="80" xfId="2" applyFont="1" applyFill="1" applyBorder="1" applyAlignment="1">
      <alignment horizontal="center" vertical="center"/>
    </xf>
    <xf numFmtId="0" fontId="73" fillId="2" borderId="81" xfId="2" applyFont="1" applyFill="1" applyBorder="1" applyAlignment="1">
      <alignment horizontal="center" vertical="center"/>
    </xf>
    <xf numFmtId="0" fontId="73" fillId="2" borderId="82" xfId="2" applyFont="1" applyFill="1" applyBorder="1" applyAlignment="1">
      <alignment horizontal="center" vertical="center"/>
    </xf>
    <xf numFmtId="43" fontId="73" fillId="2" borderId="17" xfId="1" applyFont="1" applyFill="1" applyBorder="1" applyAlignment="1">
      <alignment horizontal="center" vertical="center" wrapText="1"/>
    </xf>
    <xf numFmtId="43" fontId="73" fillId="2" borderId="19" xfId="1" applyFont="1" applyFill="1" applyBorder="1" applyAlignment="1">
      <alignment horizontal="center" vertical="center" wrapText="1"/>
    </xf>
    <xf numFmtId="0" fontId="85" fillId="2" borderId="28" xfId="0" applyFont="1" applyFill="1" applyBorder="1" applyAlignment="1">
      <alignment horizontal="center" vertical="center"/>
    </xf>
    <xf numFmtId="0" fontId="85" fillId="2" borderId="23" xfId="0" applyFont="1" applyFill="1" applyBorder="1" applyAlignment="1">
      <alignment horizontal="center" vertical="center"/>
    </xf>
    <xf numFmtId="0" fontId="85" fillId="2" borderId="29" xfId="0" applyFont="1" applyFill="1" applyBorder="1" applyAlignment="1">
      <alignment horizontal="center" vertical="center"/>
    </xf>
    <xf numFmtId="0" fontId="95" fillId="2" borderId="5" xfId="0" applyFont="1" applyFill="1" applyBorder="1" applyAlignment="1">
      <alignment horizontal="center" vertical="center"/>
    </xf>
    <xf numFmtId="0" fontId="95" fillId="2" borderId="30" xfId="0" applyFont="1" applyFill="1" applyBorder="1" applyAlignment="1">
      <alignment horizontal="center" vertical="center"/>
    </xf>
    <xf numFmtId="0" fontId="95" fillId="2" borderId="3" xfId="0" applyFont="1" applyFill="1" applyBorder="1" applyAlignment="1">
      <alignment horizontal="center" vertical="center"/>
    </xf>
    <xf numFmtId="0" fontId="74" fillId="2" borderId="25" xfId="2" applyFont="1" applyFill="1" applyBorder="1" applyAlignment="1">
      <alignment horizontal="center" vertical="center"/>
    </xf>
    <xf numFmtId="0" fontId="74" fillId="2" borderId="88" xfId="2" applyFont="1" applyFill="1" applyBorder="1" applyAlignment="1">
      <alignment horizontal="center" vertical="center"/>
    </xf>
    <xf numFmtId="0" fontId="74" fillId="2" borderId="1" xfId="2" applyFont="1" applyFill="1" applyBorder="1" applyAlignment="1">
      <alignment horizontal="center" vertical="center"/>
    </xf>
    <xf numFmtId="0" fontId="74" fillId="2" borderId="31" xfId="2" applyFont="1" applyFill="1" applyBorder="1" applyAlignment="1">
      <alignment horizontal="center" vertical="center"/>
    </xf>
    <xf numFmtId="0" fontId="74" fillId="2" borderId="30" xfId="2" applyFont="1" applyFill="1" applyBorder="1" applyAlignment="1">
      <alignment horizontal="center" vertical="center"/>
    </xf>
    <xf numFmtId="0" fontId="74" fillId="2" borderId="3" xfId="2" applyFont="1" applyFill="1" applyBorder="1" applyAlignment="1">
      <alignment horizontal="center" vertical="center"/>
    </xf>
    <xf numFmtId="0" fontId="74" fillId="2" borderId="87" xfId="2" applyFont="1" applyFill="1" applyBorder="1" applyAlignment="1">
      <alignment horizontal="center" vertical="center"/>
    </xf>
    <xf numFmtId="0" fontId="74" fillId="2" borderId="22" xfId="2" applyFont="1" applyFill="1" applyBorder="1" applyAlignment="1">
      <alignment horizontal="center" vertical="center"/>
    </xf>
    <xf numFmtId="43" fontId="73" fillId="2" borderId="25" xfId="1" applyFont="1" applyFill="1" applyBorder="1" applyAlignment="1">
      <alignment horizontal="center" vertical="center"/>
    </xf>
    <xf numFmtId="43" fontId="73" fillId="2" borderId="88" xfId="1" applyFont="1" applyFill="1" applyBorder="1" applyAlignment="1">
      <alignment horizontal="center" vertical="center"/>
    </xf>
    <xf numFmtId="43" fontId="73" fillId="2" borderId="1" xfId="1" applyFont="1" applyFill="1" applyBorder="1" applyAlignment="1">
      <alignment horizontal="center" vertical="center"/>
    </xf>
    <xf numFmtId="43" fontId="73" fillId="2" borderId="6" xfId="1" applyFont="1" applyFill="1" applyBorder="1" applyAlignment="1">
      <alignment horizontal="center" vertical="center"/>
    </xf>
    <xf numFmtId="0" fontId="102" fillId="0" borderId="84" xfId="0" applyFont="1" applyFill="1" applyBorder="1" applyAlignment="1">
      <alignment horizontal="left" vertical="top" wrapText="1"/>
    </xf>
    <xf numFmtId="0" fontId="102" fillId="0" borderId="85" xfId="0" applyFont="1" applyFill="1" applyBorder="1" applyAlignment="1">
      <alignment horizontal="left" vertical="top" wrapText="1"/>
    </xf>
    <xf numFmtId="0" fontId="102" fillId="0" borderId="86" xfId="0" applyFont="1" applyFill="1" applyBorder="1" applyAlignment="1">
      <alignment horizontal="left" vertical="top" wrapText="1"/>
    </xf>
    <xf numFmtId="0" fontId="116" fillId="0" borderId="84" xfId="0" applyFont="1" applyFill="1" applyBorder="1" applyAlignment="1">
      <alignment horizontal="left" vertical="top" wrapText="1"/>
    </xf>
    <xf numFmtId="0" fontId="116" fillId="0" borderId="85" xfId="0" applyFont="1" applyFill="1" applyBorder="1" applyAlignment="1">
      <alignment horizontal="left" vertical="top" wrapText="1"/>
    </xf>
    <xf numFmtId="0" fontId="116" fillId="0" borderId="86" xfId="0" applyFont="1" applyFill="1" applyBorder="1" applyAlignment="1">
      <alignment horizontal="left" vertical="top" wrapText="1"/>
    </xf>
    <xf numFmtId="0" fontId="0" fillId="0" borderId="84" xfId="0" applyFill="1" applyBorder="1" applyAlignment="1">
      <alignment horizontal="left" wrapText="1"/>
    </xf>
    <xf numFmtId="0" fontId="0" fillId="0" borderId="85" xfId="0" applyFill="1" applyBorder="1" applyAlignment="1">
      <alignment horizontal="left" wrapText="1"/>
    </xf>
    <xf numFmtId="0" fontId="0" fillId="0" borderId="86" xfId="0" applyFill="1" applyBorder="1" applyAlignment="1">
      <alignment horizontal="left" wrapText="1"/>
    </xf>
    <xf numFmtId="0" fontId="64" fillId="0" borderId="0" xfId="0" applyFont="1" applyAlignment="1">
      <alignment horizontal="center" vertical="center"/>
    </xf>
    <xf numFmtId="0" fontId="68" fillId="0" borderId="0" xfId="0" applyFont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43" fontId="33" fillId="0" borderId="27" xfId="1" applyFont="1" applyFill="1" applyBorder="1" applyAlignment="1">
      <alignment horizontal="center" vertical="center"/>
    </xf>
    <xf numFmtId="1" fontId="40" fillId="2" borderId="33" xfId="0" applyNumberFormat="1" applyFont="1" applyFill="1" applyBorder="1" applyAlignment="1">
      <alignment horizontal="center" vertical="center"/>
    </xf>
    <xf numFmtId="0" fontId="40" fillId="2" borderId="4" xfId="0" applyFont="1" applyFill="1" applyBorder="1" applyAlignment="1">
      <alignment horizontal="center" vertical="center"/>
    </xf>
    <xf numFmtId="0" fontId="40" fillId="2" borderId="7" xfId="0" applyFont="1" applyFill="1" applyBorder="1" applyAlignment="1">
      <alignment horizontal="left" vertical="center" wrapText="1"/>
    </xf>
    <xf numFmtId="0" fontId="40" fillId="2" borderId="0" xfId="0" applyFont="1" applyFill="1" applyBorder="1" applyAlignment="1">
      <alignment horizontal="left" vertical="center" wrapText="1"/>
    </xf>
    <xf numFmtId="0" fontId="40" fillId="2" borderId="6" xfId="0" applyFont="1" applyFill="1" applyBorder="1" applyAlignment="1">
      <alignment horizontal="left" vertical="center" wrapText="1"/>
    </xf>
    <xf numFmtId="0" fontId="40" fillId="2" borderId="5" xfId="0" applyFont="1" applyFill="1" applyBorder="1" applyAlignment="1">
      <alignment horizontal="left" vertical="center" wrapText="1"/>
    </xf>
    <xf numFmtId="0" fontId="40" fillId="2" borderId="30" xfId="0" applyFont="1" applyFill="1" applyBorder="1" applyAlignment="1">
      <alignment horizontal="left" vertical="center" wrapText="1"/>
    </xf>
    <xf numFmtId="0" fontId="40" fillId="2" borderId="3" xfId="0" applyFont="1" applyFill="1" applyBorder="1" applyAlignment="1">
      <alignment horizontal="left" vertical="center" wrapText="1"/>
    </xf>
    <xf numFmtId="0" fontId="40" fillId="2" borderId="33" xfId="0" applyFont="1" applyFill="1" applyBorder="1" applyAlignment="1">
      <alignment horizontal="center" vertical="center"/>
    </xf>
    <xf numFmtId="49" fontId="40" fillId="2" borderId="33" xfId="0" applyNumberFormat="1" applyFont="1" applyFill="1" applyBorder="1" applyAlignment="1">
      <alignment horizontal="center" vertical="center"/>
    </xf>
    <xf numFmtId="49" fontId="40" fillId="2" borderId="4" xfId="0" applyNumberFormat="1" applyFont="1" applyFill="1" applyBorder="1" applyAlignment="1">
      <alignment horizontal="center" vertical="center"/>
    </xf>
    <xf numFmtId="0" fontId="37" fillId="2" borderId="27" xfId="0" applyFont="1" applyFill="1" applyBorder="1" applyAlignment="1">
      <alignment horizontal="center" wrapText="1"/>
    </xf>
    <xf numFmtId="0" fontId="37" fillId="2" borderId="26" xfId="0" applyFont="1" applyFill="1" applyBorder="1" applyAlignment="1">
      <alignment horizontal="center" vertical="center" wrapText="1"/>
    </xf>
    <xf numFmtId="0" fontId="37" fillId="2" borderId="4" xfId="0" applyFont="1" applyFill="1" applyBorder="1" applyAlignment="1">
      <alignment horizontal="center" vertical="center" wrapText="1"/>
    </xf>
    <xf numFmtId="0" fontId="37" fillId="2" borderId="28" xfId="0" applyFont="1" applyFill="1" applyBorder="1" applyAlignment="1">
      <alignment horizontal="center"/>
    </xf>
    <xf numFmtId="0" fontId="37" fillId="2" borderId="29" xfId="0" applyFont="1" applyFill="1" applyBorder="1" applyAlignment="1">
      <alignment horizontal="center"/>
    </xf>
    <xf numFmtId="0" fontId="37" fillId="2" borderId="7" xfId="0" applyFont="1" applyFill="1" applyBorder="1" applyAlignment="1">
      <alignment horizontal="left"/>
    </xf>
    <xf numFmtId="0" fontId="37" fillId="2" borderId="0" xfId="0" applyFont="1" applyFill="1" applyBorder="1" applyAlignment="1">
      <alignment horizontal="left"/>
    </xf>
    <xf numFmtId="0" fontId="37" fillId="2" borderId="6" xfId="0" applyFont="1" applyFill="1" applyBorder="1" applyAlignment="1">
      <alignment horizontal="left"/>
    </xf>
    <xf numFmtId="0" fontId="37" fillId="2" borderId="5" xfId="0" applyFont="1" applyFill="1" applyBorder="1" applyAlignment="1">
      <alignment horizontal="left"/>
    </xf>
    <xf numFmtId="0" fontId="37" fillId="2" borderId="30" xfId="0" applyFont="1" applyFill="1" applyBorder="1" applyAlignment="1">
      <alignment horizontal="left"/>
    </xf>
    <xf numFmtId="0" fontId="37" fillId="2" borderId="3" xfId="0" applyFont="1" applyFill="1" applyBorder="1" applyAlignment="1">
      <alignment horizontal="left"/>
    </xf>
    <xf numFmtId="0" fontId="38" fillId="2" borderId="27" xfId="0" applyFont="1" applyFill="1" applyBorder="1" applyAlignment="1">
      <alignment horizontal="center" vertical="center"/>
    </xf>
    <xf numFmtId="0" fontId="40" fillId="2" borderId="28" xfId="0" applyFont="1" applyFill="1" applyBorder="1" applyAlignment="1">
      <alignment horizontal="right"/>
    </xf>
    <xf numFmtId="0" fontId="40" fillId="2" borderId="23" xfId="0" applyFont="1" applyFill="1" applyBorder="1" applyAlignment="1">
      <alignment horizontal="right"/>
    </xf>
    <xf numFmtId="0" fontId="40" fillId="2" borderId="29" xfId="0" applyFont="1" applyFill="1" applyBorder="1" applyAlignment="1">
      <alignment horizontal="right"/>
    </xf>
    <xf numFmtId="0" fontId="38" fillId="2" borderId="32" xfId="0" applyFont="1" applyFill="1" applyBorder="1" applyAlignment="1">
      <alignment horizontal="center" vertical="center"/>
    </xf>
    <xf numFmtId="0" fontId="38" fillId="2" borderId="42" xfId="0" applyFont="1" applyFill="1" applyBorder="1" applyAlignment="1">
      <alignment horizontal="center" vertical="center"/>
    </xf>
    <xf numFmtId="0" fontId="38" fillId="2" borderId="1" xfId="0" applyFont="1" applyFill="1" applyBorder="1" applyAlignment="1">
      <alignment horizontal="center" vertical="center"/>
    </xf>
    <xf numFmtId="0" fontId="38" fillId="2" borderId="5" xfId="0" applyFont="1" applyFill="1" applyBorder="1" applyAlignment="1">
      <alignment horizontal="center" vertical="center"/>
    </xf>
    <xf numFmtId="0" fontId="38" fillId="2" borderId="30" xfId="0" applyFont="1" applyFill="1" applyBorder="1" applyAlignment="1">
      <alignment horizontal="center" vertical="center"/>
    </xf>
    <xf numFmtId="0" fontId="38" fillId="2" borderId="3" xfId="0" applyFont="1" applyFill="1" applyBorder="1" applyAlignment="1">
      <alignment horizontal="center" vertical="center"/>
    </xf>
    <xf numFmtId="0" fontId="40" fillId="2" borderId="5" xfId="0" applyFont="1" applyFill="1" applyBorder="1" applyAlignment="1">
      <alignment horizontal="left"/>
    </xf>
    <xf numFmtId="0" fontId="40" fillId="2" borderId="30" xfId="0" applyFont="1" applyFill="1" applyBorder="1" applyAlignment="1">
      <alignment horizontal="left"/>
    </xf>
    <xf numFmtId="0" fontId="40" fillId="2" borderId="28" xfId="0" applyFont="1" applyFill="1" applyBorder="1" applyAlignment="1">
      <alignment horizontal="left"/>
    </xf>
    <xf numFmtId="0" fontId="40" fillId="2" borderId="23" xfId="0" applyFont="1" applyFill="1" applyBorder="1" applyAlignment="1">
      <alignment horizontal="left"/>
    </xf>
    <xf numFmtId="0" fontId="40" fillId="2" borderId="29" xfId="0" applyFont="1" applyFill="1" applyBorder="1" applyAlignment="1">
      <alignment horizontal="left"/>
    </xf>
    <xf numFmtId="0" fontId="40" fillId="2" borderId="32" xfId="0" applyFont="1" applyFill="1" applyBorder="1" applyAlignment="1">
      <alignment horizontal="right"/>
    </xf>
    <xf numFmtId="0" fontId="40" fillId="2" borderId="42" xfId="0" applyFont="1" applyFill="1" applyBorder="1" applyAlignment="1">
      <alignment horizontal="right"/>
    </xf>
    <xf numFmtId="0" fontId="40" fillId="2" borderId="1" xfId="0" applyFont="1" applyFill="1" applyBorder="1" applyAlignment="1">
      <alignment horizontal="right"/>
    </xf>
    <xf numFmtId="0" fontId="37" fillId="2" borderId="26" xfId="0" applyFont="1" applyFill="1" applyBorder="1" applyAlignment="1">
      <alignment horizontal="center" vertical="center"/>
    </xf>
    <xf numFmtId="0" fontId="37" fillId="2" borderId="4" xfId="0" applyFont="1" applyFill="1" applyBorder="1" applyAlignment="1">
      <alignment horizontal="center" vertical="center"/>
    </xf>
    <xf numFmtId="0" fontId="37" fillId="2" borderId="27" xfId="0" applyFont="1" applyFill="1" applyBorder="1" applyAlignment="1">
      <alignment horizontal="center" vertical="center" wrapText="1"/>
    </xf>
    <xf numFmtId="0" fontId="37" fillId="2" borderId="32" xfId="0" applyFont="1" applyFill="1" applyBorder="1" applyAlignment="1">
      <alignment horizontal="left"/>
    </xf>
    <xf numFmtId="0" fontId="37" fillId="2" borderId="42" xfId="0" applyFont="1" applyFill="1" applyBorder="1" applyAlignment="1">
      <alignment horizontal="left"/>
    </xf>
    <xf numFmtId="0" fontId="37" fillId="2" borderId="28" xfId="0" applyFont="1" applyFill="1" applyBorder="1" applyAlignment="1">
      <alignment horizontal="left"/>
    </xf>
    <xf numFmtId="0" fontId="37" fillId="2" borderId="23" xfId="0" applyFont="1" applyFill="1" applyBorder="1" applyAlignment="1">
      <alignment horizontal="left"/>
    </xf>
    <xf numFmtId="0" fontId="37" fillId="2" borderId="7" xfId="0" applyFont="1" applyFill="1" applyBorder="1" applyAlignment="1">
      <alignment horizontal="left" wrapText="1"/>
    </xf>
    <xf numFmtId="0" fontId="37" fillId="2" borderId="0" xfId="0" applyFont="1" applyFill="1" applyBorder="1" applyAlignment="1">
      <alignment horizontal="left" wrapText="1"/>
    </xf>
    <xf numFmtId="0" fontId="37" fillId="2" borderId="6" xfId="0" applyFont="1" applyFill="1" applyBorder="1" applyAlignment="1">
      <alignment horizontal="left" wrapText="1"/>
    </xf>
    <xf numFmtId="0" fontId="38" fillId="2" borderId="32" xfId="0" applyFont="1" applyFill="1" applyBorder="1" applyAlignment="1">
      <alignment horizontal="left" vertical="center"/>
    </xf>
    <xf numFmtId="0" fontId="38" fillId="2" borderId="42" xfId="0" applyFont="1" applyFill="1" applyBorder="1" applyAlignment="1">
      <alignment horizontal="left" vertical="center"/>
    </xf>
    <xf numFmtId="0" fontId="38" fillId="2" borderId="1" xfId="0" applyFont="1" applyFill="1" applyBorder="1" applyAlignment="1">
      <alignment horizontal="left" vertical="center"/>
    </xf>
    <xf numFmtId="0" fontId="38" fillId="2" borderId="5" xfId="0" applyFont="1" applyFill="1" applyBorder="1" applyAlignment="1">
      <alignment horizontal="left" vertical="center"/>
    </xf>
    <xf numFmtId="0" fontId="38" fillId="2" borderId="30" xfId="0" applyFont="1" applyFill="1" applyBorder="1" applyAlignment="1">
      <alignment horizontal="left" vertical="center"/>
    </xf>
    <xf numFmtId="0" fontId="38" fillId="2" borderId="3" xfId="0" applyFont="1" applyFill="1" applyBorder="1" applyAlignment="1">
      <alignment horizontal="left" vertical="center"/>
    </xf>
    <xf numFmtId="0" fontId="28" fillId="2" borderId="5" xfId="0" applyFont="1" applyFill="1" applyBorder="1" applyAlignment="1">
      <alignment horizontal="left"/>
    </xf>
    <xf numFmtId="0" fontId="28" fillId="2" borderId="30" xfId="0" applyFont="1" applyFill="1" applyBorder="1" applyAlignment="1">
      <alignment horizontal="left"/>
    </xf>
    <xf numFmtId="0" fontId="28" fillId="2" borderId="3" xfId="0" applyFont="1" applyFill="1" applyBorder="1" applyAlignment="1">
      <alignment horizontal="left"/>
    </xf>
    <xf numFmtId="0" fontId="27" fillId="2" borderId="28" xfId="0" applyFont="1" applyFill="1" applyBorder="1" applyAlignment="1">
      <alignment horizontal="center" vertical="center"/>
    </xf>
    <xf numFmtId="0" fontId="27" fillId="2" borderId="23" xfId="0" applyFont="1" applyFill="1" applyBorder="1" applyAlignment="1">
      <alignment horizontal="center" vertical="center"/>
    </xf>
    <xf numFmtId="0" fontId="27" fillId="2" borderId="29" xfId="0" applyFont="1" applyFill="1" applyBorder="1" applyAlignment="1">
      <alignment horizontal="center" vertical="center"/>
    </xf>
    <xf numFmtId="1" fontId="29" fillId="2" borderId="33" xfId="0" applyNumberFormat="1" applyFont="1" applyFill="1" applyBorder="1" applyAlignment="1">
      <alignment horizontal="center" vertical="center"/>
    </xf>
    <xf numFmtId="0" fontId="29" fillId="2" borderId="4" xfId="0" applyFont="1" applyFill="1" applyBorder="1" applyAlignment="1">
      <alignment horizontal="center" vertical="center"/>
    </xf>
    <xf numFmtId="0" fontId="29" fillId="2" borderId="7" xfId="0" applyFont="1" applyFill="1" applyBorder="1" applyAlignment="1">
      <alignment horizontal="left" vertical="center" wrapText="1"/>
    </xf>
    <xf numFmtId="0" fontId="29" fillId="2" borderId="0" xfId="0" applyFont="1" applyFill="1" applyBorder="1" applyAlignment="1">
      <alignment horizontal="left" vertical="center" wrapText="1"/>
    </xf>
    <xf numFmtId="0" fontId="29" fillId="2" borderId="6" xfId="0" applyFont="1" applyFill="1" applyBorder="1" applyAlignment="1">
      <alignment horizontal="left" vertical="center" wrapText="1"/>
    </xf>
    <xf numFmtId="0" fontId="29" fillId="2" borderId="5" xfId="0" applyFont="1" applyFill="1" applyBorder="1" applyAlignment="1">
      <alignment horizontal="left" vertical="center" wrapText="1"/>
    </xf>
    <xf numFmtId="0" fontId="29" fillId="2" borderId="30" xfId="0" applyFont="1" applyFill="1" applyBorder="1" applyAlignment="1">
      <alignment horizontal="left" vertical="center" wrapText="1"/>
    </xf>
    <xf numFmtId="0" fontId="29" fillId="2" borderId="3" xfId="0" applyFont="1" applyFill="1" applyBorder="1" applyAlignment="1">
      <alignment horizontal="left" vertical="center" wrapText="1"/>
    </xf>
    <xf numFmtId="0" fontId="29" fillId="2" borderId="33" xfId="0" applyFont="1" applyFill="1" applyBorder="1" applyAlignment="1">
      <alignment horizontal="center" vertical="center"/>
    </xf>
    <xf numFmtId="49" fontId="29" fillId="2" borderId="33" xfId="0" applyNumberFormat="1" applyFont="1" applyFill="1" applyBorder="1" applyAlignment="1">
      <alignment horizontal="center" vertical="center"/>
    </xf>
    <xf numFmtId="49" fontId="29" fillId="2" borderId="4" xfId="0" applyNumberFormat="1" applyFont="1" applyFill="1" applyBorder="1" applyAlignment="1">
      <alignment horizontal="center" vertical="center"/>
    </xf>
    <xf numFmtId="0" fontId="30" fillId="2" borderId="27" xfId="0" applyFont="1" applyFill="1" applyBorder="1" applyAlignment="1">
      <alignment horizontal="center" vertical="center"/>
    </xf>
    <xf numFmtId="0" fontId="28" fillId="2" borderId="26" xfId="0" applyFont="1" applyFill="1" applyBorder="1" applyAlignment="1">
      <alignment horizontal="center" vertical="center" wrapText="1"/>
    </xf>
    <xf numFmtId="0" fontId="28" fillId="2" borderId="4" xfId="0" applyFont="1" applyFill="1" applyBorder="1" applyAlignment="1">
      <alignment horizontal="center" vertical="center" wrapText="1"/>
    </xf>
    <xf numFmtId="0" fontId="28" fillId="2" borderId="28" xfId="0" applyFont="1" applyFill="1" applyBorder="1" applyAlignment="1">
      <alignment horizontal="center"/>
    </xf>
    <xf numFmtId="0" fontId="28" fillId="2" borderId="29" xfId="0" applyFont="1" applyFill="1" applyBorder="1" applyAlignment="1">
      <alignment horizontal="center"/>
    </xf>
    <xf numFmtId="0" fontId="28" fillId="2" borderId="27" xfId="0" applyFont="1" applyFill="1" applyBorder="1" applyAlignment="1">
      <alignment horizontal="center" wrapText="1"/>
    </xf>
    <xf numFmtId="0" fontId="28" fillId="2" borderId="32" xfId="0" applyFont="1" applyFill="1" applyBorder="1" applyAlignment="1">
      <alignment horizontal="left" vertical="top" wrapText="1"/>
    </xf>
    <xf numFmtId="0" fontId="28" fillId="2" borderId="46" xfId="0" applyFont="1" applyFill="1" applyBorder="1" applyAlignment="1">
      <alignment horizontal="left" vertical="top" wrapText="1"/>
    </xf>
    <xf numFmtId="0" fontId="28" fillId="2" borderId="47" xfId="0" applyFont="1" applyFill="1" applyBorder="1" applyAlignment="1">
      <alignment horizontal="left" vertical="top" wrapText="1"/>
    </xf>
    <xf numFmtId="0" fontId="28" fillId="2" borderId="7" xfId="0" applyFont="1" applyFill="1" applyBorder="1" applyAlignment="1">
      <alignment horizontal="left" vertical="top" wrapText="1"/>
    </xf>
    <xf numFmtId="0" fontId="28" fillId="2" borderId="0" xfId="0" applyFont="1" applyFill="1" applyBorder="1" applyAlignment="1">
      <alignment horizontal="left" vertical="top" wrapText="1"/>
    </xf>
    <xf numFmtId="0" fontId="28" fillId="2" borderId="6" xfId="0" applyFont="1" applyFill="1" applyBorder="1" applyAlignment="1">
      <alignment horizontal="left" vertical="top" wrapText="1"/>
    </xf>
    <xf numFmtId="0" fontId="28" fillId="2" borderId="7" xfId="0" applyFont="1" applyFill="1" applyBorder="1" applyAlignment="1">
      <alignment horizontal="left"/>
    </xf>
    <xf numFmtId="0" fontId="28" fillId="2" borderId="0" xfId="0" applyFont="1" applyFill="1" applyBorder="1" applyAlignment="1">
      <alignment horizontal="left"/>
    </xf>
    <xf numFmtId="0" fontId="28" fillId="2" borderId="6" xfId="0" applyFont="1" applyFill="1" applyBorder="1" applyAlignment="1">
      <alignment horizontal="left"/>
    </xf>
    <xf numFmtId="0" fontId="29" fillId="2" borderId="28" xfId="0" applyFont="1" applyFill="1" applyBorder="1" applyAlignment="1">
      <alignment horizontal="right"/>
    </xf>
    <xf numFmtId="0" fontId="29" fillId="2" borderId="23" xfId="0" applyFont="1" applyFill="1" applyBorder="1" applyAlignment="1">
      <alignment horizontal="right"/>
    </xf>
    <xf numFmtId="0" fontId="29" fillId="2" borderId="29" xfId="0" applyFont="1" applyFill="1" applyBorder="1" applyAlignment="1">
      <alignment horizontal="right"/>
    </xf>
    <xf numFmtId="0" fontId="30" fillId="2" borderId="32" xfId="0" applyFont="1" applyFill="1" applyBorder="1" applyAlignment="1">
      <alignment horizontal="center" vertical="center"/>
    </xf>
    <xf numFmtId="0" fontId="30" fillId="2" borderId="42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5" xfId="0" applyFont="1" applyFill="1" applyBorder="1" applyAlignment="1">
      <alignment horizontal="center" vertical="center"/>
    </xf>
    <xf numFmtId="0" fontId="30" fillId="2" borderId="30" xfId="0" applyFont="1" applyFill="1" applyBorder="1" applyAlignment="1">
      <alignment horizontal="center" vertical="center"/>
    </xf>
    <xf numFmtId="0" fontId="30" fillId="2" borderId="3" xfId="0" applyFont="1" applyFill="1" applyBorder="1" applyAlignment="1">
      <alignment horizontal="center" vertical="center"/>
    </xf>
    <xf numFmtId="0" fontId="29" fillId="2" borderId="5" xfId="0" applyFont="1" applyFill="1" applyBorder="1" applyAlignment="1">
      <alignment horizontal="left"/>
    </xf>
    <xf numFmtId="0" fontId="29" fillId="2" borderId="30" xfId="0" applyFont="1" applyFill="1" applyBorder="1" applyAlignment="1">
      <alignment horizontal="left"/>
    </xf>
    <xf numFmtId="0" fontId="29" fillId="2" borderId="28" xfId="0" applyFont="1" applyFill="1" applyBorder="1" applyAlignment="1">
      <alignment horizontal="left"/>
    </xf>
    <xf numFmtId="0" fontId="29" fillId="2" borderId="23" xfId="0" applyFont="1" applyFill="1" applyBorder="1" applyAlignment="1">
      <alignment horizontal="left"/>
    </xf>
    <xf numFmtId="0" fontId="29" fillId="2" borderId="29" xfId="0" applyFont="1" applyFill="1" applyBorder="1" applyAlignment="1">
      <alignment horizontal="left"/>
    </xf>
    <xf numFmtId="0" fontId="30" fillId="2" borderId="32" xfId="0" applyFont="1" applyFill="1" applyBorder="1" applyAlignment="1">
      <alignment horizontal="left" vertical="center"/>
    </xf>
    <xf numFmtId="0" fontId="30" fillId="2" borderId="42" xfId="0" applyFont="1" applyFill="1" applyBorder="1" applyAlignment="1">
      <alignment horizontal="left" vertical="center"/>
    </xf>
    <xf numFmtId="0" fontId="30" fillId="2" borderId="1" xfId="0" applyFont="1" applyFill="1" applyBorder="1" applyAlignment="1">
      <alignment horizontal="left" vertical="center"/>
    </xf>
    <xf numFmtId="0" fontId="30" fillId="2" borderId="5" xfId="0" applyFont="1" applyFill="1" applyBorder="1" applyAlignment="1">
      <alignment horizontal="left" vertical="center"/>
    </xf>
    <xf numFmtId="0" fontId="30" fillId="2" borderId="30" xfId="0" applyFont="1" applyFill="1" applyBorder="1" applyAlignment="1">
      <alignment horizontal="left" vertical="center"/>
    </xf>
    <xf numFmtId="0" fontId="30" fillId="2" borderId="3" xfId="0" applyFont="1" applyFill="1" applyBorder="1" applyAlignment="1">
      <alignment horizontal="left" vertical="center"/>
    </xf>
    <xf numFmtId="0" fontId="28" fillId="2" borderId="28" xfId="0" applyFont="1" applyFill="1" applyBorder="1" applyAlignment="1">
      <alignment horizontal="left"/>
    </xf>
    <xf numFmtId="0" fontId="28" fillId="2" borderId="23" xfId="0" applyFont="1" applyFill="1" applyBorder="1" applyAlignment="1">
      <alignment horizontal="left"/>
    </xf>
    <xf numFmtId="0" fontId="29" fillId="2" borderId="32" xfId="0" applyFont="1" applyFill="1" applyBorder="1" applyAlignment="1">
      <alignment horizontal="right"/>
    </xf>
    <xf numFmtId="0" fontId="29" fillId="2" borderId="42" xfId="0" applyFont="1" applyFill="1" applyBorder="1" applyAlignment="1">
      <alignment horizontal="right"/>
    </xf>
    <xf numFmtId="0" fontId="29" fillId="2" borderId="1" xfId="0" applyFont="1" applyFill="1" applyBorder="1" applyAlignment="1">
      <alignment horizontal="right"/>
    </xf>
    <xf numFmtId="0" fontId="28" fillId="2" borderId="32" xfId="0" applyFont="1" applyFill="1" applyBorder="1" applyAlignment="1">
      <alignment horizontal="left"/>
    </xf>
    <xf numFmtId="0" fontId="28" fillId="2" borderId="42" xfId="0" applyFont="1" applyFill="1" applyBorder="1" applyAlignment="1">
      <alignment horizontal="left"/>
    </xf>
    <xf numFmtId="0" fontId="28" fillId="2" borderId="26" xfId="0" applyFont="1" applyFill="1" applyBorder="1" applyAlignment="1">
      <alignment horizontal="center" vertical="center"/>
    </xf>
    <xf numFmtId="0" fontId="28" fillId="2" borderId="4" xfId="0" applyFont="1" applyFill="1" applyBorder="1" applyAlignment="1">
      <alignment horizontal="center" vertical="center"/>
    </xf>
    <xf numFmtId="0" fontId="28" fillId="2" borderId="27" xfId="0" applyFont="1" applyFill="1" applyBorder="1" applyAlignment="1">
      <alignment horizontal="center" vertical="center" wrapText="1"/>
    </xf>
    <xf numFmtId="0" fontId="28" fillId="2" borderId="32" xfId="0" applyFont="1" applyFill="1" applyBorder="1" applyAlignment="1">
      <alignment horizontal="left" wrapText="1"/>
    </xf>
    <xf numFmtId="0" fontId="28" fillId="2" borderId="46" xfId="0" applyFont="1" applyFill="1" applyBorder="1" applyAlignment="1">
      <alignment horizontal="left" wrapText="1"/>
    </xf>
    <xf numFmtId="0" fontId="28" fillId="2" borderId="47" xfId="0" applyFont="1" applyFill="1" applyBorder="1" applyAlignment="1">
      <alignment horizontal="left" wrapText="1"/>
    </xf>
    <xf numFmtId="0" fontId="28" fillId="2" borderId="7" xfId="0" applyFont="1" applyFill="1" applyBorder="1" applyAlignment="1">
      <alignment horizontal="left" wrapText="1"/>
    </xf>
    <xf numFmtId="0" fontId="28" fillId="2" borderId="0" xfId="0" applyFont="1" applyFill="1" applyBorder="1" applyAlignment="1">
      <alignment horizontal="left" wrapText="1"/>
    </xf>
    <xf numFmtId="0" fontId="28" fillId="2" borderId="6" xfId="0" applyFont="1" applyFill="1" applyBorder="1" applyAlignment="1">
      <alignment horizontal="left" wrapText="1"/>
    </xf>
    <xf numFmtId="0" fontId="37" fillId="2" borderId="32" xfId="0" applyFont="1" applyFill="1" applyBorder="1" applyAlignment="1">
      <alignment horizontal="left" wrapText="1"/>
    </xf>
    <xf numFmtId="0" fontId="37" fillId="2" borderId="46" xfId="0" applyFont="1" applyFill="1" applyBorder="1" applyAlignment="1">
      <alignment horizontal="left" wrapText="1"/>
    </xf>
    <xf numFmtId="0" fontId="37" fillId="2" borderId="47" xfId="0" applyFont="1" applyFill="1" applyBorder="1" applyAlignment="1">
      <alignment horizontal="left" wrapText="1"/>
    </xf>
    <xf numFmtId="0" fontId="30" fillId="2" borderId="45" xfId="0" applyFont="1" applyFill="1" applyBorder="1" applyAlignment="1">
      <alignment horizontal="center" vertical="center"/>
    </xf>
    <xf numFmtId="0" fontId="30" fillId="2" borderId="45" xfId="0" applyFont="1" applyFill="1" applyBorder="1" applyAlignment="1">
      <alignment horizontal="left" vertical="center"/>
    </xf>
    <xf numFmtId="0" fontId="28" fillId="2" borderId="27" xfId="0" applyFont="1" applyFill="1" applyBorder="1" applyAlignment="1">
      <alignment horizontal="center"/>
    </xf>
    <xf numFmtId="0" fontId="28" fillId="2" borderId="45" xfId="0" applyFont="1" applyFill="1" applyBorder="1" applyAlignment="1">
      <alignment horizontal="left"/>
    </xf>
    <xf numFmtId="0" fontId="29" fillId="2" borderId="45" xfId="0" applyFont="1" applyFill="1" applyBorder="1" applyAlignment="1">
      <alignment horizontal="right"/>
    </xf>
    <xf numFmtId="0" fontId="26" fillId="2" borderId="27" xfId="0" applyFont="1" applyFill="1" applyBorder="1" applyAlignment="1">
      <alignment horizontal="center" vertical="center"/>
    </xf>
    <xf numFmtId="0" fontId="0" fillId="2" borderId="34" xfId="0" applyFill="1" applyBorder="1" applyAlignment="1">
      <alignment horizontal="center"/>
    </xf>
    <xf numFmtId="0" fontId="0" fillId="2" borderId="35" xfId="0" applyFill="1" applyBorder="1" applyAlignment="1">
      <alignment horizontal="center"/>
    </xf>
    <xf numFmtId="0" fontId="0" fillId="2" borderId="36" xfId="0" applyFill="1" applyBorder="1" applyAlignment="1">
      <alignment horizontal="center"/>
    </xf>
    <xf numFmtId="0" fontId="29" fillId="2" borderId="54" xfId="0" applyFont="1" applyFill="1" applyBorder="1" applyAlignment="1">
      <alignment horizontal="center" vertical="center"/>
    </xf>
    <xf numFmtId="0" fontId="29" fillId="2" borderId="44" xfId="0" applyFont="1" applyFill="1" applyBorder="1" applyAlignment="1">
      <alignment horizontal="center" vertical="center"/>
    </xf>
    <xf numFmtId="0" fontId="29" fillId="2" borderId="55" xfId="0" applyFont="1" applyFill="1" applyBorder="1" applyAlignment="1">
      <alignment horizontal="center" vertical="center"/>
    </xf>
    <xf numFmtId="0" fontId="29" fillId="2" borderId="58" xfId="0" applyFont="1" applyFill="1" applyBorder="1" applyAlignment="1">
      <alignment horizontal="center" vertical="center"/>
    </xf>
    <xf numFmtId="0" fontId="29" fillId="2" borderId="56" xfId="0" applyFont="1" applyFill="1" applyBorder="1" applyAlignment="1">
      <alignment horizontal="center" vertical="center"/>
    </xf>
    <xf numFmtId="0" fontId="29" fillId="2" borderId="0" xfId="0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left" vertical="center" wrapText="1"/>
    </xf>
    <xf numFmtId="0" fontId="28" fillId="2" borderId="52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vertical="center" wrapText="1"/>
    </xf>
    <xf numFmtId="0" fontId="28" fillId="0" borderId="52" xfId="0" applyFont="1" applyFill="1" applyBorder="1" applyAlignment="1">
      <alignment horizontal="left" vertical="center" wrapText="1"/>
    </xf>
    <xf numFmtId="0" fontId="29" fillId="2" borderId="50" xfId="0" applyFont="1" applyFill="1" applyBorder="1" applyAlignment="1">
      <alignment horizontal="center" vertical="center"/>
    </xf>
    <xf numFmtId="0" fontId="29" fillId="2" borderId="60" xfId="0" applyFont="1" applyFill="1" applyBorder="1" applyAlignment="1">
      <alignment horizontal="center" vertical="center"/>
    </xf>
    <xf numFmtId="0" fontId="29" fillId="0" borderId="60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29" fillId="0" borderId="54" xfId="0" applyFont="1" applyFill="1" applyBorder="1" applyAlignment="1">
      <alignment horizontal="center" vertical="center"/>
    </xf>
    <xf numFmtId="0" fontId="29" fillId="0" borderId="44" xfId="0" applyFont="1" applyFill="1" applyBorder="1" applyAlignment="1">
      <alignment horizontal="center" vertical="center"/>
    </xf>
    <xf numFmtId="0" fontId="29" fillId="0" borderId="55" xfId="0" applyFont="1" applyFill="1" applyBorder="1" applyAlignment="1">
      <alignment horizontal="center" vertical="center"/>
    </xf>
    <xf numFmtId="0" fontId="29" fillId="0" borderId="58" xfId="0" applyFont="1" applyFill="1" applyBorder="1" applyAlignment="1">
      <alignment horizontal="center" vertical="center"/>
    </xf>
    <xf numFmtId="0" fontId="29" fillId="0" borderId="56" xfId="0" applyFont="1" applyFill="1" applyBorder="1" applyAlignment="1">
      <alignment horizontal="center" vertical="center"/>
    </xf>
    <xf numFmtId="0" fontId="29" fillId="0" borderId="5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left" vertical="top"/>
    </xf>
    <xf numFmtId="0" fontId="31" fillId="0" borderId="0" xfId="0" applyFont="1" applyFill="1" applyBorder="1" applyAlignment="1">
      <alignment horizontal="left" vertical="top"/>
    </xf>
    <xf numFmtId="0" fontId="102" fillId="61" borderId="83" xfId="0" applyFont="1" applyFill="1" applyBorder="1" applyAlignment="1">
      <alignment horizontal="left" vertical="top" wrapText="1"/>
    </xf>
    <xf numFmtId="185" fontId="98" fillId="0" borderId="83" xfId="0" applyNumberFormat="1" applyFont="1" applyFill="1" applyBorder="1" applyAlignment="1">
      <alignment horizontal="left" vertical="top" wrapText="1"/>
    </xf>
    <xf numFmtId="187" fontId="98" fillId="0" borderId="83" xfId="0" applyNumberFormat="1" applyFont="1" applyFill="1" applyBorder="1" applyAlignment="1">
      <alignment horizontal="right" vertical="top" wrapText="1"/>
    </xf>
    <xf numFmtId="0" fontId="0" fillId="0" borderId="83" xfId="0" applyFill="1" applyBorder="1" applyAlignment="1">
      <alignment horizontal="left" vertical="top" wrapText="1"/>
    </xf>
    <xf numFmtId="188" fontId="98" fillId="0" borderId="83" xfId="0" applyNumberFormat="1" applyFont="1" applyFill="1" applyBorder="1" applyAlignment="1">
      <alignment horizontal="left" vertical="top" wrapText="1"/>
    </xf>
    <xf numFmtId="0" fontId="102" fillId="61" borderId="83" xfId="0" applyFont="1" applyFill="1" applyBorder="1" applyAlignment="1">
      <alignment horizontal="center" vertical="top" wrapText="1"/>
    </xf>
    <xf numFmtId="185" fontId="98" fillId="0" borderId="83" xfId="0" applyNumberFormat="1" applyFont="1" applyFill="1" applyBorder="1" applyAlignment="1">
      <alignment horizontal="right" vertical="top" wrapText="1"/>
    </xf>
    <xf numFmtId="187" fontId="98" fillId="0" borderId="83" xfId="0" applyNumberFormat="1" applyFont="1" applyFill="1" applyBorder="1" applyAlignment="1">
      <alignment horizontal="left" vertical="top" wrapText="1"/>
    </xf>
    <xf numFmtId="185" fontId="117" fillId="0" borderId="83" xfId="0" applyNumberFormat="1" applyFont="1" applyFill="1" applyBorder="1" applyAlignment="1">
      <alignment horizontal="left" vertical="top" wrapText="1"/>
    </xf>
    <xf numFmtId="0" fontId="25" fillId="0" borderId="83" xfId="0" applyFont="1" applyFill="1" applyBorder="1" applyAlignment="1">
      <alignment horizontal="left" vertical="top" wrapText="1"/>
    </xf>
    <xf numFmtId="0" fontId="25" fillId="0" borderId="83" xfId="0" applyFont="1" applyFill="1" applyBorder="1" applyAlignment="1">
      <alignment horizontal="center" vertical="top" wrapText="1"/>
    </xf>
    <xf numFmtId="0" fontId="0" fillId="61" borderId="83" xfId="0" applyFill="1" applyBorder="1" applyAlignment="1">
      <alignment horizontal="left" vertical="top" wrapText="1"/>
    </xf>
    <xf numFmtId="0" fontId="34" fillId="2" borderId="4" xfId="0" applyFont="1" applyFill="1" applyBorder="1" applyAlignment="1">
      <alignment vertical="center" wrapText="1"/>
    </xf>
    <xf numFmtId="0" fontId="34" fillId="2" borderId="7" xfId="0" applyFont="1" applyFill="1" applyBorder="1" applyAlignment="1">
      <alignment vertical="center"/>
    </xf>
    <xf numFmtId="0" fontId="33" fillId="58" borderId="33" xfId="0" applyFont="1" applyFill="1" applyBorder="1" applyAlignment="1">
      <alignment horizontal="center" vertical="center"/>
    </xf>
    <xf numFmtId="0" fontId="33" fillId="58" borderId="33" xfId="0" applyFont="1" applyFill="1" applyBorder="1" applyAlignment="1">
      <alignment horizontal="center" vertical="center"/>
    </xf>
    <xf numFmtId="0" fontId="104" fillId="0" borderId="7" xfId="0" applyFont="1" applyFill="1" applyBorder="1" applyAlignment="1">
      <alignment vertical="center"/>
    </xf>
    <xf numFmtId="0" fontId="104" fillId="0" borderId="29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vertical="center"/>
    </xf>
    <xf numFmtId="0" fontId="34" fillId="2" borderId="23" xfId="0" applyFont="1" applyFill="1" applyBorder="1" applyAlignment="1">
      <alignment vertical="center"/>
    </xf>
    <xf numFmtId="0" fontId="34" fillId="2" borderId="29" xfId="0" applyFont="1" applyFill="1" applyBorder="1" applyAlignment="1">
      <alignment vertical="center"/>
    </xf>
    <xf numFmtId="0" fontId="33" fillId="58" borderId="32" xfId="0" applyFont="1" applyFill="1" applyBorder="1" applyAlignment="1">
      <alignment horizontal="center" vertical="center"/>
    </xf>
    <xf numFmtId="0" fontId="33" fillId="58" borderId="88" xfId="0" applyFont="1" applyFill="1" applyBorder="1" applyAlignment="1">
      <alignment horizontal="center" vertical="center"/>
    </xf>
    <xf numFmtId="0" fontId="33" fillId="58" borderId="47" xfId="0" applyFont="1" applyFill="1" applyBorder="1" applyAlignment="1">
      <alignment horizontal="center" vertical="center"/>
    </xf>
  </cellXfs>
  <cellStyles count="53323">
    <cellStyle name="20% - Accent1" xfId="51527"/>
    <cellStyle name="20% - Accent2" xfId="51528"/>
    <cellStyle name="20% - Accent3" xfId="51529"/>
    <cellStyle name="20% - Accent4" xfId="51530"/>
    <cellStyle name="20% - Accent5" xfId="51531"/>
    <cellStyle name="20% - Accent6" xfId="51532"/>
    <cellStyle name="20% - Ênfase1" xfId="43960" builtinId="30" customBuiltin="1"/>
    <cellStyle name="20% - Ênfase1 10" xfId="51979"/>
    <cellStyle name="20% - Ênfase1 11" xfId="52021"/>
    <cellStyle name="20% - Ênfase1 12" xfId="52064"/>
    <cellStyle name="20% - Ênfase1 13" xfId="52107"/>
    <cellStyle name="20% - Ênfase1 14" xfId="52150"/>
    <cellStyle name="20% - Ênfase1 2" xfId="3"/>
    <cellStyle name="20% - Ênfase1 2 2" xfId="47953"/>
    <cellStyle name="20% - Ênfase1 2 2 2" xfId="47954"/>
    <cellStyle name="20% - Ênfase1 2 2 2 2" xfId="51298"/>
    <cellStyle name="20% - Ênfase1 2 2 3" xfId="50839"/>
    <cellStyle name="20% - Ênfase1 2 3" xfId="47955"/>
    <cellStyle name="20% - Ênfase1 2 3 2" xfId="51255"/>
    <cellStyle name="20% - Ênfase1 2 4" xfId="47956"/>
    <cellStyle name="20% - Ênfase1 2_Mem." xfId="47957"/>
    <cellStyle name="20% - Ênfase1 3" xfId="47958"/>
    <cellStyle name="20% - Ênfase1 3 2" xfId="47959"/>
    <cellStyle name="20% - Ênfase1 3 2 2" xfId="51284"/>
    <cellStyle name="20% - Ênfase1 3 3" xfId="50502"/>
    <cellStyle name="20% - Ênfase1 3 4" xfId="51672"/>
    <cellStyle name="20% - Ênfase1 4" xfId="47960"/>
    <cellStyle name="20% - Ênfase1 4 2" xfId="51313"/>
    <cellStyle name="20% - Ênfase1 4 3" xfId="51721"/>
    <cellStyle name="20% - Ênfase1 5" xfId="47961"/>
    <cellStyle name="20% - Ênfase1 5 2" xfId="51328"/>
    <cellStyle name="20% - Ênfase1 5 3" xfId="51764"/>
    <cellStyle name="20% - Ênfase1 6" xfId="47962"/>
    <cellStyle name="20% - Ênfase1 6 2" xfId="51240"/>
    <cellStyle name="20% - Ênfase1 6 3" xfId="51806"/>
    <cellStyle name="20% - Ênfase1 7" xfId="49848"/>
    <cellStyle name="20% - Ênfase1 7 2" xfId="51359"/>
    <cellStyle name="20% - Ênfase1 7 3" xfId="51848"/>
    <cellStyle name="20% - Ênfase1 8" xfId="49876"/>
    <cellStyle name="20% - Ênfase1 8 2" xfId="51890"/>
    <cellStyle name="20% - Ênfase1 9" xfId="51936"/>
    <cellStyle name="20% - Ênfase2" xfId="43964" builtinId="34" customBuiltin="1"/>
    <cellStyle name="20% - Ênfase2 10" xfId="51978"/>
    <cellStyle name="20% - Ênfase2 11" xfId="52020"/>
    <cellStyle name="20% - Ênfase2 12" xfId="52063"/>
    <cellStyle name="20% - Ênfase2 13" xfId="52106"/>
    <cellStyle name="20% - Ênfase2 14" xfId="52149"/>
    <cellStyle name="20% - Ênfase2 2" xfId="4"/>
    <cellStyle name="20% - Ênfase2 2 2" xfId="47963"/>
    <cellStyle name="20% - Ênfase2 2 2 2" xfId="47964"/>
    <cellStyle name="20% - Ênfase2 2 2 2 2" xfId="51299"/>
    <cellStyle name="20% - Ênfase2 2 2 3" xfId="50841"/>
    <cellStyle name="20% - Ênfase2 2 3" xfId="47965"/>
    <cellStyle name="20% - Ênfase2 2 3 2" xfId="51256"/>
    <cellStyle name="20% - Ênfase2 2 4" xfId="47966"/>
    <cellStyle name="20% - Ênfase2 2_Mem." xfId="47967"/>
    <cellStyle name="20% - Ênfase2 3" xfId="47968"/>
    <cellStyle name="20% - Ênfase2 3 2" xfId="47969"/>
    <cellStyle name="20% - Ênfase2 3 2 2" xfId="51286"/>
    <cellStyle name="20% - Ênfase2 3 3" xfId="50504"/>
    <cellStyle name="20% - Ênfase2 3 4" xfId="51671"/>
    <cellStyle name="20% - Ênfase2 4" xfId="47970"/>
    <cellStyle name="20% - Ênfase2 4 2" xfId="51314"/>
    <cellStyle name="20% - Ênfase2 4 3" xfId="51720"/>
    <cellStyle name="20% - Ênfase2 5" xfId="47971"/>
    <cellStyle name="20% - Ênfase2 5 2" xfId="51329"/>
    <cellStyle name="20% - Ênfase2 5 3" xfId="51763"/>
    <cellStyle name="20% - Ênfase2 6" xfId="47972"/>
    <cellStyle name="20% - Ênfase2 6 2" xfId="51242"/>
    <cellStyle name="20% - Ênfase2 6 3" xfId="51805"/>
    <cellStyle name="20% - Ênfase2 7" xfId="49850"/>
    <cellStyle name="20% - Ênfase2 7 2" xfId="51361"/>
    <cellStyle name="20% - Ênfase2 7 3" xfId="51847"/>
    <cellStyle name="20% - Ênfase2 8" xfId="49878"/>
    <cellStyle name="20% - Ênfase2 8 2" xfId="51889"/>
    <cellStyle name="20% - Ênfase2 9" xfId="51935"/>
    <cellStyle name="20% - Ênfase3" xfId="43968" builtinId="38" customBuiltin="1"/>
    <cellStyle name="20% - Ênfase3 10" xfId="51977"/>
    <cellStyle name="20% - Ênfase3 11" xfId="52019"/>
    <cellStyle name="20% - Ênfase3 12" xfId="52062"/>
    <cellStyle name="20% - Ênfase3 13" xfId="52105"/>
    <cellStyle name="20% - Ênfase3 14" xfId="52148"/>
    <cellStyle name="20% - Ênfase3 2" xfId="5"/>
    <cellStyle name="20% - Ênfase3 2 2" xfId="47973"/>
    <cellStyle name="20% - Ênfase3 2 2 2" xfId="47974"/>
    <cellStyle name="20% - Ênfase3 2 2 2 2" xfId="51300"/>
    <cellStyle name="20% - Ênfase3 2 2 3" xfId="50843"/>
    <cellStyle name="20% - Ênfase3 2 3" xfId="47975"/>
    <cellStyle name="20% - Ênfase3 2 3 2" xfId="51257"/>
    <cellStyle name="20% - Ênfase3 2 4" xfId="47976"/>
    <cellStyle name="20% - Ênfase3 2_Mem." xfId="47977"/>
    <cellStyle name="20% - Ênfase3 3" xfId="47978"/>
    <cellStyle name="20% - Ênfase3 3 2" xfId="47979"/>
    <cellStyle name="20% - Ênfase3 3 2 2" xfId="51288"/>
    <cellStyle name="20% - Ênfase3 3 3" xfId="50506"/>
    <cellStyle name="20% - Ênfase3 3 4" xfId="51670"/>
    <cellStyle name="20% - Ênfase3 4" xfId="47980"/>
    <cellStyle name="20% - Ênfase3 4 2" xfId="51315"/>
    <cellStyle name="20% - Ênfase3 4 3" xfId="51723"/>
    <cellStyle name="20% - Ênfase3 5" xfId="47981"/>
    <cellStyle name="20% - Ênfase3 5 2" xfId="51330"/>
    <cellStyle name="20% - Ênfase3 5 3" xfId="51765"/>
    <cellStyle name="20% - Ênfase3 6" xfId="47982"/>
    <cellStyle name="20% - Ênfase3 6 2" xfId="51244"/>
    <cellStyle name="20% - Ênfase3 6 3" xfId="51807"/>
    <cellStyle name="20% - Ênfase3 7" xfId="49852"/>
    <cellStyle name="20% - Ênfase3 7 2" xfId="51363"/>
    <cellStyle name="20% - Ênfase3 7 3" xfId="51851"/>
    <cellStyle name="20% - Ênfase3 8" xfId="49880"/>
    <cellStyle name="20% - Ênfase3 8 2" xfId="51888"/>
    <cellStyle name="20% - Ênfase3 9" xfId="51934"/>
    <cellStyle name="20% - Ênfase4" xfId="43972" builtinId="42" customBuiltin="1"/>
    <cellStyle name="20% - Ênfase4 10" xfId="51980"/>
    <cellStyle name="20% - Ênfase4 11" xfId="52023"/>
    <cellStyle name="20% - Ênfase4 12" xfId="52066"/>
    <cellStyle name="20% - Ênfase4 13" xfId="52109"/>
    <cellStyle name="20% - Ênfase4 14" xfId="52152"/>
    <cellStyle name="20% - Ênfase4 2" xfId="6"/>
    <cellStyle name="20% - Ênfase4 2 2" xfId="47983"/>
    <cellStyle name="20% - Ênfase4 2 2 2" xfId="47984"/>
    <cellStyle name="20% - Ênfase4 2 2 2 2" xfId="51301"/>
    <cellStyle name="20% - Ênfase4 2 2 3" xfId="50845"/>
    <cellStyle name="20% - Ênfase4 2 3" xfId="47985"/>
    <cellStyle name="20% - Ênfase4 2 3 2" xfId="51258"/>
    <cellStyle name="20% - Ênfase4 2 4" xfId="47986"/>
    <cellStyle name="20% - Ênfase4 2_Mem." xfId="47987"/>
    <cellStyle name="20% - Ênfase4 3" xfId="47988"/>
    <cellStyle name="20% - Ênfase4 3 2" xfId="47989"/>
    <cellStyle name="20% - Ênfase4 3 2 2" xfId="51290"/>
    <cellStyle name="20% - Ênfase4 3 3" xfId="50508"/>
    <cellStyle name="20% - Ênfase4 3 4" xfId="51669"/>
    <cellStyle name="20% - Ênfase4 4" xfId="47990"/>
    <cellStyle name="20% - Ênfase4 4 2" xfId="51316"/>
    <cellStyle name="20% - Ênfase4 4 3" xfId="51719"/>
    <cellStyle name="20% - Ênfase4 5" xfId="47991"/>
    <cellStyle name="20% - Ênfase4 5 2" xfId="51331"/>
    <cellStyle name="20% - Ênfase4 5 3" xfId="51762"/>
    <cellStyle name="20% - Ênfase4 6" xfId="47992"/>
    <cellStyle name="20% - Ênfase4 6 2" xfId="51246"/>
    <cellStyle name="20% - Ênfase4 6 3" xfId="51804"/>
    <cellStyle name="20% - Ênfase4 7" xfId="49854"/>
    <cellStyle name="20% - Ênfase4 7 2" xfId="51365"/>
    <cellStyle name="20% - Ênfase4 7 3" xfId="51846"/>
    <cellStyle name="20% - Ênfase4 8" xfId="49882"/>
    <cellStyle name="20% - Ênfase4 8 2" xfId="51887"/>
    <cellStyle name="20% - Ênfase4 9" xfId="51938"/>
    <cellStyle name="20% - Ênfase5" xfId="43976" builtinId="46" customBuiltin="1"/>
    <cellStyle name="20% - Ênfase5 10" xfId="51976"/>
    <cellStyle name="20% - Ênfase5 11" xfId="52018"/>
    <cellStyle name="20% - Ênfase5 12" xfId="52061"/>
    <cellStyle name="20% - Ênfase5 13" xfId="52104"/>
    <cellStyle name="20% - Ênfase5 14" xfId="52147"/>
    <cellStyle name="20% - Ênfase5 2" xfId="7"/>
    <cellStyle name="20% - Ênfase5 2 2" xfId="47993"/>
    <cellStyle name="20% - Ênfase5 2 2 2" xfId="47994"/>
    <cellStyle name="20% - Ênfase5 2 2 2 2" xfId="51302"/>
    <cellStyle name="20% - Ênfase5 2 2 3" xfId="50847"/>
    <cellStyle name="20% - Ênfase5 2 3" xfId="47995"/>
    <cellStyle name="20% - Ênfase5 2 3 2" xfId="51259"/>
    <cellStyle name="20% - Ênfase5 2 4" xfId="47996"/>
    <cellStyle name="20% - Ênfase5 2_Mem." xfId="47997"/>
    <cellStyle name="20% - Ênfase5 3" xfId="47998"/>
    <cellStyle name="20% - Ênfase5 3 2" xfId="47999"/>
    <cellStyle name="20% - Ênfase5 3 2 2" xfId="51292"/>
    <cellStyle name="20% - Ênfase5 3 3" xfId="50510"/>
    <cellStyle name="20% - Ênfase5 3 4" xfId="51668"/>
    <cellStyle name="20% - Ênfase5 4" xfId="48000"/>
    <cellStyle name="20% - Ênfase5 4 2" xfId="51317"/>
    <cellStyle name="20% - Ênfase5 4 3" xfId="51718"/>
    <cellStyle name="20% - Ênfase5 5" xfId="48001"/>
    <cellStyle name="20% - Ênfase5 5 2" xfId="51332"/>
    <cellStyle name="20% - Ênfase5 5 3" xfId="51761"/>
    <cellStyle name="20% - Ênfase5 6" xfId="48002"/>
    <cellStyle name="20% - Ênfase5 6 2" xfId="51248"/>
    <cellStyle name="20% - Ênfase5 6 3" xfId="51803"/>
    <cellStyle name="20% - Ênfase5 7" xfId="49856"/>
    <cellStyle name="20% - Ênfase5 7 2" xfId="51367"/>
    <cellStyle name="20% - Ênfase5 7 3" xfId="51845"/>
    <cellStyle name="20% - Ênfase5 8" xfId="49884"/>
    <cellStyle name="20% - Ênfase5 8 2" xfId="51886"/>
    <cellStyle name="20% - Ênfase5 9" xfId="51933"/>
    <cellStyle name="20% - Ênfase6" xfId="43980" builtinId="50" customBuiltin="1"/>
    <cellStyle name="20% - Ênfase6 10" xfId="51975"/>
    <cellStyle name="20% - Ênfase6 11" xfId="52017"/>
    <cellStyle name="20% - Ênfase6 12" xfId="52060"/>
    <cellStyle name="20% - Ênfase6 13" xfId="52103"/>
    <cellStyle name="20% - Ênfase6 14" xfId="52146"/>
    <cellStyle name="20% - Ênfase6 2" xfId="8"/>
    <cellStyle name="20% - Ênfase6 2 2" xfId="48003"/>
    <cellStyle name="20% - Ênfase6 2 2 2" xfId="48004"/>
    <cellStyle name="20% - Ênfase6 2 2 2 2" xfId="51303"/>
    <cellStyle name="20% - Ênfase6 2 2 3" xfId="50849"/>
    <cellStyle name="20% - Ênfase6 2 3" xfId="48005"/>
    <cellStyle name="20% - Ênfase6 2 3 2" xfId="51260"/>
    <cellStyle name="20% - Ênfase6 2 4" xfId="48006"/>
    <cellStyle name="20% - Ênfase6 2_Mem." xfId="48007"/>
    <cellStyle name="20% - Ênfase6 3" xfId="48008"/>
    <cellStyle name="20% - Ênfase6 3 2" xfId="48009"/>
    <cellStyle name="20% - Ênfase6 3 2 2" xfId="51294"/>
    <cellStyle name="20% - Ênfase6 3 3" xfId="50512"/>
    <cellStyle name="20% - Ênfase6 3 4" xfId="51667"/>
    <cellStyle name="20% - Ênfase6 4" xfId="48010"/>
    <cellStyle name="20% - Ênfase6 4 2" xfId="51318"/>
    <cellStyle name="20% - Ênfase6 4 3" xfId="51717"/>
    <cellStyle name="20% - Ênfase6 5" xfId="48011"/>
    <cellStyle name="20% - Ênfase6 5 2" xfId="51333"/>
    <cellStyle name="20% - Ênfase6 5 3" xfId="51760"/>
    <cellStyle name="20% - Ênfase6 6" xfId="48012"/>
    <cellStyle name="20% - Ênfase6 6 2" xfId="51250"/>
    <cellStyle name="20% - Ênfase6 6 3" xfId="51802"/>
    <cellStyle name="20% - Ênfase6 7" xfId="49858"/>
    <cellStyle name="20% - Ênfase6 7 2" xfId="51369"/>
    <cellStyle name="20% - Ênfase6 7 3" xfId="51844"/>
    <cellStyle name="20% - Ênfase6 8" xfId="49886"/>
    <cellStyle name="20% - Ênfase6 8 2" xfId="51885"/>
    <cellStyle name="20% - Ênfase6 9" xfId="51932"/>
    <cellStyle name="40% - Accent1" xfId="51533"/>
    <cellStyle name="40% - Accent2" xfId="51534"/>
    <cellStyle name="40% - Accent3" xfId="51535"/>
    <cellStyle name="40% - Accent4" xfId="51536"/>
    <cellStyle name="40% - Accent5" xfId="51537"/>
    <cellStyle name="40% - Accent6" xfId="51538"/>
    <cellStyle name="40% - Ênfase1" xfId="43961" builtinId="31" customBuiltin="1"/>
    <cellStyle name="40% - Ênfase1 10" xfId="51974"/>
    <cellStyle name="40% - Ênfase1 11" xfId="52016"/>
    <cellStyle name="40% - Ênfase1 12" xfId="52059"/>
    <cellStyle name="40% - Ênfase1 13" xfId="52102"/>
    <cellStyle name="40% - Ênfase1 14" xfId="52145"/>
    <cellStyle name="40% - Ênfase1 2" xfId="9"/>
    <cellStyle name="40% - Ênfase1 2 2" xfId="48013"/>
    <cellStyle name="40% - Ênfase1 2 2 2" xfId="48014"/>
    <cellStyle name="40% - Ênfase1 2 2 2 2" xfId="51304"/>
    <cellStyle name="40% - Ênfase1 2 2 3" xfId="50840"/>
    <cellStyle name="40% - Ênfase1 2 3" xfId="48015"/>
    <cellStyle name="40% - Ênfase1 2 3 2" xfId="51261"/>
    <cellStyle name="40% - Ênfase1 2 4" xfId="48016"/>
    <cellStyle name="40% - Ênfase1 2_Mem." xfId="48017"/>
    <cellStyle name="40% - Ênfase1 3" xfId="48018"/>
    <cellStyle name="40% - Ênfase1 3 2" xfId="48019"/>
    <cellStyle name="40% - Ênfase1 3 2 2" xfId="51285"/>
    <cellStyle name="40% - Ênfase1 3 3" xfId="50503"/>
    <cellStyle name="40% - Ênfase1 3 4" xfId="51666"/>
    <cellStyle name="40% - Ênfase1 4" xfId="48020"/>
    <cellStyle name="40% - Ênfase1 4 2" xfId="51319"/>
    <cellStyle name="40% - Ênfase1 4 3" xfId="51716"/>
    <cellStyle name="40% - Ênfase1 5" xfId="48021"/>
    <cellStyle name="40% - Ênfase1 5 2" xfId="51334"/>
    <cellStyle name="40% - Ênfase1 5 3" xfId="51759"/>
    <cellStyle name="40% - Ênfase1 6" xfId="48022"/>
    <cellStyle name="40% - Ênfase1 6 2" xfId="51241"/>
    <cellStyle name="40% - Ênfase1 6 3" xfId="51801"/>
    <cellStyle name="40% - Ênfase1 7" xfId="49849"/>
    <cellStyle name="40% - Ênfase1 7 2" xfId="51360"/>
    <cellStyle name="40% - Ênfase1 7 3" xfId="51843"/>
    <cellStyle name="40% - Ênfase1 8" xfId="49877"/>
    <cellStyle name="40% - Ênfase1 8 2" xfId="51884"/>
    <cellStyle name="40% - Ênfase1 9" xfId="51931"/>
    <cellStyle name="40% - Ênfase2" xfId="43965" builtinId="35" customBuiltin="1"/>
    <cellStyle name="40% - Ênfase2 10" xfId="51973"/>
    <cellStyle name="40% - Ênfase2 11" xfId="52015"/>
    <cellStyle name="40% - Ênfase2 12" xfId="52058"/>
    <cellStyle name="40% - Ênfase2 13" xfId="52101"/>
    <cellStyle name="40% - Ênfase2 14" xfId="52144"/>
    <cellStyle name="40% - Ênfase2 2" xfId="10"/>
    <cellStyle name="40% - Ênfase2 2 2" xfId="48023"/>
    <cellStyle name="40% - Ênfase2 2 2 2" xfId="48024"/>
    <cellStyle name="40% - Ênfase2 2 2 2 2" xfId="51305"/>
    <cellStyle name="40% - Ênfase2 2 2 3" xfId="50842"/>
    <cellStyle name="40% - Ênfase2 2 3" xfId="48025"/>
    <cellStyle name="40% - Ênfase2 2 3 2" xfId="51262"/>
    <cellStyle name="40% - Ênfase2 2 4" xfId="48026"/>
    <cellStyle name="40% - Ênfase2 2_Mem." xfId="48027"/>
    <cellStyle name="40% - Ênfase2 3" xfId="48028"/>
    <cellStyle name="40% - Ênfase2 3 2" xfId="48029"/>
    <cellStyle name="40% - Ênfase2 3 2 2" xfId="51287"/>
    <cellStyle name="40% - Ênfase2 3 3" xfId="50505"/>
    <cellStyle name="40% - Ênfase2 3 4" xfId="51665"/>
    <cellStyle name="40% - Ênfase2 4" xfId="48030"/>
    <cellStyle name="40% - Ênfase2 4 2" xfId="51320"/>
    <cellStyle name="40% - Ênfase2 4 3" xfId="51715"/>
    <cellStyle name="40% - Ênfase2 5" xfId="48031"/>
    <cellStyle name="40% - Ênfase2 5 2" xfId="51335"/>
    <cellStyle name="40% - Ênfase2 5 3" xfId="51758"/>
    <cellStyle name="40% - Ênfase2 6" xfId="48032"/>
    <cellStyle name="40% - Ênfase2 6 2" xfId="51243"/>
    <cellStyle name="40% - Ênfase2 6 3" xfId="51800"/>
    <cellStyle name="40% - Ênfase2 7" xfId="49851"/>
    <cellStyle name="40% - Ênfase2 7 2" xfId="51362"/>
    <cellStyle name="40% - Ênfase2 7 3" xfId="51842"/>
    <cellStyle name="40% - Ênfase2 8" xfId="49879"/>
    <cellStyle name="40% - Ênfase2 8 2" xfId="51883"/>
    <cellStyle name="40% - Ênfase2 9" xfId="51930"/>
    <cellStyle name="40% - Ênfase3" xfId="43969" builtinId="39" customBuiltin="1"/>
    <cellStyle name="40% - Ênfase3 10" xfId="51972"/>
    <cellStyle name="40% - Ênfase3 11" xfId="52014"/>
    <cellStyle name="40% - Ênfase3 12" xfId="52057"/>
    <cellStyle name="40% - Ênfase3 13" xfId="52100"/>
    <cellStyle name="40% - Ênfase3 14" xfId="52143"/>
    <cellStyle name="40% - Ênfase3 2" xfId="11"/>
    <cellStyle name="40% - Ênfase3 2 2" xfId="48033"/>
    <cellStyle name="40% - Ênfase3 2 2 2" xfId="48034"/>
    <cellStyle name="40% - Ênfase3 2 2 2 2" xfId="51306"/>
    <cellStyle name="40% - Ênfase3 2 2 3" xfId="50844"/>
    <cellStyle name="40% - Ênfase3 2 3" xfId="48035"/>
    <cellStyle name="40% - Ênfase3 2 3 2" xfId="51263"/>
    <cellStyle name="40% - Ênfase3 2 4" xfId="48036"/>
    <cellStyle name="40% - Ênfase3 2_Mem." xfId="48037"/>
    <cellStyle name="40% - Ênfase3 3" xfId="48038"/>
    <cellStyle name="40% - Ênfase3 3 2" xfId="48039"/>
    <cellStyle name="40% - Ênfase3 3 2 2" xfId="51289"/>
    <cellStyle name="40% - Ênfase3 3 3" xfId="50507"/>
    <cellStyle name="40% - Ênfase3 3 4" xfId="51664"/>
    <cellStyle name="40% - Ênfase3 4" xfId="48040"/>
    <cellStyle name="40% - Ênfase3 4 2" xfId="51321"/>
    <cellStyle name="40% - Ênfase3 4 3" xfId="51714"/>
    <cellStyle name="40% - Ênfase3 5" xfId="48041"/>
    <cellStyle name="40% - Ênfase3 5 2" xfId="51336"/>
    <cellStyle name="40% - Ênfase3 5 3" xfId="51757"/>
    <cellStyle name="40% - Ênfase3 6" xfId="48042"/>
    <cellStyle name="40% - Ênfase3 6 2" xfId="51245"/>
    <cellStyle name="40% - Ênfase3 6 3" xfId="51799"/>
    <cellStyle name="40% - Ênfase3 7" xfId="49853"/>
    <cellStyle name="40% - Ênfase3 7 2" xfId="51364"/>
    <cellStyle name="40% - Ênfase3 7 3" xfId="51841"/>
    <cellStyle name="40% - Ênfase3 8" xfId="49881"/>
    <cellStyle name="40% - Ênfase3 8 2" xfId="51882"/>
    <cellStyle name="40% - Ênfase3 9" xfId="51929"/>
    <cellStyle name="40% - Ênfase4" xfId="43973" builtinId="43" customBuiltin="1"/>
    <cellStyle name="40% - Ênfase4 10" xfId="51971"/>
    <cellStyle name="40% - Ênfase4 11" xfId="52013"/>
    <cellStyle name="40% - Ênfase4 12" xfId="52056"/>
    <cellStyle name="40% - Ênfase4 13" xfId="52099"/>
    <cellStyle name="40% - Ênfase4 14" xfId="52142"/>
    <cellStyle name="40% - Ênfase4 2" xfId="12"/>
    <cellStyle name="40% - Ênfase4 2 2" xfId="48043"/>
    <cellStyle name="40% - Ênfase4 2 2 2" xfId="48044"/>
    <cellStyle name="40% - Ênfase4 2 2 2 2" xfId="51307"/>
    <cellStyle name="40% - Ênfase4 2 2 3" xfId="50846"/>
    <cellStyle name="40% - Ênfase4 2 3" xfId="48045"/>
    <cellStyle name="40% - Ênfase4 2 3 2" xfId="51264"/>
    <cellStyle name="40% - Ênfase4 2 4" xfId="48046"/>
    <cellStyle name="40% - Ênfase4 2_Mem." xfId="48047"/>
    <cellStyle name="40% - Ênfase4 3" xfId="48048"/>
    <cellStyle name="40% - Ênfase4 3 2" xfId="48049"/>
    <cellStyle name="40% - Ênfase4 3 2 2" xfId="51291"/>
    <cellStyle name="40% - Ênfase4 3 3" xfId="50509"/>
    <cellStyle name="40% - Ênfase4 3 4" xfId="51663"/>
    <cellStyle name="40% - Ênfase4 4" xfId="48050"/>
    <cellStyle name="40% - Ênfase4 4 2" xfId="51322"/>
    <cellStyle name="40% - Ênfase4 4 3" xfId="51713"/>
    <cellStyle name="40% - Ênfase4 5" xfId="48051"/>
    <cellStyle name="40% - Ênfase4 5 2" xfId="51337"/>
    <cellStyle name="40% - Ênfase4 5 3" xfId="51756"/>
    <cellStyle name="40% - Ênfase4 6" xfId="48052"/>
    <cellStyle name="40% - Ênfase4 6 2" xfId="51247"/>
    <cellStyle name="40% - Ênfase4 6 3" xfId="51798"/>
    <cellStyle name="40% - Ênfase4 7" xfId="49855"/>
    <cellStyle name="40% - Ênfase4 7 2" xfId="51366"/>
    <cellStyle name="40% - Ênfase4 7 3" xfId="51840"/>
    <cellStyle name="40% - Ênfase4 8" xfId="49883"/>
    <cellStyle name="40% - Ênfase4 8 2" xfId="51881"/>
    <cellStyle name="40% - Ênfase4 9" xfId="51928"/>
    <cellStyle name="40% - Ênfase5" xfId="43977" builtinId="47" customBuiltin="1"/>
    <cellStyle name="40% - Ênfase5 10" xfId="51970"/>
    <cellStyle name="40% - Ênfase5 11" xfId="52012"/>
    <cellStyle name="40% - Ênfase5 12" xfId="52055"/>
    <cellStyle name="40% - Ênfase5 13" xfId="52098"/>
    <cellStyle name="40% - Ênfase5 14" xfId="52141"/>
    <cellStyle name="40% - Ênfase5 2" xfId="13"/>
    <cellStyle name="40% - Ênfase5 2 2" xfId="48053"/>
    <cellStyle name="40% - Ênfase5 2 2 2" xfId="48054"/>
    <cellStyle name="40% - Ênfase5 2 2 2 2" xfId="51308"/>
    <cellStyle name="40% - Ênfase5 2 2 3" xfId="50848"/>
    <cellStyle name="40% - Ênfase5 2 3" xfId="48055"/>
    <cellStyle name="40% - Ênfase5 2 3 2" xfId="51265"/>
    <cellStyle name="40% - Ênfase5 2 4" xfId="48056"/>
    <cellStyle name="40% - Ênfase5 2_Mem." xfId="48057"/>
    <cellStyle name="40% - Ênfase5 3" xfId="48058"/>
    <cellStyle name="40% - Ênfase5 3 2" xfId="48059"/>
    <cellStyle name="40% - Ênfase5 3 2 2" xfId="51293"/>
    <cellStyle name="40% - Ênfase5 3 3" xfId="50511"/>
    <cellStyle name="40% - Ênfase5 3 4" xfId="51662"/>
    <cellStyle name="40% - Ênfase5 4" xfId="48060"/>
    <cellStyle name="40% - Ênfase5 4 2" xfId="51323"/>
    <cellStyle name="40% - Ênfase5 4 3" xfId="51712"/>
    <cellStyle name="40% - Ênfase5 5" xfId="48061"/>
    <cellStyle name="40% - Ênfase5 5 2" xfId="51338"/>
    <cellStyle name="40% - Ênfase5 5 3" xfId="51755"/>
    <cellStyle name="40% - Ênfase5 6" xfId="48062"/>
    <cellStyle name="40% - Ênfase5 6 2" xfId="51249"/>
    <cellStyle name="40% - Ênfase5 6 3" xfId="51797"/>
    <cellStyle name="40% - Ênfase5 7" xfId="49857"/>
    <cellStyle name="40% - Ênfase5 7 2" xfId="51368"/>
    <cellStyle name="40% - Ênfase5 7 3" xfId="51839"/>
    <cellStyle name="40% - Ênfase5 8" xfId="49885"/>
    <cellStyle name="40% - Ênfase5 8 2" xfId="51880"/>
    <cellStyle name="40% - Ênfase5 9" xfId="51927"/>
    <cellStyle name="40% - Ênfase6" xfId="43981" builtinId="51" customBuiltin="1"/>
    <cellStyle name="40% - Ênfase6 10" xfId="51969"/>
    <cellStyle name="40% - Ênfase6 11" xfId="52011"/>
    <cellStyle name="40% - Ênfase6 12" xfId="52054"/>
    <cellStyle name="40% - Ênfase6 13" xfId="52097"/>
    <cellStyle name="40% - Ênfase6 14" xfId="52140"/>
    <cellStyle name="40% - Ênfase6 2" xfId="14"/>
    <cellStyle name="40% - Ênfase6 2 2" xfId="48063"/>
    <cellStyle name="40% - Ênfase6 2 2 2" xfId="48064"/>
    <cellStyle name="40% - Ênfase6 2 2 2 2" xfId="51309"/>
    <cellStyle name="40% - Ênfase6 2 2 3" xfId="50850"/>
    <cellStyle name="40% - Ênfase6 2 3" xfId="48065"/>
    <cellStyle name="40% - Ênfase6 2 3 2" xfId="51266"/>
    <cellStyle name="40% - Ênfase6 2 4" xfId="48066"/>
    <cellStyle name="40% - Ênfase6 2_Mem." xfId="48067"/>
    <cellStyle name="40% - Ênfase6 3" xfId="48068"/>
    <cellStyle name="40% - Ênfase6 3 2" xfId="48069"/>
    <cellStyle name="40% - Ênfase6 3 2 2" xfId="51295"/>
    <cellStyle name="40% - Ênfase6 3 3" xfId="50513"/>
    <cellStyle name="40% - Ênfase6 3 4" xfId="51661"/>
    <cellStyle name="40% - Ênfase6 4" xfId="48070"/>
    <cellStyle name="40% - Ênfase6 4 2" xfId="51324"/>
    <cellStyle name="40% - Ênfase6 4 3" xfId="51711"/>
    <cellStyle name="40% - Ênfase6 5" xfId="48071"/>
    <cellStyle name="40% - Ênfase6 5 2" xfId="51339"/>
    <cellStyle name="40% - Ênfase6 5 3" xfId="51754"/>
    <cellStyle name="40% - Ênfase6 6" xfId="48072"/>
    <cellStyle name="40% - Ênfase6 6 2" xfId="51251"/>
    <cellStyle name="40% - Ênfase6 6 3" xfId="51796"/>
    <cellStyle name="40% - Ênfase6 7" xfId="49859"/>
    <cellStyle name="40% - Ênfase6 7 2" xfId="51370"/>
    <cellStyle name="40% - Ênfase6 7 3" xfId="51838"/>
    <cellStyle name="40% - Ênfase6 8" xfId="49887"/>
    <cellStyle name="40% - Ênfase6 8 2" xfId="51879"/>
    <cellStyle name="40% - Ênfase6 9" xfId="51926"/>
    <cellStyle name="60% - Accent1" xfId="51539"/>
    <cellStyle name="60% - Accent2" xfId="51540"/>
    <cellStyle name="60% - Accent3" xfId="51541"/>
    <cellStyle name="60% - Accent4" xfId="51542"/>
    <cellStyle name="60% - Accent5" xfId="51543"/>
    <cellStyle name="60% - Accent6" xfId="51544"/>
    <cellStyle name="60% - Ênfase1" xfId="43962" builtinId="32" customBuiltin="1"/>
    <cellStyle name="60% - Ênfase1 10" xfId="51968"/>
    <cellStyle name="60% - Ênfase1 11" xfId="52010"/>
    <cellStyle name="60% - Ênfase1 12" xfId="52053"/>
    <cellStyle name="60% - Ênfase1 13" xfId="52096"/>
    <cellStyle name="60% - Ênfase1 14" xfId="52139"/>
    <cellStyle name="60% - Ênfase1 2" xfId="15"/>
    <cellStyle name="60% - Ênfase1 3" xfId="51660"/>
    <cellStyle name="60% - Ênfase1 4" xfId="51710"/>
    <cellStyle name="60% - Ênfase1 5" xfId="51753"/>
    <cellStyle name="60% - Ênfase1 6" xfId="51795"/>
    <cellStyle name="60% - Ênfase1 7" xfId="51837"/>
    <cellStyle name="60% - Ênfase1 8" xfId="51878"/>
    <cellStyle name="60% - Ênfase1 9" xfId="51925"/>
    <cellStyle name="60% - Ênfase2" xfId="43966" builtinId="36" customBuiltin="1"/>
    <cellStyle name="60% - Ênfase2 10" xfId="51967"/>
    <cellStyle name="60% - Ênfase2 11" xfId="52009"/>
    <cellStyle name="60% - Ênfase2 12" xfId="52052"/>
    <cellStyle name="60% - Ênfase2 13" xfId="52095"/>
    <cellStyle name="60% - Ênfase2 14" xfId="52138"/>
    <cellStyle name="60% - Ênfase2 2" xfId="16"/>
    <cellStyle name="60% - Ênfase2 3" xfId="51659"/>
    <cellStyle name="60% - Ênfase2 4" xfId="51709"/>
    <cellStyle name="60% - Ênfase2 5" xfId="51752"/>
    <cellStyle name="60% - Ênfase2 6" xfId="51794"/>
    <cellStyle name="60% - Ênfase2 7" xfId="51836"/>
    <cellStyle name="60% - Ênfase2 8" xfId="51877"/>
    <cellStyle name="60% - Ênfase2 9" xfId="51924"/>
    <cellStyle name="60% - Ênfase3" xfId="43970" builtinId="40" customBuiltin="1"/>
    <cellStyle name="60% - Ênfase3 10" xfId="51966"/>
    <cellStyle name="60% - Ênfase3 11" xfId="52008"/>
    <cellStyle name="60% - Ênfase3 12" xfId="52051"/>
    <cellStyle name="60% - Ênfase3 13" xfId="52094"/>
    <cellStyle name="60% - Ênfase3 14" xfId="52137"/>
    <cellStyle name="60% - Ênfase3 2" xfId="17"/>
    <cellStyle name="60% - Ênfase3 3" xfId="51658"/>
    <cellStyle name="60% - Ênfase3 4" xfId="51708"/>
    <cellStyle name="60% - Ênfase3 5" xfId="51751"/>
    <cellStyle name="60% - Ênfase3 6" xfId="51793"/>
    <cellStyle name="60% - Ênfase3 7" xfId="51835"/>
    <cellStyle name="60% - Ênfase3 8" xfId="51876"/>
    <cellStyle name="60% - Ênfase3 9" xfId="51923"/>
    <cellStyle name="60% - Ênfase4" xfId="43974" builtinId="44" customBuiltin="1"/>
    <cellStyle name="60% - Ênfase4 10" xfId="51965"/>
    <cellStyle name="60% - Ênfase4 11" xfId="52007"/>
    <cellStyle name="60% - Ênfase4 12" xfId="52050"/>
    <cellStyle name="60% - Ênfase4 13" xfId="52093"/>
    <cellStyle name="60% - Ênfase4 14" xfId="52136"/>
    <cellStyle name="60% - Ênfase4 2" xfId="18"/>
    <cellStyle name="60% - Ênfase4 3" xfId="51657"/>
    <cellStyle name="60% - Ênfase4 4" xfId="51707"/>
    <cellStyle name="60% - Ênfase4 5" xfId="51750"/>
    <cellStyle name="60% - Ênfase4 6" xfId="51792"/>
    <cellStyle name="60% - Ênfase4 7" xfId="51834"/>
    <cellStyle name="60% - Ênfase4 8" xfId="51875"/>
    <cellStyle name="60% - Ênfase4 9" xfId="51922"/>
    <cellStyle name="60% - Ênfase5" xfId="43978" builtinId="48" customBuiltin="1"/>
    <cellStyle name="60% - Ênfase5 10" xfId="51964"/>
    <cellStyle name="60% - Ênfase5 11" xfId="52006"/>
    <cellStyle name="60% - Ênfase5 12" xfId="52049"/>
    <cellStyle name="60% - Ênfase5 13" xfId="52092"/>
    <cellStyle name="60% - Ênfase5 14" xfId="52135"/>
    <cellStyle name="60% - Ênfase5 2" xfId="19"/>
    <cellStyle name="60% - Ênfase5 3" xfId="51656"/>
    <cellStyle name="60% - Ênfase5 4" xfId="51706"/>
    <cellStyle name="60% - Ênfase5 5" xfId="51749"/>
    <cellStyle name="60% - Ênfase5 6" xfId="51791"/>
    <cellStyle name="60% - Ênfase5 7" xfId="51833"/>
    <cellStyle name="60% - Ênfase5 8" xfId="51874"/>
    <cellStyle name="60% - Ênfase5 9" xfId="51921"/>
    <cellStyle name="60% - Ênfase6" xfId="43982" builtinId="52" customBuiltin="1"/>
    <cellStyle name="60% - Ênfase6 10" xfId="51963"/>
    <cellStyle name="60% - Ênfase6 11" xfId="52005"/>
    <cellStyle name="60% - Ênfase6 12" xfId="52048"/>
    <cellStyle name="60% - Ênfase6 13" xfId="52091"/>
    <cellStyle name="60% - Ênfase6 14" xfId="52134"/>
    <cellStyle name="60% - Ênfase6 2" xfId="20"/>
    <cellStyle name="60% - Ênfase6 3" xfId="51655"/>
    <cellStyle name="60% - Ênfase6 4" xfId="51705"/>
    <cellStyle name="60% - Ênfase6 5" xfId="51748"/>
    <cellStyle name="60% - Ênfase6 6" xfId="51790"/>
    <cellStyle name="60% - Ênfase6 7" xfId="51832"/>
    <cellStyle name="60% - Ênfase6 8" xfId="51873"/>
    <cellStyle name="60% - Ênfase6 9" xfId="51920"/>
    <cellStyle name="Accent1" xfId="51545"/>
    <cellStyle name="Accent2" xfId="51546"/>
    <cellStyle name="Accent3" xfId="51547"/>
    <cellStyle name="Accent4" xfId="51548"/>
    <cellStyle name="Accent5" xfId="51549"/>
    <cellStyle name="Accent6" xfId="51550"/>
    <cellStyle name="asd" xfId="21"/>
    <cellStyle name="asd 10" xfId="747"/>
    <cellStyle name="asd 10 10" xfId="3708"/>
    <cellStyle name="asd 10 11" xfId="3008"/>
    <cellStyle name="asd 10 12" xfId="3167"/>
    <cellStyle name="asd 10 13" xfId="2742"/>
    <cellStyle name="asd 10 14" xfId="2859"/>
    <cellStyle name="asd 10 15" xfId="8983"/>
    <cellStyle name="asd 10 16" xfId="14327"/>
    <cellStyle name="asd 10 17" xfId="2067"/>
    <cellStyle name="asd 10 18" xfId="4357"/>
    <cellStyle name="asd 10 19" xfId="4351"/>
    <cellStyle name="asd 10 2" xfId="3466"/>
    <cellStyle name="asd 10 2 10" xfId="12861"/>
    <cellStyle name="asd 10 2 11" xfId="14766"/>
    <cellStyle name="asd 10 2 12" xfId="16879"/>
    <cellStyle name="asd 10 2 13" xfId="18786"/>
    <cellStyle name="asd 10 2 14" xfId="20698"/>
    <cellStyle name="asd 10 2 15" xfId="22394"/>
    <cellStyle name="asd 10 2 16" xfId="24500"/>
    <cellStyle name="asd 10 2 17" xfId="26672"/>
    <cellStyle name="asd 10 2 18" xfId="28254"/>
    <cellStyle name="asd 10 2 19" xfId="30272"/>
    <cellStyle name="asd 10 2 2" xfId="3646"/>
    <cellStyle name="asd 10 2 2 10" xfId="17537"/>
    <cellStyle name="asd 10 2 2 11" xfId="19443"/>
    <cellStyle name="asd 10 2 2 12" xfId="21355"/>
    <cellStyle name="asd 10 2 2 13" xfId="23201"/>
    <cellStyle name="asd 10 2 2 14" xfId="25157"/>
    <cellStyle name="asd 10 2 2 15" xfId="26242"/>
    <cellStyle name="asd 10 2 2 16" xfId="1829"/>
    <cellStyle name="asd 10 2 2 17" xfId="29852"/>
    <cellStyle name="asd 10 2 2 18" xfId="32564"/>
    <cellStyle name="asd 10 2 2 19" xfId="33398"/>
    <cellStyle name="asd 10 2 2 2" xfId="4412"/>
    <cellStyle name="asd 10 2 2 2 10" xfId="20656"/>
    <cellStyle name="asd 10 2 2 2 11" xfId="22723"/>
    <cellStyle name="asd 10 2 2 2 12" xfId="24458"/>
    <cellStyle name="asd 10 2 2 2 13" xfId="26365"/>
    <cellStyle name="asd 10 2 2 2 14" xfId="28404"/>
    <cellStyle name="asd 10 2 2 2 15" xfId="29973"/>
    <cellStyle name="asd 10 2 2 2 16" xfId="32549"/>
    <cellStyle name="asd 10 2 2 2 17" xfId="33452"/>
    <cellStyle name="asd 10 2 2 2 18" xfId="35286"/>
    <cellStyle name="asd 10 2 2 2 19" xfId="37164"/>
    <cellStyle name="asd 10 2 2 2 2" xfId="2886"/>
    <cellStyle name="asd 10 2 2 2 20" xfId="39762"/>
    <cellStyle name="asd 10 2 2 2 21" xfId="41434"/>
    <cellStyle name="asd 10 2 2 2 22" xfId="42521"/>
    <cellStyle name="asd 10 2 2 2 3" xfId="4474"/>
    <cellStyle name="asd 10 2 2 2 4" xfId="9218"/>
    <cellStyle name="asd 10 2 2 2 5" xfId="11659"/>
    <cellStyle name="asd 10 2 2 2 6" xfId="13192"/>
    <cellStyle name="asd 10 2 2 2 7" xfId="15095"/>
    <cellStyle name="asd 10 2 2 2 8" xfId="16837"/>
    <cellStyle name="asd 10 2 2 2 9" xfId="18744"/>
    <cellStyle name="asd 10 2 2 20" xfId="35984"/>
    <cellStyle name="asd 10 2 2 21" xfId="37863"/>
    <cellStyle name="asd 10 2 2 22" xfId="39776"/>
    <cellStyle name="asd 10 2 2 23" xfId="41446"/>
    <cellStyle name="asd 10 2 2 24" xfId="42979"/>
    <cellStyle name="asd 10 2 2 3" xfId="5107"/>
    <cellStyle name="asd 10 2 2 4" xfId="6557"/>
    <cellStyle name="asd 10 2 2 5" xfId="8008"/>
    <cellStyle name="asd 10 2 2 6" xfId="9918"/>
    <cellStyle name="asd 10 2 2 7" xfId="11067"/>
    <cellStyle name="asd 10 2 2 8" xfId="13673"/>
    <cellStyle name="asd 10 2 2 9" xfId="15575"/>
    <cellStyle name="asd 10 2 20" xfId="33033"/>
    <cellStyle name="asd 10 2 21" xfId="34509"/>
    <cellStyle name="asd 10 2 22" xfId="35328"/>
    <cellStyle name="asd 10 2 23" xfId="37206"/>
    <cellStyle name="asd 10 2 24" xfId="40232"/>
    <cellStyle name="asd 10 2 25" xfId="41891"/>
    <cellStyle name="asd 10 2 26" xfId="42205"/>
    <cellStyle name="asd 10 2 3" xfId="3918"/>
    <cellStyle name="asd 10 2 3 10" xfId="19614"/>
    <cellStyle name="asd 10 2 3 11" xfId="21526"/>
    <cellStyle name="asd 10 2 3 12" xfId="24000"/>
    <cellStyle name="asd 10 2 3 13" xfId="25328"/>
    <cellStyle name="asd 10 2 3 14" xfId="26241"/>
    <cellStyle name="asd 10 2 3 15" xfId="29282"/>
    <cellStyle name="asd 10 2 3 16" xfId="29851"/>
    <cellStyle name="asd 10 2 3 17" xfId="33126"/>
    <cellStyle name="asd 10 2 3 18" xfId="34341"/>
    <cellStyle name="asd 10 2 3 19" xfId="36155"/>
    <cellStyle name="asd 10 2 3 2" xfId="5884"/>
    <cellStyle name="asd 10 2 3 2 10" xfId="22134"/>
    <cellStyle name="asd 10 2 3 2 11" xfId="23569"/>
    <cellStyle name="asd 10 2 3 2 12" xfId="25936"/>
    <cellStyle name="asd 10 2 3 2 13" xfId="26677"/>
    <cellStyle name="asd 10 2 3 2 14" xfId="28284"/>
    <cellStyle name="asd 10 2 3 2 15" xfId="30277"/>
    <cellStyle name="asd 10 2 3 2 16" xfId="33096"/>
    <cellStyle name="asd 10 2 3 2 17" xfId="33716"/>
    <cellStyle name="asd 10 2 3 2 18" xfId="36763"/>
    <cellStyle name="asd 10 2 3 2 19" xfId="38642"/>
    <cellStyle name="asd 10 2 3 2 2" xfId="7333"/>
    <cellStyle name="asd 10 2 3 2 20" xfId="40292"/>
    <cellStyle name="asd 10 2 3 2 21" xfId="41948"/>
    <cellStyle name="asd 10 2 3 2 22" xfId="43333"/>
    <cellStyle name="asd 10 2 3 2 3" xfId="8787"/>
    <cellStyle name="asd 10 2 3 2 4" xfId="10697"/>
    <cellStyle name="asd 10 2 3 2 5" xfId="12562"/>
    <cellStyle name="asd 10 2 3 2 6" xfId="14041"/>
    <cellStyle name="asd 10 2 3 2 7" xfId="15942"/>
    <cellStyle name="asd 10 2 3 2 8" xfId="18316"/>
    <cellStyle name="asd 10 2 3 2 9" xfId="20222"/>
    <cellStyle name="asd 10 2 3 20" xfId="38034"/>
    <cellStyle name="asd 10 2 3 21" xfId="40320"/>
    <cellStyle name="asd 10 2 3 22" xfId="41976"/>
    <cellStyle name="asd 10 2 3 23" xfId="43744"/>
    <cellStyle name="asd 10 2 3 3" xfId="5278"/>
    <cellStyle name="asd 10 2 3 4" xfId="8179"/>
    <cellStyle name="asd 10 2 3 5" xfId="10089"/>
    <cellStyle name="asd 10 2 3 6" xfId="11959"/>
    <cellStyle name="asd 10 2 3 7" xfId="14470"/>
    <cellStyle name="asd 10 2 3 8" xfId="16376"/>
    <cellStyle name="asd 10 2 3 9" xfId="17708"/>
    <cellStyle name="asd 10 2 4" xfId="4098"/>
    <cellStyle name="asd 10 2 4 10" xfId="19733"/>
    <cellStyle name="asd 10 2 4 11" xfId="21645"/>
    <cellStyle name="asd 10 2 4 12" xfId="23861"/>
    <cellStyle name="asd 10 2 4 13" xfId="25447"/>
    <cellStyle name="asd 10 2 4 14" xfId="26705"/>
    <cellStyle name="asd 10 2 4 15" xfId="28557"/>
    <cellStyle name="asd 10 2 4 16" xfId="30305"/>
    <cellStyle name="asd 10 2 4 17" xfId="31667"/>
    <cellStyle name="asd 10 2 4 18" xfId="33948"/>
    <cellStyle name="asd 10 2 4 19" xfId="36274"/>
    <cellStyle name="asd 10 2 4 2" xfId="6003"/>
    <cellStyle name="asd 10 2 4 2 10" xfId="22253"/>
    <cellStyle name="asd 10 2 4 2 11" xfId="23323"/>
    <cellStyle name="asd 10 2 4 2 12" xfId="26055"/>
    <cellStyle name="asd 10 2 4 2 13" xfId="27456"/>
    <cellStyle name="asd 10 2 4 2 14" xfId="29476"/>
    <cellStyle name="asd 10 2 4 2 15" xfId="31043"/>
    <cellStyle name="asd 10 2 4 2 16" xfId="32513"/>
    <cellStyle name="asd 10 2 4 2 17" xfId="34407"/>
    <cellStyle name="asd 10 2 4 2 18" xfId="36882"/>
    <cellStyle name="asd 10 2 4 2 19" xfId="38761"/>
    <cellStyle name="asd 10 2 4 2 2" xfId="7452"/>
    <cellStyle name="asd 10 2 4 2 20" xfId="39728"/>
    <cellStyle name="asd 10 2 4 2 21" xfId="41400"/>
    <cellStyle name="asd 10 2 4 2 22" xfId="43094"/>
    <cellStyle name="asd 10 2 4 2 3" xfId="8906"/>
    <cellStyle name="asd 10 2 4 2 4" xfId="10816"/>
    <cellStyle name="asd 10 2 4 2 5" xfId="12223"/>
    <cellStyle name="asd 10 2 4 2 6" xfId="13795"/>
    <cellStyle name="asd 10 2 4 2 7" xfId="15697"/>
    <cellStyle name="asd 10 2 4 2 8" xfId="18435"/>
    <cellStyle name="asd 10 2 4 2 9" xfId="20341"/>
    <cellStyle name="asd 10 2 4 20" xfId="38153"/>
    <cellStyle name="asd 10 2 4 21" xfId="38911"/>
    <cellStyle name="asd 10 2 4 22" xfId="40595"/>
    <cellStyle name="asd 10 2 4 23" xfId="43611"/>
    <cellStyle name="asd 10 2 4 3" xfId="6844"/>
    <cellStyle name="asd 10 2 4 4" xfId="8298"/>
    <cellStyle name="asd 10 2 4 5" xfId="10208"/>
    <cellStyle name="asd 10 2 4 6" xfId="11706"/>
    <cellStyle name="asd 10 2 4 7" xfId="14331"/>
    <cellStyle name="asd 10 2 4 8" xfId="16235"/>
    <cellStyle name="asd 10 2 4 9" xfId="17827"/>
    <cellStyle name="asd 10 2 5" xfId="4951"/>
    <cellStyle name="asd 10 2 5 10" xfId="21199"/>
    <cellStyle name="asd 10 2 5 11" xfId="23174"/>
    <cellStyle name="asd 10 2 5 12" xfId="25001"/>
    <cellStyle name="asd 10 2 5 13" xfId="26755"/>
    <cellStyle name="asd 10 2 5 14" xfId="28614"/>
    <cellStyle name="asd 10 2 5 15" xfId="30354"/>
    <cellStyle name="asd 10 2 5 16" xfId="32498"/>
    <cellStyle name="asd 10 2 5 17" xfId="34435"/>
    <cellStyle name="asd 10 2 5 18" xfId="35828"/>
    <cellStyle name="asd 10 2 5 19" xfId="37707"/>
    <cellStyle name="asd 10 2 5 2" xfId="6401"/>
    <cellStyle name="asd 10 2 5 20" xfId="39713"/>
    <cellStyle name="asd 10 2 5 21" xfId="41385"/>
    <cellStyle name="asd 10 2 5 22" xfId="42952"/>
    <cellStyle name="asd 10 2 5 3" xfId="7852"/>
    <cellStyle name="asd 10 2 5 4" xfId="9762"/>
    <cellStyle name="asd 10 2 5 5" xfId="10995"/>
    <cellStyle name="asd 10 2 5 6" xfId="13645"/>
    <cellStyle name="asd 10 2 5 7" xfId="15548"/>
    <cellStyle name="asd 10 2 5 8" xfId="17381"/>
    <cellStyle name="asd 10 2 5 9" xfId="19287"/>
    <cellStyle name="asd 10 2 6" xfId="3073"/>
    <cellStyle name="asd 10 2 6 10" xfId="20605"/>
    <cellStyle name="asd 10 2 6 11" xfId="23910"/>
    <cellStyle name="asd 10 2 6 12" xfId="24407"/>
    <cellStyle name="asd 10 2 6 13" xfId="27791"/>
    <cellStyle name="asd 10 2 6 14" xfId="29627"/>
    <cellStyle name="asd 10 2 6 15" xfId="31368"/>
    <cellStyle name="asd 10 2 6 16" xfId="32291"/>
    <cellStyle name="asd 10 2 6 17" xfId="34485"/>
    <cellStyle name="asd 10 2 6 18" xfId="35235"/>
    <cellStyle name="asd 10 2 6 19" xfId="37113"/>
    <cellStyle name="asd 10 2 6 2" xfId="2016"/>
    <cellStyle name="asd 10 2 6 20" xfId="39511"/>
    <cellStyle name="asd 10 2 6 21" xfId="41185"/>
    <cellStyle name="asd 10 2 6 22" xfId="43656"/>
    <cellStyle name="asd 10 2 6 3" xfId="4178"/>
    <cellStyle name="asd 10 2 6 4" xfId="9167"/>
    <cellStyle name="asd 10 2 6 5" xfId="11869"/>
    <cellStyle name="asd 10 2 6 6" xfId="14378"/>
    <cellStyle name="asd 10 2 6 7" xfId="16284"/>
    <cellStyle name="asd 10 2 6 8" xfId="16786"/>
    <cellStyle name="asd 10 2 6 9" xfId="18693"/>
    <cellStyle name="asd 10 2 7" xfId="5369"/>
    <cellStyle name="asd 10 2 8" xfId="9260"/>
    <cellStyle name="asd 10 2 9" xfId="11673"/>
    <cellStyle name="asd 10 20" xfId="2453"/>
    <cellStyle name="asd 10 21" xfId="2887"/>
    <cellStyle name="asd 10 22" xfId="32554"/>
    <cellStyle name="asd 10 23" xfId="31140"/>
    <cellStyle name="asd 10 24" xfId="33508"/>
    <cellStyle name="asd 10 25" xfId="2219"/>
    <cellStyle name="asd 10 26" xfId="28269"/>
    <cellStyle name="asd 10 27" xfId="33299"/>
    <cellStyle name="asd 10 3" xfId="3481"/>
    <cellStyle name="asd 10 3 10" xfId="14474"/>
    <cellStyle name="asd 10 3 11" xfId="16380"/>
    <cellStyle name="asd 10 3 12" xfId="16916"/>
    <cellStyle name="asd 10 3 13" xfId="18823"/>
    <cellStyle name="asd 10 3 14" xfId="20735"/>
    <cellStyle name="asd 10 3 15" xfId="24004"/>
    <cellStyle name="asd 10 3 16" xfId="24537"/>
    <cellStyle name="asd 10 3 17" xfId="26869"/>
    <cellStyle name="asd 10 3 18" xfId="29536"/>
    <cellStyle name="asd 10 3 19" xfId="30465"/>
    <cellStyle name="asd 10 3 2" xfId="3661"/>
    <cellStyle name="asd 10 3 2 10" xfId="17552"/>
    <cellStyle name="asd 10 3 2 11" xfId="19458"/>
    <cellStyle name="asd 10 3 2 12" xfId="21370"/>
    <cellStyle name="asd 10 3 2 13" xfId="23315"/>
    <cellStyle name="asd 10 3 2 14" xfId="25172"/>
    <cellStyle name="asd 10 3 2 15" xfId="26820"/>
    <cellStyle name="asd 10 3 2 16" xfId="28479"/>
    <cellStyle name="asd 10 3 2 17" xfId="30419"/>
    <cellStyle name="asd 10 3 2 18" xfId="32394"/>
    <cellStyle name="asd 10 3 2 19" xfId="34906"/>
    <cellStyle name="asd 10 3 2 2" xfId="5646"/>
    <cellStyle name="asd 10 3 2 2 10" xfId="21896"/>
    <cellStyle name="asd 10 3 2 2 11" xfId="22990"/>
    <cellStyle name="asd 10 3 2 2 12" xfId="25698"/>
    <cellStyle name="asd 10 3 2 2 13" xfId="27338"/>
    <cellStyle name="asd 10 3 2 2 14" xfId="28049"/>
    <cellStyle name="asd 10 3 2 2 15" xfId="30927"/>
    <cellStyle name="asd 10 3 2 2 16" xfId="33060"/>
    <cellStyle name="asd 10 3 2 2 17" xfId="34122"/>
    <cellStyle name="asd 10 3 2 2 18" xfId="36525"/>
    <cellStyle name="asd 10 3 2 2 19" xfId="38404"/>
    <cellStyle name="asd 10 3 2 2 2" xfId="7095"/>
    <cellStyle name="asd 10 3 2 2 20" xfId="40256"/>
    <cellStyle name="asd 10 3 2 2 21" xfId="41914"/>
    <cellStyle name="asd 10 3 2 2 22" xfId="42776"/>
    <cellStyle name="asd 10 3 2 2 3" xfId="8549"/>
    <cellStyle name="asd 10 3 2 2 4" xfId="10459"/>
    <cellStyle name="asd 10 3 2 2 5" xfId="11311"/>
    <cellStyle name="asd 10 3 2 2 6" xfId="13459"/>
    <cellStyle name="asd 10 3 2 2 7" xfId="15364"/>
    <cellStyle name="asd 10 3 2 2 8" xfId="18078"/>
    <cellStyle name="asd 10 3 2 2 9" xfId="19984"/>
    <cellStyle name="asd 10 3 2 20" xfId="35999"/>
    <cellStyle name="asd 10 3 2 21" xfId="37878"/>
    <cellStyle name="asd 10 3 2 22" xfId="39611"/>
    <cellStyle name="asd 10 3 2 23" xfId="41285"/>
    <cellStyle name="asd 10 3 2 24" xfId="43087"/>
    <cellStyle name="asd 10 3 2 3" xfId="5122"/>
    <cellStyle name="asd 10 3 2 4" xfId="6572"/>
    <cellStyle name="asd 10 3 2 5" xfId="8023"/>
    <cellStyle name="asd 10 3 2 6" xfId="9933"/>
    <cellStyle name="asd 10 3 2 7" xfId="10964"/>
    <cellStyle name="asd 10 3 2 8" xfId="13787"/>
    <cellStyle name="asd 10 3 2 9" xfId="15689"/>
    <cellStyle name="asd 10 3 20" xfId="31877"/>
    <cellStyle name="asd 10 3 21" xfId="33710"/>
    <cellStyle name="asd 10 3 22" xfId="35365"/>
    <cellStyle name="asd 10 3 23" xfId="37243"/>
    <cellStyle name="asd 10 3 24" xfId="39112"/>
    <cellStyle name="asd 10 3 25" xfId="40793"/>
    <cellStyle name="asd 10 3 26" xfId="43748"/>
    <cellStyle name="asd 10 3 3" xfId="3840"/>
    <cellStyle name="asd 10 3 3 10" xfId="19563"/>
    <cellStyle name="asd 10 3 3 11" xfId="21475"/>
    <cellStyle name="asd 10 3 3 12" xfId="23688"/>
    <cellStyle name="asd 10 3 3 13" xfId="25277"/>
    <cellStyle name="asd 10 3 3 14" xfId="27319"/>
    <cellStyle name="asd 10 3 3 15" xfId="29659"/>
    <cellStyle name="asd 10 3 3 16" xfId="30909"/>
    <cellStyle name="asd 10 3 3 17" xfId="32081"/>
    <cellStyle name="asd 10 3 3 18" xfId="34830"/>
    <cellStyle name="asd 10 3 3 19" xfId="36104"/>
    <cellStyle name="asd 10 3 3 2" xfId="5833"/>
    <cellStyle name="asd 10 3 3 2 10" xfId="22083"/>
    <cellStyle name="asd 10 3 3 2 11" xfId="23702"/>
    <cellStyle name="asd 10 3 3 2 12" xfId="25885"/>
    <cellStyle name="asd 10 3 3 2 13" xfId="27874"/>
    <cellStyle name="asd 10 3 3 2 14" xfId="18527"/>
    <cellStyle name="asd 10 3 3 2 15" xfId="31455"/>
    <cellStyle name="asd 10 3 3 2 16" xfId="32460"/>
    <cellStyle name="asd 10 3 3 2 17" xfId="26404"/>
    <cellStyle name="asd 10 3 3 2 18" xfId="36712"/>
    <cellStyle name="asd 10 3 3 2 19" xfId="38591"/>
    <cellStyle name="asd 10 3 3 2 2" xfId="7282"/>
    <cellStyle name="asd 10 3 3 2 20" xfId="39678"/>
    <cellStyle name="asd 10 3 3 2 21" xfId="41351"/>
    <cellStyle name="asd 10 3 3 2 22" xfId="43459"/>
    <cellStyle name="asd 10 3 3 2 3" xfId="8736"/>
    <cellStyle name="asd 10 3 3 2 4" xfId="10646"/>
    <cellStyle name="asd 10 3 3 2 5" xfId="11681"/>
    <cellStyle name="asd 10 3 3 2 6" xfId="14172"/>
    <cellStyle name="asd 10 3 3 2 7" xfId="16076"/>
    <cellStyle name="asd 10 3 3 2 8" xfId="18265"/>
    <cellStyle name="asd 10 3 3 2 9" xfId="20171"/>
    <cellStyle name="asd 10 3 3 20" xfId="37983"/>
    <cellStyle name="asd 10 3 3 21" xfId="39305"/>
    <cellStyle name="asd 10 3 3 22" xfId="40981"/>
    <cellStyle name="asd 10 3 3 23" xfId="43445"/>
    <cellStyle name="asd 10 3 3 3" xfId="5227"/>
    <cellStyle name="asd 10 3 3 4" xfId="8128"/>
    <cellStyle name="asd 10 3 3 5" xfId="10038"/>
    <cellStyle name="asd 10 3 3 6" xfId="11414"/>
    <cellStyle name="asd 10 3 3 7" xfId="14158"/>
    <cellStyle name="asd 10 3 3 8" xfId="16062"/>
    <cellStyle name="asd 10 3 3 9" xfId="17657"/>
    <cellStyle name="asd 10 3 4" xfId="4113"/>
    <cellStyle name="asd 10 3 4 10" xfId="19748"/>
    <cellStyle name="asd 10 3 4 11" xfId="21660"/>
    <cellStyle name="asd 10 3 4 12" xfId="23659"/>
    <cellStyle name="asd 10 3 4 13" xfId="25462"/>
    <cellStyle name="asd 10 3 4 14" xfId="27678"/>
    <cellStyle name="asd 10 3 4 15" xfId="28878"/>
    <cellStyle name="asd 10 3 4 16" xfId="31253"/>
    <cellStyle name="asd 10 3 4 17" xfId="32151"/>
    <cellStyle name="asd 10 3 4 18" xfId="34681"/>
    <cellStyle name="asd 10 3 4 19" xfId="36289"/>
    <cellStyle name="asd 10 3 4 2" xfId="6018"/>
    <cellStyle name="asd 10 3 4 2 10" xfId="22268"/>
    <cellStyle name="asd 10 3 4 2 11" xfId="23424"/>
    <cellStyle name="asd 10 3 4 2 12" xfId="26070"/>
    <cellStyle name="asd 10 3 4 2 13" xfId="27866"/>
    <cellStyle name="asd 10 3 4 2 14" xfId="29370"/>
    <cellStyle name="asd 10 3 4 2 15" xfId="31447"/>
    <cellStyle name="asd 10 3 4 2 16" xfId="32814"/>
    <cellStyle name="asd 10 3 4 2 17" xfId="33431"/>
    <cellStyle name="asd 10 3 4 2 18" xfId="36897"/>
    <cellStyle name="asd 10 3 4 2 19" xfId="38776"/>
    <cellStyle name="asd 10 3 4 2 2" xfId="7467"/>
    <cellStyle name="asd 10 3 4 2 20" xfId="40023"/>
    <cellStyle name="asd 10 3 4 2 21" xfId="41687"/>
    <cellStyle name="asd 10 3 4 2 22" xfId="43191"/>
    <cellStyle name="asd 10 3 4 2 3" xfId="8921"/>
    <cellStyle name="asd 10 3 4 2 4" xfId="10831"/>
    <cellStyle name="asd 10 3 4 2 5" xfId="12265"/>
    <cellStyle name="asd 10 3 4 2 6" xfId="13896"/>
    <cellStyle name="asd 10 3 4 2 7" xfId="15797"/>
    <cellStyle name="asd 10 3 4 2 8" xfId="18450"/>
    <cellStyle name="asd 10 3 4 2 9" xfId="20356"/>
    <cellStyle name="asd 10 3 4 20" xfId="38168"/>
    <cellStyle name="asd 10 3 4 21" xfId="39374"/>
    <cellStyle name="asd 10 3 4 22" xfId="41050"/>
    <cellStyle name="asd 10 3 4 23" xfId="43417"/>
    <cellStyle name="asd 10 3 4 3" xfId="6859"/>
    <cellStyle name="asd 10 3 4 4" xfId="8313"/>
    <cellStyle name="asd 10 3 4 5" xfId="10223"/>
    <cellStyle name="asd 10 3 4 6" xfId="11847"/>
    <cellStyle name="asd 10 3 4 7" xfId="14129"/>
    <cellStyle name="asd 10 3 4 8" xfId="16032"/>
    <cellStyle name="asd 10 3 4 9" xfId="17842"/>
    <cellStyle name="asd 10 3 5" xfId="4963"/>
    <cellStyle name="asd 10 3 5 10" xfId="21211"/>
    <cellStyle name="asd 10 3 5 11" xfId="23958"/>
    <cellStyle name="asd 10 3 5 12" xfId="25013"/>
    <cellStyle name="asd 10 3 5 13" xfId="27607"/>
    <cellStyle name="asd 10 3 5 14" xfId="28071"/>
    <cellStyle name="asd 10 3 5 15" xfId="31185"/>
    <cellStyle name="asd 10 3 5 16" xfId="32465"/>
    <cellStyle name="asd 10 3 5 17" xfId="33933"/>
    <cellStyle name="asd 10 3 5 18" xfId="35840"/>
    <cellStyle name="asd 10 3 5 19" xfId="37719"/>
    <cellStyle name="asd 10 3 5 2" xfId="6413"/>
    <cellStyle name="asd 10 3 5 20" xfId="39683"/>
    <cellStyle name="asd 10 3 5 21" xfId="41356"/>
    <cellStyle name="asd 10 3 5 22" xfId="43704"/>
    <cellStyle name="asd 10 3 5 3" xfId="7864"/>
    <cellStyle name="asd 10 3 5 4" xfId="9774"/>
    <cellStyle name="asd 10 3 5 5" xfId="11918"/>
    <cellStyle name="asd 10 3 5 6" xfId="14428"/>
    <cellStyle name="asd 10 3 5 7" xfId="16334"/>
    <cellStyle name="asd 10 3 5 8" xfId="17393"/>
    <cellStyle name="asd 10 3 5 9" xfId="19299"/>
    <cellStyle name="asd 10 3 6" xfId="5650"/>
    <cellStyle name="asd 10 3 6 10" xfId="21900"/>
    <cellStyle name="asd 10 3 6 11" xfId="22822"/>
    <cellStyle name="asd 10 3 6 12" xfId="25702"/>
    <cellStyle name="asd 10 3 6 13" xfId="20435"/>
    <cellStyle name="asd 10 3 6 14" xfId="2412"/>
    <cellStyle name="asd 10 3 6 15" xfId="10888"/>
    <cellStyle name="asd 10 3 6 16" xfId="5426"/>
    <cellStyle name="asd 10 3 6 17" xfId="33295"/>
    <cellStyle name="asd 10 3 6 18" xfId="36529"/>
    <cellStyle name="asd 10 3 6 19" xfId="38408"/>
    <cellStyle name="asd 10 3 6 2" xfId="7099"/>
    <cellStyle name="asd 10 3 6 20" xfId="29640"/>
    <cellStyle name="asd 10 3 6 21" xfId="1807"/>
    <cellStyle name="asd 10 3 6 22" xfId="42615"/>
    <cellStyle name="asd 10 3 6 3" xfId="8553"/>
    <cellStyle name="asd 10 3 6 4" xfId="10463"/>
    <cellStyle name="asd 10 3 6 5" xfId="12275"/>
    <cellStyle name="asd 10 3 6 6" xfId="13292"/>
    <cellStyle name="asd 10 3 6 7" xfId="15196"/>
    <cellStyle name="asd 10 3 6 8" xfId="18082"/>
    <cellStyle name="asd 10 3 6 9" xfId="19988"/>
    <cellStyle name="asd 10 3 7" xfId="6162"/>
    <cellStyle name="asd 10 3 8" xfId="9297"/>
    <cellStyle name="asd 10 3 9" xfId="11963"/>
    <cellStyle name="asd 10 4" xfId="3422"/>
    <cellStyle name="asd 10 4 10" xfId="15275"/>
    <cellStyle name="asd 10 4 11" xfId="16793"/>
    <cellStyle name="asd 10 4 12" xfId="18700"/>
    <cellStyle name="asd 10 4 13" xfId="20612"/>
    <cellStyle name="asd 10 4 14" xfId="22902"/>
    <cellStyle name="asd 10 4 15" xfId="24414"/>
    <cellStyle name="asd 10 4 16" xfId="27454"/>
    <cellStyle name="asd 10 4 17" xfId="28114"/>
    <cellStyle name="asd 10 4 18" xfId="31041"/>
    <cellStyle name="asd 10 4 19" xfId="33196"/>
    <cellStyle name="asd 10 4 2" xfId="3602"/>
    <cellStyle name="asd 10 4 2 10" xfId="17493"/>
    <cellStyle name="asd 10 4 2 11" xfId="19399"/>
    <cellStyle name="asd 10 4 2 12" xfId="21311"/>
    <cellStyle name="asd 10 4 2 13" xfId="22947"/>
    <cellStyle name="asd 10 4 2 14" xfId="25113"/>
    <cellStyle name="asd 10 4 2 15" xfId="27549"/>
    <cellStyle name="asd 10 4 2 16" xfId="28139"/>
    <cellStyle name="asd 10 4 2 17" xfId="31130"/>
    <cellStyle name="asd 10 4 2 18" xfId="32114"/>
    <cellStyle name="asd 10 4 2 19" xfId="33820"/>
    <cellStyle name="asd 10 4 2 2" xfId="5554"/>
    <cellStyle name="asd 10 4 2 2 10" xfId="21804"/>
    <cellStyle name="asd 10 4 2 2 11" xfId="23496"/>
    <cellStyle name="asd 10 4 2 2 12" xfId="25606"/>
    <cellStyle name="asd 10 4 2 2 13" xfId="26342"/>
    <cellStyle name="asd 10 4 2 2 14" xfId="29004"/>
    <cellStyle name="asd 10 4 2 2 15" xfId="29950"/>
    <cellStyle name="asd 10 4 2 2 16" xfId="32925"/>
    <cellStyle name="asd 10 4 2 2 17" xfId="34635"/>
    <cellStyle name="asd 10 4 2 2 18" xfId="36433"/>
    <cellStyle name="asd 10 4 2 2 19" xfId="38312"/>
    <cellStyle name="asd 10 4 2 2 2" xfId="7003"/>
    <cellStyle name="asd 10 4 2 2 20" xfId="40129"/>
    <cellStyle name="asd 10 4 2 2 21" xfId="41788"/>
    <cellStyle name="asd 10 4 2 2 22" xfId="43262"/>
    <cellStyle name="asd 10 4 2 2 3" xfId="8457"/>
    <cellStyle name="asd 10 4 2 2 4" xfId="10367"/>
    <cellStyle name="asd 10 4 2 2 5" xfId="12557"/>
    <cellStyle name="asd 10 4 2 2 6" xfId="13968"/>
    <cellStyle name="asd 10 4 2 2 7" xfId="15869"/>
    <cellStyle name="asd 10 4 2 2 8" xfId="17986"/>
    <cellStyle name="asd 10 4 2 2 9" xfId="19892"/>
    <cellStyle name="asd 10 4 2 20" xfId="35940"/>
    <cellStyle name="asd 10 4 2 21" xfId="37819"/>
    <cellStyle name="asd 10 4 2 22" xfId="39338"/>
    <cellStyle name="asd 10 4 2 23" xfId="41014"/>
    <cellStyle name="asd 10 4 2 24" xfId="42733"/>
    <cellStyle name="asd 10 4 2 3" xfId="5063"/>
    <cellStyle name="asd 10 4 2 4" xfId="6513"/>
    <cellStyle name="asd 10 4 2 5" xfId="7964"/>
    <cellStyle name="asd 10 4 2 6" xfId="9874"/>
    <cellStyle name="asd 10 4 2 7" xfId="11179"/>
    <cellStyle name="asd 10 4 2 8" xfId="13415"/>
    <cellStyle name="asd 10 4 2 9" xfId="15320"/>
    <cellStyle name="asd 10 4 20" xfId="34585"/>
    <cellStyle name="asd 10 4 21" xfId="35242"/>
    <cellStyle name="asd 10 4 22" xfId="37120"/>
    <cellStyle name="asd 10 4 23" xfId="40386"/>
    <cellStyle name="asd 10 4 24" xfId="42042"/>
    <cellStyle name="asd 10 4 25" xfId="42688"/>
    <cellStyle name="asd 10 4 3" xfId="3916"/>
    <cellStyle name="asd 10 4 3 10" xfId="19612"/>
    <cellStyle name="asd 10 4 3 11" xfId="21524"/>
    <cellStyle name="asd 10 4 3 12" xfId="24092"/>
    <cellStyle name="asd 10 4 3 13" xfId="25326"/>
    <cellStyle name="asd 10 4 3 14" xfId="27437"/>
    <cellStyle name="asd 10 4 3 15" xfId="29177"/>
    <cellStyle name="asd 10 4 3 16" xfId="31023"/>
    <cellStyle name="asd 10 4 3 17" xfId="31650"/>
    <cellStyle name="asd 10 4 3 18" xfId="33855"/>
    <cellStyle name="asd 10 4 3 19" xfId="36153"/>
    <cellStyle name="asd 10 4 3 2" xfId="5882"/>
    <cellStyle name="asd 10 4 3 2 10" xfId="22132"/>
    <cellStyle name="asd 10 4 3 2 11" xfId="22561"/>
    <cellStyle name="asd 10 4 3 2 12" xfId="25934"/>
    <cellStyle name="asd 10 4 3 2 13" xfId="26967"/>
    <cellStyle name="asd 10 4 3 2 14" xfId="28448"/>
    <cellStyle name="asd 10 4 3 2 15" xfId="30561"/>
    <cellStyle name="asd 10 4 3 2 16" xfId="31941"/>
    <cellStyle name="asd 10 4 3 2 17" xfId="34881"/>
    <cellStyle name="asd 10 4 3 2 18" xfId="36761"/>
    <cellStyle name="asd 10 4 3 2 19" xfId="38640"/>
    <cellStyle name="asd 10 4 3 2 2" xfId="7331"/>
    <cellStyle name="asd 10 4 3 2 20" xfId="39171"/>
    <cellStyle name="asd 10 4 3 2 21" xfId="40852"/>
    <cellStyle name="asd 10 4 3 2 22" xfId="42370"/>
    <cellStyle name="asd 10 4 3 2 3" xfId="8785"/>
    <cellStyle name="asd 10 4 3 2 4" xfId="10695"/>
    <cellStyle name="asd 10 4 3 2 5" xfId="12736"/>
    <cellStyle name="asd 10 4 3 2 6" xfId="13029"/>
    <cellStyle name="asd 10 4 3 2 7" xfId="14933"/>
    <cellStyle name="asd 10 4 3 2 8" xfId="18314"/>
    <cellStyle name="asd 10 4 3 2 9" xfId="20220"/>
    <cellStyle name="asd 10 4 3 20" xfId="38032"/>
    <cellStyle name="asd 10 4 3 21" xfId="38895"/>
    <cellStyle name="asd 10 4 3 22" xfId="40580"/>
    <cellStyle name="asd 10 4 3 23" xfId="43835"/>
    <cellStyle name="asd 10 4 3 3" xfId="5276"/>
    <cellStyle name="asd 10 4 3 4" xfId="8177"/>
    <cellStyle name="asd 10 4 3 5" xfId="10087"/>
    <cellStyle name="asd 10 4 3 6" xfId="12051"/>
    <cellStyle name="asd 10 4 3 7" xfId="14562"/>
    <cellStyle name="asd 10 4 3 8" xfId="16468"/>
    <cellStyle name="asd 10 4 3 9" xfId="17706"/>
    <cellStyle name="asd 10 4 4" xfId="4054"/>
    <cellStyle name="asd 10 4 4 10" xfId="19689"/>
    <cellStyle name="asd 10 4 4 11" xfId="21601"/>
    <cellStyle name="asd 10 4 4 12" xfId="22852"/>
    <cellStyle name="asd 10 4 4 13" xfId="25403"/>
    <cellStyle name="asd 10 4 4 14" xfId="27198"/>
    <cellStyle name="asd 10 4 4 15" xfId="28646"/>
    <cellStyle name="asd 10 4 4 16" xfId="30789"/>
    <cellStyle name="asd 10 4 4 17" xfId="31905"/>
    <cellStyle name="asd 10 4 4 18" xfId="33947"/>
    <cellStyle name="asd 10 4 4 19" xfId="36230"/>
    <cellStyle name="asd 10 4 4 2" xfId="5959"/>
    <cellStyle name="asd 10 4 4 2 10" xfId="22209"/>
    <cellStyle name="asd 10 4 4 2 11" xfId="23482"/>
    <cellStyle name="asd 10 4 4 2 12" xfId="26011"/>
    <cellStyle name="asd 10 4 4 2 13" xfId="27324"/>
    <cellStyle name="asd 10 4 4 2 14" xfId="28199"/>
    <cellStyle name="asd 10 4 4 2 15" xfId="30914"/>
    <cellStyle name="asd 10 4 4 2 16" xfId="33020"/>
    <cellStyle name="asd 10 4 4 2 17" xfId="34184"/>
    <cellStyle name="asd 10 4 4 2 18" xfId="36838"/>
    <cellStyle name="asd 10 4 4 2 19" xfId="38717"/>
    <cellStyle name="asd 10 4 4 2 2" xfId="7408"/>
    <cellStyle name="asd 10 4 4 2 20" xfId="40220"/>
    <cellStyle name="asd 10 4 4 2 21" xfId="41879"/>
    <cellStyle name="asd 10 4 4 2 22" xfId="43248"/>
    <cellStyle name="asd 10 4 4 2 3" xfId="8862"/>
    <cellStyle name="asd 10 4 4 2 4" xfId="10772"/>
    <cellStyle name="asd 10 4 4 2 5" xfId="11064"/>
    <cellStyle name="asd 10 4 4 2 6" xfId="13954"/>
    <cellStyle name="asd 10 4 4 2 7" xfId="15855"/>
    <cellStyle name="asd 10 4 4 2 8" xfId="18391"/>
    <cellStyle name="asd 10 4 4 2 9" xfId="20297"/>
    <cellStyle name="asd 10 4 4 20" xfId="38109"/>
    <cellStyle name="asd 10 4 4 21" xfId="39137"/>
    <cellStyle name="asd 10 4 4 22" xfId="40818"/>
    <cellStyle name="asd 10 4 4 23" xfId="42643"/>
    <cellStyle name="asd 10 4 4 3" xfId="6800"/>
    <cellStyle name="asd 10 4 4 4" xfId="8254"/>
    <cellStyle name="asd 10 4 4 5" xfId="10164"/>
    <cellStyle name="asd 10 4 4 6" xfId="12272"/>
    <cellStyle name="asd 10 4 4 7" xfId="13321"/>
    <cellStyle name="asd 10 4 4 8" xfId="15225"/>
    <cellStyle name="asd 10 4 4 9" xfId="17783"/>
    <cellStyle name="asd 10 4 5" xfId="5674"/>
    <cellStyle name="asd 10 4 5 10" xfId="21924"/>
    <cellStyle name="asd 10 4 5 11" xfId="22489"/>
    <cellStyle name="asd 10 4 5 12" xfId="25726"/>
    <cellStyle name="asd 10 4 5 13" xfId="26281"/>
    <cellStyle name="asd 10 4 5 14" xfId="29175"/>
    <cellStyle name="asd 10 4 5 15" xfId="29890"/>
    <cellStyle name="asd 10 4 5 16" xfId="32155"/>
    <cellStyle name="asd 10 4 5 17" xfId="33451"/>
    <cellStyle name="asd 10 4 5 18" xfId="36553"/>
    <cellStyle name="asd 10 4 5 19" xfId="38432"/>
    <cellStyle name="asd 10 4 5 2" xfId="7123"/>
    <cellStyle name="asd 10 4 5 20" xfId="39378"/>
    <cellStyle name="asd 10 4 5 21" xfId="41054"/>
    <cellStyle name="asd 10 4 5 22" xfId="42299"/>
    <cellStyle name="asd 10 4 5 3" xfId="8577"/>
    <cellStyle name="asd 10 4 5 4" xfId="10487"/>
    <cellStyle name="asd 10 4 5 5" xfId="11839"/>
    <cellStyle name="asd 10 4 5 6" xfId="12957"/>
    <cellStyle name="asd 10 4 5 7" xfId="14861"/>
    <cellStyle name="asd 10 4 5 8" xfId="18106"/>
    <cellStyle name="asd 10 4 5 9" xfId="20012"/>
    <cellStyle name="asd 10 4 6" xfId="5325"/>
    <cellStyle name="asd 10 4 7" xfId="9174"/>
    <cellStyle name="asd 10 4 8" xfId="11336"/>
    <cellStyle name="asd 10 4 9" xfId="13370"/>
    <cellStyle name="asd 10 5" xfId="2142"/>
    <cellStyle name="asd 10 5 10" xfId="17118"/>
    <cellStyle name="asd 10 5 11" xfId="19024"/>
    <cellStyle name="asd 10 5 12" xfId="20936"/>
    <cellStyle name="asd 10 5 13" xfId="22539"/>
    <cellStyle name="asd 10 5 14" xfId="24738"/>
    <cellStyle name="asd 10 5 15" xfId="26533"/>
    <cellStyle name="asd 10 5 16" xfId="18493"/>
    <cellStyle name="asd 10 5 17" xfId="30139"/>
    <cellStyle name="asd 10 5 18" xfId="33105"/>
    <cellStyle name="asd 10 5 19" xfId="33856"/>
    <cellStyle name="asd 10 5 2" xfId="5664"/>
    <cellStyle name="asd 10 5 2 10" xfId="21914"/>
    <cellStyle name="asd 10 5 2 11" xfId="23342"/>
    <cellStyle name="asd 10 5 2 12" xfId="25716"/>
    <cellStyle name="asd 10 5 2 13" xfId="27788"/>
    <cellStyle name="asd 10 5 2 14" xfId="28576"/>
    <cellStyle name="asd 10 5 2 15" xfId="31365"/>
    <cellStyle name="asd 10 5 2 16" xfId="32423"/>
    <cellStyle name="asd 10 5 2 17" xfId="33997"/>
    <cellStyle name="asd 10 5 2 18" xfId="36543"/>
    <cellStyle name="asd 10 5 2 19" xfId="38422"/>
    <cellStyle name="asd 10 5 2 2" xfId="7113"/>
    <cellStyle name="asd 10 5 2 20" xfId="39640"/>
    <cellStyle name="asd 10 5 2 21" xfId="41314"/>
    <cellStyle name="asd 10 5 2 22" xfId="43112"/>
    <cellStyle name="asd 10 5 2 3" xfId="8567"/>
    <cellStyle name="asd 10 5 2 4" xfId="10477"/>
    <cellStyle name="asd 10 5 2 5" xfId="11141"/>
    <cellStyle name="asd 10 5 2 6" xfId="13814"/>
    <cellStyle name="asd 10 5 2 7" xfId="15716"/>
    <cellStyle name="asd 10 5 2 8" xfId="18096"/>
    <cellStyle name="asd 10 5 2 9" xfId="20002"/>
    <cellStyle name="asd 10 5 20" xfId="35565"/>
    <cellStyle name="asd 10 5 21" xfId="37444"/>
    <cellStyle name="asd 10 5 22" xfId="40300"/>
    <cellStyle name="asd 10 5 23" xfId="41956"/>
    <cellStyle name="asd 10 5 24" xfId="42348"/>
    <cellStyle name="asd 10 5 3" xfId="4690"/>
    <cellStyle name="asd 10 5 4" xfId="6138"/>
    <cellStyle name="asd 10 5 5" xfId="7589"/>
    <cellStyle name="asd 10 5 6" xfId="9499"/>
    <cellStyle name="asd 10 5 7" xfId="4166"/>
    <cellStyle name="asd 10 5 8" xfId="13007"/>
    <cellStyle name="asd 10 5 9" xfId="14911"/>
    <cellStyle name="asd 10 6" xfId="2264"/>
    <cellStyle name="asd 10 6 10" xfId="19044"/>
    <cellStyle name="asd 10 6 11" xfId="20956"/>
    <cellStyle name="asd 10 6 12" xfId="23942"/>
    <cellStyle name="asd 10 6 13" xfId="24758"/>
    <cellStyle name="asd 10 6 14" xfId="26597"/>
    <cellStyle name="asd 10 6 15" xfId="28240"/>
    <cellStyle name="asd 10 6 16" xfId="30199"/>
    <cellStyle name="asd 10 6 17" xfId="32627"/>
    <cellStyle name="asd 10 6 18" xfId="33696"/>
    <cellStyle name="asd 10 6 19" xfId="35585"/>
    <cellStyle name="asd 10 6 2" xfId="5714"/>
    <cellStyle name="asd 10 6 2 10" xfId="21964"/>
    <cellStyle name="asd 10 6 2 11" xfId="23005"/>
    <cellStyle name="asd 10 6 2 12" xfId="25766"/>
    <cellStyle name="asd 10 6 2 13" xfId="26339"/>
    <cellStyle name="asd 10 6 2 14" xfId="29010"/>
    <cellStyle name="asd 10 6 2 15" xfId="29947"/>
    <cellStyle name="asd 10 6 2 16" xfId="32621"/>
    <cellStyle name="asd 10 6 2 17" xfId="34400"/>
    <cellStyle name="asd 10 6 2 18" xfId="36593"/>
    <cellStyle name="asd 10 6 2 19" xfId="38472"/>
    <cellStyle name="asd 10 6 2 2" xfId="7163"/>
    <cellStyle name="asd 10 6 2 20" xfId="39831"/>
    <cellStyle name="asd 10 6 2 21" xfId="41500"/>
    <cellStyle name="asd 10 6 2 22" xfId="42789"/>
    <cellStyle name="asd 10 6 2 3" xfId="8617"/>
    <cellStyle name="asd 10 6 2 4" xfId="10527"/>
    <cellStyle name="asd 10 6 2 5" xfId="12319"/>
    <cellStyle name="asd 10 6 2 6" xfId="13475"/>
    <cellStyle name="asd 10 6 2 7" xfId="15380"/>
    <cellStyle name="asd 10 6 2 8" xfId="18146"/>
    <cellStyle name="asd 10 6 2 9" xfId="20052"/>
    <cellStyle name="asd 10 6 20" xfId="37464"/>
    <cellStyle name="asd 10 6 21" xfId="39837"/>
    <cellStyle name="asd 10 6 22" xfId="41506"/>
    <cellStyle name="asd 10 6 23" xfId="43688"/>
    <cellStyle name="asd 10 6 3" xfId="4710"/>
    <cellStyle name="asd 10 6 4" xfId="7609"/>
    <cellStyle name="asd 10 6 5" xfId="9519"/>
    <cellStyle name="asd 10 6 6" xfId="11902"/>
    <cellStyle name="asd 10 6 7" xfId="14412"/>
    <cellStyle name="asd 10 6 8" xfId="16318"/>
    <cellStyle name="asd 10 6 9" xfId="17138"/>
    <cellStyle name="asd 10 7" xfId="3096"/>
    <cellStyle name="asd 10 7 10" xfId="19154"/>
    <cellStyle name="asd 10 7 11" xfId="21066"/>
    <cellStyle name="asd 10 7 12" xfId="22615"/>
    <cellStyle name="asd 10 7 13" xfId="24868"/>
    <cellStyle name="asd 10 7 14" xfId="26189"/>
    <cellStyle name="asd 10 7 15" xfId="29688"/>
    <cellStyle name="asd 10 7 16" xfId="29802"/>
    <cellStyle name="asd 10 7 17" xfId="32884"/>
    <cellStyle name="asd 10 7 18" xfId="34558"/>
    <cellStyle name="asd 10 7 19" xfId="35695"/>
    <cellStyle name="asd 10 7 2" xfId="4240"/>
    <cellStyle name="asd 10 7 2 10" xfId="20587"/>
    <cellStyle name="asd 10 7 2 11" xfId="23687"/>
    <cellStyle name="asd 10 7 2 12" xfId="24389"/>
    <cellStyle name="asd 10 7 2 13" xfId="27909"/>
    <cellStyle name="asd 10 7 2 14" xfId="29025"/>
    <cellStyle name="asd 10 7 2 15" xfId="31491"/>
    <cellStyle name="asd 10 7 2 16" xfId="32252"/>
    <cellStyle name="asd 10 7 2 17" xfId="34568"/>
    <cellStyle name="asd 10 7 2 18" xfId="35217"/>
    <cellStyle name="asd 10 7 2 19" xfId="37095"/>
    <cellStyle name="asd 10 7 2 2" xfId="5379"/>
    <cellStyle name="asd 10 7 2 20" xfId="39470"/>
    <cellStyle name="asd 10 7 2 21" xfId="41145"/>
    <cellStyle name="asd 10 7 2 22" xfId="43444"/>
    <cellStyle name="asd 10 7 2 3" xfId="6639"/>
    <cellStyle name="asd 10 7 2 4" xfId="9149"/>
    <cellStyle name="asd 10 7 2 5" xfId="11798"/>
    <cellStyle name="asd 10 7 2 6" xfId="14157"/>
    <cellStyle name="asd 10 7 2 7" xfId="16061"/>
    <cellStyle name="asd 10 7 2 8" xfId="16768"/>
    <cellStyle name="asd 10 7 2 9" xfId="18675"/>
    <cellStyle name="asd 10 7 20" xfId="37574"/>
    <cellStyle name="asd 10 7 21" xfId="40089"/>
    <cellStyle name="asd 10 7 22" xfId="41752"/>
    <cellStyle name="asd 10 7 23" xfId="42421"/>
    <cellStyle name="asd 10 7 3" xfId="6268"/>
    <cellStyle name="asd 10 7 4" xfId="7719"/>
    <cellStyle name="asd 10 7 5" xfId="9629"/>
    <cellStyle name="asd 10 7 6" xfId="11806"/>
    <cellStyle name="asd 10 7 7" xfId="13082"/>
    <cellStyle name="asd 10 7 8" xfId="14987"/>
    <cellStyle name="asd 10 7 9" xfId="17248"/>
    <cellStyle name="asd 10 8" xfId="2433"/>
    <cellStyle name="asd 10 9" xfId="2381"/>
    <cellStyle name="asd 11" xfId="753"/>
    <cellStyle name="asd 11 10" xfId="2960"/>
    <cellStyle name="asd 11 11" xfId="2659"/>
    <cellStyle name="asd 11 12" xfId="2178"/>
    <cellStyle name="asd 11 13" xfId="2660"/>
    <cellStyle name="asd 11 14" xfId="4188"/>
    <cellStyle name="asd 11 15" xfId="4206"/>
    <cellStyle name="asd 11 16" xfId="2903"/>
    <cellStyle name="asd 11 17" xfId="2103"/>
    <cellStyle name="asd 11 18" xfId="2254"/>
    <cellStyle name="asd 11 19" xfId="15950"/>
    <cellStyle name="asd 11 2" xfId="3352"/>
    <cellStyle name="asd 11 2 10" xfId="2712"/>
    <cellStyle name="asd 11 2 11" xfId="2074"/>
    <cellStyle name="asd 11 2 12" xfId="16632"/>
    <cellStyle name="asd 11 2 13" xfId="18539"/>
    <cellStyle name="asd 11 2 14" xfId="20451"/>
    <cellStyle name="asd 11 2 15" xfId="4278"/>
    <cellStyle name="asd 11 2 16" xfId="24253"/>
    <cellStyle name="asd 11 2 17" xfId="14701"/>
    <cellStyle name="asd 11 2 18" xfId="27326"/>
    <cellStyle name="asd 11 2 19" xfId="23722"/>
    <cellStyle name="asd 11 2 2" xfId="3532"/>
    <cellStyle name="asd 11 2 2 10" xfId="17423"/>
    <cellStyle name="asd 11 2 2 11" xfId="19329"/>
    <cellStyle name="asd 11 2 2 12" xfId="21241"/>
    <cellStyle name="asd 11 2 2 13" xfId="23790"/>
    <cellStyle name="asd 11 2 2 14" xfId="25043"/>
    <cellStyle name="asd 11 2 2 15" xfId="26824"/>
    <cellStyle name="asd 11 2 2 16" xfId="29224"/>
    <cellStyle name="asd 11 2 2 17" xfId="30422"/>
    <cellStyle name="asd 11 2 2 18" xfId="33280"/>
    <cellStyle name="asd 11 2 2 19" xfId="34911"/>
    <cellStyle name="asd 11 2 2 2" xfId="5512"/>
    <cellStyle name="asd 11 2 2 2 10" xfId="21762"/>
    <cellStyle name="asd 11 2 2 2 11" xfId="2524"/>
    <cellStyle name="asd 11 2 2 2 12" xfId="25564"/>
    <cellStyle name="asd 11 2 2 2 13" xfId="22326"/>
    <cellStyle name="asd 11 2 2 2 14" xfId="24223"/>
    <cellStyle name="asd 11 2 2 2 15" xfId="2007"/>
    <cellStyle name="asd 11 2 2 2 16" xfId="29314"/>
    <cellStyle name="asd 11 2 2 2 17" xfId="23981"/>
    <cellStyle name="asd 11 2 2 2 18" xfId="36391"/>
    <cellStyle name="asd 11 2 2 2 19" xfId="38270"/>
    <cellStyle name="asd 11 2 2 2 2" xfId="6961"/>
    <cellStyle name="asd 11 2 2 2 20" xfId="2271"/>
    <cellStyle name="asd 11 2 2 2 21" xfId="3224"/>
    <cellStyle name="asd 11 2 2 2 22" xfId="30242"/>
    <cellStyle name="asd 11 2 2 2 3" xfId="8415"/>
    <cellStyle name="asd 11 2 2 2 4" xfId="10325"/>
    <cellStyle name="asd 11 2 2 2 5" xfId="12339"/>
    <cellStyle name="asd 11 2 2 2 6" xfId="2664"/>
    <cellStyle name="asd 11 2 2 2 7" xfId="3297"/>
    <cellStyle name="asd 11 2 2 2 8" xfId="17944"/>
    <cellStyle name="asd 11 2 2 2 9" xfId="19850"/>
    <cellStyle name="asd 11 2 2 20" xfId="35870"/>
    <cellStyle name="asd 11 2 2 21" xfId="37749"/>
    <cellStyle name="asd 11 2 2 22" xfId="40465"/>
    <cellStyle name="asd 11 2 2 23" xfId="42120"/>
    <cellStyle name="asd 11 2 2 24" xfId="43543"/>
    <cellStyle name="asd 11 2 2 3" xfId="4993"/>
    <cellStyle name="asd 11 2 2 4" xfId="6443"/>
    <cellStyle name="asd 11 2 2 5" xfId="7894"/>
    <cellStyle name="asd 11 2 2 6" xfId="9804"/>
    <cellStyle name="asd 11 2 2 7" xfId="12617"/>
    <cellStyle name="asd 11 2 2 8" xfId="14260"/>
    <cellStyle name="asd 11 2 2 9" xfId="16164"/>
    <cellStyle name="asd 11 2 20" xfId="26148"/>
    <cellStyle name="asd 11 2 21" xfId="28988"/>
    <cellStyle name="asd 11 2 22" xfId="35081"/>
    <cellStyle name="asd 11 2 23" xfId="36959"/>
    <cellStyle name="asd 11 2 24" xfId="18505"/>
    <cellStyle name="asd 11 2 25" xfId="2429"/>
    <cellStyle name="asd 11 2 26" xfId="39765"/>
    <cellStyle name="asd 11 2 3" xfId="3768"/>
    <cellStyle name="asd 11 2 3 10" xfId="19511"/>
    <cellStyle name="asd 11 2 3 11" xfId="21423"/>
    <cellStyle name="asd 11 2 3 12" xfId="23672"/>
    <cellStyle name="asd 11 2 3 13" xfId="25225"/>
    <cellStyle name="asd 11 2 3 14" xfId="27119"/>
    <cellStyle name="asd 11 2 3 15" xfId="28186"/>
    <cellStyle name="asd 11 2 3 16" xfId="30710"/>
    <cellStyle name="asd 11 2 3 17" xfId="32658"/>
    <cellStyle name="asd 11 2 3 18" xfId="34046"/>
    <cellStyle name="asd 11 2 3 19" xfId="36052"/>
    <cellStyle name="asd 11 2 3 2" xfId="5781"/>
    <cellStyle name="asd 11 2 3 2 10" xfId="22031"/>
    <cellStyle name="asd 11 2 3 2 11" xfId="22430"/>
    <cellStyle name="asd 11 2 3 2 12" xfId="25833"/>
    <cellStyle name="asd 11 2 3 2 13" xfId="26366"/>
    <cellStyle name="asd 11 2 3 2 14" xfId="28189"/>
    <cellStyle name="asd 11 2 3 2 15" xfId="29974"/>
    <cellStyle name="asd 11 2 3 2 16" xfId="33013"/>
    <cellStyle name="asd 11 2 3 2 17" xfId="33872"/>
    <cellStyle name="asd 11 2 3 2 18" xfId="36660"/>
    <cellStyle name="asd 11 2 3 2 19" xfId="38539"/>
    <cellStyle name="asd 11 2 3 2 2" xfId="7230"/>
    <cellStyle name="asd 11 2 3 2 20" xfId="40213"/>
    <cellStyle name="asd 11 2 3 2 21" xfId="41872"/>
    <cellStyle name="asd 11 2 3 2 22" xfId="42241"/>
    <cellStyle name="asd 11 2 3 2 3" xfId="8684"/>
    <cellStyle name="asd 11 2 3 2 4" xfId="10594"/>
    <cellStyle name="asd 11 2 3 2 5" xfId="11537"/>
    <cellStyle name="asd 11 2 3 2 6" xfId="12898"/>
    <cellStyle name="asd 11 2 3 2 7" xfId="14803"/>
    <cellStyle name="asd 11 2 3 2 8" xfId="18213"/>
    <cellStyle name="asd 11 2 3 2 9" xfId="20119"/>
    <cellStyle name="asd 11 2 3 20" xfId="37931"/>
    <cellStyle name="asd 11 2 3 21" xfId="39865"/>
    <cellStyle name="asd 11 2 3 22" xfId="41534"/>
    <cellStyle name="asd 11 2 3 23" xfId="43430"/>
    <cellStyle name="asd 11 2 3 3" xfId="5175"/>
    <cellStyle name="asd 11 2 3 4" xfId="8076"/>
    <cellStyle name="asd 11 2 3 5" xfId="9986"/>
    <cellStyle name="asd 11 2 3 6" xfId="11615"/>
    <cellStyle name="asd 11 2 3 7" xfId="14143"/>
    <cellStyle name="asd 11 2 3 8" xfId="16046"/>
    <cellStyle name="asd 11 2 3 9" xfId="17605"/>
    <cellStyle name="asd 11 2 4" xfId="3984"/>
    <cellStyle name="asd 11 2 4 10" xfId="19619"/>
    <cellStyle name="asd 11 2 4 11" xfId="21531"/>
    <cellStyle name="asd 11 2 4 12" xfId="20448"/>
    <cellStyle name="asd 11 2 4 13" xfId="25333"/>
    <cellStyle name="asd 11 2 4 14" xfId="20425"/>
    <cellStyle name="asd 11 2 4 15" xfId="28855"/>
    <cellStyle name="asd 11 2 4 16" xfId="29189"/>
    <cellStyle name="asd 11 2 4 17" xfId="2564"/>
    <cellStyle name="asd 11 2 4 18" xfId="2054"/>
    <cellStyle name="asd 11 2 4 19" xfId="36160"/>
    <cellStyle name="asd 11 2 4 2" xfId="5889"/>
    <cellStyle name="asd 11 2 4 2 10" xfId="22139"/>
    <cellStyle name="asd 11 2 4 2 11" xfId="22659"/>
    <cellStyle name="asd 11 2 4 2 12" xfId="25941"/>
    <cellStyle name="asd 11 2 4 2 13" xfId="27524"/>
    <cellStyle name="asd 11 2 4 2 14" xfId="28239"/>
    <cellStyle name="asd 11 2 4 2 15" xfId="31106"/>
    <cellStyle name="asd 11 2 4 2 16" xfId="31978"/>
    <cellStyle name="asd 11 2 4 2 17" xfId="34017"/>
    <cellStyle name="asd 11 2 4 2 18" xfId="36768"/>
    <cellStyle name="asd 11 2 4 2 19" xfId="38647"/>
    <cellStyle name="asd 11 2 4 2 2" xfId="7338"/>
    <cellStyle name="asd 11 2 4 2 20" xfId="39208"/>
    <cellStyle name="asd 11 2 4 2 21" xfId="40889"/>
    <cellStyle name="asd 11 2 4 2 22" xfId="42465"/>
    <cellStyle name="asd 11 2 4 2 3" xfId="8792"/>
    <cellStyle name="asd 11 2 4 2 4" xfId="10702"/>
    <cellStyle name="asd 11 2 4 2 5" xfId="12289"/>
    <cellStyle name="asd 11 2 4 2 6" xfId="13126"/>
    <cellStyle name="asd 11 2 4 2 7" xfId="15031"/>
    <cellStyle name="asd 11 2 4 2 8" xfId="18321"/>
    <cellStyle name="asd 11 2 4 2 9" xfId="20227"/>
    <cellStyle name="asd 11 2 4 20" xfId="38039"/>
    <cellStyle name="asd 11 2 4 21" xfId="28533"/>
    <cellStyle name="asd 11 2 4 22" xfId="36941"/>
    <cellStyle name="asd 11 2 4 23" xfId="35066"/>
    <cellStyle name="asd 11 2 4 3" xfId="6730"/>
    <cellStyle name="asd 11 2 4 4" xfId="8184"/>
    <cellStyle name="asd 11 2 4 5" xfId="10094"/>
    <cellStyle name="asd 11 2 4 6" xfId="12409"/>
    <cellStyle name="asd 11 2 4 7" xfId="2558"/>
    <cellStyle name="asd 11 2 4 8" xfId="5395"/>
    <cellStyle name="asd 11 2 4 9" xfId="17713"/>
    <cellStyle name="asd 11 2 5" xfId="4867"/>
    <cellStyle name="asd 11 2 5 10" xfId="21115"/>
    <cellStyle name="asd 11 2 5 11" xfId="23196"/>
    <cellStyle name="asd 11 2 5 12" xfId="24917"/>
    <cellStyle name="asd 11 2 5 13" xfId="27213"/>
    <cellStyle name="asd 11 2 5 14" xfId="22321"/>
    <cellStyle name="asd 11 2 5 15" xfId="30804"/>
    <cellStyle name="asd 11 2 5 16" xfId="32666"/>
    <cellStyle name="asd 11 2 5 17" xfId="34700"/>
    <cellStyle name="asd 11 2 5 18" xfId="35744"/>
    <cellStyle name="asd 11 2 5 19" xfId="37623"/>
    <cellStyle name="asd 11 2 5 2" xfId="6317"/>
    <cellStyle name="asd 11 2 5 20" xfId="39873"/>
    <cellStyle name="asd 11 2 5 21" xfId="41542"/>
    <cellStyle name="asd 11 2 5 22" xfId="42974"/>
    <cellStyle name="asd 11 2 5 3" xfId="7768"/>
    <cellStyle name="asd 11 2 5 4" xfId="9678"/>
    <cellStyle name="asd 11 2 5 5" xfId="11051"/>
    <cellStyle name="asd 11 2 5 6" xfId="13668"/>
    <cellStyle name="asd 11 2 5 7" xfId="15570"/>
    <cellStyle name="asd 11 2 5 8" xfId="17297"/>
    <cellStyle name="asd 11 2 5 9" xfId="19203"/>
    <cellStyle name="asd 11 2 6" xfId="5474"/>
    <cellStyle name="asd 11 2 6 10" xfId="21724"/>
    <cellStyle name="asd 11 2 6 11" xfId="24033"/>
    <cellStyle name="asd 11 2 6 12" xfId="25526"/>
    <cellStyle name="asd 11 2 6 13" xfId="26526"/>
    <cellStyle name="asd 11 2 6 14" xfId="29117"/>
    <cellStyle name="asd 11 2 6 15" xfId="30132"/>
    <cellStyle name="asd 11 2 6 16" xfId="31788"/>
    <cellStyle name="asd 11 2 6 17" xfId="33443"/>
    <cellStyle name="asd 11 2 6 18" xfId="36353"/>
    <cellStyle name="asd 11 2 6 19" xfId="38232"/>
    <cellStyle name="asd 11 2 6 2" xfId="6923"/>
    <cellStyle name="asd 11 2 6 20" xfId="39027"/>
    <cellStyle name="asd 11 2 6 21" xfId="40709"/>
    <cellStyle name="asd 11 2 6 22" xfId="43777"/>
    <cellStyle name="asd 11 2 6 3" xfId="8377"/>
    <cellStyle name="asd 11 2 6 4" xfId="10287"/>
    <cellStyle name="asd 11 2 6 5" xfId="11992"/>
    <cellStyle name="asd 11 2 6 6" xfId="14503"/>
    <cellStyle name="asd 11 2 6 7" xfId="16409"/>
    <cellStyle name="asd 11 2 6 8" xfId="17906"/>
    <cellStyle name="asd 11 2 6 9" xfId="19812"/>
    <cellStyle name="asd 11 2 7" xfId="6720"/>
    <cellStyle name="asd 11 2 8" xfId="9013"/>
    <cellStyle name="asd 11 2 9" xfId="2472"/>
    <cellStyle name="asd 11 20" xfId="12786"/>
    <cellStyle name="asd 11 21" xfId="31086"/>
    <cellStyle name="asd 11 22" xfId="24228"/>
    <cellStyle name="asd 11 23" xfId="9009"/>
    <cellStyle name="asd 11 24" xfId="28327"/>
    <cellStyle name="asd 11 25" xfId="34900"/>
    <cellStyle name="asd 11 26" xfId="39209"/>
    <cellStyle name="asd 11 27" xfId="41268"/>
    <cellStyle name="asd 11 3" xfId="3395"/>
    <cellStyle name="asd 11 3 10" xfId="14670"/>
    <cellStyle name="asd 11 3 11" xfId="16576"/>
    <cellStyle name="asd 11 3 12" xfId="16731"/>
    <cellStyle name="asd 11 3 13" xfId="18638"/>
    <cellStyle name="asd 11 3 14" xfId="20550"/>
    <cellStyle name="asd 11 3 15" xfId="24198"/>
    <cellStyle name="asd 11 3 16" xfId="24352"/>
    <cellStyle name="asd 11 3 17" xfId="16618"/>
    <cellStyle name="asd 11 3 18" xfId="28623"/>
    <cellStyle name="asd 11 3 19" xfId="28724"/>
    <cellStyle name="asd 11 3 2" xfId="3575"/>
    <cellStyle name="asd 11 3 2 10" xfId="17466"/>
    <cellStyle name="asd 11 3 2 11" xfId="19372"/>
    <cellStyle name="asd 11 3 2 12" xfId="21284"/>
    <cellStyle name="asd 11 3 2 13" xfId="24168"/>
    <cellStyle name="asd 11 3 2 14" xfId="25086"/>
    <cellStyle name="asd 11 3 2 15" xfId="26906"/>
    <cellStyle name="asd 11 3 2 16" xfId="14681"/>
    <cellStyle name="asd 11 3 2 17" xfId="30502"/>
    <cellStyle name="asd 11 3 2 18" xfId="33102"/>
    <cellStyle name="asd 11 3 2 19" xfId="34717"/>
    <cellStyle name="asd 11 3 2 2" xfId="5624"/>
    <cellStyle name="asd 11 3 2 2 10" xfId="21874"/>
    <cellStyle name="asd 11 3 2 2 11" xfId="23200"/>
    <cellStyle name="asd 11 3 2 2 12" xfId="25676"/>
    <cellStyle name="asd 11 3 2 2 13" xfId="13759"/>
    <cellStyle name="asd 11 3 2 2 14" xfId="2911"/>
    <cellStyle name="asd 11 3 2 2 15" xfId="4155"/>
    <cellStyle name="asd 11 3 2 2 16" xfId="2724"/>
    <cellStyle name="asd 11 3 2 2 17" xfId="29816"/>
    <cellStyle name="asd 11 3 2 2 18" xfId="36503"/>
    <cellStyle name="asd 11 3 2 2 19" xfId="38382"/>
    <cellStyle name="asd 11 3 2 2 2" xfId="7073"/>
    <cellStyle name="asd 11 3 2 2 20" xfId="28489"/>
    <cellStyle name="asd 11 3 2 2 21" xfId="27051"/>
    <cellStyle name="asd 11 3 2 2 22" xfId="42978"/>
    <cellStyle name="asd 11 3 2 2 3" xfId="8527"/>
    <cellStyle name="asd 11 3 2 2 4" xfId="10437"/>
    <cellStyle name="asd 11 3 2 2 5" xfId="11065"/>
    <cellStyle name="asd 11 3 2 2 6" xfId="13672"/>
    <cellStyle name="asd 11 3 2 2 7" xfId="15574"/>
    <cellStyle name="asd 11 3 2 2 8" xfId="18056"/>
    <cellStyle name="asd 11 3 2 2 9" xfId="19962"/>
    <cellStyle name="asd 11 3 2 20" xfId="35913"/>
    <cellStyle name="asd 11 3 2 21" xfId="37792"/>
    <cellStyle name="asd 11 3 2 22" xfId="40298"/>
    <cellStyle name="asd 11 3 2 23" xfId="41954"/>
    <cellStyle name="asd 11 3 2 24" xfId="43910"/>
    <cellStyle name="asd 11 3 2 3" xfId="5036"/>
    <cellStyle name="asd 11 3 2 4" xfId="6486"/>
    <cellStyle name="asd 11 3 2 5" xfId="7937"/>
    <cellStyle name="asd 11 3 2 6" xfId="9847"/>
    <cellStyle name="asd 11 3 2 7" xfId="12128"/>
    <cellStyle name="asd 11 3 2 8" xfId="14639"/>
    <cellStyle name="asd 11 3 2 9" xfId="16545"/>
    <cellStyle name="asd 11 3 20" xfId="29635"/>
    <cellStyle name="asd 11 3 21" xfId="2680"/>
    <cellStyle name="asd 11 3 22" xfId="35180"/>
    <cellStyle name="asd 11 3 23" xfId="37058"/>
    <cellStyle name="asd 11 3 24" xfId="3336"/>
    <cellStyle name="asd 11 3 25" xfId="29137"/>
    <cellStyle name="asd 11 3 26" xfId="43936"/>
    <cellStyle name="asd 11 3 3" xfId="3118"/>
    <cellStyle name="asd 11 3 3 10" xfId="19159"/>
    <cellStyle name="asd 11 3 3 11" xfId="21071"/>
    <cellStyle name="asd 11 3 3 12" xfId="22855"/>
    <cellStyle name="asd 11 3 3 13" xfId="24873"/>
    <cellStyle name="asd 11 3 3 14" xfId="26193"/>
    <cellStyle name="asd 11 3 3 15" xfId="28579"/>
    <cellStyle name="asd 11 3 3 16" xfId="29806"/>
    <cellStyle name="asd 11 3 3 17" xfId="31599"/>
    <cellStyle name="asd 11 3 3 18" xfId="34577"/>
    <cellStyle name="asd 11 3 3 19" xfId="35700"/>
    <cellStyle name="asd 11 3 3 2" xfId="5461"/>
    <cellStyle name="asd 11 3 3 2 10" xfId="21711"/>
    <cellStyle name="asd 11 3 3 2 11" xfId="22588"/>
    <cellStyle name="asd 11 3 3 2 12" xfId="25513"/>
    <cellStyle name="asd 11 3 3 2 13" xfId="27600"/>
    <cellStyle name="asd 11 3 3 2 14" xfId="28828"/>
    <cellStyle name="asd 11 3 3 2 15" xfId="31178"/>
    <cellStyle name="asd 11 3 3 2 16" xfId="32770"/>
    <cellStyle name="asd 11 3 3 2 17" xfId="33804"/>
    <cellStyle name="asd 11 3 3 2 18" xfId="36340"/>
    <cellStyle name="asd 11 3 3 2 19" xfId="38219"/>
    <cellStyle name="asd 11 3 3 2 2" xfId="6910"/>
    <cellStyle name="asd 11 3 3 2 20" xfId="39979"/>
    <cellStyle name="asd 11 3 3 2 21" xfId="41643"/>
    <cellStyle name="asd 11 3 3 2 22" xfId="42397"/>
    <cellStyle name="asd 11 3 3 2 3" xfId="8364"/>
    <cellStyle name="asd 11 3 3 2 4" xfId="10274"/>
    <cellStyle name="asd 11 3 3 2 5" xfId="11619"/>
    <cellStyle name="asd 11 3 3 2 6" xfId="13056"/>
    <cellStyle name="asd 11 3 3 2 7" xfId="14960"/>
    <cellStyle name="asd 11 3 3 2 8" xfId="17893"/>
    <cellStyle name="asd 11 3 3 2 9" xfId="19799"/>
    <cellStyle name="asd 11 3 3 20" xfId="37579"/>
    <cellStyle name="asd 11 3 3 21" xfId="38846"/>
    <cellStyle name="asd 11 3 3 22" xfId="40532"/>
    <cellStyle name="asd 11 3 3 23" xfId="42645"/>
    <cellStyle name="asd 11 3 3 3" xfId="4823"/>
    <cellStyle name="asd 11 3 3 4" xfId="7724"/>
    <cellStyle name="asd 11 3 3 5" xfId="9634"/>
    <cellStyle name="asd 11 3 3 6" xfId="12295"/>
    <cellStyle name="asd 11 3 3 7" xfId="13324"/>
    <cellStyle name="asd 11 3 3 8" xfId="15228"/>
    <cellStyle name="asd 11 3 3 9" xfId="17253"/>
    <cellStyle name="asd 11 3 4" xfId="4027"/>
    <cellStyle name="asd 11 3 4 10" xfId="19662"/>
    <cellStyle name="asd 11 3 4 11" xfId="21574"/>
    <cellStyle name="asd 11 3 4 12" xfId="24026"/>
    <cellStyle name="asd 11 3 4 13" xfId="25376"/>
    <cellStyle name="asd 11 3 4 14" xfId="27550"/>
    <cellStyle name="asd 11 3 4 15" xfId="28409"/>
    <cellStyle name="asd 11 3 4 16" xfId="31131"/>
    <cellStyle name="asd 11 3 4 17" xfId="31713"/>
    <cellStyle name="asd 11 3 4 18" xfId="34634"/>
    <cellStyle name="asd 11 3 4 19" xfId="36203"/>
    <cellStyle name="asd 11 3 4 2" xfId="5932"/>
    <cellStyle name="asd 11 3 4 2 10" xfId="22182"/>
    <cellStyle name="asd 11 3 4 2 11" xfId="23862"/>
    <cellStyle name="asd 11 3 4 2 12" xfId="25984"/>
    <cellStyle name="asd 11 3 4 2 13" xfId="26465"/>
    <cellStyle name="asd 11 3 4 2 14" xfId="29105"/>
    <cellStyle name="asd 11 3 4 2 15" xfId="30070"/>
    <cellStyle name="asd 11 3 4 2 16" xfId="31783"/>
    <cellStyle name="asd 11 3 4 2 17" xfId="34390"/>
    <cellStyle name="asd 11 3 4 2 18" xfId="36811"/>
    <cellStyle name="asd 11 3 4 2 19" xfId="38690"/>
    <cellStyle name="asd 11 3 4 2 2" xfId="7381"/>
    <cellStyle name="asd 11 3 4 2 20" xfId="39022"/>
    <cellStyle name="asd 11 3 4 2 21" xfId="40704"/>
    <cellStyle name="asd 11 3 4 2 22" xfId="43612"/>
    <cellStyle name="asd 11 3 4 2 3" xfId="8835"/>
    <cellStyle name="asd 11 3 4 2 4" xfId="10745"/>
    <cellStyle name="asd 11 3 4 2 5" xfId="11669"/>
    <cellStyle name="asd 11 3 4 2 6" xfId="14332"/>
    <cellStyle name="asd 11 3 4 2 7" xfId="16236"/>
    <cellStyle name="asd 11 3 4 2 8" xfId="18364"/>
    <cellStyle name="asd 11 3 4 2 9" xfId="20270"/>
    <cellStyle name="asd 11 3 4 20" xfId="38082"/>
    <cellStyle name="asd 11 3 4 21" xfId="38954"/>
    <cellStyle name="asd 11 3 4 22" xfId="40637"/>
    <cellStyle name="asd 11 3 4 23" xfId="43770"/>
    <cellStyle name="asd 11 3 4 3" xfId="6773"/>
    <cellStyle name="asd 11 3 4 4" xfId="8227"/>
    <cellStyle name="asd 11 3 4 5" xfId="10137"/>
    <cellStyle name="asd 11 3 4 6" xfId="11985"/>
    <cellStyle name="asd 11 3 4 7" xfId="14496"/>
    <cellStyle name="asd 11 3 4 8" xfId="16402"/>
    <cellStyle name="asd 11 3 4 9" xfId="17756"/>
    <cellStyle name="asd 11 3 5" xfId="4894"/>
    <cellStyle name="asd 11 3 5 10" xfId="21142"/>
    <cellStyle name="asd 11 3 5 11" xfId="23654"/>
    <cellStyle name="asd 11 3 5 12" xfId="24944"/>
    <cellStyle name="asd 11 3 5 13" xfId="26919"/>
    <cellStyle name="asd 11 3 5 14" xfId="29597"/>
    <cellStyle name="asd 11 3 5 15" xfId="30514"/>
    <cellStyle name="asd 11 3 5 16" xfId="31896"/>
    <cellStyle name="asd 11 3 5 17" xfId="34925"/>
    <cellStyle name="asd 11 3 5 18" xfId="35771"/>
    <cellStyle name="asd 11 3 5 19" xfId="37650"/>
    <cellStyle name="asd 11 3 5 2" xfId="6344"/>
    <cellStyle name="asd 11 3 5 20" xfId="39129"/>
    <cellStyle name="asd 11 3 5 21" xfId="40810"/>
    <cellStyle name="asd 11 3 5 22" xfId="43412"/>
    <cellStyle name="asd 11 3 5 3" xfId="7795"/>
    <cellStyle name="asd 11 3 5 4" xfId="9705"/>
    <cellStyle name="asd 11 3 5 5" xfId="12748"/>
    <cellStyle name="asd 11 3 5 6" xfId="14124"/>
    <cellStyle name="asd 11 3 5 7" xfId="16027"/>
    <cellStyle name="asd 11 3 5 8" xfId="17324"/>
    <cellStyle name="asd 11 3 5 9" xfId="19230"/>
    <cellStyle name="asd 11 3 6" xfId="4369"/>
    <cellStyle name="asd 11 3 6 10" xfId="20521"/>
    <cellStyle name="asd 11 3 6 11" xfId="23661"/>
    <cellStyle name="asd 11 3 6 12" xfId="24323"/>
    <cellStyle name="asd 11 3 6 13" xfId="26476"/>
    <cellStyle name="asd 11 3 6 14" xfId="28253"/>
    <cellStyle name="asd 11 3 6 15" xfId="30081"/>
    <cellStyle name="asd 11 3 6 16" xfId="31983"/>
    <cellStyle name="asd 11 3 6 17" xfId="33522"/>
    <cellStyle name="asd 11 3 6 18" xfId="35151"/>
    <cellStyle name="asd 11 3 6 19" xfId="37029"/>
    <cellStyle name="asd 11 3 6 2" xfId="5315"/>
    <cellStyle name="asd 11 3 6 20" xfId="39214"/>
    <cellStyle name="asd 11 3 6 21" xfId="40893"/>
    <cellStyle name="asd 11 3 6 22" xfId="43419"/>
    <cellStyle name="asd 11 3 6 3" xfId="6620"/>
    <cellStyle name="asd 11 3 6 4" xfId="9083"/>
    <cellStyle name="asd 11 3 6 5" xfId="11807"/>
    <cellStyle name="asd 11 3 6 6" xfId="14131"/>
    <cellStyle name="asd 11 3 6 7" xfId="16034"/>
    <cellStyle name="asd 11 3 6 8" xfId="16702"/>
    <cellStyle name="asd 11 3 6 9" xfId="18609"/>
    <cellStyle name="asd 11 3 7" xfId="6237"/>
    <cellStyle name="asd 11 3 8" xfId="9112"/>
    <cellStyle name="asd 11 3 9" xfId="12158"/>
    <cellStyle name="asd 11 4" xfId="3444"/>
    <cellStyle name="asd 11 4 10" xfId="15248"/>
    <cellStyle name="asd 11 4 11" xfId="16828"/>
    <cellStyle name="asd 11 4 12" xfId="18735"/>
    <cellStyle name="asd 11 4 13" xfId="20647"/>
    <cellStyle name="asd 11 4 14" xfId="22875"/>
    <cellStyle name="asd 11 4 15" xfId="24449"/>
    <cellStyle name="asd 11 4 16" xfId="26188"/>
    <cellStyle name="asd 11 4 17" xfId="16459"/>
    <cellStyle name="asd 11 4 18" xfId="29800"/>
    <cellStyle name="asd 11 4 19" xfId="2770"/>
    <cellStyle name="asd 11 4 2" xfId="3624"/>
    <cellStyle name="asd 11 4 2 10" xfId="17515"/>
    <cellStyle name="asd 11 4 2 11" xfId="19421"/>
    <cellStyle name="asd 11 4 2 12" xfId="21333"/>
    <cellStyle name="asd 11 4 2 13" xfId="13150"/>
    <cellStyle name="asd 11 4 2 14" xfId="25135"/>
    <cellStyle name="asd 11 4 2 15" xfId="13072"/>
    <cellStyle name="asd 11 4 2 16" xfId="16598"/>
    <cellStyle name="asd 11 4 2 17" xfId="14281"/>
    <cellStyle name="asd 11 4 2 18" xfId="27739"/>
    <cellStyle name="asd 11 4 2 19" xfId="28014"/>
    <cellStyle name="asd 11 4 2 2" xfId="5465"/>
    <cellStyle name="asd 11 4 2 2 10" xfId="21715"/>
    <cellStyle name="asd 11 4 2 2 11" xfId="23976"/>
    <cellStyle name="asd 11 4 2 2 12" xfId="25517"/>
    <cellStyle name="asd 11 4 2 2 13" xfId="26496"/>
    <cellStyle name="asd 11 4 2 2 14" xfId="29091"/>
    <cellStyle name="asd 11 4 2 2 15" xfId="30101"/>
    <cellStyle name="asd 11 4 2 2 16" xfId="32446"/>
    <cellStyle name="asd 11 4 2 2 17" xfId="34581"/>
    <cellStyle name="asd 11 4 2 2 18" xfId="36344"/>
    <cellStyle name="asd 11 4 2 2 19" xfId="38223"/>
    <cellStyle name="asd 11 4 2 2 2" xfId="6914"/>
    <cellStyle name="asd 11 4 2 2 20" xfId="39663"/>
    <cellStyle name="asd 11 4 2 2 21" xfId="41337"/>
    <cellStyle name="asd 11 4 2 2 22" xfId="43721"/>
    <cellStyle name="asd 11 4 2 2 3" xfId="8368"/>
    <cellStyle name="asd 11 4 2 2 4" xfId="10278"/>
    <cellStyle name="asd 11 4 2 2 5" xfId="11936"/>
    <cellStyle name="asd 11 4 2 2 6" xfId="14446"/>
    <cellStyle name="asd 11 4 2 2 7" xfId="16352"/>
    <cellStyle name="asd 11 4 2 2 8" xfId="17897"/>
    <cellStyle name="asd 11 4 2 2 9" xfId="19803"/>
    <cellStyle name="asd 11 4 2 20" xfId="35962"/>
    <cellStyle name="asd 11 4 2 21" xfId="37841"/>
    <cellStyle name="asd 11 4 2 22" xfId="34958"/>
    <cellStyle name="asd 11 4 2 23" xfId="28288"/>
    <cellStyle name="asd 11 4 2 24" xfId="4287"/>
    <cellStyle name="asd 11 4 2 3" xfId="5085"/>
    <cellStyle name="asd 11 4 2 4" xfId="6535"/>
    <cellStyle name="asd 11 4 2 5" xfId="7986"/>
    <cellStyle name="asd 11 4 2 6" xfId="9896"/>
    <cellStyle name="asd 11 4 2 7" xfId="11607"/>
    <cellStyle name="asd 11 4 2 8" xfId="3946"/>
    <cellStyle name="asd 11 4 2 9" xfId="3152"/>
    <cellStyle name="asd 11 4 20" xfId="32895"/>
    <cellStyle name="asd 11 4 21" xfId="35277"/>
    <cellStyle name="asd 11 4 22" xfId="37155"/>
    <cellStyle name="asd 11 4 23" xfId="15701"/>
    <cellStyle name="asd 11 4 24" xfId="34022"/>
    <cellStyle name="asd 11 4 25" xfId="42662"/>
    <cellStyle name="asd 11 4 3" xfId="3821"/>
    <cellStyle name="asd 11 4 3 10" xfId="19550"/>
    <cellStyle name="asd 11 4 3 11" xfId="21462"/>
    <cellStyle name="asd 11 4 3 12" xfId="23876"/>
    <cellStyle name="asd 11 4 3 13" xfId="25264"/>
    <cellStyle name="asd 11 4 3 14" xfId="27894"/>
    <cellStyle name="asd 11 4 3 15" xfId="28047"/>
    <cellStyle name="asd 11 4 3 16" xfId="31476"/>
    <cellStyle name="asd 11 4 3 17" xfId="31723"/>
    <cellStyle name="asd 11 4 3 18" xfId="34183"/>
    <cellStyle name="asd 11 4 3 19" xfId="36091"/>
    <cellStyle name="asd 11 4 3 2" xfId="5820"/>
    <cellStyle name="asd 11 4 3 2 10" xfId="22070"/>
    <cellStyle name="asd 11 4 3 2 11" xfId="23336"/>
    <cellStyle name="asd 11 4 3 2 12" xfId="25872"/>
    <cellStyle name="asd 11 4 3 2 13" xfId="26715"/>
    <cellStyle name="asd 11 4 3 2 14" xfId="28445"/>
    <cellStyle name="asd 11 4 3 2 15" xfId="30315"/>
    <cellStyle name="asd 11 4 3 2 16" xfId="32819"/>
    <cellStyle name="asd 11 4 3 2 17" xfId="34852"/>
    <cellStyle name="asd 11 4 3 2 18" xfId="36699"/>
    <cellStyle name="asd 11 4 3 2 19" xfId="38578"/>
    <cellStyle name="asd 11 4 3 2 2" xfId="7269"/>
    <cellStyle name="asd 11 4 3 2 20" xfId="40028"/>
    <cellStyle name="asd 11 4 3 2 21" xfId="41692"/>
    <cellStyle name="asd 11 4 3 2 22" xfId="43106"/>
    <cellStyle name="asd 11 4 3 2 3" xfId="8723"/>
    <cellStyle name="asd 11 4 3 2 4" xfId="10633"/>
    <cellStyle name="asd 11 4 3 2 5" xfId="11146"/>
    <cellStyle name="asd 11 4 3 2 6" xfId="13808"/>
    <cellStyle name="asd 11 4 3 2 7" xfId="15710"/>
    <cellStyle name="asd 11 4 3 2 8" xfId="18252"/>
    <cellStyle name="asd 11 4 3 2 9" xfId="20158"/>
    <cellStyle name="asd 11 4 3 20" xfId="37970"/>
    <cellStyle name="asd 11 4 3 21" xfId="38964"/>
    <cellStyle name="asd 11 4 3 22" xfId="40647"/>
    <cellStyle name="asd 11 4 3 23" xfId="43626"/>
    <cellStyle name="asd 11 4 3 3" xfId="5214"/>
    <cellStyle name="asd 11 4 3 4" xfId="8115"/>
    <cellStyle name="asd 11 4 3 5" xfId="10025"/>
    <cellStyle name="asd 11 4 3 6" xfId="11743"/>
    <cellStyle name="asd 11 4 3 7" xfId="14346"/>
    <cellStyle name="asd 11 4 3 8" xfId="16250"/>
    <cellStyle name="asd 11 4 3 9" xfId="17644"/>
    <cellStyle name="asd 11 4 4" xfId="4076"/>
    <cellStyle name="asd 11 4 4 10" xfId="19711"/>
    <cellStyle name="asd 11 4 4 11" xfId="21623"/>
    <cellStyle name="asd 11 4 4 12" xfId="24194"/>
    <cellStyle name="asd 11 4 4 13" xfId="25425"/>
    <cellStyle name="asd 11 4 4 14" xfId="4181"/>
    <cellStyle name="asd 11 4 4 15" xfId="29518"/>
    <cellStyle name="asd 11 4 4 16" xfId="29459"/>
    <cellStyle name="asd 11 4 4 17" xfId="18531"/>
    <cellStyle name="asd 11 4 4 18" xfId="33342"/>
    <cellStyle name="asd 11 4 4 19" xfId="36252"/>
    <cellStyle name="asd 11 4 4 2" xfId="5981"/>
    <cellStyle name="asd 11 4 4 2 10" xfId="22231"/>
    <cellStyle name="asd 11 4 4 2 11" xfId="23809"/>
    <cellStyle name="asd 11 4 4 2 12" xfId="26033"/>
    <cellStyle name="asd 11 4 4 2 13" xfId="26857"/>
    <cellStyle name="asd 11 4 4 2 14" xfId="29242"/>
    <cellStyle name="asd 11 4 4 2 15" xfId="30454"/>
    <cellStyle name="asd 11 4 4 2 16" xfId="33290"/>
    <cellStyle name="asd 11 4 4 2 17" xfId="33826"/>
    <cellStyle name="asd 11 4 4 2 18" xfId="36860"/>
    <cellStyle name="asd 11 4 4 2 19" xfId="38739"/>
    <cellStyle name="asd 11 4 4 2 2" xfId="7430"/>
    <cellStyle name="asd 11 4 4 2 20" xfId="40474"/>
    <cellStyle name="asd 11 4 4 2 21" xfId="42129"/>
    <cellStyle name="asd 11 4 4 2 22" xfId="43561"/>
    <cellStyle name="asd 11 4 4 2 3" xfId="8884"/>
    <cellStyle name="asd 11 4 4 2 4" xfId="10794"/>
    <cellStyle name="asd 11 4 4 2 5" xfId="12690"/>
    <cellStyle name="asd 11 4 4 2 6" xfId="14279"/>
    <cellStyle name="asd 11 4 4 2 7" xfId="16183"/>
    <cellStyle name="asd 11 4 4 2 8" xfId="18413"/>
    <cellStyle name="asd 11 4 4 2 9" xfId="20319"/>
    <cellStyle name="asd 11 4 4 20" xfId="38131"/>
    <cellStyle name="asd 11 4 4 21" xfId="28701"/>
    <cellStyle name="asd 11 4 4 22" xfId="34051"/>
    <cellStyle name="asd 11 4 4 23" xfId="43932"/>
    <cellStyle name="asd 11 4 4 3" xfId="6822"/>
    <cellStyle name="asd 11 4 4 4" xfId="8276"/>
    <cellStyle name="asd 11 4 4 5" xfId="10186"/>
    <cellStyle name="asd 11 4 4 6" xfId="12154"/>
    <cellStyle name="asd 11 4 4 7" xfId="14666"/>
    <cellStyle name="asd 11 4 4 8" xfId="16572"/>
    <cellStyle name="asd 11 4 4 9" xfId="17805"/>
    <cellStyle name="asd 11 4 5" xfId="5660"/>
    <cellStyle name="asd 11 4 5 10" xfId="21910"/>
    <cellStyle name="asd 11 4 5 11" xfId="23062"/>
    <cellStyle name="asd 11 4 5 12" xfId="25712"/>
    <cellStyle name="asd 11 4 5 13" xfId="27930"/>
    <cellStyle name="asd 11 4 5 14" xfId="28723"/>
    <cellStyle name="asd 11 4 5 15" xfId="31511"/>
    <cellStyle name="asd 11 4 5 16" xfId="32072"/>
    <cellStyle name="asd 11 4 5 17" xfId="34827"/>
    <cellStyle name="asd 11 4 5 18" xfId="36539"/>
    <cellStyle name="asd 11 4 5 19" xfId="38418"/>
    <cellStyle name="asd 11 4 5 2" xfId="7109"/>
    <cellStyle name="asd 11 4 5 20" xfId="39297"/>
    <cellStyle name="asd 11 4 5 21" xfId="40973"/>
    <cellStyle name="asd 11 4 5 22" xfId="42845"/>
    <cellStyle name="asd 11 4 5 3" xfId="8563"/>
    <cellStyle name="asd 11 4 5 4" xfId="10473"/>
    <cellStyle name="asd 11 4 5 5" xfId="12666"/>
    <cellStyle name="asd 11 4 5 6" xfId="13533"/>
    <cellStyle name="asd 11 4 5 7" xfId="15436"/>
    <cellStyle name="asd 11 4 5 8" xfId="18092"/>
    <cellStyle name="asd 11 4 5 9" xfId="19998"/>
    <cellStyle name="asd 11 4 6" xfId="6165"/>
    <cellStyle name="asd 11 4 7" xfId="9209"/>
    <cellStyle name="asd 11 4 8" xfId="12435"/>
    <cellStyle name="asd 11 4 9" xfId="13343"/>
    <cellStyle name="asd 11 5" xfId="2009"/>
    <cellStyle name="asd 11 5 10" xfId="17092"/>
    <cellStyle name="asd 11 5 11" xfId="18998"/>
    <cellStyle name="asd 11 5 12" xfId="20910"/>
    <cellStyle name="asd 11 5 13" xfId="22828"/>
    <cellStyle name="asd 11 5 14" xfId="24712"/>
    <cellStyle name="asd 11 5 15" xfId="27193"/>
    <cellStyle name="asd 11 5 16" xfId="28648"/>
    <cellStyle name="asd 11 5 17" xfId="30784"/>
    <cellStyle name="asd 11 5 18" xfId="32845"/>
    <cellStyle name="asd 11 5 19" xfId="33571"/>
    <cellStyle name="asd 11 5 2" xfId="4448"/>
    <cellStyle name="asd 11 5 2 10" xfId="20693"/>
    <cellStyle name="asd 11 5 2 11" xfId="23956"/>
    <cellStyle name="asd 11 5 2 12" xfId="24495"/>
    <cellStyle name="asd 11 5 2 13" xfId="26296"/>
    <cellStyle name="asd 11 5 2 14" xfId="28287"/>
    <cellStyle name="asd 11 5 2 15" xfId="29905"/>
    <cellStyle name="asd 11 5 2 16" xfId="31907"/>
    <cellStyle name="asd 11 5 2 17" xfId="34645"/>
    <cellStyle name="asd 11 5 2 18" xfId="35323"/>
    <cellStyle name="asd 11 5 2 19" xfId="37201"/>
    <cellStyle name="asd 11 5 2 2" xfId="1924"/>
    <cellStyle name="asd 11 5 2 20" xfId="39139"/>
    <cellStyle name="asd 11 5 2 21" xfId="40820"/>
    <cellStyle name="asd 11 5 2 22" xfId="43702"/>
    <cellStyle name="asd 11 5 2 3" xfId="1970"/>
    <cellStyle name="asd 11 5 2 4" xfId="9255"/>
    <cellStyle name="asd 11 5 2 5" xfId="11916"/>
    <cellStyle name="asd 11 5 2 6" xfId="14426"/>
    <cellStyle name="asd 11 5 2 7" xfId="16332"/>
    <cellStyle name="asd 11 5 2 8" xfId="16874"/>
    <cellStyle name="asd 11 5 2 9" xfId="18781"/>
    <cellStyle name="asd 11 5 20" xfId="35539"/>
    <cellStyle name="asd 11 5 21" xfId="37418"/>
    <cellStyle name="asd 11 5 22" xfId="40052"/>
    <cellStyle name="asd 11 5 23" xfId="41716"/>
    <cellStyle name="asd 11 5 24" xfId="42620"/>
    <cellStyle name="asd 11 5 3" xfId="4665"/>
    <cellStyle name="asd 11 5 4" xfId="6112"/>
    <cellStyle name="asd 11 5 5" xfId="7563"/>
    <cellStyle name="asd 11 5 6" xfId="9473"/>
    <cellStyle name="asd 11 5 7" xfId="11038"/>
    <cellStyle name="asd 11 5 8" xfId="13297"/>
    <cellStyle name="asd 11 5 9" xfId="15202"/>
    <cellStyle name="asd 11 6" xfId="3141"/>
    <cellStyle name="asd 11 6 10" xfId="19163"/>
    <cellStyle name="asd 11 6 11" xfId="21075"/>
    <cellStyle name="asd 11 6 12" xfId="22927"/>
    <cellStyle name="asd 11 6 13" xfId="24877"/>
    <cellStyle name="asd 11 6 14" xfId="26682"/>
    <cellStyle name="asd 11 6 15" xfId="28403"/>
    <cellStyle name="asd 11 6 16" xfId="30282"/>
    <cellStyle name="asd 11 6 17" xfId="33017"/>
    <cellStyle name="asd 11 6 18" xfId="34696"/>
    <cellStyle name="asd 11 6 19" xfId="35704"/>
    <cellStyle name="asd 11 6 2" xfId="4425"/>
    <cellStyle name="asd 11 6 2 10" xfId="20669"/>
    <cellStyle name="asd 11 6 2 11" xfId="23972"/>
    <cellStyle name="asd 11 6 2 12" xfId="24471"/>
    <cellStyle name="asd 11 6 2 13" xfId="27834"/>
    <cellStyle name="asd 11 6 2 14" xfId="28680"/>
    <cellStyle name="asd 11 6 2 15" xfId="31412"/>
    <cellStyle name="asd 11 6 2 16" xfId="32988"/>
    <cellStyle name="asd 11 6 2 17" xfId="33706"/>
    <cellStyle name="asd 11 6 2 18" xfId="35299"/>
    <cellStyle name="asd 11 6 2 19" xfId="37177"/>
    <cellStyle name="asd 11 6 2 2" xfId="2393"/>
    <cellStyle name="asd 11 6 2 20" xfId="40189"/>
    <cellStyle name="asd 11 6 2 21" xfId="41848"/>
    <cellStyle name="asd 11 6 2 22" xfId="43717"/>
    <cellStyle name="asd 11 6 2 3" xfId="2563"/>
    <cellStyle name="asd 11 6 2 4" xfId="9231"/>
    <cellStyle name="asd 11 6 2 5" xfId="11932"/>
    <cellStyle name="asd 11 6 2 6" xfId="14442"/>
    <cellStyle name="asd 11 6 2 7" xfId="16348"/>
    <cellStyle name="asd 11 6 2 8" xfId="16850"/>
    <cellStyle name="asd 11 6 2 9" xfId="18757"/>
    <cellStyle name="asd 11 6 20" xfId="37583"/>
    <cellStyle name="asd 11 6 21" xfId="40217"/>
    <cellStyle name="asd 11 6 22" xfId="41876"/>
    <cellStyle name="asd 11 6 23" xfId="42713"/>
    <cellStyle name="asd 11 6 3" xfId="4827"/>
    <cellStyle name="asd 11 6 4" xfId="7728"/>
    <cellStyle name="asd 11 6 5" xfId="9638"/>
    <cellStyle name="asd 11 6 6" xfId="12167"/>
    <cellStyle name="asd 11 6 7" xfId="13395"/>
    <cellStyle name="asd 11 6 8" xfId="15300"/>
    <cellStyle name="asd 11 6 9" xfId="17257"/>
    <cellStyle name="asd 11 7" xfId="1934"/>
    <cellStyle name="asd 11 7 10" xfId="18988"/>
    <cellStyle name="asd 11 7 11" xfId="20900"/>
    <cellStyle name="asd 11 7 12" xfId="22794"/>
    <cellStyle name="asd 11 7 13" xfId="24702"/>
    <cellStyle name="asd 11 7 14" xfId="27281"/>
    <cellStyle name="asd 11 7 15" xfId="16611"/>
    <cellStyle name="asd 11 7 16" xfId="30873"/>
    <cellStyle name="asd 11 7 17" xfId="32873"/>
    <cellStyle name="asd 11 7 18" xfId="33582"/>
    <cellStyle name="asd 11 7 19" xfId="35529"/>
    <cellStyle name="asd 11 7 2" xfId="4304"/>
    <cellStyle name="asd 11 7 2 10" xfId="20588"/>
    <cellStyle name="asd 11 7 2 11" xfId="23231"/>
    <cellStyle name="asd 11 7 2 12" xfId="24390"/>
    <cellStyle name="asd 11 7 2 13" xfId="26978"/>
    <cellStyle name="asd 11 7 2 14" xfId="28188"/>
    <cellStyle name="asd 11 7 2 15" xfId="30572"/>
    <cellStyle name="asd 11 7 2 16" xfId="32316"/>
    <cellStyle name="asd 11 7 2 17" xfId="34102"/>
    <cellStyle name="asd 11 7 2 18" xfId="35218"/>
    <cellStyle name="asd 11 7 2 19" xfId="37096"/>
    <cellStyle name="asd 11 7 2 2" xfId="4413"/>
    <cellStyle name="asd 11 7 2 20" xfId="39535"/>
    <cellStyle name="asd 11 7 2 21" xfId="41209"/>
    <cellStyle name="asd 11 7 2 22" xfId="43008"/>
    <cellStyle name="asd 11 7 2 3" xfId="5405"/>
    <cellStyle name="asd 11 7 2 4" xfId="9150"/>
    <cellStyle name="asd 11 7 2 5" xfId="11115"/>
    <cellStyle name="asd 11 7 2 6" xfId="13703"/>
    <cellStyle name="asd 11 7 2 7" xfId="15605"/>
    <cellStyle name="asd 11 7 2 8" xfId="16769"/>
    <cellStyle name="asd 11 7 2 9" xfId="18676"/>
    <cellStyle name="asd 11 7 20" xfId="37408"/>
    <cellStyle name="asd 11 7 21" xfId="40079"/>
    <cellStyle name="asd 11 7 22" xfId="41743"/>
    <cellStyle name="asd 11 7 23" xfId="42587"/>
    <cellStyle name="asd 11 7 3" xfId="6103"/>
    <cellStyle name="asd 11 7 4" xfId="7553"/>
    <cellStyle name="asd 11 7 5" xfId="9463"/>
    <cellStyle name="asd 11 7 6" xfId="11289"/>
    <cellStyle name="asd 11 7 7" xfId="13263"/>
    <cellStyle name="asd 11 7 8" xfId="15167"/>
    <cellStyle name="asd 11 7 9" xfId="17082"/>
    <cellStyle name="asd 11 8" xfId="2465"/>
    <cellStyle name="asd 11 9" xfId="2427"/>
    <cellStyle name="asd 12" xfId="761"/>
    <cellStyle name="asd 12 10" xfId="6140"/>
    <cellStyle name="asd 12 11" xfId="2804"/>
    <cellStyle name="asd 12 12" xfId="2713"/>
    <cellStyle name="asd 12 13" xfId="12789"/>
    <cellStyle name="asd 12 14" xfId="2537"/>
    <cellStyle name="asd 12 15" xfId="12796"/>
    <cellStyle name="asd 12 16" xfId="1811"/>
    <cellStyle name="asd 12 17" xfId="2086"/>
    <cellStyle name="asd 12 18" xfId="10873"/>
    <cellStyle name="asd 12 19" xfId="2872"/>
    <cellStyle name="asd 12 2" xfId="3426"/>
    <cellStyle name="asd 12 2 10" xfId="13908"/>
    <cellStyle name="asd 12 2 11" xfId="15809"/>
    <cellStyle name="asd 12 2 12" xfId="16798"/>
    <cellStyle name="asd 12 2 13" xfId="18705"/>
    <cellStyle name="asd 12 2 14" xfId="20617"/>
    <cellStyle name="asd 12 2 15" xfId="23436"/>
    <cellStyle name="asd 12 2 16" xfId="24419"/>
    <cellStyle name="asd 12 2 17" xfId="26357"/>
    <cellStyle name="asd 12 2 18" xfId="29101"/>
    <cellStyle name="asd 12 2 19" xfId="29965"/>
    <cellStyle name="asd 12 2 2" xfId="3606"/>
    <cellStyle name="asd 12 2 2 10" xfId="17497"/>
    <cellStyle name="asd 12 2 2 11" xfId="19403"/>
    <cellStyle name="asd 12 2 2 12" xfId="21315"/>
    <cellStyle name="asd 12 2 2 13" xfId="23604"/>
    <cellStyle name="asd 12 2 2 14" xfId="25117"/>
    <cellStyle name="asd 12 2 2 15" xfId="27823"/>
    <cellStyle name="asd 12 2 2 16" xfId="28339"/>
    <cellStyle name="asd 12 2 2 17" xfId="31401"/>
    <cellStyle name="asd 12 2 2 18" xfId="32310"/>
    <cellStyle name="asd 12 2 2 19" xfId="33392"/>
    <cellStyle name="asd 12 2 2 2" xfId="5659"/>
    <cellStyle name="asd 12 2 2 2 10" xfId="21909"/>
    <cellStyle name="asd 12 2 2 2 11" xfId="23696"/>
    <cellStyle name="asd 12 2 2 2 12" xfId="25711"/>
    <cellStyle name="asd 12 2 2 2 13" xfId="26628"/>
    <cellStyle name="asd 12 2 2 2 14" xfId="29309"/>
    <cellStyle name="asd 12 2 2 2 15" xfId="30231"/>
    <cellStyle name="asd 12 2 2 2 16" xfId="32688"/>
    <cellStyle name="asd 12 2 2 2 17" xfId="34985"/>
    <cellStyle name="asd 12 2 2 2 18" xfId="36538"/>
    <cellStyle name="asd 12 2 2 2 19" xfId="38417"/>
    <cellStyle name="asd 12 2 2 2 2" xfId="7108"/>
    <cellStyle name="asd 12 2 2 2 20" xfId="39896"/>
    <cellStyle name="asd 12 2 2 2 21" xfId="41565"/>
    <cellStyle name="asd 12 2 2 2 22" xfId="43453"/>
    <cellStyle name="asd 12 2 2 2 3" xfId="8562"/>
    <cellStyle name="asd 12 2 2 2 4" xfId="10472"/>
    <cellStyle name="asd 12 2 2 2 5" xfId="11629"/>
    <cellStyle name="asd 12 2 2 2 6" xfId="14166"/>
    <cellStyle name="asd 12 2 2 2 7" xfId="16070"/>
    <cellStyle name="asd 12 2 2 2 8" xfId="18091"/>
    <cellStyle name="asd 12 2 2 2 9" xfId="19997"/>
    <cellStyle name="asd 12 2 2 20" xfId="35944"/>
    <cellStyle name="asd 12 2 2 21" xfId="37823"/>
    <cellStyle name="asd 12 2 2 22" xfId="39529"/>
    <cellStyle name="asd 12 2 2 23" xfId="41203"/>
    <cellStyle name="asd 12 2 2 24" xfId="43362"/>
    <cellStyle name="asd 12 2 2 3" xfId="5067"/>
    <cellStyle name="asd 12 2 2 4" xfId="6517"/>
    <cellStyle name="asd 12 2 2 5" xfId="7968"/>
    <cellStyle name="asd 12 2 2 6" xfId="9878"/>
    <cellStyle name="asd 12 2 2 7" xfId="11584"/>
    <cellStyle name="asd 12 2 2 8" xfId="14074"/>
    <cellStyle name="asd 12 2 2 9" xfId="15977"/>
    <cellStyle name="asd 12 2 20" xfId="31853"/>
    <cellStyle name="asd 12 2 21" xfId="34143"/>
    <cellStyle name="asd 12 2 22" xfId="35247"/>
    <cellStyle name="asd 12 2 23" xfId="37125"/>
    <cellStyle name="asd 12 2 24" xfId="39088"/>
    <cellStyle name="asd 12 2 25" xfId="40769"/>
    <cellStyle name="asd 12 2 26" xfId="43203"/>
    <cellStyle name="asd 12 2 3" xfId="3894"/>
    <cellStyle name="asd 12 2 3 10" xfId="19601"/>
    <cellStyle name="asd 12 2 3 11" xfId="21513"/>
    <cellStyle name="asd 12 2 3 12" xfId="23792"/>
    <cellStyle name="asd 12 2 3 13" xfId="25315"/>
    <cellStyle name="asd 12 2 3 14" xfId="26308"/>
    <cellStyle name="asd 12 2 3 15" xfId="29561"/>
    <cellStyle name="asd 12 2 3 16" xfId="29917"/>
    <cellStyle name="asd 12 2 3 17" xfId="32163"/>
    <cellStyle name="asd 12 2 3 18" xfId="34106"/>
    <cellStyle name="asd 12 2 3 19" xfId="36142"/>
    <cellStyle name="asd 12 2 3 2" xfId="5871"/>
    <cellStyle name="asd 12 2 3 2 10" xfId="22121"/>
    <cellStyle name="asd 12 2 3 2 11" xfId="23358"/>
    <cellStyle name="asd 12 2 3 2 12" xfId="25923"/>
    <cellStyle name="asd 12 2 3 2 13" xfId="27845"/>
    <cellStyle name="asd 12 2 3 2 14" xfId="29279"/>
    <cellStyle name="asd 12 2 3 2 15" xfId="31424"/>
    <cellStyle name="asd 12 2 3 2 16" xfId="32970"/>
    <cellStyle name="asd 12 2 3 2 17" xfId="34481"/>
    <cellStyle name="asd 12 2 3 2 18" xfId="36750"/>
    <cellStyle name="asd 12 2 3 2 19" xfId="38629"/>
    <cellStyle name="asd 12 2 3 2 2" xfId="7320"/>
    <cellStyle name="asd 12 2 3 2 20" xfId="40171"/>
    <cellStyle name="asd 12 2 3 2 21" xfId="41830"/>
    <cellStyle name="asd 12 2 3 2 22" xfId="43128"/>
    <cellStyle name="asd 12 2 3 2 3" xfId="8774"/>
    <cellStyle name="asd 12 2 3 2 4" xfId="10684"/>
    <cellStyle name="asd 12 2 3 2 5" xfId="11272"/>
    <cellStyle name="asd 12 2 3 2 6" xfId="13830"/>
    <cellStyle name="asd 12 2 3 2 7" xfId="15732"/>
    <cellStyle name="asd 12 2 3 2 8" xfId="18303"/>
    <cellStyle name="asd 12 2 3 2 9" xfId="20209"/>
    <cellStyle name="asd 12 2 3 20" xfId="38021"/>
    <cellStyle name="asd 12 2 3 21" xfId="39385"/>
    <cellStyle name="asd 12 2 3 22" xfId="41061"/>
    <cellStyle name="asd 12 2 3 23" xfId="43545"/>
    <cellStyle name="asd 12 2 3 3" xfId="5265"/>
    <cellStyle name="asd 12 2 3 4" xfId="8166"/>
    <cellStyle name="asd 12 2 3 5" xfId="10076"/>
    <cellStyle name="asd 12 2 3 6" xfId="11670"/>
    <cellStyle name="asd 12 2 3 7" xfId="14262"/>
    <cellStyle name="asd 12 2 3 8" xfId="16166"/>
    <cellStyle name="asd 12 2 3 9" xfId="17695"/>
    <cellStyle name="asd 12 2 4" xfId="4058"/>
    <cellStyle name="asd 12 2 4 10" xfId="19693"/>
    <cellStyle name="asd 12 2 4 11" xfId="21605"/>
    <cellStyle name="asd 12 2 4 12" xfId="24074"/>
    <cellStyle name="asd 12 2 4 13" xfId="25407"/>
    <cellStyle name="asd 12 2 4 14" xfId="26693"/>
    <cellStyle name="asd 12 2 4 15" xfId="23287"/>
    <cellStyle name="asd 12 2 4 16" xfId="30293"/>
    <cellStyle name="asd 12 2 4 17" xfId="33320"/>
    <cellStyle name="asd 12 2 4 18" xfId="6683"/>
    <cellStyle name="asd 12 2 4 19" xfId="36234"/>
    <cellStyle name="asd 12 2 4 2" xfId="5963"/>
    <cellStyle name="asd 12 2 4 2 10" xfId="22213"/>
    <cellStyle name="asd 12 2 4 2 11" xfId="23192"/>
    <cellStyle name="asd 12 2 4 2 12" xfId="26015"/>
    <cellStyle name="asd 12 2 4 2 13" xfId="26834"/>
    <cellStyle name="asd 12 2 4 2 14" xfId="22335"/>
    <cellStyle name="asd 12 2 4 2 15" xfId="30432"/>
    <cellStyle name="asd 12 2 4 2 16" xfId="32811"/>
    <cellStyle name="asd 12 2 4 2 17" xfId="33870"/>
    <cellStyle name="asd 12 2 4 2 18" xfId="36842"/>
    <cellStyle name="asd 12 2 4 2 19" xfId="38721"/>
    <cellStyle name="asd 12 2 4 2 2" xfId="7412"/>
    <cellStyle name="asd 12 2 4 2 20" xfId="40020"/>
    <cellStyle name="asd 12 2 4 2 21" xfId="41684"/>
    <cellStyle name="asd 12 2 4 2 22" xfId="42970"/>
    <cellStyle name="asd 12 2 4 2 3" xfId="8866"/>
    <cellStyle name="asd 12 2 4 2 4" xfId="10776"/>
    <cellStyle name="asd 12 2 4 2 5" xfId="11040"/>
    <cellStyle name="asd 12 2 4 2 6" xfId="13664"/>
    <cellStyle name="asd 12 2 4 2 7" xfId="15566"/>
    <cellStyle name="asd 12 2 4 2 8" xfId="18395"/>
    <cellStyle name="asd 12 2 4 2 9" xfId="20301"/>
    <cellStyle name="asd 12 2 4 20" xfId="38113"/>
    <cellStyle name="asd 12 2 4 21" xfId="40500"/>
    <cellStyle name="asd 12 2 4 22" xfId="42152"/>
    <cellStyle name="asd 12 2 4 23" xfId="43818"/>
    <cellStyle name="asd 12 2 4 3" xfId="6804"/>
    <cellStyle name="asd 12 2 4 4" xfId="8258"/>
    <cellStyle name="asd 12 2 4 5" xfId="10168"/>
    <cellStyle name="asd 12 2 4 6" xfId="12033"/>
    <cellStyle name="asd 12 2 4 7" xfId="14544"/>
    <cellStyle name="asd 12 2 4 8" xfId="16450"/>
    <cellStyle name="asd 12 2 4 9" xfId="17787"/>
    <cellStyle name="asd 12 2 5" xfId="4917"/>
    <cellStyle name="asd 12 2 5 10" xfId="21165"/>
    <cellStyle name="asd 12 2 5 11" xfId="23783"/>
    <cellStyle name="asd 12 2 5 12" xfId="24967"/>
    <cellStyle name="asd 12 2 5 13" xfId="26451"/>
    <cellStyle name="asd 12 2 5 14" xfId="29587"/>
    <cellStyle name="asd 12 2 5 15" xfId="30057"/>
    <cellStyle name="asd 12 2 5 16" xfId="32614"/>
    <cellStyle name="asd 12 2 5 17" xfId="33972"/>
    <cellStyle name="asd 12 2 5 18" xfId="35794"/>
    <cellStyle name="asd 12 2 5 19" xfId="37673"/>
    <cellStyle name="asd 12 2 5 2" xfId="6367"/>
    <cellStyle name="asd 12 2 5 20" xfId="39824"/>
    <cellStyle name="asd 12 2 5 21" xfId="41493"/>
    <cellStyle name="asd 12 2 5 22" xfId="43536"/>
    <cellStyle name="asd 12 2 5 3" xfId="7818"/>
    <cellStyle name="asd 12 2 5 4" xfId="9728"/>
    <cellStyle name="asd 12 2 5 5" xfId="11830"/>
    <cellStyle name="asd 12 2 5 6" xfId="14253"/>
    <cellStyle name="asd 12 2 5 7" xfId="16157"/>
    <cellStyle name="asd 12 2 5 8" xfId="17347"/>
    <cellStyle name="asd 12 2 5 9" xfId="19253"/>
    <cellStyle name="asd 12 2 6" xfId="4256"/>
    <cellStyle name="asd 12 2 6 10" xfId="20596"/>
    <cellStyle name="asd 12 2 6 11" xfId="22540"/>
    <cellStyle name="asd 12 2 6 12" xfId="24398"/>
    <cellStyle name="asd 12 2 6 13" xfId="26815"/>
    <cellStyle name="asd 12 2 6 14" xfId="29169"/>
    <cellStyle name="asd 12 2 6 15" xfId="30414"/>
    <cellStyle name="asd 12 2 6 16" xfId="33225"/>
    <cellStyle name="asd 12 2 6 17" xfId="33891"/>
    <cellStyle name="asd 12 2 6 18" xfId="35226"/>
    <cellStyle name="asd 12 2 6 19" xfId="37104"/>
    <cellStyle name="asd 12 2 6 2" xfId="4310"/>
    <cellStyle name="asd 12 2 6 20" xfId="40415"/>
    <cellStyle name="asd 12 2 6 21" xfId="42071"/>
    <cellStyle name="asd 12 2 6 22" xfId="42349"/>
    <cellStyle name="asd 12 2 6 3" xfId="3085"/>
    <cellStyle name="asd 12 2 6 4" xfId="9158"/>
    <cellStyle name="asd 12 2 6 5" xfId="11390"/>
    <cellStyle name="asd 12 2 6 6" xfId="13008"/>
    <cellStyle name="asd 12 2 6 7" xfId="14912"/>
    <cellStyle name="asd 12 2 6 8" xfId="16777"/>
    <cellStyle name="asd 12 2 6 9" xfId="18684"/>
    <cellStyle name="asd 12 2 7" xfId="6700"/>
    <cellStyle name="asd 12 2 8" xfId="9179"/>
    <cellStyle name="asd 12 2 9" xfId="12565"/>
    <cellStyle name="asd 12 20" xfId="22351"/>
    <cellStyle name="asd 12 21" xfId="12798"/>
    <cellStyle name="asd 12 22" xfId="33031"/>
    <cellStyle name="asd 12 23" xfId="31852"/>
    <cellStyle name="asd 12 24" xfId="27980"/>
    <cellStyle name="asd 12 25" xfId="34133"/>
    <cellStyle name="asd 12 26" xfId="27752"/>
    <cellStyle name="asd 12 27" xfId="32729"/>
    <cellStyle name="asd 12 3" xfId="3403"/>
    <cellStyle name="asd 12 3 10" xfId="14458"/>
    <cellStyle name="asd 12 3 11" xfId="16364"/>
    <cellStyle name="asd 12 3 12" xfId="16751"/>
    <cellStyle name="asd 12 3 13" xfId="18658"/>
    <cellStyle name="asd 12 3 14" xfId="20570"/>
    <cellStyle name="asd 12 3 15" xfId="23988"/>
    <cellStyle name="asd 12 3 16" xfId="24372"/>
    <cellStyle name="asd 12 3 17" xfId="3004"/>
    <cellStyle name="asd 12 3 18" xfId="27918"/>
    <cellStyle name="asd 12 3 19" xfId="5389"/>
    <cellStyle name="asd 12 3 2" xfId="3583"/>
    <cellStyle name="asd 12 3 2 10" xfId="17474"/>
    <cellStyle name="asd 12 3 2 11" xfId="19380"/>
    <cellStyle name="asd 12 3 2 12" xfId="21292"/>
    <cellStyle name="asd 12 3 2 13" xfId="23040"/>
    <cellStyle name="asd 12 3 2 14" xfId="25094"/>
    <cellStyle name="asd 12 3 2 15" xfId="27434"/>
    <cellStyle name="asd 12 3 2 16" xfId="2555"/>
    <cellStyle name="asd 12 3 2 17" xfId="31020"/>
    <cellStyle name="asd 12 3 2 18" xfId="32118"/>
    <cellStyle name="asd 12 3 2 19" xfId="28921"/>
    <cellStyle name="asd 12 3 2 2" xfId="4625"/>
    <cellStyle name="asd 12 3 2 2 10" xfId="20870"/>
    <cellStyle name="asd 12 3 2 2 11" xfId="23223"/>
    <cellStyle name="asd 12 3 2 2 12" xfId="24672"/>
    <cellStyle name="asd 12 3 2 2 13" xfId="26158"/>
    <cellStyle name="asd 12 3 2 2 14" xfId="1969"/>
    <cellStyle name="asd 12 3 2 2 15" xfId="29772"/>
    <cellStyle name="asd 12 3 2 2 16" xfId="1795"/>
    <cellStyle name="asd 12 3 2 2 17" xfId="2851"/>
    <cellStyle name="asd 12 3 2 2 18" xfId="35500"/>
    <cellStyle name="asd 12 3 2 2 19" xfId="37378"/>
    <cellStyle name="asd 12 3 2 2 2" xfId="6073"/>
    <cellStyle name="asd 12 3 2 2 20" xfId="22324"/>
    <cellStyle name="asd 12 3 2 2 21" xfId="34961"/>
    <cellStyle name="asd 12 3 2 2 22" xfId="43000"/>
    <cellStyle name="asd 12 3 2 2 3" xfId="7522"/>
    <cellStyle name="asd 12 3 2 2 4" xfId="9432"/>
    <cellStyle name="asd 12 3 2 2 5" xfId="11100"/>
    <cellStyle name="asd 12 3 2 2 6" xfId="13695"/>
    <cellStyle name="asd 12 3 2 2 7" xfId="15597"/>
    <cellStyle name="asd 12 3 2 2 8" xfId="17051"/>
    <cellStyle name="asd 12 3 2 2 9" xfId="18958"/>
    <cellStyle name="asd 12 3 2 20" xfId="35921"/>
    <cellStyle name="asd 12 3 2 21" xfId="37800"/>
    <cellStyle name="asd 12 3 2 22" xfId="39342"/>
    <cellStyle name="asd 12 3 2 23" xfId="41018"/>
    <cellStyle name="asd 12 3 2 24" xfId="42823"/>
    <cellStyle name="asd 12 3 2 3" xfId="5044"/>
    <cellStyle name="asd 12 3 2 4" xfId="6494"/>
    <cellStyle name="asd 12 3 2 5" xfId="7945"/>
    <cellStyle name="asd 12 3 2 6" xfId="9855"/>
    <cellStyle name="asd 12 3 2 7" xfId="12636"/>
    <cellStyle name="asd 12 3 2 8" xfId="13510"/>
    <cellStyle name="asd 12 3 2 9" xfId="15414"/>
    <cellStyle name="asd 12 3 20" xfId="20403"/>
    <cellStyle name="asd 12 3 21" xfId="4308"/>
    <cellStyle name="asd 12 3 22" xfId="35200"/>
    <cellStyle name="asd 12 3 23" xfId="37078"/>
    <cellStyle name="asd 12 3 24" xfId="31559"/>
    <cellStyle name="asd 12 3 25" xfId="28418"/>
    <cellStyle name="asd 12 3 26" xfId="43732"/>
    <cellStyle name="asd 12 3 3" xfId="2031"/>
    <cellStyle name="asd 12 3 3 10" xfId="19001"/>
    <cellStyle name="asd 12 3 3 11" xfId="20913"/>
    <cellStyle name="asd 12 3 3 12" xfId="22948"/>
    <cellStyle name="asd 12 3 3 13" xfId="24715"/>
    <cellStyle name="asd 12 3 3 14" xfId="27824"/>
    <cellStyle name="asd 12 3 3 15" xfId="29686"/>
    <cellStyle name="asd 12 3 3 16" xfId="31402"/>
    <cellStyle name="asd 12 3 3 17" xfId="33294"/>
    <cellStyle name="asd 12 3 3 18" xfId="34978"/>
    <cellStyle name="asd 12 3 3 19" xfId="35542"/>
    <cellStyle name="asd 12 3 3 2" xfId="3970"/>
    <cellStyle name="asd 12 3 3 2 10" xfId="20594"/>
    <cellStyle name="asd 12 3 3 2 11" xfId="23080"/>
    <cellStyle name="asd 12 3 3 2 12" xfId="24396"/>
    <cellStyle name="asd 12 3 3 2 13" xfId="26805"/>
    <cellStyle name="asd 12 3 3 2 14" xfId="29036"/>
    <cellStyle name="asd 12 3 3 2 15" xfId="30403"/>
    <cellStyle name="asd 12 3 3 2 16" xfId="32165"/>
    <cellStyle name="asd 12 3 3 2 17" xfId="33492"/>
    <cellStyle name="asd 12 3 3 2 18" xfId="35224"/>
    <cellStyle name="asd 12 3 3 2 19" xfId="37102"/>
    <cellStyle name="asd 12 3 3 2 2" xfId="4498"/>
    <cellStyle name="asd 12 3 3 2 20" xfId="39387"/>
    <cellStyle name="asd 12 3 3 2 21" xfId="41063"/>
    <cellStyle name="asd 12 3 3 2 22" xfId="42862"/>
    <cellStyle name="asd 12 3 3 2 3" xfId="5340"/>
    <cellStyle name="asd 12 3 3 2 4" xfId="9156"/>
    <cellStyle name="asd 12 3 3 2 5" xfId="11406"/>
    <cellStyle name="asd 12 3 3 2 6" xfId="13551"/>
    <cellStyle name="asd 12 3 3 2 7" xfId="15454"/>
    <cellStyle name="asd 12 3 3 2 8" xfId="16775"/>
    <cellStyle name="asd 12 3 3 2 9" xfId="18682"/>
    <cellStyle name="asd 12 3 3 20" xfId="37421"/>
    <cellStyle name="asd 12 3 3 21" xfId="40478"/>
    <cellStyle name="asd 12 3 3 22" xfId="42133"/>
    <cellStyle name="asd 12 3 3 23" xfId="42734"/>
    <cellStyle name="asd 12 3 3 3" xfId="4668"/>
    <cellStyle name="asd 12 3 3 4" xfId="7566"/>
    <cellStyle name="asd 12 3 3 5" xfId="9476"/>
    <cellStyle name="asd 12 3 3 6" xfId="11039"/>
    <cellStyle name="asd 12 3 3 7" xfId="13416"/>
    <cellStyle name="asd 12 3 3 8" xfId="15321"/>
    <cellStyle name="asd 12 3 3 9" xfId="17095"/>
    <cellStyle name="asd 12 3 4" xfId="4035"/>
    <cellStyle name="asd 12 3 4 10" xfId="19670"/>
    <cellStyle name="asd 12 3 4 11" xfId="21582"/>
    <cellStyle name="asd 12 3 4 12" xfId="23537"/>
    <cellStyle name="asd 12 3 4 13" xfId="25384"/>
    <cellStyle name="asd 12 3 4 14" xfId="27655"/>
    <cellStyle name="asd 12 3 4 15" xfId="29539"/>
    <cellStyle name="asd 12 3 4 16" xfId="31232"/>
    <cellStyle name="asd 12 3 4 17" xfId="32430"/>
    <cellStyle name="asd 12 3 4 18" xfId="33466"/>
    <cellStyle name="asd 12 3 4 19" xfId="36211"/>
    <cellStyle name="asd 12 3 4 2" xfId="5940"/>
    <cellStyle name="asd 12 3 4 2 10" xfId="22190"/>
    <cellStyle name="asd 12 3 4 2 11" xfId="22613"/>
    <cellStyle name="asd 12 3 4 2 12" xfId="25992"/>
    <cellStyle name="asd 12 3 4 2 13" xfId="26427"/>
    <cellStyle name="asd 12 3 4 2 14" xfId="29638"/>
    <cellStyle name="asd 12 3 4 2 15" xfId="30033"/>
    <cellStyle name="asd 12 3 4 2 16" xfId="32707"/>
    <cellStyle name="asd 12 3 4 2 17" xfId="34660"/>
    <cellStyle name="asd 12 3 4 2 18" xfId="36819"/>
    <cellStyle name="asd 12 3 4 2 19" xfId="38698"/>
    <cellStyle name="asd 12 3 4 2 2" xfId="7389"/>
    <cellStyle name="asd 12 3 4 2 20" xfId="39915"/>
    <cellStyle name="asd 12 3 4 2 21" xfId="41584"/>
    <cellStyle name="asd 12 3 4 2 22" xfId="42420"/>
    <cellStyle name="asd 12 3 4 2 3" xfId="8843"/>
    <cellStyle name="asd 12 3 4 2 4" xfId="10753"/>
    <cellStyle name="asd 12 3 4 2 5" xfId="2463"/>
    <cellStyle name="asd 12 3 4 2 6" xfId="13080"/>
    <cellStyle name="asd 12 3 4 2 7" xfId="14985"/>
    <cellStyle name="asd 12 3 4 2 8" xfId="18372"/>
    <cellStyle name="asd 12 3 4 2 9" xfId="20278"/>
    <cellStyle name="asd 12 3 4 20" xfId="38090"/>
    <cellStyle name="asd 12 3 4 21" xfId="39647"/>
    <cellStyle name="asd 12 3 4 22" xfId="41321"/>
    <cellStyle name="asd 12 3 4 23" xfId="43302"/>
    <cellStyle name="asd 12 3 4 3" xfId="6781"/>
    <cellStyle name="asd 12 3 4 4" xfId="8235"/>
    <cellStyle name="asd 12 3 4 5" xfId="10145"/>
    <cellStyle name="asd 12 3 4 6" xfId="12574"/>
    <cellStyle name="asd 12 3 4 7" xfId="14009"/>
    <cellStyle name="asd 12 3 4 8" xfId="15910"/>
    <cellStyle name="asd 12 3 4 9" xfId="17764"/>
    <cellStyle name="asd 12 3 5" xfId="4900"/>
    <cellStyle name="asd 12 3 5 10" xfId="21148"/>
    <cellStyle name="asd 12 3 5 11" xfId="23291"/>
    <cellStyle name="asd 12 3 5 12" xfId="24950"/>
    <cellStyle name="asd 12 3 5 13" xfId="26904"/>
    <cellStyle name="asd 12 3 5 14" xfId="29557"/>
    <cellStyle name="asd 12 3 5 15" xfId="30500"/>
    <cellStyle name="asd 12 3 5 16" xfId="33181"/>
    <cellStyle name="asd 12 3 5 17" xfId="34210"/>
    <cellStyle name="asd 12 3 5 18" xfId="35777"/>
    <cellStyle name="asd 12 3 5 19" xfId="37656"/>
    <cellStyle name="asd 12 3 5 2" xfId="6350"/>
    <cellStyle name="asd 12 3 5 20" xfId="40372"/>
    <cellStyle name="asd 12 3 5 21" xfId="42028"/>
    <cellStyle name="asd 12 3 5 22" xfId="43066"/>
    <cellStyle name="asd 12 3 5 3" xfId="7801"/>
    <cellStyle name="asd 12 3 5 4" xfId="9711"/>
    <cellStyle name="asd 12 3 5 5" xfId="11254"/>
    <cellStyle name="asd 12 3 5 6" xfId="13763"/>
    <cellStyle name="asd 12 3 5 7" xfId="15665"/>
    <cellStyle name="asd 12 3 5 8" xfId="17330"/>
    <cellStyle name="asd 12 3 5 9" xfId="19236"/>
    <cellStyle name="asd 12 3 6" xfId="5524"/>
    <cellStyle name="asd 12 3 6 10" xfId="21774"/>
    <cellStyle name="asd 12 3 6 11" xfId="22651"/>
    <cellStyle name="asd 12 3 6 12" xfId="25576"/>
    <cellStyle name="asd 12 3 6 13" xfId="26581"/>
    <cellStyle name="asd 12 3 6 14" xfId="28058"/>
    <cellStyle name="asd 12 3 6 15" xfId="30184"/>
    <cellStyle name="asd 12 3 6 16" xfId="32110"/>
    <cellStyle name="asd 12 3 6 17" xfId="34083"/>
    <cellStyle name="asd 12 3 6 18" xfId="36403"/>
    <cellStyle name="asd 12 3 6 19" xfId="38282"/>
    <cellStyle name="asd 12 3 6 2" xfId="6973"/>
    <cellStyle name="asd 12 3 6 20" xfId="39334"/>
    <cellStyle name="asd 12 3 6 21" xfId="41010"/>
    <cellStyle name="asd 12 3 6 22" xfId="42457"/>
    <cellStyle name="asd 12 3 6 3" xfId="8427"/>
    <cellStyle name="asd 12 3 6 4" xfId="10337"/>
    <cellStyle name="asd 12 3 6 5" xfId="11733"/>
    <cellStyle name="asd 12 3 6 6" xfId="13118"/>
    <cellStyle name="asd 12 3 6 7" xfId="15023"/>
    <cellStyle name="asd 12 3 6 8" xfId="17956"/>
    <cellStyle name="asd 12 3 6 9" xfId="19862"/>
    <cellStyle name="asd 12 3 7" xfId="4492"/>
    <cellStyle name="asd 12 3 8" xfId="9132"/>
    <cellStyle name="asd 12 3 9" xfId="11947"/>
    <cellStyle name="asd 12 4" xfId="3477"/>
    <cellStyle name="asd 12 4 10" xfId="14772"/>
    <cellStyle name="asd 12 4 11" xfId="16912"/>
    <cellStyle name="asd 12 4 12" xfId="18819"/>
    <cellStyle name="asd 12 4 13" xfId="20731"/>
    <cellStyle name="asd 12 4 14" xfId="22400"/>
    <cellStyle name="asd 12 4 15" xfId="24533"/>
    <cellStyle name="asd 12 4 16" xfId="27952"/>
    <cellStyle name="asd 12 4 17" xfId="29442"/>
    <cellStyle name="asd 12 4 18" xfId="31532"/>
    <cellStyle name="asd 12 4 19" xfId="32716"/>
    <cellStyle name="asd 12 4 2" xfId="3657"/>
    <cellStyle name="asd 12 4 2 10" xfId="17548"/>
    <cellStyle name="asd 12 4 2 11" xfId="19454"/>
    <cellStyle name="asd 12 4 2 12" xfId="21366"/>
    <cellStyle name="asd 12 4 2 13" xfId="9437"/>
    <cellStyle name="asd 12 4 2 14" xfId="25168"/>
    <cellStyle name="asd 12 4 2 15" xfId="4242"/>
    <cellStyle name="asd 12 4 2 16" xfId="28354"/>
    <cellStyle name="asd 12 4 2 17" xfId="24239"/>
    <cellStyle name="asd 12 4 2 18" xfId="26113"/>
    <cellStyle name="asd 12 4 2 19" xfId="28259"/>
    <cellStyle name="asd 12 4 2 2" xfId="4249"/>
    <cellStyle name="asd 12 4 2 2 10" xfId="20548"/>
    <cellStyle name="asd 12 4 2 2 11" xfId="22823"/>
    <cellStyle name="asd 12 4 2 2 12" xfId="24350"/>
    <cellStyle name="asd 12 4 2 2 13" xfId="26255"/>
    <cellStyle name="asd 12 4 2 2 14" xfId="16108"/>
    <cellStyle name="asd 12 4 2 2 15" xfId="29865"/>
    <cellStyle name="asd 12 4 2 2 16" xfId="32760"/>
    <cellStyle name="asd 12 4 2 2 17" xfId="3041"/>
    <cellStyle name="asd 12 4 2 2 18" xfId="35178"/>
    <cellStyle name="asd 12 4 2 2 19" xfId="37056"/>
    <cellStyle name="asd 12 4 2 2 2" xfId="4400"/>
    <cellStyle name="asd 12 4 2 2 20" xfId="39969"/>
    <cellStyle name="asd 12 4 2 2 21" xfId="41633"/>
    <cellStyle name="asd 12 4 2 2 22" xfId="42616"/>
    <cellStyle name="asd 12 4 2 2 3" xfId="4489"/>
    <cellStyle name="asd 12 4 2 2 4" xfId="9110"/>
    <cellStyle name="asd 12 4 2 2 5" xfId="12442"/>
    <cellStyle name="asd 12 4 2 2 6" xfId="13293"/>
    <cellStyle name="asd 12 4 2 2 7" xfId="15197"/>
    <cellStyle name="asd 12 4 2 2 8" xfId="16729"/>
    <cellStyle name="asd 12 4 2 2 9" xfId="18636"/>
    <cellStyle name="asd 12 4 2 20" xfId="35995"/>
    <cellStyle name="asd 12 4 2 21" xfId="37874"/>
    <cellStyle name="asd 12 4 2 22" xfId="29769"/>
    <cellStyle name="asd 12 4 2 23" xfId="2231"/>
    <cellStyle name="asd 12 4 2 24" xfId="29461"/>
    <cellStyle name="asd 12 4 2 3" xfId="5118"/>
    <cellStyle name="asd 12 4 2 4" xfId="6568"/>
    <cellStyle name="asd 12 4 2 5" xfId="8019"/>
    <cellStyle name="asd 12 4 2 6" xfId="9929"/>
    <cellStyle name="asd 12 4 2 7" xfId="12199"/>
    <cellStyle name="asd 12 4 2 8" xfId="2420"/>
    <cellStyle name="asd 12 4 2 9" xfId="2698"/>
    <cellStyle name="asd 12 4 20" xfId="34754"/>
    <cellStyle name="asd 12 4 21" xfId="35361"/>
    <cellStyle name="asd 12 4 22" xfId="37239"/>
    <cellStyle name="asd 12 4 23" xfId="39926"/>
    <cellStyle name="asd 12 4 24" xfId="41592"/>
    <cellStyle name="asd 12 4 25" xfId="42211"/>
    <cellStyle name="asd 12 4 3" xfId="3778"/>
    <cellStyle name="asd 12 4 3 10" xfId="19517"/>
    <cellStyle name="asd 12 4 3 11" xfId="21429"/>
    <cellStyle name="asd 12 4 3 12" xfId="22646"/>
    <cellStyle name="asd 12 4 3 13" xfId="25231"/>
    <cellStyle name="asd 12 4 3 14" xfId="26304"/>
    <cellStyle name="asd 12 4 3 15" xfId="28296"/>
    <cellStyle name="asd 12 4 3 16" xfId="29913"/>
    <cellStyle name="asd 12 4 3 17" xfId="32336"/>
    <cellStyle name="asd 12 4 3 18" xfId="33877"/>
    <cellStyle name="asd 12 4 3 19" xfId="36058"/>
    <cellStyle name="asd 12 4 3 2" xfId="5787"/>
    <cellStyle name="asd 12 4 3 2 10" xfId="22037"/>
    <cellStyle name="asd 12 4 3 2 11" xfId="23351"/>
    <cellStyle name="asd 12 4 3 2 12" xfId="25839"/>
    <cellStyle name="asd 12 4 3 2 13" xfId="27764"/>
    <cellStyle name="asd 12 4 3 2 14" xfId="29032"/>
    <cellStyle name="asd 12 4 3 2 15" xfId="31342"/>
    <cellStyle name="asd 12 4 3 2 16" xfId="31850"/>
    <cellStyle name="asd 12 4 3 2 17" xfId="34826"/>
    <cellStyle name="asd 12 4 3 2 18" xfId="36666"/>
    <cellStyle name="asd 12 4 3 2 19" xfId="38545"/>
    <cellStyle name="asd 12 4 3 2 2" xfId="7236"/>
    <cellStyle name="asd 12 4 3 2 20" xfId="39087"/>
    <cellStyle name="asd 12 4 3 2 21" xfId="40768"/>
    <cellStyle name="asd 12 4 3 2 22" xfId="43121"/>
    <cellStyle name="asd 12 4 3 2 3" xfId="8690"/>
    <cellStyle name="asd 12 4 3 2 4" xfId="10600"/>
    <cellStyle name="asd 12 4 3 2 5" xfId="10951"/>
    <cellStyle name="asd 12 4 3 2 6" xfId="13823"/>
    <cellStyle name="asd 12 4 3 2 7" xfId="15725"/>
    <cellStyle name="asd 12 4 3 2 8" xfId="18219"/>
    <cellStyle name="asd 12 4 3 2 9" xfId="20125"/>
    <cellStyle name="asd 12 4 3 20" xfId="37937"/>
    <cellStyle name="asd 12 4 3 21" xfId="39555"/>
    <cellStyle name="asd 12 4 3 22" xfId="41229"/>
    <cellStyle name="asd 12 4 3 23" xfId="42452"/>
    <cellStyle name="asd 12 4 3 3" xfId="5181"/>
    <cellStyle name="asd 12 4 3 4" xfId="8082"/>
    <cellStyle name="asd 12 4 3 5" xfId="9992"/>
    <cellStyle name="asd 12 4 3 6" xfId="11757"/>
    <cellStyle name="asd 12 4 3 7" xfId="13113"/>
    <cellStyle name="asd 12 4 3 8" xfId="15018"/>
    <cellStyle name="asd 12 4 3 9" xfId="17611"/>
    <cellStyle name="asd 12 4 4" xfId="4109"/>
    <cellStyle name="asd 12 4 4 10" xfId="19744"/>
    <cellStyle name="asd 12 4 4 11" xfId="21656"/>
    <cellStyle name="asd 12 4 4 12" xfId="24173"/>
    <cellStyle name="asd 12 4 4 13" xfId="25458"/>
    <cellStyle name="asd 12 4 4 14" xfId="27578"/>
    <cellStyle name="asd 12 4 4 15" xfId="28556"/>
    <cellStyle name="asd 12 4 4 16" xfId="31157"/>
    <cellStyle name="asd 12 4 4 17" xfId="32200"/>
    <cellStyle name="asd 12 4 4 18" xfId="34473"/>
    <cellStyle name="asd 12 4 4 19" xfId="36285"/>
    <cellStyle name="asd 12 4 4 2" xfId="6014"/>
    <cellStyle name="asd 12 4 4 2 10" xfId="22264"/>
    <cellStyle name="asd 12 4 4 2 11" xfId="23823"/>
    <cellStyle name="asd 12 4 4 2 12" xfId="26066"/>
    <cellStyle name="asd 12 4 4 2 13" xfId="26286"/>
    <cellStyle name="asd 12 4 4 2 14" xfId="28850"/>
    <cellStyle name="asd 12 4 4 2 15" xfId="29895"/>
    <cellStyle name="asd 12 4 4 2 16" xfId="31712"/>
    <cellStyle name="asd 12 4 4 2 17" xfId="33908"/>
    <cellStyle name="asd 12 4 4 2 18" xfId="36893"/>
    <cellStyle name="asd 12 4 4 2 19" xfId="38772"/>
    <cellStyle name="asd 12 4 4 2 2" xfId="7463"/>
    <cellStyle name="asd 12 4 4 2 20" xfId="38953"/>
    <cellStyle name="asd 12 4 4 2 21" xfId="40636"/>
    <cellStyle name="asd 12 4 4 2 22" xfId="43574"/>
    <cellStyle name="asd 12 4 4 2 3" xfId="8917"/>
    <cellStyle name="asd 12 4 4 2 4" xfId="10827"/>
    <cellStyle name="asd 12 4 4 2 5" xfId="12668"/>
    <cellStyle name="asd 12 4 4 2 6" xfId="14293"/>
    <cellStyle name="asd 12 4 4 2 7" xfId="16197"/>
    <cellStyle name="asd 12 4 4 2 8" xfId="18446"/>
    <cellStyle name="asd 12 4 4 2 9" xfId="20352"/>
    <cellStyle name="asd 12 4 4 20" xfId="38164"/>
    <cellStyle name="asd 12 4 4 21" xfId="39422"/>
    <cellStyle name="asd 12 4 4 22" xfId="41098"/>
    <cellStyle name="asd 12 4 4 23" xfId="43915"/>
    <cellStyle name="asd 12 4 4 3" xfId="6855"/>
    <cellStyle name="asd 12 4 4 4" xfId="8309"/>
    <cellStyle name="asd 12 4 4 5" xfId="10219"/>
    <cellStyle name="asd 12 4 4 6" xfId="12133"/>
    <cellStyle name="asd 12 4 4 7" xfId="14644"/>
    <cellStyle name="asd 12 4 4 8" xfId="16550"/>
    <cellStyle name="asd 12 4 4 9" xfId="17838"/>
    <cellStyle name="asd 12 4 5" xfId="5596"/>
    <cellStyle name="asd 12 4 5 10" xfId="21846"/>
    <cellStyle name="asd 12 4 5 11" xfId="23467"/>
    <cellStyle name="asd 12 4 5 12" xfId="25648"/>
    <cellStyle name="asd 12 4 5 13" xfId="26269"/>
    <cellStyle name="asd 12 4 5 14" xfId="28248"/>
    <cellStyle name="asd 12 4 5 15" xfId="29878"/>
    <cellStyle name="asd 12 4 5 16" xfId="31838"/>
    <cellStyle name="asd 12 4 5 17" xfId="34212"/>
    <cellStyle name="asd 12 4 5 18" xfId="36475"/>
    <cellStyle name="asd 12 4 5 19" xfId="38354"/>
    <cellStyle name="asd 12 4 5 2" xfId="7045"/>
    <cellStyle name="asd 12 4 5 20" xfId="39075"/>
    <cellStyle name="asd 12 4 5 21" xfId="40757"/>
    <cellStyle name="asd 12 4 5 22" xfId="43234"/>
    <cellStyle name="asd 12 4 5 3" xfId="8499"/>
    <cellStyle name="asd 12 4 5 4" xfId="10409"/>
    <cellStyle name="asd 12 4 5 5" xfId="12585"/>
    <cellStyle name="asd 12 4 5 6" xfId="13939"/>
    <cellStyle name="asd 12 4 5 7" xfId="15840"/>
    <cellStyle name="asd 12 4 5 8" xfId="18028"/>
    <cellStyle name="asd 12 4 5 9" xfId="19934"/>
    <cellStyle name="asd 12 4 6" xfId="6670"/>
    <cellStyle name="asd 12 4 7" xfId="9293"/>
    <cellStyle name="asd 12 4 8" xfId="11623"/>
    <cellStyle name="asd 12 4 9" xfId="12867"/>
    <cellStyle name="asd 12 5" xfId="3229"/>
    <cellStyle name="asd 12 5 10" xfId="17278"/>
    <cellStyle name="asd 12 5 11" xfId="19184"/>
    <cellStyle name="asd 12 5 12" xfId="21096"/>
    <cellStyle name="asd 12 5 13" xfId="23520"/>
    <cellStyle name="asd 12 5 14" xfId="24898"/>
    <cellStyle name="asd 12 5 15" xfId="26329"/>
    <cellStyle name="asd 12 5 16" xfId="18530"/>
    <cellStyle name="asd 12 5 17" xfId="29937"/>
    <cellStyle name="asd 12 5 18" xfId="33244"/>
    <cellStyle name="asd 12 5 19" xfId="33484"/>
    <cellStyle name="asd 12 5 2" xfId="5502"/>
    <cellStyle name="asd 12 5 2 10" xfId="21752"/>
    <cellStyle name="asd 12 5 2 11" xfId="22419"/>
    <cellStyle name="asd 12 5 2 12" xfId="25554"/>
    <cellStyle name="asd 12 5 2 13" xfId="26684"/>
    <cellStyle name="asd 12 5 2 14" xfId="1774"/>
    <cellStyle name="asd 12 5 2 15" xfId="30284"/>
    <cellStyle name="asd 12 5 2 16" xfId="33205"/>
    <cellStyle name="asd 12 5 2 17" xfId="33429"/>
    <cellStyle name="asd 12 5 2 18" xfId="36381"/>
    <cellStyle name="asd 12 5 2 19" xfId="38260"/>
    <cellStyle name="asd 12 5 2 2" xfId="6951"/>
    <cellStyle name="asd 12 5 2 20" xfId="40394"/>
    <cellStyle name="asd 12 5 2 21" xfId="42050"/>
    <cellStyle name="asd 12 5 2 22" xfId="42230"/>
    <cellStyle name="asd 12 5 2 3" xfId="8405"/>
    <cellStyle name="asd 12 5 2 4" xfId="10315"/>
    <cellStyle name="asd 12 5 2 5" xfId="11340"/>
    <cellStyle name="asd 12 5 2 6" xfId="12886"/>
    <cellStyle name="asd 12 5 2 7" xfId="14791"/>
    <cellStyle name="asd 12 5 2 8" xfId="17934"/>
    <cellStyle name="asd 12 5 2 9" xfId="19840"/>
    <cellStyle name="asd 12 5 20" xfId="35725"/>
    <cellStyle name="asd 12 5 21" xfId="37604"/>
    <cellStyle name="asd 12 5 22" xfId="40433"/>
    <cellStyle name="asd 12 5 23" xfId="42088"/>
    <cellStyle name="asd 12 5 24" xfId="43285"/>
    <cellStyle name="asd 12 5 3" xfId="4848"/>
    <cellStyle name="asd 12 5 4" xfId="6298"/>
    <cellStyle name="asd 12 5 5" xfId="7749"/>
    <cellStyle name="asd 12 5 6" xfId="9659"/>
    <cellStyle name="asd 12 5 7" xfId="12552"/>
    <cellStyle name="asd 12 5 8" xfId="13992"/>
    <cellStyle name="asd 12 5 9" xfId="15893"/>
    <cellStyle name="asd 12 6" xfId="2251"/>
    <cellStyle name="asd 12 6 10" xfId="19040"/>
    <cellStyle name="asd 12 6 11" xfId="20952"/>
    <cellStyle name="asd 12 6 12" xfId="23759"/>
    <cellStyle name="asd 12 6 13" xfId="24754"/>
    <cellStyle name="asd 12 6 14" xfId="26257"/>
    <cellStyle name="asd 12 6 15" xfId="29292"/>
    <cellStyle name="asd 12 6 16" xfId="29867"/>
    <cellStyle name="asd 12 6 17" xfId="32160"/>
    <cellStyle name="asd 12 6 18" xfId="34901"/>
    <cellStyle name="asd 12 6 19" xfId="35581"/>
    <cellStyle name="asd 12 6 2" xfId="5485"/>
    <cellStyle name="asd 12 6 2 10" xfId="21735"/>
    <cellStyle name="asd 12 6 2 11" xfId="22881"/>
    <cellStyle name="asd 12 6 2 12" xfId="25537"/>
    <cellStyle name="asd 12 6 2 13" xfId="27551"/>
    <cellStyle name="asd 12 6 2 14" xfId="28400"/>
    <cellStyle name="asd 12 6 2 15" xfId="31132"/>
    <cellStyle name="asd 12 6 2 16" xfId="33230"/>
    <cellStyle name="asd 12 6 2 17" xfId="34643"/>
    <cellStyle name="asd 12 6 2 18" xfId="36364"/>
    <cellStyle name="asd 12 6 2 19" xfId="38243"/>
    <cellStyle name="asd 12 6 2 2" xfId="6934"/>
    <cellStyle name="asd 12 6 2 20" xfId="40419"/>
    <cellStyle name="asd 12 6 2 21" xfId="42075"/>
    <cellStyle name="asd 12 6 2 22" xfId="42668"/>
    <cellStyle name="asd 12 6 2 3" xfId="8388"/>
    <cellStyle name="asd 12 6 2 4" xfId="10298"/>
    <cellStyle name="asd 12 6 2 5" xfId="12390"/>
    <cellStyle name="asd 12 6 2 6" xfId="13349"/>
    <cellStyle name="asd 12 6 2 7" xfId="15254"/>
    <cellStyle name="asd 12 6 2 8" xfId="17917"/>
    <cellStyle name="asd 12 6 2 9" xfId="19823"/>
    <cellStyle name="asd 12 6 20" xfId="37460"/>
    <cellStyle name="asd 12 6 21" xfId="39383"/>
    <cellStyle name="asd 12 6 22" xfId="41059"/>
    <cellStyle name="asd 12 6 23" xfId="43512"/>
    <cellStyle name="asd 12 6 3" xfId="4706"/>
    <cellStyle name="asd 12 6 4" xfId="7605"/>
    <cellStyle name="asd 12 6 5" xfId="9515"/>
    <cellStyle name="asd 12 6 6" xfId="11663"/>
    <cellStyle name="asd 12 6 7" xfId="14229"/>
    <cellStyle name="asd 12 6 8" xfId="16133"/>
    <cellStyle name="asd 12 6 9" xfId="17134"/>
    <cellStyle name="asd 12 7" xfId="2814"/>
    <cellStyle name="asd 12 7 10" xfId="19112"/>
    <cellStyle name="asd 12 7 11" xfId="21024"/>
    <cellStyle name="asd 12 7 12" xfId="23907"/>
    <cellStyle name="asd 12 7 13" xfId="24826"/>
    <cellStyle name="asd 12 7 14" xfId="26827"/>
    <cellStyle name="asd 12 7 15" xfId="28526"/>
    <cellStyle name="asd 12 7 16" xfId="30425"/>
    <cellStyle name="asd 12 7 17" xfId="32006"/>
    <cellStyle name="asd 12 7 18" xfId="34012"/>
    <cellStyle name="asd 12 7 19" xfId="35653"/>
    <cellStyle name="asd 12 7 2" xfId="4286"/>
    <cellStyle name="asd 12 7 2 10" xfId="20593"/>
    <cellStyle name="asd 12 7 2 11" xfId="22851"/>
    <cellStyle name="asd 12 7 2 12" xfId="24395"/>
    <cellStyle name="asd 12 7 2 13" xfId="27792"/>
    <cellStyle name="asd 12 7 2 14" xfId="28608"/>
    <cellStyle name="asd 12 7 2 15" xfId="31369"/>
    <cellStyle name="asd 12 7 2 16" xfId="33269"/>
    <cellStyle name="asd 12 7 2 17" xfId="33441"/>
    <cellStyle name="asd 12 7 2 18" xfId="35223"/>
    <cellStyle name="asd 12 7 2 19" xfId="37101"/>
    <cellStyle name="asd 12 7 2 2" xfId="5416"/>
    <cellStyle name="asd 12 7 2 20" xfId="40455"/>
    <cellStyle name="asd 12 7 2 21" xfId="42110"/>
    <cellStyle name="asd 12 7 2 22" xfId="42642"/>
    <cellStyle name="asd 12 7 2 3" xfId="6701"/>
    <cellStyle name="asd 12 7 2 4" xfId="9155"/>
    <cellStyle name="asd 12 7 2 5" xfId="11647"/>
    <cellStyle name="asd 12 7 2 6" xfId="13320"/>
    <cellStyle name="asd 12 7 2 7" xfId="15224"/>
    <cellStyle name="asd 12 7 2 8" xfId="16774"/>
    <cellStyle name="asd 12 7 2 9" xfId="18681"/>
    <cellStyle name="asd 12 7 20" xfId="37532"/>
    <cellStyle name="asd 12 7 21" xfId="39237"/>
    <cellStyle name="asd 12 7 22" xfId="40914"/>
    <cellStyle name="asd 12 7 23" xfId="43653"/>
    <cellStyle name="asd 12 7 3" xfId="6226"/>
    <cellStyle name="asd 12 7 4" xfId="7677"/>
    <cellStyle name="asd 12 7 5" xfId="9587"/>
    <cellStyle name="asd 12 7 6" xfId="11866"/>
    <cellStyle name="asd 12 7 7" xfId="14375"/>
    <cellStyle name="asd 12 7 8" xfId="16281"/>
    <cellStyle name="asd 12 7 9" xfId="17206"/>
    <cellStyle name="asd 12 8" xfId="3726"/>
    <cellStyle name="asd 12 9" xfId="3036"/>
    <cellStyle name="asd 13" xfId="769"/>
    <cellStyle name="asd 13 10" xfId="2060"/>
    <cellStyle name="asd 13 11" xfId="6130"/>
    <cellStyle name="asd 13 12" xfId="5372"/>
    <cellStyle name="asd 13 13" xfId="4167"/>
    <cellStyle name="asd 13 14" xfId="3733"/>
    <cellStyle name="asd 13 15" xfId="2846"/>
    <cellStyle name="asd 13 16" xfId="1782"/>
    <cellStyle name="asd 13 17" xfId="3771"/>
    <cellStyle name="asd 13 18" xfId="24225"/>
    <cellStyle name="asd 13 19" xfId="26789"/>
    <cellStyle name="asd 13 2" xfId="3469"/>
    <cellStyle name="asd 13 2 10" xfId="13099"/>
    <cellStyle name="asd 13 2 11" xfId="15004"/>
    <cellStyle name="asd 13 2 12" xfId="16887"/>
    <cellStyle name="asd 13 2 13" xfId="18794"/>
    <cellStyle name="asd 13 2 14" xfId="20706"/>
    <cellStyle name="asd 13 2 15" xfId="22632"/>
    <cellStyle name="asd 13 2 16" xfId="24508"/>
    <cellStyle name="asd 13 2 17" xfId="27320"/>
    <cellStyle name="asd 13 2 18" xfId="28123"/>
    <cellStyle name="asd 13 2 19" xfId="30910"/>
    <cellStyle name="asd 13 2 2" xfId="3649"/>
    <cellStyle name="asd 13 2 2 10" xfId="17540"/>
    <cellStyle name="asd 13 2 2 11" xfId="19446"/>
    <cellStyle name="asd 13 2 2 12" xfId="21358"/>
    <cellStyle name="asd 13 2 2 13" xfId="23136"/>
    <cellStyle name="asd 13 2 2 14" xfId="25160"/>
    <cellStyle name="asd 13 2 2 15" xfId="27452"/>
    <cellStyle name="asd 13 2 2 16" xfId="29473"/>
    <cellStyle name="asd 13 2 2 17" xfId="31039"/>
    <cellStyle name="asd 13 2 2 18" xfId="32096"/>
    <cellStyle name="asd 13 2 2 19" xfId="34285"/>
    <cellStyle name="asd 13 2 2 2" xfId="4915"/>
    <cellStyle name="asd 13 2 2 2 10" xfId="21163"/>
    <cellStyle name="asd 13 2 2 2 11" xfId="23967"/>
    <cellStyle name="asd 13 2 2 2 12" xfId="24965"/>
    <cellStyle name="asd 13 2 2 2 13" xfId="26380"/>
    <cellStyle name="asd 13 2 2 2 14" xfId="28904"/>
    <cellStyle name="asd 13 2 2 2 15" xfId="29988"/>
    <cellStyle name="asd 13 2 2 2 16" xfId="32025"/>
    <cellStyle name="asd 13 2 2 2 17" xfId="33457"/>
    <cellStyle name="asd 13 2 2 2 18" xfId="35792"/>
    <cellStyle name="asd 13 2 2 2 19" xfId="37671"/>
    <cellStyle name="asd 13 2 2 2 2" xfId="6365"/>
    <cellStyle name="asd 13 2 2 2 20" xfId="39255"/>
    <cellStyle name="asd 13 2 2 2 21" xfId="40932"/>
    <cellStyle name="asd 13 2 2 2 22" xfId="43713"/>
    <cellStyle name="asd 13 2 2 2 3" xfId="7816"/>
    <cellStyle name="asd 13 2 2 2 4" xfId="9726"/>
    <cellStyle name="asd 13 2 2 2 5" xfId="11927"/>
    <cellStyle name="asd 13 2 2 2 6" xfId="14437"/>
    <cellStyle name="asd 13 2 2 2 7" xfId="16343"/>
    <cellStyle name="asd 13 2 2 2 8" xfId="17345"/>
    <cellStyle name="asd 13 2 2 2 9" xfId="19251"/>
    <cellStyle name="asd 13 2 2 20" xfId="35987"/>
    <cellStyle name="asd 13 2 2 21" xfId="37866"/>
    <cellStyle name="asd 13 2 2 22" xfId="39320"/>
    <cellStyle name="asd 13 2 2 23" xfId="40996"/>
    <cellStyle name="asd 13 2 2 24" xfId="42914"/>
    <cellStyle name="asd 13 2 2 3" xfId="5110"/>
    <cellStyle name="asd 13 2 2 4" xfId="6560"/>
    <cellStyle name="asd 13 2 2 5" xfId="8011"/>
    <cellStyle name="asd 13 2 2 6" xfId="9921"/>
    <cellStyle name="asd 13 2 2 7" xfId="12760"/>
    <cellStyle name="asd 13 2 2 8" xfId="13607"/>
    <cellStyle name="asd 13 2 2 9" xfId="15510"/>
    <cellStyle name="asd 13 2 20" xfId="32916"/>
    <cellStyle name="asd 13 2 21" xfId="33472"/>
    <cellStyle name="asd 13 2 22" xfId="35336"/>
    <cellStyle name="asd 13 2 23" xfId="37214"/>
    <cellStyle name="asd 13 2 24" xfId="40120"/>
    <cellStyle name="asd 13 2 25" xfId="41780"/>
    <cellStyle name="asd 13 2 26" xfId="42438"/>
    <cellStyle name="asd 13 2 3" xfId="3785"/>
    <cellStyle name="asd 13 2 3 10" xfId="19523"/>
    <cellStyle name="asd 13 2 3 11" xfId="21435"/>
    <cellStyle name="asd 13 2 3 12" xfId="23742"/>
    <cellStyle name="asd 13 2 3 13" xfId="25237"/>
    <cellStyle name="asd 13 2 3 14" xfId="27445"/>
    <cellStyle name="asd 13 2 3 15" xfId="29160"/>
    <cellStyle name="asd 13 2 3 16" xfId="31031"/>
    <cellStyle name="asd 13 2 3 17" xfId="32480"/>
    <cellStyle name="asd 13 2 3 18" xfId="33658"/>
    <cellStyle name="asd 13 2 3 19" xfId="36064"/>
    <cellStyle name="asd 13 2 3 2" xfId="5793"/>
    <cellStyle name="asd 13 2 3 2 10" xfId="22043"/>
    <cellStyle name="asd 13 2 3 2 11" xfId="24186"/>
    <cellStyle name="asd 13 2 3 2 12" xfId="25845"/>
    <cellStyle name="asd 13 2 3 2 13" xfId="3770"/>
    <cellStyle name="asd 13 2 3 2 14" xfId="1784"/>
    <cellStyle name="asd 13 2 3 2 15" xfId="27388"/>
    <cellStyle name="asd 13 2 3 2 16" xfId="2560"/>
    <cellStyle name="asd 13 2 3 2 17" xfId="2613"/>
    <cellStyle name="asd 13 2 3 2 18" xfId="36672"/>
    <cellStyle name="asd 13 2 3 2 19" xfId="38551"/>
    <cellStyle name="asd 13 2 3 2 2" xfId="7242"/>
    <cellStyle name="asd 13 2 3 2 20" xfId="3728"/>
    <cellStyle name="asd 13 2 3 2 21" xfId="30939"/>
    <cellStyle name="asd 13 2 3 2 22" xfId="43925"/>
    <cellStyle name="asd 13 2 3 2 3" xfId="8696"/>
    <cellStyle name="asd 13 2 3 2 4" xfId="10606"/>
    <cellStyle name="asd 13 2 3 2 5" xfId="12146"/>
    <cellStyle name="asd 13 2 3 2 6" xfId="14658"/>
    <cellStyle name="asd 13 2 3 2 7" xfId="16564"/>
    <cellStyle name="asd 13 2 3 2 8" xfId="18225"/>
    <cellStyle name="asd 13 2 3 2 9" xfId="20131"/>
    <cellStyle name="asd 13 2 3 20" xfId="37943"/>
    <cellStyle name="asd 13 2 3 21" xfId="39698"/>
    <cellStyle name="asd 13 2 3 22" xfId="41371"/>
    <cellStyle name="asd 13 2 3 23" xfId="43495"/>
    <cellStyle name="asd 13 2 3 3" xfId="5187"/>
    <cellStyle name="asd 13 2 3 4" xfId="8088"/>
    <cellStyle name="asd 13 2 3 5" xfId="9998"/>
    <cellStyle name="asd 13 2 3 6" xfId="11486"/>
    <cellStyle name="asd 13 2 3 7" xfId="14212"/>
    <cellStyle name="asd 13 2 3 8" xfId="16116"/>
    <cellStyle name="asd 13 2 3 9" xfId="17617"/>
    <cellStyle name="asd 13 2 4" xfId="4101"/>
    <cellStyle name="asd 13 2 4 10" xfId="19736"/>
    <cellStyle name="asd 13 2 4 11" xfId="21648"/>
    <cellStyle name="asd 13 2 4 12" xfId="23597"/>
    <cellStyle name="asd 13 2 4 13" xfId="25450"/>
    <cellStyle name="asd 13 2 4 14" xfId="27405"/>
    <cellStyle name="asd 13 2 4 15" xfId="29276"/>
    <cellStyle name="asd 13 2 4 16" xfId="30991"/>
    <cellStyle name="asd 13 2 4 17" xfId="32977"/>
    <cellStyle name="asd 13 2 4 18" xfId="34561"/>
    <cellStyle name="asd 13 2 4 19" xfId="36277"/>
    <cellStyle name="asd 13 2 4 2" xfId="6006"/>
    <cellStyle name="asd 13 2 4 2 10" xfId="22256"/>
    <cellStyle name="asd 13 2 4 2 11" xfId="22359"/>
    <cellStyle name="asd 13 2 4 2 12" xfId="26058"/>
    <cellStyle name="asd 13 2 4 2 13" xfId="14045"/>
    <cellStyle name="asd 13 2 4 2 14" xfId="16563"/>
    <cellStyle name="asd 13 2 4 2 15" xfId="3723"/>
    <cellStyle name="asd 13 2 4 2 16" xfId="14711"/>
    <cellStyle name="asd 13 2 4 2 17" xfId="10900"/>
    <cellStyle name="asd 13 2 4 2 18" xfId="36885"/>
    <cellStyle name="asd 13 2 4 2 19" xfId="38764"/>
    <cellStyle name="asd 13 2 4 2 2" xfId="7455"/>
    <cellStyle name="asd 13 2 4 2 20" xfId="29289"/>
    <cellStyle name="asd 13 2 4 2 21" xfId="31639"/>
    <cellStyle name="asd 13 2 4 2 22" xfId="42171"/>
    <cellStyle name="asd 13 2 4 2 3" xfId="8909"/>
    <cellStyle name="asd 13 2 4 2 4" xfId="10819"/>
    <cellStyle name="asd 13 2 4 2 5" xfId="2314"/>
    <cellStyle name="asd 13 2 4 2 6" xfId="12826"/>
    <cellStyle name="asd 13 2 4 2 7" xfId="14731"/>
    <cellStyle name="asd 13 2 4 2 8" xfId="18438"/>
    <cellStyle name="asd 13 2 4 2 9" xfId="20344"/>
    <cellStyle name="asd 13 2 4 20" xfId="38156"/>
    <cellStyle name="asd 13 2 4 21" xfId="40178"/>
    <cellStyle name="asd 13 2 4 22" xfId="41837"/>
    <cellStyle name="asd 13 2 4 23" xfId="43356"/>
    <cellStyle name="asd 13 2 4 3" xfId="6847"/>
    <cellStyle name="asd 13 2 4 4" xfId="8301"/>
    <cellStyle name="asd 13 2 4 5" xfId="10211"/>
    <cellStyle name="asd 13 2 4 6" xfId="12201"/>
    <cellStyle name="asd 13 2 4 7" xfId="14067"/>
    <cellStyle name="asd 13 2 4 8" xfId="15970"/>
    <cellStyle name="asd 13 2 4 9" xfId="17830"/>
    <cellStyle name="asd 13 2 5" xfId="4953"/>
    <cellStyle name="asd 13 2 5 10" xfId="21201"/>
    <cellStyle name="asd 13 2 5 11" xfId="3131"/>
    <cellStyle name="asd 13 2 5 12" xfId="25003"/>
    <cellStyle name="asd 13 2 5 13" xfId="2281"/>
    <cellStyle name="asd 13 2 5 14" xfId="22832"/>
    <cellStyle name="asd 13 2 5 15" xfId="27998"/>
    <cellStyle name="asd 13 2 5 16" xfId="24251"/>
    <cellStyle name="asd 13 2 5 17" xfId="23811"/>
    <cellStyle name="asd 13 2 5 18" xfId="35830"/>
    <cellStyle name="asd 13 2 5 19" xfId="37709"/>
    <cellStyle name="asd 13 2 5 2" xfId="6403"/>
    <cellStyle name="asd 13 2 5 20" xfId="33353"/>
    <cellStyle name="asd 13 2 5 21" xfId="29062"/>
    <cellStyle name="asd 13 2 5 22" xfId="28001"/>
    <cellStyle name="asd 13 2 5 3" xfId="7854"/>
    <cellStyle name="asd 13 2 5 4" xfId="9764"/>
    <cellStyle name="asd 13 2 5 5" xfId="12315"/>
    <cellStyle name="asd 13 2 5 6" xfId="1860"/>
    <cellStyle name="asd 13 2 5 7" xfId="2957"/>
    <cellStyle name="asd 13 2 5 8" xfId="17383"/>
    <cellStyle name="asd 13 2 5 9" xfId="19289"/>
    <cellStyle name="asd 13 2 6" xfId="5713"/>
    <cellStyle name="asd 13 2 6 10" xfId="21963"/>
    <cellStyle name="asd 13 2 6 11" xfId="22670"/>
    <cellStyle name="asd 13 2 6 12" xfId="25765"/>
    <cellStyle name="asd 13 2 6 13" xfId="26354"/>
    <cellStyle name="asd 13 2 6 14" xfId="29051"/>
    <cellStyle name="asd 13 2 6 15" xfId="29962"/>
    <cellStyle name="asd 13 2 6 16" xfId="32642"/>
    <cellStyle name="asd 13 2 6 17" xfId="34155"/>
    <cellStyle name="asd 13 2 6 18" xfId="36592"/>
    <cellStyle name="asd 13 2 6 19" xfId="38471"/>
    <cellStyle name="asd 13 2 6 2" xfId="7162"/>
    <cellStyle name="asd 13 2 6 20" xfId="39849"/>
    <cellStyle name="asd 13 2 6 21" xfId="41518"/>
    <cellStyle name="asd 13 2 6 22" xfId="42475"/>
    <cellStyle name="asd 13 2 6 3" xfId="8616"/>
    <cellStyle name="asd 13 2 6 4" xfId="10526"/>
    <cellStyle name="asd 13 2 6 5" xfId="11571"/>
    <cellStyle name="asd 13 2 6 6" xfId="13137"/>
    <cellStyle name="asd 13 2 6 7" xfId="15042"/>
    <cellStyle name="asd 13 2 6 8" xfId="18145"/>
    <cellStyle name="asd 13 2 6 9" xfId="20051"/>
    <cellStyle name="asd 13 2 7" xfId="5300"/>
    <cellStyle name="asd 13 2 8" xfId="9268"/>
    <cellStyle name="asd 13 2 9" xfId="2028"/>
    <cellStyle name="asd 13 20" xfId="2025"/>
    <cellStyle name="asd 13 21" xfId="28000"/>
    <cellStyle name="asd 13 22" xfId="2496"/>
    <cellStyle name="asd 13 23" xfId="4197"/>
    <cellStyle name="asd 13 24" xfId="31587"/>
    <cellStyle name="asd 13 25" xfId="28391"/>
    <cellStyle name="asd 13 26" xfId="34323"/>
    <cellStyle name="asd 13 27" xfId="29220"/>
    <cellStyle name="asd 13 3" xfId="3447"/>
    <cellStyle name="asd 13 3 10" xfId="14321"/>
    <cellStyle name="asd 13 3 11" xfId="16225"/>
    <cellStyle name="asd 13 3 12" xfId="16832"/>
    <cellStyle name="asd 13 3 13" xfId="18739"/>
    <cellStyle name="asd 13 3 14" xfId="20651"/>
    <cellStyle name="asd 13 3 15" xfId="23851"/>
    <cellStyle name="asd 13 3 16" xfId="24453"/>
    <cellStyle name="asd 13 3 17" xfId="26832"/>
    <cellStyle name="asd 13 3 18" xfId="2940"/>
    <cellStyle name="asd 13 3 19" xfId="30430"/>
    <cellStyle name="asd 13 3 2" xfId="3627"/>
    <cellStyle name="asd 13 3 2 10" xfId="17518"/>
    <cellStyle name="asd 13 3 2 11" xfId="19424"/>
    <cellStyle name="asd 13 3 2 12" xfId="21336"/>
    <cellStyle name="asd 13 3 2 13" xfId="22596"/>
    <cellStyle name="asd 13 3 2 14" xfId="25138"/>
    <cellStyle name="asd 13 3 2 15" xfId="27480"/>
    <cellStyle name="asd 13 3 2 16" xfId="28725"/>
    <cellStyle name="asd 13 3 2 17" xfId="31067"/>
    <cellStyle name="asd 13 3 2 18" xfId="32841"/>
    <cellStyle name="asd 13 3 2 19" xfId="34359"/>
    <cellStyle name="asd 13 3 2 2" xfId="5738"/>
    <cellStyle name="asd 13 3 2 2 10" xfId="21988"/>
    <cellStyle name="asd 13 3 2 2 11" xfId="22663"/>
    <cellStyle name="asd 13 3 2 2 12" xfId="25790"/>
    <cellStyle name="asd 13 3 2 2 13" xfId="26876"/>
    <cellStyle name="asd 13 3 2 2 14" xfId="4418"/>
    <cellStyle name="asd 13 3 2 2 15" xfId="30473"/>
    <cellStyle name="asd 13 3 2 2 16" xfId="31999"/>
    <cellStyle name="asd 13 3 2 2 17" xfId="35061"/>
    <cellStyle name="asd 13 3 2 2 18" xfId="36617"/>
    <cellStyle name="asd 13 3 2 2 19" xfId="38496"/>
    <cellStyle name="asd 13 3 2 2 2" xfId="7187"/>
    <cellStyle name="asd 13 3 2 2 20" xfId="39230"/>
    <cellStyle name="asd 13 3 2 2 21" xfId="40907"/>
    <cellStyle name="asd 13 3 2 2 22" xfId="42469"/>
    <cellStyle name="asd 13 3 2 2 3" xfId="8641"/>
    <cellStyle name="asd 13 3 2 2 4" xfId="10551"/>
    <cellStyle name="asd 13 3 2 2 5" xfId="11510"/>
    <cellStyle name="asd 13 3 2 2 6" xfId="13130"/>
    <cellStyle name="asd 13 3 2 2 7" xfId="15035"/>
    <cellStyle name="asd 13 3 2 2 8" xfId="18170"/>
    <cellStyle name="asd 13 3 2 2 9" xfId="20076"/>
    <cellStyle name="asd 13 3 2 20" xfId="35965"/>
    <cellStyle name="asd 13 3 2 21" xfId="37844"/>
    <cellStyle name="asd 13 3 2 22" xfId="40048"/>
    <cellStyle name="asd 13 3 2 23" xfId="41712"/>
    <cellStyle name="asd 13 3 2 24" xfId="42405"/>
    <cellStyle name="asd 13 3 2 3" xfId="5088"/>
    <cellStyle name="asd 13 3 2 4" xfId="6538"/>
    <cellStyle name="asd 13 3 2 5" xfId="7989"/>
    <cellStyle name="asd 13 3 2 6" xfId="9899"/>
    <cellStyle name="asd 13 3 2 7" xfId="11484"/>
    <cellStyle name="asd 13 3 2 8" xfId="13064"/>
    <cellStyle name="asd 13 3 2 9" xfId="14968"/>
    <cellStyle name="asd 13 3 20" xfId="33008"/>
    <cellStyle name="asd 13 3 21" xfId="16347"/>
    <cellStyle name="asd 13 3 22" xfId="35281"/>
    <cellStyle name="asd 13 3 23" xfId="37159"/>
    <cellStyle name="asd 13 3 24" xfId="40208"/>
    <cellStyle name="asd 13 3 25" xfId="41867"/>
    <cellStyle name="asd 13 3 26" xfId="43602"/>
    <cellStyle name="asd 13 3 3" xfId="2569"/>
    <cellStyle name="asd 13 3 3 10" xfId="19084"/>
    <cellStyle name="asd 13 3 3 11" xfId="20996"/>
    <cellStyle name="asd 13 3 3 12" xfId="24190"/>
    <cellStyle name="asd 13 3 3 13" xfId="24798"/>
    <cellStyle name="asd 13 3 3 14" xfId="4229"/>
    <cellStyle name="asd 13 3 3 15" xfId="23577"/>
    <cellStyle name="asd 13 3 3 16" xfId="2423"/>
    <cellStyle name="asd 13 3 3 17" xfId="2531"/>
    <cellStyle name="asd 13 3 3 18" xfId="31585"/>
    <cellStyle name="asd 13 3 3 19" xfId="35625"/>
    <cellStyle name="asd 13 3 3 2" xfId="4285"/>
    <cellStyle name="asd 13 3 3 2 10" xfId="20455"/>
    <cellStyle name="asd 13 3 3 2 11" xfId="23711"/>
    <cellStyle name="asd 13 3 3 2 12" xfId="24257"/>
    <cellStyle name="asd 13 3 3 2 13" xfId="27851"/>
    <cellStyle name="asd 13 3 3 2 14" xfId="29166"/>
    <cellStyle name="asd 13 3 3 2 15" xfId="31430"/>
    <cellStyle name="asd 13 3 3 2 16" xfId="33034"/>
    <cellStyle name="asd 13 3 3 2 17" xfId="33657"/>
    <cellStyle name="asd 13 3 3 2 18" xfId="35085"/>
    <cellStyle name="asd 13 3 3 2 19" xfId="36963"/>
    <cellStyle name="asd 13 3 3 2 2" xfId="5332"/>
    <cellStyle name="asd 13 3 3 2 20" xfId="40233"/>
    <cellStyle name="asd 13 3 3 2 21" xfId="41892"/>
    <cellStyle name="asd 13 3 3 2 22" xfId="43468"/>
    <cellStyle name="asd 13 3 3 2 3" xfId="6637"/>
    <cellStyle name="asd 13 3 3 2 4" xfId="9017"/>
    <cellStyle name="asd 13 3 3 2 5" xfId="11482"/>
    <cellStyle name="asd 13 3 3 2 6" xfId="14181"/>
    <cellStyle name="asd 13 3 3 2 7" xfId="16085"/>
    <cellStyle name="asd 13 3 3 2 8" xfId="16636"/>
    <cellStyle name="asd 13 3 3 2 9" xfId="18543"/>
    <cellStyle name="asd 13 3 3 20" xfId="37504"/>
    <cellStyle name="asd 13 3 3 21" xfId="2333"/>
    <cellStyle name="asd 13 3 3 22" xfId="28147"/>
    <cellStyle name="asd 13 3 3 23" xfId="43928"/>
    <cellStyle name="asd 13 3 3 3" xfId="4749"/>
    <cellStyle name="asd 13 3 3 4" xfId="7649"/>
    <cellStyle name="asd 13 3 3 5" xfId="9559"/>
    <cellStyle name="asd 13 3 3 6" xfId="12150"/>
    <cellStyle name="asd 13 3 3 7" xfId="14662"/>
    <cellStyle name="asd 13 3 3 8" xfId="16568"/>
    <cellStyle name="asd 13 3 3 9" xfId="17178"/>
    <cellStyle name="asd 13 3 4" xfId="4079"/>
    <cellStyle name="asd 13 3 4 10" xfId="19714"/>
    <cellStyle name="asd 13 3 4 11" xfId="21626"/>
    <cellStyle name="asd 13 3 4 12" xfId="22888"/>
    <cellStyle name="asd 13 3 4 13" xfId="25428"/>
    <cellStyle name="asd 13 3 4 14" xfId="26394"/>
    <cellStyle name="asd 13 3 4 15" xfId="28407"/>
    <cellStyle name="asd 13 3 4 16" xfId="30002"/>
    <cellStyle name="asd 13 3 4 17" xfId="32232"/>
    <cellStyle name="asd 13 3 4 18" xfId="34888"/>
    <cellStyle name="asd 13 3 4 19" xfId="36255"/>
    <cellStyle name="asd 13 3 4 2" xfId="5984"/>
    <cellStyle name="asd 13 3 4 2 10" xfId="22234"/>
    <cellStyle name="asd 13 3 4 2 11" xfId="23966"/>
    <cellStyle name="asd 13 3 4 2 12" xfId="26036"/>
    <cellStyle name="asd 13 3 4 2 13" xfId="27128"/>
    <cellStyle name="asd 13 3 4 2 14" xfId="28886"/>
    <cellStyle name="asd 13 3 4 2 15" xfId="30719"/>
    <cellStyle name="asd 13 3 4 2 16" xfId="32132"/>
    <cellStyle name="asd 13 3 4 2 17" xfId="34571"/>
    <cellStyle name="asd 13 3 4 2 18" xfId="36863"/>
    <cellStyle name="asd 13 3 4 2 19" xfId="38742"/>
    <cellStyle name="asd 13 3 4 2 2" xfId="7433"/>
    <cellStyle name="asd 13 3 4 2 20" xfId="39355"/>
    <cellStyle name="asd 13 3 4 2 21" xfId="41031"/>
    <cellStyle name="asd 13 3 4 2 22" xfId="43712"/>
    <cellStyle name="asd 13 3 4 2 3" xfId="8887"/>
    <cellStyle name="asd 13 3 4 2 4" xfId="10797"/>
    <cellStyle name="asd 13 3 4 2 5" xfId="11926"/>
    <cellStyle name="asd 13 3 4 2 6" xfId="14436"/>
    <cellStyle name="asd 13 3 4 2 7" xfId="16342"/>
    <cellStyle name="asd 13 3 4 2 8" xfId="18416"/>
    <cellStyle name="asd 13 3 4 2 9" xfId="20322"/>
    <cellStyle name="asd 13 3 4 20" xfId="38134"/>
    <cellStyle name="asd 13 3 4 21" xfId="39451"/>
    <cellStyle name="asd 13 3 4 22" xfId="41126"/>
    <cellStyle name="asd 13 3 4 23" xfId="42674"/>
    <cellStyle name="asd 13 3 4 3" xfId="6825"/>
    <cellStyle name="asd 13 3 4 4" xfId="8279"/>
    <cellStyle name="asd 13 3 4 5" xfId="10189"/>
    <cellStyle name="asd 13 3 4 6" xfId="12469"/>
    <cellStyle name="asd 13 3 4 7" xfId="13356"/>
    <cellStyle name="asd 13 3 4 8" xfId="15261"/>
    <cellStyle name="asd 13 3 4 9" xfId="17808"/>
    <cellStyle name="asd 13 3 5" xfId="4934"/>
    <cellStyle name="asd 13 3 5 10" xfId="21182"/>
    <cellStyle name="asd 13 3 5 11" xfId="2515"/>
    <cellStyle name="asd 13 3 5 12" xfId="24984"/>
    <cellStyle name="asd 13 3 5 13" xfId="16619"/>
    <cellStyle name="asd 13 3 5 14" xfId="27978"/>
    <cellStyle name="asd 13 3 5 15" xfId="14724"/>
    <cellStyle name="asd 13 3 5 16" xfId="31578"/>
    <cellStyle name="asd 13 3 5 17" xfId="33050"/>
    <cellStyle name="asd 13 3 5 18" xfId="35811"/>
    <cellStyle name="asd 13 3 5 19" xfId="37690"/>
    <cellStyle name="asd 13 3 5 2" xfId="6384"/>
    <cellStyle name="asd 13 3 5 20" xfId="38833"/>
    <cellStyle name="asd 13 3 5 21" xfId="40521"/>
    <cellStyle name="asd 13 3 5 22" xfId="33346"/>
    <cellStyle name="asd 13 3 5 3" xfId="7835"/>
    <cellStyle name="asd 13 3 5 4" xfId="9745"/>
    <cellStyle name="asd 13 3 5 5" xfId="12349"/>
    <cellStyle name="asd 13 3 5 6" xfId="4163"/>
    <cellStyle name="asd 13 3 5 7" xfId="2956"/>
    <cellStyle name="asd 13 3 5 8" xfId="17364"/>
    <cellStyle name="asd 13 3 5 9" xfId="19270"/>
    <cellStyle name="asd 13 3 6" xfId="5671"/>
    <cellStyle name="asd 13 3 6 10" xfId="21921"/>
    <cellStyle name="asd 13 3 6 11" xfId="23562"/>
    <cellStyle name="asd 13 3 6 12" xfId="25723"/>
    <cellStyle name="asd 13 3 6 13" xfId="26455"/>
    <cellStyle name="asd 13 3 6 14" xfId="28753"/>
    <cellStyle name="asd 13 3 6 15" xfId="30061"/>
    <cellStyle name="asd 13 3 6 16" xfId="32343"/>
    <cellStyle name="asd 13 3 6 17" xfId="34379"/>
    <cellStyle name="asd 13 3 6 18" xfId="36550"/>
    <cellStyle name="asd 13 3 6 19" xfId="38429"/>
    <cellStyle name="asd 13 3 6 2" xfId="7120"/>
    <cellStyle name="asd 13 3 6 20" xfId="39562"/>
    <cellStyle name="asd 13 3 6 21" xfId="41236"/>
    <cellStyle name="asd 13 3 6 22" xfId="43326"/>
    <cellStyle name="asd 13 3 6 3" xfId="8574"/>
    <cellStyle name="asd 13 3 6 4" xfId="10484"/>
    <cellStyle name="asd 13 3 6 5" xfId="11252"/>
    <cellStyle name="asd 13 3 6 6" xfId="14034"/>
    <cellStyle name="asd 13 3 6 7" xfId="15935"/>
    <cellStyle name="asd 13 3 6 8" xfId="18103"/>
    <cellStyle name="asd 13 3 6 9" xfId="20009"/>
    <cellStyle name="asd 13 3 7" xfId="6695"/>
    <cellStyle name="asd 13 3 8" xfId="9213"/>
    <cellStyle name="asd 13 3 9" xfId="11552"/>
    <cellStyle name="asd 13 4" xfId="3377"/>
    <cellStyle name="asd 13 4 10" xfId="2606"/>
    <cellStyle name="asd 13 4 11" xfId="16690"/>
    <cellStyle name="asd 13 4 12" xfId="18597"/>
    <cellStyle name="asd 13 4 13" xfId="20509"/>
    <cellStyle name="asd 13 4 14" xfId="12776"/>
    <cellStyle name="asd 13 4 15" xfId="24311"/>
    <cellStyle name="asd 13 4 16" xfId="20416"/>
    <cellStyle name="asd 13 4 17" xfId="2350"/>
    <cellStyle name="asd 13 4 18" xfId="12808"/>
    <cellStyle name="asd 13 4 19" xfId="8975"/>
    <cellStyle name="asd 13 4 2" xfId="3557"/>
    <cellStyle name="asd 13 4 2 10" xfId="17448"/>
    <cellStyle name="asd 13 4 2 11" xfId="19354"/>
    <cellStyle name="asd 13 4 2 12" xfId="21266"/>
    <cellStyle name="asd 13 4 2 13" xfId="22564"/>
    <cellStyle name="asd 13 4 2 14" xfId="25068"/>
    <cellStyle name="asd 13 4 2 15" xfId="26886"/>
    <cellStyle name="asd 13 4 2 16" xfId="29111"/>
    <cellStyle name="asd 13 4 2 17" xfId="30483"/>
    <cellStyle name="asd 13 4 2 18" xfId="31878"/>
    <cellStyle name="asd 13 4 2 19" xfId="34913"/>
    <cellStyle name="asd 13 4 2 2" xfId="5625"/>
    <cellStyle name="asd 13 4 2 2 10" xfId="21875"/>
    <cellStyle name="asd 13 4 2 2 11" xfId="22502"/>
    <cellStyle name="asd 13 4 2 2 12" xfId="25677"/>
    <cellStyle name="asd 13 4 2 2 13" xfId="26635"/>
    <cellStyle name="asd 13 4 2 2 14" xfId="2482"/>
    <cellStyle name="asd 13 4 2 2 15" xfId="30238"/>
    <cellStyle name="asd 13 4 2 2 16" xfId="33002"/>
    <cellStyle name="asd 13 4 2 2 17" xfId="34945"/>
    <cellStyle name="asd 13 4 2 2 18" xfId="36504"/>
    <cellStyle name="asd 13 4 2 2 19" xfId="38383"/>
    <cellStyle name="asd 13 4 2 2 2" xfId="7074"/>
    <cellStyle name="asd 13 4 2 2 20" xfId="40202"/>
    <cellStyle name="asd 13 4 2 2 21" xfId="41861"/>
    <cellStyle name="asd 13 4 2 2 22" xfId="42312"/>
    <cellStyle name="asd 13 4 2 2 3" xfId="8528"/>
    <cellStyle name="asd 13 4 2 2 4" xfId="10438"/>
    <cellStyle name="asd 13 4 2 2 5" xfId="11323"/>
    <cellStyle name="asd 13 4 2 2 6" xfId="12970"/>
    <cellStyle name="asd 13 4 2 2 7" xfId="14874"/>
    <cellStyle name="asd 13 4 2 2 8" xfId="18057"/>
    <cellStyle name="asd 13 4 2 2 9" xfId="19963"/>
    <cellStyle name="asd 13 4 2 20" xfId="35895"/>
    <cellStyle name="asd 13 4 2 21" xfId="37774"/>
    <cellStyle name="asd 13 4 2 22" xfId="39113"/>
    <cellStyle name="asd 13 4 2 23" xfId="40794"/>
    <cellStyle name="asd 13 4 2 24" xfId="42373"/>
    <cellStyle name="asd 13 4 2 3" xfId="5018"/>
    <cellStyle name="asd 13 4 2 4" xfId="6468"/>
    <cellStyle name="asd 13 4 2 5" xfId="7919"/>
    <cellStyle name="asd 13 4 2 6" xfId="9829"/>
    <cellStyle name="asd 13 4 2 7" xfId="2068"/>
    <cellStyle name="asd 13 4 2 8" xfId="13032"/>
    <cellStyle name="asd 13 4 2 9" xfId="14936"/>
    <cellStyle name="asd 13 4 20" xfId="3730"/>
    <cellStyle name="asd 13 4 21" xfId="35139"/>
    <cellStyle name="asd 13 4 22" xfId="37017"/>
    <cellStyle name="asd 13 4 23" xfId="34225"/>
    <cellStyle name="asd 13 4 24" xfId="34264"/>
    <cellStyle name="asd 13 4 25" xfId="31293"/>
    <cellStyle name="asd 13 4 3" xfId="3843"/>
    <cellStyle name="asd 13 4 3 10" xfId="19566"/>
    <cellStyle name="asd 13 4 3 11" xfId="21478"/>
    <cellStyle name="asd 13 4 3 12" xfId="23145"/>
    <cellStyle name="asd 13 4 3 13" xfId="25280"/>
    <cellStyle name="asd 13 4 3 14" xfId="27502"/>
    <cellStyle name="asd 13 4 3 15" xfId="28815"/>
    <cellStyle name="asd 13 4 3 16" xfId="31087"/>
    <cellStyle name="asd 13 4 3 17" xfId="32284"/>
    <cellStyle name="asd 13 4 3 18" xfId="33930"/>
    <cellStyle name="asd 13 4 3 19" xfId="36107"/>
    <cellStyle name="asd 13 4 3 2" xfId="5836"/>
    <cellStyle name="asd 13 4 3 2 10" xfId="22086"/>
    <cellStyle name="asd 13 4 3 2 11" xfId="23563"/>
    <cellStyle name="asd 13 4 3 2 12" xfId="25888"/>
    <cellStyle name="asd 13 4 3 2 13" xfId="3871"/>
    <cellStyle name="asd 13 4 3 2 14" xfId="27325"/>
    <cellStyle name="asd 13 4 3 2 15" xfId="2812"/>
    <cellStyle name="asd 13 4 3 2 16" xfId="24210"/>
    <cellStyle name="asd 13 4 3 2 17" xfId="31581"/>
    <cellStyle name="asd 13 4 3 2 18" xfId="36715"/>
    <cellStyle name="asd 13 4 3 2 19" xfId="38594"/>
    <cellStyle name="asd 13 4 3 2 2" xfId="7285"/>
    <cellStyle name="asd 13 4 3 2 20" xfId="29753"/>
    <cellStyle name="asd 13 4 3 2 21" xfId="26623"/>
    <cellStyle name="asd 13 4 3 2 22" xfId="43327"/>
    <cellStyle name="asd 13 4 3 2 3" xfId="8739"/>
    <cellStyle name="asd 13 4 3 2 4" xfId="10649"/>
    <cellStyle name="asd 13 4 3 2 5" xfId="12579"/>
    <cellStyle name="asd 13 4 3 2 6" xfId="14035"/>
    <cellStyle name="asd 13 4 3 2 7" xfId="15936"/>
    <cellStyle name="asd 13 4 3 2 8" xfId="18268"/>
    <cellStyle name="asd 13 4 3 2 9" xfId="20174"/>
    <cellStyle name="asd 13 4 3 20" xfId="37986"/>
    <cellStyle name="asd 13 4 3 21" xfId="39503"/>
    <cellStyle name="asd 13 4 3 22" xfId="41178"/>
    <cellStyle name="asd 13 4 3 23" xfId="42923"/>
    <cellStyle name="asd 13 4 3 3" xfId="5230"/>
    <cellStyle name="asd 13 4 3 4" xfId="8131"/>
    <cellStyle name="asd 13 4 3 5" xfId="10041"/>
    <cellStyle name="asd 13 4 3 6" xfId="10925"/>
    <cellStyle name="asd 13 4 3 7" xfId="13616"/>
    <cellStyle name="asd 13 4 3 8" xfId="15519"/>
    <cellStyle name="asd 13 4 3 9" xfId="17660"/>
    <cellStyle name="asd 13 4 4" xfId="4009"/>
    <cellStyle name="asd 13 4 4 10" xfId="19644"/>
    <cellStyle name="asd 13 4 4 11" xfId="21556"/>
    <cellStyle name="asd 13 4 4 12" xfId="23057"/>
    <cellStyle name="asd 13 4 4 13" xfId="25358"/>
    <cellStyle name="asd 13 4 4 14" xfId="27491"/>
    <cellStyle name="asd 13 4 4 15" xfId="28586"/>
    <cellStyle name="asd 13 4 4 16" xfId="31077"/>
    <cellStyle name="asd 13 4 4 17" xfId="31739"/>
    <cellStyle name="asd 13 4 4 18" xfId="34243"/>
    <cellStyle name="asd 13 4 4 19" xfId="36185"/>
    <cellStyle name="asd 13 4 4 2" xfId="5914"/>
    <cellStyle name="asd 13 4 4 2 10" xfId="22164"/>
    <cellStyle name="asd 13 4 4 2 11" xfId="22839"/>
    <cellStyle name="asd 13 4 4 2 12" xfId="25966"/>
    <cellStyle name="asd 13 4 4 2 13" xfId="27019"/>
    <cellStyle name="asd 13 4 4 2 14" xfId="28874"/>
    <cellStyle name="asd 13 4 4 2 15" xfId="30612"/>
    <cellStyle name="asd 13 4 4 2 16" xfId="32817"/>
    <cellStyle name="asd 13 4 4 2 17" xfId="35044"/>
    <cellStyle name="asd 13 4 4 2 18" xfId="36793"/>
    <cellStyle name="asd 13 4 4 2 19" xfId="38672"/>
    <cellStyle name="asd 13 4 4 2 2" xfId="7363"/>
    <cellStyle name="asd 13 4 4 2 20" xfId="40026"/>
    <cellStyle name="asd 13 4 4 2 21" xfId="41690"/>
    <cellStyle name="asd 13 4 4 2 22" xfId="42630"/>
    <cellStyle name="asd 13 4 4 2 3" xfId="8817"/>
    <cellStyle name="asd 13 4 4 2 4" xfId="10727"/>
    <cellStyle name="asd 13 4 4 2 5" xfId="12353"/>
    <cellStyle name="asd 13 4 4 2 6" xfId="13308"/>
    <cellStyle name="asd 13 4 4 2 7" xfId="15212"/>
    <cellStyle name="asd 13 4 4 2 8" xfId="18346"/>
    <cellStyle name="asd 13 4 4 2 9" xfId="20252"/>
    <cellStyle name="asd 13 4 4 20" xfId="38064"/>
    <cellStyle name="asd 13 4 4 21" xfId="38980"/>
    <cellStyle name="asd 13 4 4 22" xfId="40663"/>
    <cellStyle name="asd 13 4 4 23" xfId="42840"/>
    <cellStyle name="asd 13 4 4 3" xfId="6755"/>
    <cellStyle name="asd 13 4 4 4" xfId="8209"/>
    <cellStyle name="asd 13 4 4 5" xfId="10119"/>
    <cellStyle name="asd 13 4 4 6" xfId="12660"/>
    <cellStyle name="asd 13 4 4 7" xfId="13528"/>
    <cellStyle name="asd 13 4 4 8" xfId="15431"/>
    <cellStyle name="asd 13 4 4 9" xfId="17738"/>
    <cellStyle name="asd 13 4 5" xfId="5642"/>
    <cellStyle name="asd 13 4 5 10" xfId="21892"/>
    <cellStyle name="asd 13 4 5 11" xfId="23205"/>
    <cellStyle name="asd 13 4 5 12" xfId="25694"/>
    <cellStyle name="asd 13 4 5 13" xfId="27412"/>
    <cellStyle name="asd 13 4 5 14" xfId="29345"/>
    <cellStyle name="asd 13 4 5 15" xfId="30998"/>
    <cellStyle name="asd 13 4 5 16" xfId="32369"/>
    <cellStyle name="asd 13 4 5 17" xfId="33921"/>
    <cellStyle name="asd 13 4 5 18" xfId="36521"/>
    <cellStyle name="asd 13 4 5 19" xfId="38400"/>
    <cellStyle name="asd 13 4 5 2" xfId="7091"/>
    <cellStyle name="asd 13 4 5 20" xfId="39587"/>
    <cellStyle name="asd 13 4 5 21" xfId="41261"/>
    <cellStyle name="asd 13 4 5 22" xfId="42983"/>
    <cellStyle name="asd 13 4 5 3" xfId="8545"/>
    <cellStyle name="asd 13 4 5 4" xfId="10455"/>
    <cellStyle name="asd 13 4 5 5" xfId="11074"/>
    <cellStyle name="asd 13 4 5 6" xfId="13677"/>
    <cellStyle name="asd 13 4 5 7" xfId="15579"/>
    <cellStyle name="asd 13 4 5 8" xfId="18074"/>
    <cellStyle name="asd 13 4 5 9" xfId="19980"/>
    <cellStyle name="asd 13 4 6" xfId="3193"/>
    <cellStyle name="asd 13 4 7" xfId="9071"/>
    <cellStyle name="asd 13 4 8" xfId="12171"/>
    <cellStyle name="asd 13 4 9" xfId="1867"/>
    <cellStyle name="asd 13 5" xfId="2141"/>
    <cellStyle name="asd 13 5 10" xfId="17117"/>
    <cellStyle name="asd 13 5 11" xfId="19023"/>
    <cellStyle name="asd 13 5 12" xfId="20935"/>
    <cellStyle name="asd 13 5 13" xfId="23224"/>
    <cellStyle name="asd 13 5 14" xfId="24737"/>
    <cellStyle name="asd 13 5 15" xfId="27440"/>
    <cellStyle name="asd 13 5 16" xfId="29409"/>
    <cellStyle name="asd 13 5 17" xfId="31026"/>
    <cellStyle name="asd 13 5 18" xfId="33312"/>
    <cellStyle name="asd 13 5 19" xfId="33564"/>
    <cellStyle name="asd 13 5 2" xfId="5527"/>
    <cellStyle name="asd 13 5 2 10" xfId="21777"/>
    <cellStyle name="asd 13 5 2 11" xfId="22599"/>
    <cellStyle name="asd 13 5 2 12" xfId="25579"/>
    <cellStyle name="asd 13 5 2 13" xfId="27232"/>
    <cellStyle name="asd 13 5 2 14" xfId="29186"/>
    <cellStyle name="asd 13 5 2 15" xfId="30823"/>
    <cellStyle name="asd 13 5 2 16" xfId="32381"/>
    <cellStyle name="asd 13 5 2 17" xfId="33668"/>
    <cellStyle name="asd 13 5 2 18" xfId="36406"/>
    <cellStyle name="asd 13 5 2 19" xfId="38285"/>
    <cellStyle name="asd 13 5 2 2" xfId="6976"/>
    <cellStyle name="asd 13 5 2 20" xfId="39599"/>
    <cellStyle name="asd 13 5 2 21" xfId="41273"/>
    <cellStyle name="asd 13 5 2 22" xfId="42408"/>
    <cellStyle name="asd 13 5 2 3" xfId="8430"/>
    <cellStyle name="asd 13 5 2 4" xfId="10340"/>
    <cellStyle name="asd 13 5 2 5" xfId="11651"/>
    <cellStyle name="asd 13 5 2 6" xfId="13067"/>
    <cellStyle name="asd 13 5 2 7" xfId="14971"/>
    <cellStyle name="asd 13 5 2 8" xfId="17959"/>
    <cellStyle name="asd 13 5 2 9" xfId="19865"/>
    <cellStyle name="asd 13 5 20" xfId="35564"/>
    <cellStyle name="asd 13 5 21" xfId="37443"/>
    <cellStyle name="asd 13 5 22" xfId="40494"/>
    <cellStyle name="asd 13 5 23" xfId="42147"/>
    <cellStyle name="asd 13 5 24" xfId="43001"/>
    <cellStyle name="asd 13 5 3" xfId="4689"/>
    <cellStyle name="asd 13 5 4" xfId="6137"/>
    <cellStyle name="asd 13 5 5" xfId="7588"/>
    <cellStyle name="asd 13 5 6" xfId="9498"/>
    <cellStyle name="asd 13 5 7" xfId="11102"/>
    <cellStyle name="asd 13 5 8" xfId="13696"/>
    <cellStyle name="asd 13 5 9" xfId="15598"/>
    <cellStyle name="asd 13 6" xfId="3200"/>
    <cellStyle name="asd 13 6 10" xfId="19177"/>
    <cellStyle name="asd 13 6 11" xfId="21089"/>
    <cellStyle name="asd 13 6 12" xfId="23415"/>
    <cellStyle name="asd 13 6 13" xfId="24891"/>
    <cellStyle name="asd 13 6 14" xfId="27926"/>
    <cellStyle name="asd 13 6 15" xfId="1809"/>
    <cellStyle name="asd 13 6 16" xfId="31508"/>
    <cellStyle name="asd 13 6 17" xfId="26646"/>
    <cellStyle name="asd 13 6 18" xfId="3124"/>
    <cellStyle name="asd 13 6 19" xfId="35718"/>
    <cellStyle name="asd 13 6 2" xfId="5689"/>
    <cellStyle name="asd 13 6 2 10" xfId="21939"/>
    <cellStyle name="asd 13 6 2 11" xfId="22717"/>
    <cellStyle name="asd 13 6 2 12" xfId="25741"/>
    <cellStyle name="asd 13 6 2 13" xfId="27558"/>
    <cellStyle name="asd 13 6 2 14" xfId="29336"/>
    <cellStyle name="asd 13 6 2 15" xfId="31138"/>
    <cellStyle name="asd 13 6 2 16" xfId="31977"/>
    <cellStyle name="asd 13 6 2 17" xfId="33521"/>
    <cellStyle name="asd 13 6 2 18" xfId="36568"/>
    <cellStyle name="asd 13 6 2 19" xfId="38447"/>
    <cellStyle name="asd 13 6 2 2" xfId="7138"/>
    <cellStyle name="asd 13 6 2 20" xfId="39207"/>
    <cellStyle name="asd 13 6 2 21" xfId="40888"/>
    <cellStyle name="asd 13 6 2 22" xfId="42516"/>
    <cellStyle name="asd 13 6 2 3" xfId="8592"/>
    <cellStyle name="asd 13 6 2 4" xfId="10502"/>
    <cellStyle name="asd 13 6 2 5" xfId="11754"/>
    <cellStyle name="asd 13 6 2 6" xfId="13185"/>
    <cellStyle name="asd 13 6 2 7" xfId="15089"/>
    <cellStyle name="asd 13 6 2 8" xfId="18121"/>
    <cellStyle name="asd 13 6 2 9" xfId="20027"/>
    <cellStyle name="asd 13 6 20" xfId="37597"/>
    <cellStyle name="asd 13 6 21" xfId="3105"/>
    <cellStyle name="asd 13 6 22" xfId="34876"/>
    <cellStyle name="asd 13 6 23" xfId="43182"/>
    <cellStyle name="asd 13 6 3" xfId="4841"/>
    <cellStyle name="asd 13 6 4" xfId="7742"/>
    <cellStyle name="asd 13 6 5" xfId="9652"/>
    <cellStyle name="asd 13 6 6" xfId="12285"/>
    <cellStyle name="asd 13 6 7" xfId="13887"/>
    <cellStyle name="asd 13 6 8" xfId="15788"/>
    <cellStyle name="asd 13 6 9" xfId="17271"/>
    <cellStyle name="asd 13 7" xfId="2543"/>
    <cellStyle name="asd 13 7 10" xfId="19079"/>
    <cellStyle name="asd 13 7 11" xfId="20991"/>
    <cellStyle name="asd 13 7 12" xfId="22606"/>
    <cellStyle name="asd 13 7 13" xfId="24793"/>
    <cellStyle name="asd 13 7 14" xfId="26900"/>
    <cellStyle name="asd 13 7 15" xfId="28015"/>
    <cellStyle name="asd 13 7 16" xfId="30496"/>
    <cellStyle name="asd 13 7 17" xfId="32164"/>
    <cellStyle name="asd 13 7 18" xfId="33401"/>
    <cellStyle name="asd 13 7 19" xfId="35620"/>
    <cellStyle name="asd 13 7 2" xfId="5684"/>
    <cellStyle name="asd 13 7 2 10" xfId="21934"/>
    <cellStyle name="asd 13 7 2 11" xfId="22755"/>
    <cellStyle name="asd 13 7 2 12" xfId="25736"/>
    <cellStyle name="asd 13 7 2 13" xfId="27175"/>
    <cellStyle name="asd 13 7 2 14" xfId="27992"/>
    <cellStyle name="asd 13 7 2 15" xfId="30766"/>
    <cellStyle name="asd 13 7 2 16" xfId="33053"/>
    <cellStyle name="asd 13 7 2 17" xfId="34657"/>
    <cellStyle name="asd 13 7 2 18" xfId="36563"/>
    <cellStyle name="asd 13 7 2 19" xfId="38442"/>
    <cellStyle name="asd 13 7 2 2" xfId="7133"/>
    <cellStyle name="asd 13 7 2 20" xfId="40250"/>
    <cellStyle name="asd 13 7 2 21" xfId="41908"/>
    <cellStyle name="asd 13 7 2 22" xfId="42552"/>
    <cellStyle name="asd 13 7 2 3" xfId="8587"/>
    <cellStyle name="asd 13 7 2 4" xfId="10497"/>
    <cellStyle name="asd 13 7 2 5" xfId="12643"/>
    <cellStyle name="asd 13 7 2 6" xfId="13224"/>
    <cellStyle name="asd 13 7 2 7" xfId="15127"/>
    <cellStyle name="asd 13 7 2 8" xfId="18116"/>
    <cellStyle name="asd 13 7 2 9" xfId="20022"/>
    <cellStyle name="asd 13 7 20" xfId="37499"/>
    <cellStyle name="asd 13 7 21" xfId="39386"/>
    <cellStyle name="asd 13 7 22" xfId="41062"/>
    <cellStyle name="asd 13 7 23" xfId="42414"/>
    <cellStyle name="asd 13 7 3" xfId="6193"/>
    <cellStyle name="asd 13 7 4" xfId="7644"/>
    <cellStyle name="asd 13 7 5" xfId="9554"/>
    <cellStyle name="asd 13 7 6" xfId="11742"/>
    <cellStyle name="asd 13 7 7" xfId="13074"/>
    <cellStyle name="asd 13 7 8" xfId="14978"/>
    <cellStyle name="asd 13 7 9" xfId="17173"/>
    <cellStyle name="asd 13 8" xfId="2536"/>
    <cellStyle name="asd 13 9" xfId="1875"/>
    <cellStyle name="asd 14" xfId="777"/>
    <cellStyle name="asd 14 10" xfId="2283"/>
    <cellStyle name="asd 14 11" xfId="3063"/>
    <cellStyle name="asd 14 12" xfId="3721"/>
    <cellStyle name="asd 14 13" xfId="8964"/>
    <cellStyle name="asd 14 14" xfId="3711"/>
    <cellStyle name="asd 14 15" xfId="16583"/>
    <cellStyle name="asd 14 16" xfId="20409"/>
    <cellStyle name="asd 14 17" xfId="3961"/>
    <cellStyle name="asd 14 18" xfId="2808"/>
    <cellStyle name="asd 14 19" xfId="4211"/>
    <cellStyle name="asd 14 2" xfId="3478"/>
    <cellStyle name="asd 14 2 10" xfId="13527"/>
    <cellStyle name="asd 14 2 11" xfId="15430"/>
    <cellStyle name="asd 14 2 12" xfId="16913"/>
    <cellStyle name="asd 14 2 13" xfId="18820"/>
    <cellStyle name="asd 14 2 14" xfId="20732"/>
    <cellStyle name="asd 14 2 15" xfId="23056"/>
    <cellStyle name="asd 14 2 16" xfId="24534"/>
    <cellStyle name="asd 14 2 17" xfId="27112"/>
    <cellStyle name="asd 14 2 18" xfId="13799"/>
    <cellStyle name="asd 14 2 19" xfId="30703"/>
    <cellStyle name="asd 14 2 2" xfId="3658"/>
    <cellStyle name="asd 14 2 2 10" xfId="17549"/>
    <cellStyle name="asd 14 2 2 11" xfId="19455"/>
    <cellStyle name="asd 14 2 2 12" xfId="21367"/>
    <cellStyle name="asd 14 2 2 13" xfId="23638"/>
    <cellStyle name="asd 14 2 2 14" xfId="25169"/>
    <cellStyle name="asd 14 2 2 15" xfId="27256"/>
    <cellStyle name="asd 14 2 2 16" xfId="29464"/>
    <cellStyle name="asd 14 2 2 17" xfId="30847"/>
    <cellStyle name="asd 14 2 2 18" xfId="32146"/>
    <cellStyle name="asd 14 2 2 19" xfId="33912"/>
    <cellStyle name="asd 14 2 2 2" xfId="4294"/>
    <cellStyle name="asd 14 2 2 2 10" xfId="20580"/>
    <cellStyle name="asd 14 2 2 2 11" xfId="22464"/>
    <cellStyle name="asd 14 2 2 2 12" xfId="24382"/>
    <cellStyle name="asd 14 2 2 2 13" xfId="27421"/>
    <cellStyle name="asd 14 2 2 2 14" xfId="29196"/>
    <cellStyle name="asd 14 2 2 2 15" xfId="31007"/>
    <cellStyle name="asd 14 2 2 2 16" xfId="32978"/>
    <cellStyle name="asd 14 2 2 2 17" xfId="33898"/>
    <cellStyle name="asd 14 2 2 2 18" xfId="35210"/>
    <cellStyle name="asd 14 2 2 2 19" xfId="37088"/>
    <cellStyle name="asd 14 2 2 2 2" xfId="4386"/>
    <cellStyle name="asd 14 2 2 2 20" xfId="40179"/>
    <cellStyle name="asd 14 2 2 2 21" xfId="41838"/>
    <cellStyle name="asd 14 2 2 2 22" xfId="42275"/>
    <cellStyle name="asd 14 2 2 2 3" xfId="2378"/>
    <cellStyle name="asd 14 2 2 2 4" xfId="9142"/>
    <cellStyle name="asd 14 2 2 2 5" xfId="11429"/>
    <cellStyle name="asd 14 2 2 2 6" xfId="12932"/>
    <cellStyle name="asd 14 2 2 2 7" xfId="14837"/>
    <cellStyle name="asd 14 2 2 2 8" xfId="16761"/>
    <cellStyle name="asd 14 2 2 2 9" xfId="18668"/>
    <cellStyle name="asd 14 2 2 20" xfId="35996"/>
    <cellStyle name="asd 14 2 2 21" xfId="37875"/>
    <cellStyle name="asd 14 2 2 22" xfId="39369"/>
    <cellStyle name="asd 14 2 2 23" xfId="41045"/>
    <cellStyle name="asd 14 2 2 24" xfId="43396"/>
    <cellStyle name="asd 14 2 2 3" xfId="5119"/>
    <cellStyle name="asd 14 2 2 4" xfId="6569"/>
    <cellStyle name="asd 14 2 2 5" xfId="8020"/>
    <cellStyle name="asd 14 2 2 6" xfId="9930"/>
    <cellStyle name="asd 14 2 2 7" xfId="11531"/>
    <cellStyle name="asd 14 2 2 8" xfId="14108"/>
    <cellStyle name="asd 14 2 2 9" xfId="16011"/>
    <cellStyle name="asd 14 2 20" xfId="32206"/>
    <cellStyle name="asd 14 2 21" xfId="33529"/>
    <cellStyle name="asd 14 2 22" xfId="35362"/>
    <cellStyle name="asd 14 2 23" xfId="37240"/>
    <cellStyle name="asd 14 2 24" xfId="39426"/>
    <cellStyle name="asd 14 2 25" xfId="41102"/>
    <cellStyle name="asd 14 2 26" xfId="42839"/>
    <cellStyle name="asd 14 2 3" xfId="3887"/>
    <cellStyle name="asd 14 2 3 10" xfId="19596"/>
    <cellStyle name="asd 14 2 3 11" xfId="21508"/>
    <cellStyle name="asd 14 2 3 12" xfId="23842"/>
    <cellStyle name="asd 14 2 3 13" xfId="25310"/>
    <cellStyle name="asd 14 2 3 14" xfId="26926"/>
    <cellStyle name="asd 14 2 3 15" xfId="29541"/>
    <cellStyle name="asd 14 2 3 16" xfId="30520"/>
    <cellStyle name="asd 14 2 3 17" xfId="32865"/>
    <cellStyle name="asd 14 2 3 18" xfId="34158"/>
    <cellStyle name="asd 14 2 3 19" xfId="36137"/>
    <cellStyle name="asd 14 2 3 2" xfId="5866"/>
    <cellStyle name="asd 14 2 3 2 10" xfId="22116"/>
    <cellStyle name="asd 14 2 3 2 11" xfId="23743"/>
    <cellStyle name="asd 14 2 3 2 12" xfId="25918"/>
    <cellStyle name="asd 14 2 3 2 13" xfId="26833"/>
    <cellStyle name="asd 14 2 3 2 14" xfId="28136"/>
    <cellStyle name="asd 14 2 3 2 15" xfId="30431"/>
    <cellStyle name="asd 14 2 3 2 16" xfId="32027"/>
    <cellStyle name="asd 14 2 3 2 17" xfId="34759"/>
    <cellStyle name="asd 14 2 3 2 18" xfId="36745"/>
    <cellStyle name="asd 14 2 3 2 19" xfId="38624"/>
    <cellStyle name="asd 14 2 3 2 2" xfId="7315"/>
    <cellStyle name="asd 14 2 3 2 20" xfId="39257"/>
    <cellStyle name="asd 14 2 3 2 21" xfId="40934"/>
    <cellStyle name="asd 14 2 3 2 22" xfId="43496"/>
    <cellStyle name="asd 14 2 3 2 3" xfId="8769"/>
    <cellStyle name="asd 14 2 3 2 4" xfId="10679"/>
    <cellStyle name="asd 14 2 3 2 5" xfId="11654"/>
    <cellStyle name="asd 14 2 3 2 6" xfId="14213"/>
    <cellStyle name="asd 14 2 3 2 7" xfId="16117"/>
    <cellStyle name="asd 14 2 3 2 8" xfId="18298"/>
    <cellStyle name="asd 14 2 3 2 9" xfId="20204"/>
    <cellStyle name="asd 14 2 3 20" xfId="38016"/>
    <cellStyle name="asd 14 2 3 21" xfId="40071"/>
    <cellStyle name="asd 14 2 3 22" xfId="41735"/>
    <cellStyle name="asd 14 2 3 23" xfId="43593"/>
    <cellStyle name="asd 14 2 3 3" xfId="5260"/>
    <cellStyle name="asd 14 2 3 4" xfId="8161"/>
    <cellStyle name="asd 14 2 3 5" xfId="10071"/>
    <cellStyle name="asd 14 2 3 6" xfId="11431"/>
    <cellStyle name="asd 14 2 3 7" xfId="14312"/>
    <cellStyle name="asd 14 2 3 8" xfId="16216"/>
    <cellStyle name="asd 14 2 3 9" xfId="17690"/>
    <cellStyle name="asd 14 2 4" xfId="4110"/>
    <cellStyle name="asd 14 2 4 10" xfId="19745"/>
    <cellStyle name="asd 14 2 4 11" xfId="21657"/>
    <cellStyle name="asd 14 2 4 12" xfId="23570"/>
    <cellStyle name="asd 14 2 4 13" xfId="25459"/>
    <cellStyle name="asd 14 2 4 14" xfId="27593"/>
    <cellStyle name="asd 14 2 4 15" xfId="29020"/>
    <cellStyle name="asd 14 2 4 16" xfId="31172"/>
    <cellStyle name="asd 14 2 4 17" xfId="33237"/>
    <cellStyle name="asd 14 2 4 18" xfId="34003"/>
    <cellStyle name="asd 14 2 4 19" xfId="36286"/>
    <cellStyle name="asd 14 2 4 2" xfId="6015"/>
    <cellStyle name="asd 14 2 4 2 10" xfId="22265"/>
    <cellStyle name="asd 14 2 4 2 11" xfId="24105"/>
    <cellStyle name="asd 14 2 4 2 12" xfId="26067"/>
    <cellStyle name="asd 14 2 4 2 13" xfId="27269"/>
    <cellStyle name="asd 14 2 4 2 14" xfId="29720"/>
    <cellStyle name="asd 14 2 4 2 15" xfId="30861"/>
    <cellStyle name="asd 14 2 4 2 16" xfId="32711"/>
    <cellStyle name="asd 14 2 4 2 17" xfId="34764"/>
    <cellStyle name="asd 14 2 4 2 18" xfId="36894"/>
    <cellStyle name="asd 14 2 4 2 19" xfId="38773"/>
    <cellStyle name="asd 14 2 4 2 2" xfId="7464"/>
    <cellStyle name="asd 14 2 4 2 20" xfId="39919"/>
    <cellStyle name="asd 14 2 4 2 21" xfId="41588"/>
    <cellStyle name="asd 14 2 4 2 22" xfId="43848"/>
    <cellStyle name="asd 14 2 4 2 3" xfId="8918"/>
    <cellStyle name="asd 14 2 4 2 4" xfId="10828"/>
    <cellStyle name="asd 14 2 4 2 5" xfId="12064"/>
    <cellStyle name="asd 14 2 4 2 6" xfId="14575"/>
    <cellStyle name="asd 14 2 4 2 7" xfId="16481"/>
    <cellStyle name="asd 14 2 4 2 8" xfId="18447"/>
    <cellStyle name="asd 14 2 4 2 9" xfId="20353"/>
    <cellStyle name="asd 14 2 4 20" xfId="38165"/>
    <cellStyle name="asd 14 2 4 21" xfId="40427"/>
    <cellStyle name="asd 14 2 4 22" xfId="42082"/>
    <cellStyle name="asd 14 2 4 23" xfId="43334"/>
    <cellStyle name="asd 14 2 4 3" xfId="6856"/>
    <cellStyle name="asd 14 2 4 4" xfId="8310"/>
    <cellStyle name="asd 14 2 4 5" xfId="10220"/>
    <cellStyle name="asd 14 2 4 6" xfId="11612"/>
    <cellStyle name="asd 14 2 4 7" xfId="14042"/>
    <cellStyle name="asd 14 2 4 8" xfId="15943"/>
    <cellStyle name="asd 14 2 4 9" xfId="17839"/>
    <cellStyle name="asd 14 2 5" xfId="4960"/>
    <cellStyle name="asd 14 2 5 10" xfId="21208"/>
    <cellStyle name="asd 14 2 5 11" xfId="22378"/>
    <cellStyle name="asd 14 2 5 12" xfId="25010"/>
    <cellStyle name="asd 14 2 5 13" xfId="27371"/>
    <cellStyle name="asd 14 2 5 14" xfId="29243"/>
    <cellStyle name="asd 14 2 5 15" xfId="30958"/>
    <cellStyle name="asd 14 2 5 16" xfId="31615"/>
    <cellStyle name="asd 14 2 5 17" xfId="34237"/>
    <cellStyle name="asd 14 2 5 18" xfId="35837"/>
    <cellStyle name="asd 14 2 5 19" xfId="37716"/>
    <cellStyle name="asd 14 2 5 2" xfId="6410"/>
    <cellStyle name="asd 14 2 5 20" xfId="38862"/>
    <cellStyle name="asd 14 2 5 21" xfId="40548"/>
    <cellStyle name="asd 14 2 5 22" xfId="42189"/>
    <cellStyle name="asd 14 2 5 3" xfId="7861"/>
    <cellStyle name="asd 14 2 5 4" xfId="9771"/>
    <cellStyle name="asd 14 2 5 5" xfId="12606"/>
    <cellStyle name="asd 14 2 5 6" xfId="12845"/>
    <cellStyle name="asd 14 2 5 7" xfId="14750"/>
    <cellStyle name="asd 14 2 5 8" xfId="17390"/>
    <cellStyle name="asd 14 2 5 9" xfId="19296"/>
    <cellStyle name="asd 14 2 6" xfId="4237"/>
    <cellStyle name="asd 14 2 6 10" xfId="20576"/>
    <cellStyle name="asd 14 2 6 11" xfId="23630"/>
    <cellStyle name="asd 14 2 6 12" xfId="24378"/>
    <cellStyle name="asd 14 2 6 13" xfId="27407"/>
    <cellStyle name="asd 14 2 6 14" xfId="28151"/>
    <cellStyle name="asd 14 2 6 15" xfId="30993"/>
    <cellStyle name="asd 14 2 6 16" xfId="33200"/>
    <cellStyle name="asd 14 2 6 17" xfId="34384"/>
    <cellStyle name="asd 14 2 6 18" xfId="35206"/>
    <cellStyle name="asd 14 2 6 19" xfId="37084"/>
    <cellStyle name="asd 14 2 6 2" xfId="4353"/>
    <cellStyle name="asd 14 2 6 20" xfId="40390"/>
    <cellStyle name="asd 14 2 6 21" xfId="42046"/>
    <cellStyle name="asd 14 2 6 22" xfId="43388"/>
    <cellStyle name="asd 14 2 6 3" xfId="4459"/>
    <cellStyle name="asd 14 2 6 4" xfId="9138"/>
    <cellStyle name="asd 14 2 6 5" xfId="11509"/>
    <cellStyle name="asd 14 2 6 6" xfId="14100"/>
    <cellStyle name="asd 14 2 6 7" xfId="16003"/>
    <cellStyle name="asd 14 2 6 8" xfId="16757"/>
    <cellStyle name="asd 14 2 6 9" xfId="18664"/>
    <cellStyle name="asd 14 2 7" xfId="5336"/>
    <cellStyle name="asd 14 2 8" xfId="9294"/>
    <cellStyle name="asd 14 2 9" xfId="12659"/>
    <cellStyle name="asd 14 20" xfId="18509"/>
    <cellStyle name="asd 14 21" xfId="29762"/>
    <cellStyle name="asd 14 22" xfId="3020"/>
    <cellStyle name="asd 14 23" xfId="28265"/>
    <cellStyle name="asd 14 24" xfId="28132"/>
    <cellStyle name="asd 14 25" xfId="31591"/>
    <cellStyle name="asd 14 26" xfId="27514"/>
    <cellStyle name="asd 14 27" xfId="18533"/>
    <cellStyle name="asd 14 3" xfId="3471"/>
    <cellStyle name="asd 14 3 10" xfId="14555"/>
    <cellStyle name="asd 14 3 11" xfId="16461"/>
    <cellStyle name="asd 14 3 12" xfId="16896"/>
    <cellStyle name="asd 14 3 13" xfId="18803"/>
    <cellStyle name="asd 14 3 14" xfId="20715"/>
    <cellStyle name="asd 14 3 15" xfId="24085"/>
    <cellStyle name="asd 14 3 16" xfId="24517"/>
    <cellStyle name="asd 14 3 17" xfId="27053"/>
    <cellStyle name="asd 14 3 18" xfId="29669"/>
    <cellStyle name="asd 14 3 19" xfId="30645"/>
    <cellStyle name="asd 14 3 2" xfId="3651"/>
    <cellStyle name="asd 14 3 2 10" xfId="17542"/>
    <cellStyle name="asd 14 3 2 11" xfId="19448"/>
    <cellStyle name="asd 14 3 2 12" xfId="21360"/>
    <cellStyle name="asd 14 3 2 13" xfId="23593"/>
    <cellStyle name="asd 14 3 2 14" xfId="25162"/>
    <cellStyle name="asd 14 3 2 15" xfId="26387"/>
    <cellStyle name="asd 14 3 2 16" xfId="28388"/>
    <cellStyle name="asd 14 3 2 17" xfId="29995"/>
    <cellStyle name="asd 14 3 2 18" xfId="32662"/>
    <cellStyle name="asd 14 3 2 19" xfId="34336"/>
    <cellStyle name="asd 14 3 2 2" xfId="4554"/>
    <cellStyle name="asd 14 3 2 2 10" xfId="20799"/>
    <cellStyle name="asd 14 3 2 2 11" xfId="24127"/>
    <cellStyle name="asd 14 3 2 2 12" xfId="24601"/>
    <cellStyle name="asd 14 3 2 2 13" xfId="27900"/>
    <cellStyle name="asd 14 3 2 2 14" xfId="28931"/>
    <cellStyle name="asd 14 3 2 2 15" xfId="31482"/>
    <cellStyle name="asd 14 3 2 2 16" xfId="32961"/>
    <cellStyle name="asd 14 3 2 2 17" xfId="34016"/>
    <cellStyle name="asd 14 3 2 2 18" xfId="35429"/>
    <cellStyle name="asd 14 3 2 2 19" xfId="37307"/>
    <cellStyle name="asd 14 3 2 2 2" xfId="5420"/>
    <cellStyle name="asd 14 3 2 2 20" xfId="40162"/>
    <cellStyle name="asd 14 3 2 2 21" xfId="41821"/>
    <cellStyle name="asd 14 3 2 2 22" xfId="43870"/>
    <cellStyle name="asd 14 3 2 2 3" xfId="6694"/>
    <cellStyle name="asd 14 3 2 2 4" xfId="9361"/>
    <cellStyle name="asd 14 3 2 2 5" xfId="12087"/>
    <cellStyle name="asd 14 3 2 2 6" xfId="14598"/>
    <cellStyle name="asd 14 3 2 2 7" xfId="16504"/>
    <cellStyle name="asd 14 3 2 2 8" xfId="16980"/>
    <cellStyle name="asd 14 3 2 2 9" xfId="18887"/>
    <cellStyle name="asd 14 3 2 20" xfId="35989"/>
    <cellStyle name="asd 14 3 2 21" xfId="37868"/>
    <cellStyle name="asd 14 3 2 22" xfId="39869"/>
    <cellStyle name="asd 14 3 2 23" xfId="41538"/>
    <cellStyle name="asd 14 3 2 24" xfId="43352"/>
    <cellStyle name="asd 14 3 2 3" xfId="5112"/>
    <cellStyle name="asd 14 3 2 4" xfId="6562"/>
    <cellStyle name="asd 14 3 2 5" xfId="8013"/>
    <cellStyle name="asd 14 3 2 6" xfId="9923"/>
    <cellStyle name="asd 14 3 2 7" xfId="11183"/>
    <cellStyle name="asd 14 3 2 8" xfId="14063"/>
    <cellStyle name="asd 14 3 2 9" xfId="15966"/>
    <cellStyle name="asd 14 3 20" xfId="32335"/>
    <cellStyle name="asd 14 3 21" xfId="34578"/>
    <cellStyle name="asd 14 3 22" xfId="35345"/>
    <cellStyle name="asd 14 3 23" xfId="37223"/>
    <cellStyle name="asd 14 3 24" xfId="39554"/>
    <cellStyle name="asd 14 3 25" xfId="41228"/>
    <cellStyle name="asd 14 3 26" xfId="43828"/>
    <cellStyle name="asd 14 3 3" xfId="2844"/>
    <cellStyle name="asd 14 3 3 10" xfId="19116"/>
    <cellStyle name="asd 14 3 3 11" xfId="21028"/>
    <cellStyle name="asd 14 3 3 12" xfId="23090"/>
    <cellStyle name="asd 14 3 3 13" xfId="24830"/>
    <cellStyle name="asd 14 3 3 14" xfId="27537"/>
    <cellStyle name="asd 14 3 3 15" xfId="28333"/>
    <cellStyle name="asd 14 3 3 16" xfId="31118"/>
    <cellStyle name="asd 14 3 3 17" xfId="32655"/>
    <cellStyle name="asd 14 3 3 18" xfId="34351"/>
    <cellStyle name="asd 14 3 3 19" xfId="35657"/>
    <cellStyle name="asd 14 3 3 2" xfId="4623"/>
    <cellStyle name="asd 14 3 3 2 10" xfId="20868"/>
    <cellStyle name="asd 14 3 3 2 11" xfId="23334"/>
    <cellStyle name="asd 14 3 3 2 12" xfId="24670"/>
    <cellStyle name="asd 14 3 3 2 13" xfId="26806"/>
    <cellStyle name="asd 14 3 3 2 14" xfId="28309"/>
    <cellStyle name="asd 14 3 3 2 15" xfId="30404"/>
    <cellStyle name="asd 14 3 3 2 16" xfId="31860"/>
    <cellStyle name="asd 14 3 3 2 17" xfId="34296"/>
    <cellStyle name="asd 14 3 3 2 18" xfId="35498"/>
    <cellStyle name="asd 14 3 3 2 19" xfId="37376"/>
    <cellStyle name="asd 14 3 3 2 2" xfId="6071"/>
    <cellStyle name="asd 14 3 3 2 20" xfId="39095"/>
    <cellStyle name="asd 14 3 3 2 21" xfId="40776"/>
    <cellStyle name="asd 14 3 3 2 22" xfId="43104"/>
    <cellStyle name="asd 14 3 3 2 3" xfId="7520"/>
    <cellStyle name="asd 14 3 3 2 4" xfId="9430"/>
    <cellStyle name="asd 14 3 3 2 5" xfId="11317"/>
    <cellStyle name="asd 14 3 3 2 6" xfId="13806"/>
    <cellStyle name="asd 14 3 3 2 7" xfId="15708"/>
    <cellStyle name="asd 14 3 3 2 8" xfId="17049"/>
    <cellStyle name="asd 14 3 3 2 9" xfId="18956"/>
    <cellStyle name="asd 14 3 3 20" xfId="37536"/>
    <cellStyle name="asd 14 3 3 21" xfId="39862"/>
    <cellStyle name="asd 14 3 3 22" xfId="41531"/>
    <cellStyle name="asd 14 3 3 23" xfId="42872"/>
    <cellStyle name="asd 14 3 3 3" xfId="4781"/>
    <cellStyle name="asd 14 3 3 4" xfId="7681"/>
    <cellStyle name="asd 14 3 3 5" xfId="9591"/>
    <cellStyle name="asd 14 3 3 6" xfId="12701"/>
    <cellStyle name="asd 14 3 3 7" xfId="13561"/>
    <cellStyle name="asd 14 3 3 8" xfId="15464"/>
    <cellStyle name="asd 14 3 3 9" xfId="17210"/>
    <cellStyle name="asd 14 3 4" xfId="4103"/>
    <cellStyle name="asd 14 3 4 10" xfId="19738"/>
    <cellStyle name="asd 14 3 4 11" xfId="21650"/>
    <cellStyle name="asd 14 3 4 12" xfId="22857"/>
    <cellStyle name="asd 14 3 4 13" xfId="25452"/>
    <cellStyle name="asd 14 3 4 14" xfId="26890"/>
    <cellStyle name="asd 14 3 4 15" xfId="15742"/>
    <cellStyle name="asd 14 3 4 16" xfId="30486"/>
    <cellStyle name="asd 14 3 4 17" xfId="32643"/>
    <cellStyle name="asd 14 3 4 18" xfId="33512"/>
    <cellStyle name="asd 14 3 4 19" xfId="36279"/>
    <cellStyle name="asd 14 3 4 2" xfId="6008"/>
    <cellStyle name="asd 14 3 4 2 10" xfId="22258"/>
    <cellStyle name="asd 14 3 4 2 11" xfId="22494"/>
    <cellStyle name="asd 14 3 4 2 12" xfId="26060"/>
    <cellStyle name="asd 14 3 4 2 13" xfId="27470"/>
    <cellStyle name="asd 14 3 4 2 14" xfId="29410"/>
    <cellStyle name="asd 14 3 4 2 15" xfId="31057"/>
    <cellStyle name="asd 14 3 4 2 16" xfId="33270"/>
    <cellStyle name="asd 14 3 4 2 17" xfId="33998"/>
    <cellStyle name="asd 14 3 4 2 18" xfId="36887"/>
    <cellStyle name="asd 14 3 4 2 19" xfId="38766"/>
    <cellStyle name="asd 14 3 4 2 2" xfId="7457"/>
    <cellStyle name="asd 14 3 4 2 20" xfId="40456"/>
    <cellStyle name="asd 14 3 4 2 21" xfId="42111"/>
    <cellStyle name="asd 14 3 4 2 22" xfId="42304"/>
    <cellStyle name="asd 14 3 4 2 3" xfId="8911"/>
    <cellStyle name="asd 14 3 4 2 4" xfId="10821"/>
    <cellStyle name="asd 14 3 4 2 5" xfId="11534"/>
    <cellStyle name="asd 14 3 4 2 6" xfId="12962"/>
    <cellStyle name="asd 14 3 4 2 7" xfId="14866"/>
    <cellStyle name="asd 14 3 4 2 8" xfId="18440"/>
    <cellStyle name="asd 14 3 4 2 9" xfId="20346"/>
    <cellStyle name="asd 14 3 4 20" xfId="38158"/>
    <cellStyle name="asd 14 3 4 21" xfId="39850"/>
    <cellStyle name="asd 14 3 4 22" xfId="41519"/>
    <cellStyle name="asd 14 3 4 23" xfId="42647"/>
    <cellStyle name="asd 14 3 4 3" xfId="6849"/>
    <cellStyle name="asd 14 3 4 4" xfId="8303"/>
    <cellStyle name="asd 14 3 4 5" xfId="10213"/>
    <cellStyle name="asd 14 3 4 6" xfId="12474"/>
    <cellStyle name="asd 14 3 4 7" xfId="13326"/>
    <cellStyle name="asd 14 3 4 8" xfId="15230"/>
    <cellStyle name="asd 14 3 4 9" xfId="17832"/>
    <cellStyle name="asd 14 3 5" xfId="4955"/>
    <cellStyle name="asd 14 3 5 10" xfId="21203"/>
    <cellStyle name="asd 14 3 5 11" xfId="22882"/>
    <cellStyle name="asd 14 3 5 12" xfId="25005"/>
    <cellStyle name="asd 14 3 5 13" xfId="27916"/>
    <cellStyle name="asd 14 3 5 14" xfId="18499"/>
    <cellStyle name="asd 14 3 5 15" xfId="31498"/>
    <cellStyle name="asd 14 3 5 16" xfId="31688"/>
    <cellStyle name="asd 14 3 5 17" xfId="35058"/>
    <cellStyle name="asd 14 3 5 18" xfId="35832"/>
    <cellStyle name="asd 14 3 5 19" xfId="37711"/>
    <cellStyle name="asd 14 3 5 2" xfId="6405"/>
    <cellStyle name="asd 14 3 5 20" xfId="38930"/>
    <cellStyle name="asd 14 3 5 21" xfId="40614"/>
    <cellStyle name="asd 14 3 5 22" xfId="42669"/>
    <cellStyle name="asd 14 3 5 3" xfId="7856"/>
    <cellStyle name="asd 14 3 5 4" xfId="9766"/>
    <cellStyle name="asd 14 3 5 5" xfId="11250"/>
    <cellStyle name="asd 14 3 5 6" xfId="13350"/>
    <cellStyle name="asd 14 3 5 7" xfId="15255"/>
    <cellStyle name="asd 14 3 5 8" xfId="17385"/>
    <cellStyle name="asd 14 3 5 9" xfId="19291"/>
    <cellStyle name="asd 14 3 6" xfId="5578"/>
    <cellStyle name="asd 14 3 6 10" xfId="21828"/>
    <cellStyle name="asd 14 3 6 11" xfId="3879"/>
    <cellStyle name="asd 14 3 6 12" xfId="25630"/>
    <cellStyle name="asd 14 3 6 13" xfId="1993"/>
    <cellStyle name="asd 14 3 6 14" xfId="28854"/>
    <cellStyle name="asd 14 3 6 15" xfId="2130"/>
    <cellStyle name="asd 14 3 6 16" xfId="32045"/>
    <cellStyle name="asd 14 3 6 17" xfId="33469"/>
    <cellStyle name="asd 14 3 6 18" xfId="36457"/>
    <cellStyle name="asd 14 3 6 19" xfId="38336"/>
    <cellStyle name="asd 14 3 6 2" xfId="7027"/>
    <cellStyle name="asd 14 3 6 20" xfId="39274"/>
    <cellStyle name="asd 14 3 6 21" xfId="40950"/>
    <cellStyle name="asd 14 3 6 22" xfId="2745"/>
    <cellStyle name="asd 14 3 6 3" xfId="8481"/>
    <cellStyle name="asd 14 3 6 4" xfId="10391"/>
    <cellStyle name="asd 14 3 6 5" xfId="12205"/>
    <cellStyle name="asd 14 3 6 6" xfId="2195"/>
    <cellStyle name="asd 14 3 6 7" xfId="2005"/>
    <cellStyle name="asd 14 3 6 8" xfId="18010"/>
    <cellStyle name="asd 14 3 6 9" xfId="19916"/>
    <cellStyle name="asd 14 3 7" xfId="6710"/>
    <cellStyle name="asd 14 3 8" xfId="9277"/>
    <cellStyle name="asd 14 3 9" xfId="12044"/>
    <cellStyle name="asd 14 4" xfId="3490"/>
    <cellStyle name="asd 14 4 10" xfId="16115"/>
    <cellStyle name="asd 14 4 11" xfId="16933"/>
    <cellStyle name="asd 14 4 12" xfId="18840"/>
    <cellStyle name="asd 14 4 13" xfId="20752"/>
    <cellStyle name="asd 14 4 14" xfId="23741"/>
    <cellStyle name="asd 14 4 15" xfId="24554"/>
    <cellStyle name="asd 14 4 16" xfId="26554"/>
    <cellStyle name="asd 14 4 17" xfId="28120"/>
    <cellStyle name="asd 14 4 18" xfId="30159"/>
    <cellStyle name="asd 14 4 19" xfId="32270"/>
    <cellStyle name="asd 14 4 2" xfId="3670"/>
    <cellStyle name="asd 14 4 2 10" xfId="17561"/>
    <cellStyle name="asd 14 4 2 11" xfId="19467"/>
    <cellStyle name="asd 14 4 2 12" xfId="21379"/>
    <cellStyle name="asd 14 4 2 13" xfId="23189"/>
    <cellStyle name="asd 14 4 2 14" xfId="25181"/>
    <cellStyle name="asd 14 4 2 15" xfId="27521"/>
    <cellStyle name="asd 14 4 2 16" xfId="28893"/>
    <cellStyle name="asd 14 4 2 17" xfId="31104"/>
    <cellStyle name="asd 14 4 2 18" xfId="32001"/>
    <cellStyle name="asd 14 4 2 19" xfId="34728"/>
    <cellStyle name="asd 14 4 2 2" xfId="4582"/>
    <cellStyle name="asd 14 4 2 2 10" xfId="20827"/>
    <cellStyle name="asd 14 4 2 2 11" xfId="22562"/>
    <cellStyle name="asd 14 4 2 2 12" xfId="24629"/>
    <cellStyle name="asd 14 4 2 2 13" xfId="26228"/>
    <cellStyle name="asd 14 4 2 2 14" xfId="28670"/>
    <cellStyle name="asd 14 4 2 2 15" xfId="29838"/>
    <cellStyle name="asd 14 4 2 2 16" xfId="32320"/>
    <cellStyle name="asd 14 4 2 2 17" xfId="35041"/>
    <cellStyle name="asd 14 4 2 2 18" xfId="35457"/>
    <cellStyle name="asd 14 4 2 2 19" xfId="37335"/>
    <cellStyle name="asd 14 4 2 2 2" xfId="5283"/>
    <cellStyle name="asd 14 4 2 2 20" xfId="39539"/>
    <cellStyle name="asd 14 4 2 2 21" xfId="41213"/>
    <cellStyle name="asd 14 4 2 2 22" xfId="42371"/>
    <cellStyle name="asd 14 4 2 2 3" xfId="6625"/>
    <cellStyle name="asd 14 4 2 2 4" xfId="9389"/>
    <cellStyle name="asd 14 4 2 2 5" xfId="11755"/>
    <cellStyle name="asd 14 4 2 2 6" xfId="13030"/>
    <cellStyle name="asd 14 4 2 2 7" xfId="14934"/>
    <cellStyle name="asd 14 4 2 2 8" xfId="17008"/>
    <cellStyle name="asd 14 4 2 2 9" xfId="18915"/>
    <cellStyle name="asd 14 4 2 20" xfId="36008"/>
    <cellStyle name="asd 14 4 2 21" xfId="37887"/>
    <cellStyle name="asd 14 4 2 22" xfId="39232"/>
    <cellStyle name="asd 14 4 2 23" xfId="40909"/>
    <cellStyle name="asd 14 4 2 24" xfId="42967"/>
    <cellStyle name="asd 14 4 2 3" xfId="5131"/>
    <cellStyle name="asd 14 4 2 4" xfId="6581"/>
    <cellStyle name="asd 14 4 2 5" xfId="8032"/>
    <cellStyle name="asd 14 4 2 6" xfId="9942"/>
    <cellStyle name="asd 14 4 2 7" xfId="11029"/>
    <cellStyle name="asd 14 4 2 8" xfId="13660"/>
    <cellStyle name="asd 14 4 2 9" xfId="15563"/>
    <cellStyle name="asd 14 4 20" xfId="34475"/>
    <cellStyle name="asd 14 4 21" xfId="35382"/>
    <cellStyle name="asd 14 4 22" xfId="37260"/>
    <cellStyle name="asd 14 4 23" xfId="39488"/>
    <cellStyle name="asd 14 4 24" xfId="41163"/>
    <cellStyle name="asd 14 4 25" xfId="43494"/>
    <cellStyle name="asd 14 4 3" xfId="3872"/>
    <cellStyle name="asd 14 4 3 10" xfId="19583"/>
    <cellStyle name="asd 14 4 3 11" xfId="21495"/>
    <cellStyle name="asd 14 4 3 12" xfId="23770"/>
    <cellStyle name="asd 14 4 3 13" xfId="25297"/>
    <cellStyle name="asd 14 4 3 14" xfId="26340"/>
    <cellStyle name="asd 14 4 3 15" xfId="28110"/>
    <cellStyle name="asd 14 4 3 16" xfId="29948"/>
    <cellStyle name="asd 14 4 3 17" xfId="33101"/>
    <cellStyle name="asd 14 4 3 18" xfId="33893"/>
    <cellStyle name="asd 14 4 3 19" xfId="36124"/>
    <cellStyle name="asd 14 4 3 2" xfId="5853"/>
    <cellStyle name="asd 14 4 3 2 10" xfId="22103"/>
    <cellStyle name="asd 14 4 3 2 11" xfId="22975"/>
    <cellStyle name="asd 14 4 3 2 12" xfId="25905"/>
    <cellStyle name="asd 14 4 3 2 13" xfId="27516"/>
    <cellStyle name="asd 14 4 3 2 14" xfId="12792"/>
    <cellStyle name="asd 14 4 3 2 15" xfId="31100"/>
    <cellStyle name="asd 14 4 3 2 16" xfId="32109"/>
    <cellStyle name="asd 14 4 3 2 17" xfId="34676"/>
    <cellStyle name="asd 14 4 3 2 18" xfId="36732"/>
    <cellStyle name="asd 14 4 3 2 19" xfId="38611"/>
    <cellStyle name="asd 14 4 3 2 2" xfId="7302"/>
    <cellStyle name="asd 14 4 3 2 20" xfId="39333"/>
    <cellStyle name="asd 14 4 3 2 21" xfId="41009"/>
    <cellStyle name="asd 14 4 3 2 22" xfId="42761"/>
    <cellStyle name="asd 14 4 3 2 3" xfId="8756"/>
    <cellStyle name="asd 14 4 3 2 4" xfId="10666"/>
    <cellStyle name="asd 14 4 3 2 5" xfId="11007"/>
    <cellStyle name="asd 14 4 3 2 6" xfId="13444"/>
    <cellStyle name="asd 14 4 3 2 7" xfId="15349"/>
    <cellStyle name="asd 14 4 3 2 8" xfId="18285"/>
    <cellStyle name="asd 14 4 3 2 9" xfId="20191"/>
    <cellStyle name="asd 14 4 3 20" xfId="38003"/>
    <cellStyle name="asd 14 4 3 21" xfId="40297"/>
    <cellStyle name="asd 14 4 3 22" xfId="41953"/>
    <cellStyle name="asd 14 4 3 23" xfId="43523"/>
    <cellStyle name="asd 14 4 3 3" xfId="5247"/>
    <cellStyle name="asd 14 4 3 4" xfId="8148"/>
    <cellStyle name="asd 14 4 3 5" xfId="10058"/>
    <cellStyle name="asd 14 4 3 6" xfId="11836"/>
    <cellStyle name="asd 14 4 3 7" xfId="14240"/>
    <cellStyle name="asd 14 4 3 8" xfId="16144"/>
    <cellStyle name="asd 14 4 3 9" xfId="17677"/>
    <cellStyle name="asd 14 4 4" xfId="4122"/>
    <cellStyle name="asd 14 4 4 10" xfId="19757"/>
    <cellStyle name="asd 14 4 4 11" xfId="21669"/>
    <cellStyle name="asd 14 4 4 12" xfId="22884"/>
    <cellStyle name="asd 14 4 4 13" xfId="25471"/>
    <cellStyle name="asd 14 4 4 14" xfId="27732"/>
    <cellStyle name="asd 14 4 4 15" xfId="28594"/>
    <cellStyle name="asd 14 4 4 16" xfId="31310"/>
    <cellStyle name="asd 14 4 4 17" xfId="31951"/>
    <cellStyle name="asd 14 4 4 18" xfId="34287"/>
    <cellStyle name="asd 14 4 4 19" xfId="36298"/>
    <cellStyle name="asd 14 4 4 2" xfId="6027"/>
    <cellStyle name="asd 14 4 4 2 10" xfId="22277"/>
    <cellStyle name="asd 14 4 4 2 11" xfId="23375"/>
    <cellStyle name="asd 14 4 4 2 12" xfId="26079"/>
    <cellStyle name="asd 14 4 4 2 13" xfId="27471"/>
    <cellStyle name="asd 14 4 4 2 14" xfId="28583"/>
    <cellStyle name="asd 14 4 4 2 15" xfId="31058"/>
    <cellStyle name="asd 14 4 4 2 16" xfId="32706"/>
    <cellStyle name="asd 14 4 4 2 17" xfId="33835"/>
    <cellStyle name="asd 14 4 4 2 18" xfId="36906"/>
    <cellStyle name="asd 14 4 4 2 19" xfId="38785"/>
    <cellStyle name="asd 14 4 4 2 2" xfId="7476"/>
    <cellStyle name="asd 14 4 4 2 20" xfId="39914"/>
    <cellStyle name="asd 14 4 4 2 21" xfId="41583"/>
    <cellStyle name="asd 14 4 4 2 22" xfId="43143"/>
    <cellStyle name="asd 14 4 4 2 3" xfId="8930"/>
    <cellStyle name="asd 14 4 4 2 4" xfId="10840"/>
    <cellStyle name="asd 14 4 4 2 5" xfId="12357"/>
    <cellStyle name="asd 14 4 4 2 6" xfId="13847"/>
    <cellStyle name="asd 14 4 4 2 7" xfId="15748"/>
    <cellStyle name="asd 14 4 4 2 8" xfId="18459"/>
    <cellStyle name="asd 14 4 4 2 9" xfId="20365"/>
    <cellStyle name="asd 14 4 4 20" xfId="38177"/>
    <cellStyle name="asd 14 4 4 21" xfId="39180"/>
    <cellStyle name="asd 14 4 4 22" xfId="40861"/>
    <cellStyle name="asd 14 4 4 23" xfId="42670"/>
    <cellStyle name="asd 14 4 4 3" xfId="6868"/>
    <cellStyle name="asd 14 4 4 4" xfId="8322"/>
    <cellStyle name="asd 14 4 4 5" xfId="10232"/>
    <cellStyle name="asd 14 4 4 6" xfId="12372"/>
    <cellStyle name="asd 14 4 4 7" xfId="13352"/>
    <cellStyle name="asd 14 4 4 8" xfId="15257"/>
    <cellStyle name="asd 14 4 4 9" xfId="17851"/>
    <cellStyle name="asd 14 4 5" xfId="4410"/>
    <cellStyle name="asd 14 4 5 10" xfId="20654"/>
    <cellStyle name="asd 14 4 5 11" xfId="23173"/>
    <cellStyle name="asd 14 4 5 12" xfId="24456"/>
    <cellStyle name="asd 14 4 5 13" xfId="26515"/>
    <cellStyle name="asd 14 4 5 14" xfId="29514"/>
    <cellStyle name="asd 14 4 5 15" xfId="30121"/>
    <cellStyle name="asd 14 4 5 16" xfId="33141"/>
    <cellStyle name="asd 14 4 5 17" xfId="34117"/>
    <cellStyle name="asd 14 4 5 18" xfId="35284"/>
    <cellStyle name="asd 14 4 5 19" xfId="37162"/>
    <cellStyle name="asd 14 4 5 2" xfId="4864"/>
    <cellStyle name="asd 14 4 5 20" xfId="40334"/>
    <cellStyle name="asd 14 4 5 21" xfId="41990"/>
    <cellStyle name="asd 14 4 5 22" xfId="42951"/>
    <cellStyle name="asd 14 4 5 3" xfId="6145"/>
    <cellStyle name="asd 14 4 5 4" xfId="9216"/>
    <cellStyle name="asd 14 4 5 5" xfId="10994"/>
    <cellStyle name="asd 14 4 5 6" xfId="13644"/>
    <cellStyle name="asd 14 4 5 7" xfId="15547"/>
    <cellStyle name="asd 14 4 5 8" xfId="16835"/>
    <cellStyle name="asd 14 4 5 9" xfId="18742"/>
    <cellStyle name="asd 14 4 6" xfId="2783"/>
    <cellStyle name="asd 14 4 7" xfId="9314"/>
    <cellStyle name="asd 14 4 8" xfId="11711"/>
    <cellStyle name="asd 14 4 9" xfId="14211"/>
    <cellStyle name="asd 14 5" xfId="1955"/>
    <cellStyle name="asd 14 5 10" xfId="17087"/>
    <cellStyle name="asd 14 5 11" xfId="18993"/>
    <cellStyle name="asd 14 5 12" xfId="20905"/>
    <cellStyle name="asd 14 5 13" xfId="23732"/>
    <cellStyle name="asd 14 5 14" xfId="24707"/>
    <cellStyle name="asd 14 5 15" xfId="26217"/>
    <cellStyle name="asd 14 5 16" xfId="28321"/>
    <cellStyle name="asd 14 5 17" xfId="29828"/>
    <cellStyle name="asd 14 5 18" xfId="32120"/>
    <cellStyle name="asd 14 5 19" xfId="33700"/>
    <cellStyle name="asd 14 5 2" xfId="5618"/>
    <cellStyle name="asd 14 5 2 10" xfId="21868"/>
    <cellStyle name="asd 14 5 2 11" xfId="22485"/>
    <cellStyle name="asd 14 5 2 12" xfId="25670"/>
    <cellStyle name="asd 14 5 2 13" xfId="27519"/>
    <cellStyle name="asd 14 5 2 14" xfId="28884"/>
    <cellStyle name="asd 14 5 2 15" xfId="31102"/>
    <cellStyle name="asd 14 5 2 16" xfId="32764"/>
    <cellStyle name="asd 14 5 2 17" xfId="33513"/>
    <cellStyle name="asd 14 5 2 18" xfId="36497"/>
    <cellStyle name="asd 14 5 2 19" xfId="38376"/>
    <cellStyle name="asd 14 5 2 2" xfId="7067"/>
    <cellStyle name="asd 14 5 2 20" xfId="39973"/>
    <cellStyle name="asd 14 5 2 21" xfId="41637"/>
    <cellStyle name="asd 14 5 2 22" xfId="42295"/>
    <cellStyle name="asd 14 5 2 3" xfId="8521"/>
    <cellStyle name="asd 14 5 2 4" xfId="10431"/>
    <cellStyle name="asd 14 5 2 5" xfId="12657"/>
    <cellStyle name="asd 14 5 2 6" xfId="12953"/>
    <cellStyle name="asd 14 5 2 7" xfId="14857"/>
    <cellStyle name="asd 14 5 2 8" xfId="18050"/>
    <cellStyle name="asd 14 5 2 9" xfId="19956"/>
    <cellStyle name="asd 14 5 20" xfId="35534"/>
    <cellStyle name="asd 14 5 21" xfId="37413"/>
    <cellStyle name="asd 14 5 22" xfId="39344"/>
    <cellStyle name="asd 14 5 23" xfId="41020"/>
    <cellStyle name="asd 14 5 24" xfId="43486"/>
    <cellStyle name="asd 14 5 3" xfId="4661"/>
    <cellStyle name="asd 14 5 4" xfId="6107"/>
    <cellStyle name="asd 14 5 5" xfId="7558"/>
    <cellStyle name="asd 14 5 6" xfId="9468"/>
    <cellStyle name="asd 14 5 7" xfId="11360"/>
    <cellStyle name="asd 14 5 8" xfId="14202"/>
    <cellStyle name="asd 14 5 9" xfId="16106"/>
    <cellStyle name="asd 14 6" xfId="3134"/>
    <cellStyle name="asd 14 6 10" xfId="19162"/>
    <cellStyle name="asd 14 6 11" xfId="21074"/>
    <cellStyle name="asd 14 6 12" xfId="23890"/>
    <cellStyle name="asd 14 6 13" xfId="24876"/>
    <cellStyle name="asd 14 6 14" xfId="26538"/>
    <cellStyle name="asd 14 6 15" xfId="28010"/>
    <cellStyle name="asd 14 6 16" xfId="30144"/>
    <cellStyle name="asd 14 6 17" xfId="2020"/>
    <cellStyle name="asd 14 6 18" xfId="2383"/>
    <cellStyle name="asd 14 6 19" xfId="35703"/>
    <cellStyle name="asd 14 6 2" xfId="5669"/>
    <cellStyle name="asd 14 6 2 10" xfId="21919"/>
    <cellStyle name="asd 14 6 2 11" xfId="23113"/>
    <cellStyle name="asd 14 6 2 12" xfId="25721"/>
    <cellStyle name="asd 14 6 2 13" xfId="27146"/>
    <cellStyle name="asd 14 6 2 14" xfId="24219"/>
    <cellStyle name="asd 14 6 2 15" xfId="30737"/>
    <cellStyle name="asd 14 6 2 16" xfId="32451"/>
    <cellStyle name="asd 14 6 2 17" xfId="34281"/>
    <cellStyle name="asd 14 6 2 18" xfId="36548"/>
    <cellStyle name="asd 14 6 2 19" xfId="38427"/>
    <cellStyle name="asd 14 6 2 2" xfId="7118"/>
    <cellStyle name="asd 14 6 2 20" xfId="39668"/>
    <cellStyle name="asd 14 6 2 21" xfId="41342"/>
    <cellStyle name="asd 14 6 2 22" xfId="42893"/>
    <cellStyle name="asd 14 6 2 3" xfId="8572"/>
    <cellStyle name="asd 14 6 2 4" xfId="10482"/>
    <cellStyle name="asd 14 6 2 5" xfId="12729"/>
    <cellStyle name="asd 14 6 2 6" xfId="13584"/>
    <cellStyle name="asd 14 6 2 7" xfId="15487"/>
    <cellStyle name="asd 14 6 2 8" xfId="18101"/>
    <cellStyle name="asd 14 6 2 9" xfId="20007"/>
    <cellStyle name="asd 14 6 20" xfId="37582"/>
    <cellStyle name="asd 14 6 21" xfId="2318"/>
    <cellStyle name="asd 14 6 22" xfId="33552"/>
    <cellStyle name="asd 14 6 23" xfId="43640"/>
    <cellStyle name="asd 14 6 3" xfId="4826"/>
    <cellStyle name="asd 14 6 4" xfId="7727"/>
    <cellStyle name="asd 14 6 5" xfId="9637"/>
    <cellStyle name="asd 14 6 6" xfId="11491"/>
    <cellStyle name="asd 14 6 7" xfId="14360"/>
    <cellStyle name="asd 14 6 8" xfId="16265"/>
    <cellStyle name="asd 14 6 9" xfId="17256"/>
    <cellStyle name="asd 14 7" xfId="2118"/>
    <cellStyle name="asd 14 7 10" xfId="19021"/>
    <cellStyle name="asd 14 7 11" xfId="20933"/>
    <cellStyle name="asd 14 7 12" xfId="22824"/>
    <cellStyle name="asd 14 7 13" xfId="24735"/>
    <cellStyle name="asd 14 7 14" xfId="26920"/>
    <cellStyle name="asd 14 7 15" xfId="28202"/>
    <cellStyle name="asd 14 7 16" xfId="30515"/>
    <cellStyle name="asd 14 7 17" xfId="33014"/>
    <cellStyle name="asd 14 7 18" xfId="33530"/>
    <cellStyle name="asd 14 7 19" xfId="35562"/>
    <cellStyle name="asd 14 7 2" xfId="4477"/>
    <cellStyle name="asd 14 7 2 10" xfId="20722"/>
    <cellStyle name="asd 14 7 2 11" xfId="23874"/>
    <cellStyle name="asd 14 7 2 12" xfId="24524"/>
    <cellStyle name="asd 14 7 2 13" xfId="27608"/>
    <cellStyle name="asd 14 7 2 14" xfId="29434"/>
    <cellStyle name="asd 14 7 2 15" xfId="31186"/>
    <cellStyle name="asd 14 7 2 16" xfId="31868"/>
    <cellStyle name="asd 14 7 2 17" xfId="33684"/>
    <cellStyle name="asd 14 7 2 18" xfId="35352"/>
    <cellStyle name="asd 14 7 2 19" xfId="37230"/>
    <cellStyle name="asd 14 7 2 2" xfId="4298"/>
    <cellStyle name="asd 14 7 2 20" xfId="39103"/>
    <cellStyle name="asd 14 7 2 21" xfId="40784"/>
    <cellStyle name="asd 14 7 2 22" xfId="43624"/>
    <cellStyle name="asd 14 7 2 3" xfId="5402"/>
    <cellStyle name="asd 14 7 2 4" xfId="9284"/>
    <cellStyle name="asd 14 7 2 5" xfId="11656"/>
    <cellStyle name="asd 14 7 2 6" xfId="14344"/>
    <cellStyle name="asd 14 7 2 7" xfId="16248"/>
    <cellStyle name="asd 14 7 2 8" xfId="16903"/>
    <cellStyle name="asd 14 7 2 9" xfId="18810"/>
    <cellStyle name="asd 14 7 20" xfId="37441"/>
    <cellStyle name="asd 14 7 21" xfId="40214"/>
    <cellStyle name="asd 14 7 22" xfId="41873"/>
    <cellStyle name="asd 14 7 23" xfId="42617"/>
    <cellStyle name="asd 14 7 3" xfId="6135"/>
    <cellStyle name="asd 14 7 4" xfId="7586"/>
    <cellStyle name="asd 14 7 5" xfId="9496"/>
    <cellStyle name="asd 14 7 6" xfId="12381"/>
    <cellStyle name="asd 14 7 7" xfId="13294"/>
    <cellStyle name="asd 14 7 8" xfId="15198"/>
    <cellStyle name="asd 14 7 9" xfId="17115"/>
    <cellStyle name="asd 14 8" xfId="2015"/>
    <cellStyle name="asd 14 9" xfId="1777"/>
    <cellStyle name="asd 15" xfId="785"/>
    <cellStyle name="asd 15 10" xfId="2885"/>
    <cellStyle name="asd 15 11" xfId="5368"/>
    <cellStyle name="asd 15 12" xfId="10887"/>
    <cellStyle name="asd 15 13" xfId="3956"/>
    <cellStyle name="asd 15 14" xfId="2848"/>
    <cellStyle name="asd 15 15" xfId="16553"/>
    <cellStyle name="asd 15 16" xfId="5432"/>
    <cellStyle name="asd 15 17" xfId="1861"/>
    <cellStyle name="asd 15 18" xfId="2237"/>
    <cellStyle name="asd 15 19" xfId="3173"/>
    <cellStyle name="asd 15 2" xfId="3452"/>
    <cellStyle name="asd 15 2 10" xfId="13718"/>
    <cellStyle name="asd 15 2 11" xfId="15620"/>
    <cellStyle name="asd 15 2 12" xfId="16844"/>
    <cellStyle name="asd 15 2 13" xfId="18751"/>
    <cellStyle name="asd 15 2 14" xfId="20663"/>
    <cellStyle name="asd 15 2 15" xfId="23246"/>
    <cellStyle name="asd 15 2 16" xfId="24465"/>
    <cellStyle name="asd 15 2 17" xfId="27082"/>
    <cellStyle name="asd 15 2 18" xfId="29029"/>
    <cellStyle name="asd 15 2 19" xfId="30673"/>
    <cellStyle name="asd 15 2 2" xfId="3632"/>
    <cellStyle name="asd 15 2 2 10" xfId="17523"/>
    <cellStyle name="asd 15 2 2 11" xfId="19429"/>
    <cellStyle name="asd 15 2 2 12" xfId="21341"/>
    <cellStyle name="asd 15 2 2 13" xfId="24181"/>
    <cellStyle name="asd 15 2 2 14" xfId="25143"/>
    <cellStyle name="asd 15 2 2 15" xfId="27214"/>
    <cellStyle name="asd 15 2 2 16" xfId="29347"/>
    <cellStyle name="asd 15 2 2 17" xfId="30805"/>
    <cellStyle name="asd 15 2 2 18" xfId="33140"/>
    <cellStyle name="asd 15 2 2 19" xfId="33455"/>
    <cellStyle name="asd 15 2 2 2" xfId="4557"/>
    <cellStyle name="asd 15 2 2 2 10" xfId="20802"/>
    <cellStyle name="asd 15 2 2 2 11" xfId="23343"/>
    <cellStyle name="asd 15 2 2 2 12" xfId="24604"/>
    <cellStyle name="asd 15 2 2 2 13" xfId="27194"/>
    <cellStyle name="asd 15 2 2 2 14" xfId="29156"/>
    <cellStyle name="asd 15 2 2 2 15" xfId="30785"/>
    <cellStyle name="asd 15 2 2 2 16" xfId="33248"/>
    <cellStyle name="asd 15 2 2 2 17" xfId="34431"/>
    <cellStyle name="asd 15 2 2 2 18" xfId="35432"/>
    <cellStyle name="asd 15 2 2 2 19" xfId="37310"/>
    <cellStyle name="asd 15 2 2 2 2" xfId="4470"/>
    <cellStyle name="asd 15 2 2 2 20" xfId="40436"/>
    <cellStyle name="asd 15 2 2 2 21" xfId="42091"/>
    <cellStyle name="asd 15 2 2 2 22" xfId="43113"/>
    <cellStyle name="asd 15 2 2 2 3" xfId="5383"/>
    <cellStyle name="asd 15 2 2 2 4" xfId="9364"/>
    <cellStyle name="asd 15 2 2 2 5" xfId="10961"/>
    <cellStyle name="asd 15 2 2 2 6" xfId="13815"/>
    <cellStyle name="asd 15 2 2 2 7" xfId="15717"/>
    <cellStyle name="asd 15 2 2 2 8" xfId="16983"/>
    <cellStyle name="asd 15 2 2 2 9" xfId="18890"/>
    <cellStyle name="asd 15 2 2 20" xfId="35970"/>
    <cellStyle name="asd 15 2 2 21" xfId="37849"/>
    <cellStyle name="asd 15 2 2 22" xfId="40333"/>
    <cellStyle name="asd 15 2 2 23" xfId="41989"/>
    <cellStyle name="asd 15 2 2 24" xfId="43921"/>
    <cellStyle name="asd 15 2 2 3" xfId="5093"/>
    <cellStyle name="asd 15 2 2 4" xfId="6543"/>
    <cellStyle name="asd 15 2 2 5" xfId="7994"/>
    <cellStyle name="asd 15 2 2 6" xfId="9904"/>
    <cellStyle name="asd 15 2 2 7" xfId="12140"/>
    <cellStyle name="asd 15 2 2 8" xfId="14652"/>
    <cellStyle name="asd 15 2 2 9" xfId="16558"/>
    <cellStyle name="asd 15 2 20" xfId="32474"/>
    <cellStyle name="asd 15 2 21" xfId="34575"/>
    <cellStyle name="asd 15 2 22" xfId="35293"/>
    <cellStyle name="asd 15 2 23" xfId="37171"/>
    <cellStyle name="asd 15 2 24" xfId="39692"/>
    <cellStyle name="asd 15 2 25" xfId="41365"/>
    <cellStyle name="asd 15 2 26" xfId="43023"/>
    <cellStyle name="asd 15 2 3" xfId="3815"/>
    <cellStyle name="asd 15 2 3 10" xfId="19546"/>
    <cellStyle name="asd 15 2 3 11" xfId="21458"/>
    <cellStyle name="asd 15 2 3 12" xfId="24069"/>
    <cellStyle name="asd 15 2 3 13" xfId="25260"/>
    <cellStyle name="asd 15 2 3 14" xfId="27603"/>
    <cellStyle name="asd 15 2 3 15" xfId="28440"/>
    <cellStyle name="asd 15 2 3 16" xfId="31181"/>
    <cellStyle name="asd 15 2 3 17" xfId="32732"/>
    <cellStyle name="asd 15 2 3 18" xfId="33654"/>
    <cellStyle name="asd 15 2 3 19" xfId="36087"/>
    <cellStyle name="asd 15 2 3 2" xfId="5816"/>
    <cellStyle name="asd 15 2 3 2 10" xfId="22066"/>
    <cellStyle name="asd 15 2 3 2 11" xfId="22718"/>
    <cellStyle name="asd 15 2 3 2 12" xfId="25868"/>
    <cellStyle name="asd 15 2 3 2 13" xfId="26659"/>
    <cellStyle name="asd 15 2 3 2 14" xfId="28793"/>
    <cellStyle name="asd 15 2 3 2 15" xfId="30259"/>
    <cellStyle name="asd 15 2 3 2 16" xfId="32242"/>
    <cellStyle name="asd 15 2 3 2 17" xfId="34516"/>
    <cellStyle name="asd 15 2 3 2 18" xfId="36695"/>
    <cellStyle name="asd 15 2 3 2 19" xfId="38574"/>
    <cellStyle name="asd 15 2 3 2 2" xfId="7265"/>
    <cellStyle name="asd 15 2 3 2 20" xfId="39460"/>
    <cellStyle name="asd 15 2 3 2 21" xfId="41135"/>
    <cellStyle name="asd 15 2 3 2 22" xfId="42517"/>
    <cellStyle name="asd 15 2 3 2 3" xfId="8719"/>
    <cellStyle name="asd 15 2 3 2 4" xfId="10629"/>
    <cellStyle name="asd 15 2 3 2 5" xfId="12616"/>
    <cellStyle name="asd 15 2 3 2 6" xfId="13186"/>
    <cellStyle name="asd 15 2 3 2 7" xfId="15090"/>
    <cellStyle name="asd 15 2 3 2 8" xfId="18248"/>
    <cellStyle name="asd 15 2 3 2 9" xfId="20154"/>
    <cellStyle name="asd 15 2 3 20" xfId="37966"/>
    <cellStyle name="asd 15 2 3 21" xfId="39941"/>
    <cellStyle name="asd 15 2 3 22" xfId="41607"/>
    <cellStyle name="asd 15 2 3 23" xfId="43813"/>
    <cellStyle name="asd 15 2 3 3" xfId="5210"/>
    <cellStyle name="asd 15 2 3 4" xfId="8111"/>
    <cellStyle name="asd 15 2 3 5" xfId="10021"/>
    <cellStyle name="asd 15 2 3 6" xfId="12028"/>
    <cellStyle name="asd 15 2 3 7" xfId="14539"/>
    <cellStyle name="asd 15 2 3 8" xfId="16445"/>
    <cellStyle name="asd 15 2 3 9" xfId="17640"/>
    <cellStyle name="asd 15 2 4" xfId="4084"/>
    <cellStyle name="asd 15 2 4 10" xfId="19719"/>
    <cellStyle name="asd 15 2 4 11" xfId="21631"/>
    <cellStyle name="asd 15 2 4 12" xfId="22372"/>
    <cellStyle name="asd 15 2 4 13" xfId="25433"/>
    <cellStyle name="asd 15 2 4 14" xfId="27665"/>
    <cellStyle name="asd 15 2 4 15" xfId="29303"/>
    <cellStyle name="asd 15 2 4 16" xfId="31241"/>
    <cellStyle name="asd 15 2 4 17" xfId="31772"/>
    <cellStyle name="asd 15 2 4 18" xfId="34103"/>
    <cellStyle name="asd 15 2 4 19" xfId="36260"/>
    <cellStyle name="asd 15 2 4 2" xfId="5989"/>
    <cellStyle name="asd 15 2 4 2 10" xfId="22239"/>
    <cellStyle name="asd 15 2 4 2 11" xfId="22428"/>
    <cellStyle name="asd 15 2 4 2 12" xfId="26041"/>
    <cellStyle name="asd 15 2 4 2 13" xfId="27446"/>
    <cellStyle name="asd 15 2 4 2 14" xfId="28529"/>
    <cellStyle name="asd 15 2 4 2 15" xfId="31032"/>
    <cellStyle name="asd 15 2 4 2 16" xfId="31904"/>
    <cellStyle name="asd 15 2 4 2 17" xfId="33748"/>
    <cellStyle name="asd 15 2 4 2 18" xfId="36868"/>
    <cellStyle name="asd 15 2 4 2 19" xfId="38747"/>
    <cellStyle name="asd 15 2 4 2 2" xfId="7438"/>
    <cellStyle name="asd 15 2 4 2 20" xfId="39136"/>
    <cellStyle name="asd 15 2 4 2 21" xfId="40817"/>
    <cellStyle name="asd 15 2 4 2 22" xfId="42239"/>
    <cellStyle name="asd 15 2 4 2 3" xfId="8892"/>
    <cellStyle name="asd 15 2 4 2 4" xfId="10802"/>
    <cellStyle name="asd 15 2 4 2 5" xfId="11610"/>
    <cellStyle name="asd 15 2 4 2 6" xfId="12896"/>
    <cellStyle name="asd 15 2 4 2 7" xfId="14801"/>
    <cellStyle name="asd 15 2 4 2 8" xfId="18421"/>
    <cellStyle name="asd 15 2 4 2 9" xfId="20327"/>
    <cellStyle name="asd 15 2 4 20" xfId="38139"/>
    <cellStyle name="asd 15 2 4 21" xfId="39011"/>
    <cellStyle name="asd 15 2 4 22" xfId="40693"/>
    <cellStyle name="asd 15 2 4 23" xfId="42184"/>
    <cellStyle name="asd 15 2 4 3" xfId="6830"/>
    <cellStyle name="asd 15 2 4 4" xfId="8284"/>
    <cellStyle name="asd 15 2 4 5" xfId="10194"/>
    <cellStyle name="asd 15 2 4 6" xfId="11433"/>
    <cellStyle name="asd 15 2 4 7" xfId="12839"/>
    <cellStyle name="asd 15 2 4 8" xfId="14744"/>
    <cellStyle name="asd 15 2 4 9" xfId="17813"/>
    <cellStyle name="asd 15 2 5" xfId="4938"/>
    <cellStyle name="asd 15 2 5 10" xfId="21186"/>
    <cellStyle name="asd 15 2 5 11" xfId="23566"/>
    <cellStyle name="asd 15 2 5 12" xfId="24988"/>
    <cellStyle name="asd 15 2 5 13" xfId="26501"/>
    <cellStyle name="asd 15 2 5 14" xfId="28765"/>
    <cellStyle name="asd 15 2 5 15" xfId="30107"/>
    <cellStyle name="asd 15 2 5 16" xfId="33091"/>
    <cellStyle name="asd 15 2 5 17" xfId="34015"/>
    <cellStyle name="asd 15 2 5 18" xfId="35815"/>
    <cellStyle name="asd 15 2 5 19" xfId="37694"/>
    <cellStyle name="asd 15 2 5 2" xfId="6388"/>
    <cellStyle name="asd 15 2 5 20" xfId="40287"/>
    <cellStyle name="asd 15 2 5 21" xfId="41943"/>
    <cellStyle name="asd 15 2 5 22" xfId="43330"/>
    <cellStyle name="asd 15 2 5 3" xfId="7839"/>
    <cellStyle name="asd 15 2 5 4" xfId="9749"/>
    <cellStyle name="asd 15 2 5 5" xfId="11308"/>
    <cellStyle name="asd 15 2 5 6" xfId="14038"/>
    <cellStyle name="asd 15 2 5 7" xfId="15939"/>
    <cellStyle name="asd 15 2 5 8" xfId="17368"/>
    <cellStyle name="asd 15 2 5 9" xfId="19274"/>
    <cellStyle name="asd 15 2 6" xfId="5594"/>
    <cellStyle name="asd 15 2 6 10" xfId="21844"/>
    <cellStyle name="asd 15 2 6 11" xfId="23039"/>
    <cellStyle name="asd 15 2 6 12" xfId="25646"/>
    <cellStyle name="asd 15 2 6 13" xfId="26608"/>
    <cellStyle name="asd 15 2 6 14" xfId="29439"/>
    <cellStyle name="asd 15 2 6 15" xfId="30210"/>
    <cellStyle name="asd 15 2 6 16" xfId="33015"/>
    <cellStyle name="asd 15 2 6 17" xfId="34998"/>
    <cellStyle name="asd 15 2 6 18" xfId="36473"/>
    <cellStyle name="asd 15 2 6 19" xfId="38352"/>
    <cellStyle name="asd 15 2 6 2" xfId="7043"/>
    <cellStyle name="asd 15 2 6 20" xfId="40215"/>
    <cellStyle name="asd 15 2 6 21" xfId="41874"/>
    <cellStyle name="asd 15 2 6 22" xfId="42822"/>
    <cellStyle name="asd 15 2 6 3" xfId="8497"/>
    <cellStyle name="asd 15 2 6 4" xfId="10407"/>
    <cellStyle name="asd 15 2 6 5" xfId="12634"/>
    <cellStyle name="asd 15 2 6 6" xfId="13509"/>
    <cellStyle name="asd 15 2 6 7" xfId="15413"/>
    <cellStyle name="asd 15 2 6 8" xfId="18026"/>
    <cellStyle name="asd 15 2 6 9" xfId="19932"/>
    <cellStyle name="asd 15 2 7" xfId="6721"/>
    <cellStyle name="asd 15 2 8" xfId="9225"/>
    <cellStyle name="asd 15 2 9" xfId="11148"/>
    <cellStyle name="asd 15 20" xfId="29711"/>
    <cellStyle name="asd 15 21" xfId="29765"/>
    <cellStyle name="asd 15 22" xfId="2097"/>
    <cellStyle name="asd 15 23" xfId="10911"/>
    <cellStyle name="asd 15 24" xfId="15138"/>
    <cellStyle name="asd 15 25" xfId="20423"/>
    <cellStyle name="asd 15 26" xfId="16620"/>
    <cellStyle name="asd 15 27" xfId="29701"/>
    <cellStyle name="asd 15 3" xfId="3436"/>
    <cellStyle name="asd 15 3 10" xfId="14514"/>
    <cellStyle name="asd 15 3 11" xfId="16420"/>
    <cellStyle name="asd 15 3 12" xfId="16815"/>
    <cellStyle name="asd 15 3 13" xfId="18722"/>
    <cellStyle name="asd 15 3 14" xfId="20634"/>
    <cellStyle name="asd 15 3 15" xfId="24044"/>
    <cellStyle name="asd 15 3 16" xfId="24436"/>
    <cellStyle name="asd 15 3 17" xfId="26418"/>
    <cellStyle name="asd 15 3 18" xfId="29338"/>
    <cellStyle name="asd 15 3 19" xfId="30025"/>
    <cellStyle name="asd 15 3 2" xfId="3616"/>
    <cellStyle name="asd 15 3 2 10" xfId="17507"/>
    <cellStyle name="asd 15 3 2 11" xfId="19413"/>
    <cellStyle name="asd 15 3 2 12" xfId="21325"/>
    <cellStyle name="asd 15 3 2 13" xfId="23043"/>
    <cellStyle name="asd 15 3 2 14" xfId="25127"/>
    <cellStyle name="asd 15 3 2 15" xfId="26782"/>
    <cellStyle name="asd 15 3 2 16" xfId="28179"/>
    <cellStyle name="asd 15 3 2 17" xfId="30381"/>
    <cellStyle name="asd 15 3 2 18" xfId="32307"/>
    <cellStyle name="asd 15 3 2 19" xfId="33679"/>
    <cellStyle name="asd 15 3 2 2" xfId="5487"/>
    <cellStyle name="asd 15 3 2 2 10" xfId="21737"/>
    <cellStyle name="asd 15 3 2 2 11" xfId="24072"/>
    <cellStyle name="asd 15 3 2 2 12" xfId="25539"/>
    <cellStyle name="asd 15 3 2 2 13" xfId="27313"/>
    <cellStyle name="asd 15 3 2 2 14" xfId="29201"/>
    <cellStyle name="asd 15 3 2 2 15" xfId="30903"/>
    <cellStyle name="asd 15 3 2 2 16" xfId="32099"/>
    <cellStyle name="asd 15 3 2 2 17" xfId="33597"/>
    <cellStyle name="asd 15 3 2 2 18" xfId="36366"/>
    <cellStyle name="asd 15 3 2 2 19" xfId="38245"/>
    <cellStyle name="asd 15 3 2 2 2" xfId="6936"/>
    <cellStyle name="asd 15 3 2 2 20" xfId="39323"/>
    <cellStyle name="asd 15 3 2 2 21" xfId="40999"/>
    <cellStyle name="asd 15 3 2 2 22" xfId="43816"/>
    <cellStyle name="asd 15 3 2 2 3" xfId="8390"/>
    <cellStyle name="asd 15 3 2 2 4" xfId="10300"/>
    <cellStyle name="asd 15 3 2 2 5" xfId="12031"/>
    <cellStyle name="asd 15 3 2 2 6" xfId="14542"/>
    <cellStyle name="asd 15 3 2 2 7" xfId="16448"/>
    <cellStyle name="asd 15 3 2 2 8" xfId="17919"/>
    <cellStyle name="asd 15 3 2 2 9" xfId="19825"/>
    <cellStyle name="asd 15 3 2 20" xfId="35954"/>
    <cellStyle name="asd 15 3 2 21" xfId="37833"/>
    <cellStyle name="asd 15 3 2 22" xfId="39526"/>
    <cellStyle name="asd 15 3 2 23" xfId="41200"/>
    <cellStyle name="asd 15 3 2 24" xfId="42826"/>
    <cellStyle name="asd 15 3 2 3" xfId="5077"/>
    <cellStyle name="asd 15 3 2 4" xfId="6527"/>
    <cellStyle name="asd 15 3 2 5" xfId="7978"/>
    <cellStyle name="asd 15 3 2 6" xfId="9888"/>
    <cellStyle name="asd 15 3 2 7" xfId="12640"/>
    <cellStyle name="asd 15 3 2 8" xfId="13513"/>
    <cellStyle name="asd 15 3 2 9" xfId="15417"/>
    <cellStyle name="asd 15 3 20" xfId="33221"/>
    <cellStyle name="asd 15 3 21" xfId="34208"/>
    <cellStyle name="asd 15 3 22" xfId="35264"/>
    <cellStyle name="asd 15 3 23" xfId="37142"/>
    <cellStyle name="asd 15 3 24" xfId="40411"/>
    <cellStyle name="asd 15 3 25" xfId="42067"/>
    <cellStyle name="asd 15 3 26" xfId="43788"/>
    <cellStyle name="asd 15 3 3" xfId="3793"/>
    <cellStyle name="asd 15 3 3 10" xfId="19528"/>
    <cellStyle name="asd 15 3 3 11" xfId="21440"/>
    <cellStyle name="asd 15 3 3 12" xfId="24107"/>
    <cellStyle name="asd 15 3 3 13" xfId="25242"/>
    <cellStyle name="asd 15 3 3 14" xfId="26611"/>
    <cellStyle name="asd 15 3 3 15" xfId="28160"/>
    <cellStyle name="asd 15 3 3 16" xfId="30214"/>
    <cellStyle name="asd 15 3 3 17" xfId="32158"/>
    <cellStyle name="asd 15 3 3 18" xfId="34923"/>
    <cellStyle name="asd 15 3 3 19" xfId="36069"/>
    <cellStyle name="asd 15 3 3 2" xfId="5798"/>
    <cellStyle name="asd 15 3 3 2 10" xfId="22048"/>
    <cellStyle name="asd 15 3 3 2 11" xfId="23294"/>
    <cellStyle name="asd 15 3 3 2 12" xfId="25850"/>
    <cellStyle name="asd 15 3 3 2 13" xfId="26302"/>
    <cellStyle name="asd 15 3 3 2 14" xfId="2517"/>
    <cellStyle name="asd 15 3 3 2 15" xfId="29911"/>
    <cellStyle name="asd 15 3 3 2 16" xfId="29680"/>
    <cellStyle name="asd 15 3 3 2 17" xfId="32488"/>
    <cellStyle name="asd 15 3 3 2 18" xfId="36677"/>
    <cellStyle name="asd 15 3 3 2 19" xfId="38556"/>
    <cellStyle name="asd 15 3 3 2 2" xfId="7247"/>
    <cellStyle name="asd 15 3 3 2 20" xfId="28317"/>
    <cellStyle name="asd 15 3 3 2 21" xfId="34035"/>
    <cellStyle name="asd 15 3 3 2 22" xfId="43067"/>
    <cellStyle name="asd 15 3 3 2 3" xfId="8701"/>
    <cellStyle name="asd 15 3 3 2 4" xfId="10611"/>
    <cellStyle name="asd 15 3 3 2 5" xfId="11262"/>
    <cellStyle name="asd 15 3 3 2 6" xfId="13766"/>
    <cellStyle name="asd 15 3 3 2 7" xfId="15668"/>
    <cellStyle name="asd 15 3 3 2 8" xfId="18230"/>
    <cellStyle name="asd 15 3 3 2 9" xfId="20136"/>
    <cellStyle name="asd 15 3 3 20" xfId="37948"/>
    <cellStyle name="asd 15 3 3 21" xfId="39381"/>
    <cellStyle name="asd 15 3 3 22" xfId="41057"/>
    <cellStyle name="asd 15 3 3 23" xfId="43850"/>
    <cellStyle name="asd 15 3 3 3" xfId="5192"/>
    <cellStyle name="asd 15 3 3 4" xfId="8093"/>
    <cellStyle name="asd 15 3 3 5" xfId="10003"/>
    <cellStyle name="asd 15 3 3 6" xfId="12066"/>
    <cellStyle name="asd 15 3 3 7" xfId="14577"/>
    <cellStyle name="asd 15 3 3 8" xfId="16483"/>
    <cellStyle name="asd 15 3 3 9" xfId="17622"/>
    <cellStyle name="asd 15 3 4" xfId="4068"/>
    <cellStyle name="asd 15 3 4 10" xfId="19703"/>
    <cellStyle name="asd 15 3 4 11" xfId="21615"/>
    <cellStyle name="asd 15 3 4 12" xfId="23508"/>
    <cellStyle name="asd 15 3 4 13" xfId="25417"/>
    <cellStyle name="asd 15 3 4 14" xfId="26671"/>
    <cellStyle name="asd 15 3 4 15" xfId="29251"/>
    <cellStyle name="asd 15 3 4 16" xfId="30271"/>
    <cellStyle name="asd 15 3 4 17" xfId="32061"/>
    <cellStyle name="asd 15 3 4 18" xfId="34729"/>
    <cellStyle name="asd 15 3 4 19" xfId="36244"/>
    <cellStyle name="asd 15 3 4 2" xfId="5973"/>
    <cellStyle name="asd 15 3 4 2 10" xfId="22223"/>
    <cellStyle name="asd 15 3 4 2 11" xfId="22524"/>
    <cellStyle name="asd 15 3 4 2 12" xfId="26025"/>
    <cellStyle name="asd 15 3 4 2 13" xfId="27224"/>
    <cellStyle name="asd 15 3 4 2 14" xfId="29275"/>
    <cellStyle name="asd 15 3 4 2 15" xfId="30815"/>
    <cellStyle name="asd 15 3 4 2 16" xfId="31786"/>
    <cellStyle name="asd 15 3 4 2 17" xfId="33624"/>
    <cellStyle name="asd 15 3 4 2 18" xfId="36852"/>
    <cellStyle name="asd 15 3 4 2 19" xfId="38731"/>
    <cellStyle name="asd 15 3 4 2 2" xfId="7422"/>
    <cellStyle name="asd 15 3 4 2 20" xfId="39025"/>
    <cellStyle name="asd 15 3 4 2 21" xfId="40707"/>
    <cellStyle name="asd 15 3 4 2 22" xfId="42334"/>
    <cellStyle name="asd 15 3 4 2 3" xfId="8876"/>
    <cellStyle name="asd 15 3 4 2 4" xfId="10786"/>
    <cellStyle name="asd 15 3 4 2 5" xfId="2832"/>
    <cellStyle name="asd 15 3 4 2 6" xfId="12992"/>
    <cellStyle name="asd 15 3 4 2 7" xfId="14896"/>
    <cellStyle name="asd 15 3 4 2 8" xfId="18405"/>
    <cellStyle name="asd 15 3 4 2 9" xfId="20311"/>
    <cellStyle name="asd 15 3 4 20" xfId="38123"/>
    <cellStyle name="asd 15 3 4 21" xfId="39287"/>
    <cellStyle name="asd 15 3 4 22" xfId="40963"/>
    <cellStyle name="asd 15 3 4 23" xfId="43273"/>
    <cellStyle name="asd 15 3 4 3" xfId="6814"/>
    <cellStyle name="asd 15 3 4 4" xfId="8268"/>
    <cellStyle name="asd 15 3 4 5" xfId="10178"/>
    <cellStyle name="asd 15 3 4 6" xfId="12488"/>
    <cellStyle name="asd 15 3 4 7" xfId="13980"/>
    <cellStyle name="asd 15 3 4 8" xfId="15881"/>
    <cellStyle name="asd 15 3 4 9" xfId="17797"/>
    <cellStyle name="asd 15 3 5" xfId="4925"/>
    <cellStyle name="asd 15 3 5 10" xfId="21173"/>
    <cellStyle name="asd 15 3 5 11" xfId="22654"/>
    <cellStyle name="asd 15 3 5 12" xfId="24975"/>
    <cellStyle name="asd 15 3 5 13" xfId="26516"/>
    <cellStyle name="asd 15 3 5 14" xfId="28739"/>
    <cellStyle name="asd 15 3 5 15" xfId="30122"/>
    <cellStyle name="asd 15 3 5 16" xfId="32579"/>
    <cellStyle name="asd 15 3 5 17" xfId="33636"/>
    <cellStyle name="asd 15 3 5 18" xfId="35802"/>
    <cellStyle name="asd 15 3 5 19" xfId="37681"/>
    <cellStyle name="asd 15 3 5 2" xfId="6375"/>
    <cellStyle name="asd 15 3 5 20" xfId="39789"/>
    <cellStyle name="asd 15 3 5 21" xfId="41459"/>
    <cellStyle name="asd 15 3 5 22" xfId="42460"/>
    <cellStyle name="asd 15 3 5 3" xfId="7826"/>
    <cellStyle name="asd 15 3 5 4" xfId="9736"/>
    <cellStyle name="asd 15 3 5 5" xfId="11440"/>
    <cellStyle name="asd 15 3 5 6" xfId="13121"/>
    <cellStyle name="asd 15 3 5 7" xfId="15026"/>
    <cellStyle name="asd 15 3 5 8" xfId="17355"/>
    <cellStyle name="asd 15 3 5 9" xfId="19261"/>
    <cellStyle name="asd 15 3 6" xfId="5482"/>
    <cellStyle name="asd 15 3 6 10" xfId="21732"/>
    <cellStyle name="asd 15 3 6 11" xfId="23643"/>
    <cellStyle name="asd 15 3 6 12" xfId="25534"/>
    <cellStyle name="asd 15 3 6 13" xfId="26244"/>
    <cellStyle name="asd 15 3 6 14" xfId="28962"/>
    <cellStyle name="asd 15 3 6 15" xfId="29854"/>
    <cellStyle name="asd 15 3 6 16" xfId="32347"/>
    <cellStyle name="asd 15 3 6 17" xfId="34113"/>
    <cellStyle name="asd 15 3 6 18" xfId="36361"/>
    <cellStyle name="asd 15 3 6 19" xfId="38240"/>
    <cellStyle name="asd 15 3 6 2" xfId="6931"/>
    <cellStyle name="asd 15 3 6 20" xfId="39566"/>
    <cellStyle name="asd 15 3 6 21" xfId="41240"/>
    <cellStyle name="asd 15 3 6 22" xfId="43401"/>
    <cellStyle name="asd 15 3 6 3" xfId="8385"/>
    <cellStyle name="asd 15 3 6 4" xfId="10295"/>
    <cellStyle name="asd 15 3 6 5" xfId="11444"/>
    <cellStyle name="asd 15 3 6 6" xfId="14113"/>
    <cellStyle name="asd 15 3 6 7" xfId="16016"/>
    <cellStyle name="asd 15 3 6 8" xfId="17914"/>
    <cellStyle name="asd 15 3 6 9" xfId="19820"/>
    <cellStyle name="asd 15 3 7" xfId="2392"/>
    <cellStyle name="asd 15 3 8" xfId="9196"/>
    <cellStyle name="asd 15 3 9" xfId="12003"/>
    <cellStyle name="asd 15 4" xfId="3375"/>
    <cellStyle name="asd 15 4 10" xfId="14886"/>
    <cellStyle name="asd 15 4 11" xfId="16688"/>
    <cellStyle name="asd 15 4 12" xfId="18595"/>
    <cellStyle name="asd 15 4 13" xfId="20507"/>
    <cellStyle name="asd 15 4 14" xfId="22514"/>
    <cellStyle name="asd 15 4 15" xfId="24309"/>
    <cellStyle name="asd 15 4 16" xfId="26527"/>
    <cellStyle name="asd 15 4 17" xfId="29396"/>
    <cellStyle name="asd 15 4 18" xfId="30133"/>
    <cellStyle name="asd 15 4 19" xfId="32386"/>
    <cellStyle name="asd 15 4 2" xfId="3555"/>
    <cellStyle name="asd 15 4 2 10" xfId="17446"/>
    <cellStyle name="asd 15 4 2 11" xfId="19352"/>
    <cellStyle name="asd 15 4 2 12" xfId="21264"/>
    <cellStyle name="asd 15 4 2 13" xfId="22586"/>
    <cellStyle name="asd 15 4 2 14" xfId="25066"/>
    <cellStyle name="asd 15 4 2 15" xfId="27399"/>
    <cellStyle name="asd 15 4 2 16" xfId="28430"/>
    <cellStyle name="asd 15 4 2 17" xfId="30985"/>
    <cellStyle name="asd 15 4 2 18" xfId="32665"/>
    <cellStyle name="asd 15 4 2 19" xfId="33594"/>
    <cellStyle name="asd 15 4 2 2" xfId="4356"/>
    <cellStyle name="asd 15 4 2 2 10" xfId="20537"/>
    <cellStyle name="asd 15 4 2 2 11" xfId="23984"/>
    <cellStyle name="asd 15 4 2 2 12" xfId="24339"/>
    <cellStyle name="asd 15 4 2 2 13" xfId="27200"/>
    <cellStyle name="asd 15 4 2 2 14" xfId="28041"/>
    <cellStyle name="asd 15 4 2 2 15" xfId="30791"/>
    <cellStyle name="asd 15 4 2 2 16" xfId="31760"/>
    <cellStyle name="asd 15 4 2 2 17" xfId="34742"/>
    <cellStyle name="asd 15 4 2 2 18" xfId="35167"/>
    <cellStyle name="asd 15 4 2 2 19" xfId="37045"/>
    <cellStyle name="asd 15 4 2 2 2" xfId="5448"/>
    <cellStyle name="asd 15 4 2 2 20" xfId="39000"/>
    <cellStyle name="asd 15 4 2 2 21" xfId="40683"/>
    <cellStyle name="asd 15 4 2 2 22" xfId="43728"/>
    <cellStyle name="asd 15 4 2 2 3" xfId="6214"/>
    <cellStyle name="asd 15 4 2 2 4" xfId="9099"/>
    <cellStyle name="asd 15 4 2 2 5" xfId="11943"/>
    <cellStyle name="asd 15 4 2 2 6" xfId="14454"/>
    <cellStyle name="asd 15 4 2 2 7" xfId="16360"/>
    <cellStyle name="asd 15 4 2 2 8" xfId="16718"/>
    <cellStyle name="asd 15 4 2 2 9" xfId="18625"/>
    <cellStyle name="asd 15 4 2 20" xfId="35893"/>
    <cellStyle name="asd 15 4 2 21" xfId="37772"/>
    <cellStyle name="asd 15 4 2 22" xfId="39872"/>
    <cellStyle name="asd 15 4 2 23" xfId="41541"/>
    <cellStyle name="asd 15 4 2 24" xfId="42395"/>
    <cellStyle name="asd 15 4 2 3" xfId="5016"/>
    <cellStyle name="asd 15 4 2 4" xfId="6466"/>
    <cellStyle name="asd 15 4 2 5" xfId="7917"/>
    <cellStyle name="asd 15 4 2 6" xfId="9827"/>
    <cellStyle name="asd 15 4 2 7" xfId="11805"/>
    <cellStyle name="asd 15 4 2 8" xfId="13054"/>
    <cellStyle name="asd 15 4 2 9" xfId="14958"/>
    <cellStyle name="asd 15 4 20" xfId="34331"/>
    <cellStyle name="asd 15 4 21" xfId="35137"/>
    <cellStyle name="asd 15 4 22" xfId="37015"/>
    <cellStyle name="asd 15 4 23" xfId="39604"/>
    <cellStyle name="asd 15 4 24" xfId="41278"/>
    <cellStyle name="asd 15 4 25" xfId="42324"/>
    <cellStyle name="asd 15 4 3" xfId="3120"/>
    <cellStyle name="asd 15 4 3 10" xfId="19160"/>
    <cellStyle name="asd 15 4 3 11" xfId="21072"/>
    <cellStyle name="asd 15 4 3 12" xfId="23733"/>
    <cellStyle name="asd 15 4 3 13" xfId="24874"/>
    <cellStyle name="asd 15 4 3 14" xfId="26691"/>
    <cellStyle name="asd 15 4 3 15" xfId="13188"/>
    <cellStyle name="asd 15 4 3 16" xfId="30291"/>
    <cellStyle name="asd 15 4 3 17" xfId="32932"/>
    <cellStyle name="asd 15 4 3 18" xfId="34269"/>
    <cellStyle name="asd 15 4 3 19" xfId="35701"/>
    <cellStyle name="asd 15 4 3 2" xfId="5683"/>
    <cellStyle name="asd 15 4 3 2 10" xfId="21933"/>
    <cellStyle name="asd 15 4 3 2 11" xfId="22973"/>
    <cellStyle name="asd 15 4 3 2 12" xfId="25735"/>
    <cellStyle name="asd 15 4 3 2 13" xfId="27472"/>
    <cellStyle name="asd 15 4 3 2 14" xfId="29368"/>
    <cellStyle name="asd 15 4 3 2 15" xfId="31059"/>
    <cellStyle name="asd 15 4 3 2 16" xfId="33155"/>
    <cellStyle name="asd 15 4 3 2 17" xfId="34455"/>
    <cellStyle name="asd 15 4 3 2 18" xfId="36562"/>
    <cellStyle name="asd 15 4 3 2 19" xfId="38441"/>
    <cellStyle name="asd 15 4 3 2 2" xfId="7132"/>
    <cellStyle name="asd 15 4 3 2 20" xfId="40348"/>
    <cellStyle name="asd 15 4 3 2 21" xfId="42004"/>
    <cellStyle name="asd 15 4 3 2 22" xfId="42759"/>
    <cellStyle name="asd 15 4 3 2 3" xfId="8586"/>
    <cellStyle name="asd 15 4 3 2 4" xfId="10496"/>
    <cellStyle name="asd 15 4 3 2 5" xfId="11319"/>
    <cellStyle name="asd 15 4 3 2 6" xfId="13442"/>
    <cellStyle name="asd 15 4 3 2 7" xfId="15347"/>
    <cellStyle name="asd 15 4 3 2 8" xfId="18115"/>
    <cellStyle name="asd 15 4 3 2 9" xfId="20021"/>
    <cellStyle name="asd 15 4 3 20" xfId="37580"/>
    <cellStyle name="asd 15 4 3 21" xfId="40136"/>
    <cellStyle name="asd 15 4 3 22" xfId="41795"/>
    <cellStyle name="asd 15 4 3 23" xfId="43487"/>
    <cellStyle name="asd 15 4 3 3" xfId="4824"/>
    <cellStyle name="asd 15 4 3 4" xfId="7725"/>
    <cellStyle name="asd 15 4 3 5" xfId="9635"/>
    <cellStyle name="asd 15 4 3 6" xfId="11465"/>
    <cellStyle name="asd 15 4 3 7" xfId="14203"/>
    <cellStyle name="asd 15 4 3 8" xfId="16107"/>
    <cellStyle name="asd 15 4 3 9" xfId="17254"/>
    <cellStyle name="asd 15 4 4" xfId="4007"/>
    <cellStyle name="asd 15 4 4 10" xfId="19642"/>
    <cellStyle name="asd 15 4 4 11" xfId="21554"/>
    <cellStyle name="asd 15 4 4 12" xfId="22636"/>
    <cellStyle name="asd 15 4 4 13" xfId="25356"/>
    <cellStyle name="asd 15 4 4 14" xfId="27038"/>
    <cellStyle name="asd 15 4 4 15" xfId="29003"/>
    <cellStyle name="asd 15 4 4 16" xfId="30631"/>
    <cellStyle name="asd 15 4 4 17" xfId="32340"/>
    <cellStyle name="asd 15 4 4 18" xfId="33896"/>
    <cellStyle name="asd 15 4 4 19" xfId="36183"/>
    <cellStyle name="asd 15 4 4 2" xfId="5912"/>
    <cellStyle name="asd 15 4 4 2 10" xfId="22162"/>
    <cellStyle name="asd 15 4 4 2 11" xfId="22992"/>
    <cellStyle name="asd 15 4 4 2 12" xfId="25964"/>
    <cellStyle name="asd 15 4 4 2 13" xfId="27203"/>
    <cellStyle name="asd 15 4 4 2 14" xfId="10894"/>
    <cellStyle name="asd 15 4 4 2 15" xfId="30794"/>
    <cellStyle name="asd 15 4 4 2 16" xfId="33287"/>
    <cellStyle name="asd 15 4 4 2 17" xfId="31589"/>
    <cellStyle name="asd 15 4 4 2 18" xfId="36791"/>
    <cellStyle name="asd 15 4 4 2 19" xfId="38670"/>
    <cellStyle name="asd 15 4 4 2 2" xfId="7361"/>
    <cellStyle name="asd 15 4 4 2 20" xfId="40471"/>
    <cellStyle name="asd 15 4 4 2 21" xfId="42126"/>
    <cellStyle name="asd 15 4 4 2 22" xfId="42778"/>
    <cellStyle name="asd 15 4 4 2 3" xfId="8815"/>
    <cellStyle name="asd 15 4 4 2 4" xfId="10725"/>
    <cellStyle name="asd 15 4 4 2 5" xfId="12238"/>
    <cellStyle name="asd 15 4 4 2 6" xfId="13461"/>
    <cellStyle name="asd 15 4 4 2 7" xfId="15366"/>
    <cellStyle name="asd 15 4 4 2 8" xfId="18344"/>
    <cellStyle name="asd 15 4 4 2 9" xfId="20250"/>
    <cellStyle name="asd 15 4 4 20" xfId="38062"/>
    <cellStyle name="asd 15 4 4 21" xfId="39559"/>
    <cellStyle name="asd 15 4 4 22" xfId="41233"/>
    <cellStyle name="asd 15 4 4 23" xfId="42442"/>
    <cellStyle name="asd 15 4 4 3" xfId="6753"/>
    <cellStyle name="asd 15 4 4 4" xfId="8207"/>
    <cellStyle name="asd 15 4 4 5" xfId="10117"/>
    <cellStyle name="asd 15 4 4 6" xfId="12282"/>
    <cellStyle name="asd 15 4 4 7" xfId="13103"/>
    <cellStyle name="asd 15 4 4 8" xfId="15008"/>
    <cellStyle name="asd 15 4 4 9" xfId="17736"/>
    <cellStyle name="asd 15 4 5" xfId="5495"/>
    <cellStyle name="asd 15 4 5 10" xfId="21745"/>
    <cellStyle name="asd 15 4 5 11" xfId="23031"/>
    <cellStyle name="asd 15 4 5 12" xfId="25547"/>
    <cellStyle name="asd 15 4 5 13" xfId="27329"/>
    <cellStyle name="asd 15 4 5 14" xfId="14710"/>
    <cellStyle name="asd 15 4 5 15" xfId="30918"/>
    <cellStyle name="asd 15 4 5 16" xfId="31946"/>
    <cellStyle name="asd 15 4 5 17" xfId="34743"/>
    <cellStyle name="asd 15 4 5 18" xfId="36374"/>
    <cellStyle name="asd 15 4 5 19" xfId="38253"/>
    <cellStyle name="asd 15 4 5 2" xfId="6944"/>
    <cellStyle name="asd 15 4 5 20" xfId="39176"/>
    <cellStyle name="asd 15 4 5 21" xfId="40857"/>
    <cellStyle name="asd 15 4 5 22" xfId="42814"/>
    <cellStyle name="asd 15 4 5 3" xfId="8398"/>
    <cellStyle name="asd 15 4 5 4" xfId="10308"/>
    <cellStyle name="asd 15 4 5 5" xfId="12625"/>
    <cellStyle name="asd 15 4 5 6" xfId="13501"/>
    <cellStyle name="asd 15 4 5 7" xfId="15405"/>
    <cellStyle name="asd 15 4 5 8" xfId="17927"/>
    <cellStyle name="asd 15 4 5 9" xfId="19833"/>
    <cellStyle name="asd 15 4 6" xfId="6122"/>
    <cellStyle name="asd 15 4 7" xfId="9069"/>
    <cellStyle name="asd 15 4 8" xfId="3287"/>
    <cellStyle name="asd 15 4 9" xfId="12982"/>
    <cellStyle name="asd 15 5" xfId="1824"/>
    <cellStyle name="asd 15 5 10" xfId="17067"/>
    <cellStyle name="asd 15 5 11" xfId="18973"/>
    <cellStyle name="asd 15 5 12" xfId="20885"/>
    <cellStyle name="asd 15 5 13" xfId="22754"/>
    <cellStyle name="asd 15 5 14" xfId="24687"/>
    <cellStyle name="asd 15 5 15" xfId="27769"/>
    <cellStyle name="asd 15 5 16" xfId="28984"/>
    <cellStyle name="asd 15 5 17" xfId="31347"/>
    <cellStyle name="asd 15 5 18" xfId="32133"/>
    <cellStyle name="asd 15 5 19" xfId="34086"/>
    <cellStyle name="asd 15 5 2" xfId="5463"/>
    <cellStyle name="asd 15 5 2 10" xfId="21713"/>
    <cellStyle name="asd 15 5 2 11" xfId="24091"/>
    <cellStyle name="asd 15 5 2 12" xfId="25515"/>
    <cellStyle name="asd 15 5 2 13" xfId="26649"/>
    <cellStyle name="asd 15 5 2 14" xfId="28600"/>
    <cellStyle name="asd 15 5 2 15" xfId="30251"/>
    <cellStyle name="asd 15 5 2 16" xfId="32912"/>
    <cellStyle name="asd 15 5 2 17" xfId="33470"/>
    <cellStyle name="asd 15 5 2 18" xfId="36342"/>
    <cellStyle name="asd 15 5 2 19" xfId="38221"/>
    <cellStyle name="asd 15 5 2 2" xfId="6912"/>
    <cellStyle name="asd 15 5 2 20" xfId="40116"/>
    <cellStyle name="asd 15 5 2 21" xfId="41776"/>
    <cellStyle name="asd 15 5 2 22" xfId="43834"/>
    <cellStyle name="asd 15 5 2 3" xfId="8366"/>
    <cellStyle name="asd 15 5 2 4" xfId="10276"/>
    <cellStyle name="asd 15 5 2 5" xfId="12050"/>
    <cellStyle name="asd 15 5 2 6" xfId="14561"/>
    <cellStyle name="asd 15 5 2 7" xfId="16467"/>
    <cellStyle name="asd 15 5 2 8" xfId="17895"/>
    <cellStyle name="asd 15 5 2 9" xfId="19801"/>
    <cellStyle name="asd 15 5 20" xfId="35514"/>
    <cellStyle name="asd 15 5 21" xfId="37393"/>
    <cellStyle name="asd 15 5 22" xfId="39356"/>
    <cellStyle name="asd 15 5 23" xfId="41032"/>
    <cellStyle name="asd 15 5 24" xfId="42551"/>
    <cellStyle name="asd 15 5 3" xfId="4641"/>
    <cellStyle name="asd 15 5 4" xfId="6088"/>
    <cellStyle name="asd 15 5 5" xfId="7538"/>
    <cellStyle name="asd 15 5 6" xfId="9448"/>
    <cellStyle name="asd 15 5 7" xfId="12177"/>
    <cellStyle name="asd 15 5 8" xfId="13223"/>
    <cellStyle name="asd 15 5 9" xfId="15126"/>
    <cellStyle name="asd 15 6" xfId="3023"/>
    <cellStyle name="asd 15 6 10" xfId="19141"/>
    <cellStyle name="asd 15 6 11" xfId="21053"/>
    <cellStyle name="asd 15 6 12" xfId="24200"/>
    <cellStyle name="asd 15 6 13" xfId="24855"/>
    <cellStyle name="asd 15 6 14" xfId="2461"/>
    <cellStyle name="asd 15 6 15" xfId="28899"/>
    <cellStyle name="asd 15 6 16" xfId="29546"/>
    <cellStyle name="asd 15 6 17" xfId="28708"/>
    <cellStyle name="asd 15 6 18" xfId="33533"/>
    <cellStyle name="asd 15 6 19" xfId="35682"/>
    <cellStyle name="asd 15 6 2" xfId="5731"/>
    <cellStyle name="asd 15 6 2 10" xfId="21981"/>
    <cellStyle name="asd 15 6 2 11" xfId="22478"/>
    <cellStyle name="asd 15 6 2 12" xfId="25783"/>
    <cellStyle name="asd 15 6 2 13" xfId="27173"/>
    <cellStyle name="asd 15 6 2 14" xfId="29235"/>
    <cellStyle name="asd 15 6 2 15" xfId="30765"/>
    <cellStyle name="asd 15 6 2 16" xfId="31654"/>
    <cellStyle name="asd 15 6 2 17" xfId="33971"/>
    <cellStyle name="asd 15 6 2 18" xfId="36610"/>
    <cellStyle name="asd 15 6 2 19" xfId="38489"/>
    <cellStyle name="asd 15 6 2 2" xfId="7180"/>
    <cellStyle name="asd 15 6 2 20" xfId="38899"/>
    <cellStyle name="asd 15 6 2 21" xfId="40584"/>
    <cellStyle name="asd 15 6 2 22" xfId="42288"/>
    <cellStyle name="asd 15 6 2 3" xfId="8634"/>
    <cellStyle name="asd 15 6 2 4" xfId="10544"/>
    <cellStyle name="asd 15 6 2 5" xfId="11794"/>
    <cellStyle name="asd 15 6 2 6" xfId="12946"/>
    <cellStyle name="asd 15 6 2 7" xfId="14850"/>
    <cellStyle name="asd 15 6 2 8" xfId="18163"/>
    <cellStyle name="asd 15 6 2 9" xfId="20069"/>
    <cellStyle name="asd 15 6 20" xfId="37561"/>
    <cellStyle name="asd 15 6 21" xfId="28867"/>
    <cellStyle name="asd 15 6 22" xfId="2875"/>
    <cellStyle name="asd 15 6 23" xfId="43938"/>
    <cellStyle name="asd 15 6 3" xfId="4805"/>
    <cellStyle name="asd 15 6 4" xfId="7706"/>
    <cellStyle name="asd 15 6 5" xfId="9616"/>
    <cellStyle name="asd 15 6 6" xfId="12160"/>
    <cellStyle name="asd 15 6 7" xfId="14672"/>
    <cellStyle name="asd 15 6 8" xfId="16578"/>
    <cellStyle name="asd 15 6 9" xfId="17235"/>
    <cellStyle name="asd 15 7" xfId="2767"/>
    <cellStyle name="asd 15 7 10" xfId="19107"/>
    <cellStyle name="asd 15 7 11" xfId="21019"/>
    <cellStyle name="asd 15 7 12" xfId="23134"/>
    <cellStyle name="asd 15 7 13" xfId="24821"/>
    <cellStyle name="asd 15 7 14" xfId="26333"/>
    <cellStyle name="asd 15 7 15" xfId="28078"/>
    <cellStyle name="asd 15 7 16" xfId="29941"/>
    <cellStyle name="asd 15 7 17" xfId="31898"/>
    <cellStyle name="asd 15 7 18" xfId="34883"/>
    <cellStyle name="asd 15 7 19" xfId="35648"/>
    <cellStyle name="asd 15 7 2" xfId="5609"/>
    <cellStyle name="asd 15 7 2 10" xfId="21859"/>
    <cellStyle name="asd 15 7 2 11" xfId="23186"/>
    <cellStyle name="asd 15 7 2 12" xfId="25661"/>
    <cellStyle name="asd 15 7 2 13" xfId="27351"/>
    <cellStyle name="asd 15 7 2 14" xfId="29538"/>
    <cellStyle name="asd 15 7 2 15" xfId="30940"/>
    <cellStyle name="asd 15 7 2 16" xfId="32210"/>
    <cellStyle name="asd 15 7 2 17" xfId="34870"/>
    <cellStyle name="asd 15 7 2 18" xfId="36488"/>
    <cellStyle name="asd 15 7 2 19" xfId="38367"/>
    <cellStyle name="asd 15 7 2 2" xfId="7058"/>
    <cellStyle name="asd 15 7 2 20" xfId="39430"/>
    <cellStyle name="asd 15 7 2 21" xfId="41106"/>
    <cellStyle name="asd 15 7 2 22" xfId="42964"/>
    <cellStyle name="asd 15 7 2 3" xfId="8512"/>
    <cellStyle name="asd 15 7 2 4" xfId="10422"/>
    <cellStyle name="asd 15 7 2 5" xfId="11023"/>
    <cellStyle name="asd 15 7 2 6" xfId="13657"/>
    <cellStyle name="asd 15 7 2 7" xfId="15560"/>
    <cellStyle name="asd 15 7 2 8" xfId="18041"/>
    <cellStyle name="asd 15 7 2 9" xfId="19947"/>
    <cellStyle name="asd 15 7 20" xfId="37527"/>
    <cellStyle name="asd 15 7 21" xfId="39131"/>
    <cellStyle name="asd 15 7 22" xfId="40812"/>
    <cellStyle name="asd 15 7 23" xfId="42912"/>
    <cellStyle name="asd 15 7 3" xfId="6221"/>
    <cellStyle name="asd 15 7 4" xfId="7672"/>
    <cellStyle name="asd 15 7 5" xfId="9582"/>
    <cellStyle name="asd 15 7 6" xfId="12758"/>
    <cellStyle name="asd 15 7 7" xfId="13605"/>
    <cellStyle name="asd 15 7 8" xfId="15508"/>
    <cellStyle name="asd 15 7 9" xfId="17201"/>
    <cellStyle name="asd 15 8" xfId="4168"/>
    <cellStyle name="asd 15 9" xfId="3915"/>
    <cellStyle name="asd 16" xfId="793"/>
    <cellStyle name="asd 16 10" xfId="3226"/>
    <cellStyle name="asd 16 11" xfId="3223"/>
    <cellStyle name="asd 16 12" xfId="2040"/>
    <cellStyle name="asd 16 13" xfId="14661"/>
    <cellStyle name="asd 16 14" xfId="2774"/>
    <cellStyle name="asd 16 15" xfId="2239"/>
    <cellStyle name="asd 16 16" xfId="2373"/>
    <cellStyle name="asd 16 17" xfId="2360"/>
    <cellStyle name="asd 16 18" xfId="12484"/>
    <cellStyle name="asd 16 19" xfId="5288"/>
    <cellStyle name="asd 16 2" xfId="3484"/>
    <cellStyle name="asd 16 2 10" xfId="13674"/>
    <cellStyle name="asd 16 2 11" xfId="15576"/>
    <cellStyle name="asd 16 2 12" xfId="16919"/>
    <cellStyle name="asd 16 2 13" xfId="18826"/>
    <cellStyle name="asd 16 2 14" xfId="20738"/>
    <cellStyle name="asd 16 2 15" xfId="23202"/>
    <cellStyle name="asd 16 2 16" xfId="24540"/>
    <cellStyle name="asd 16 2 17" xfId="26615"/>
    <cellStyle name="asd 16 2 18" xfId="28438"/>
    <cellStyle name="asd 16 2 19" xfId="30218"/>
    <cellStyle name="asd 16 2 2" xfId="3664"/>
    <cellStyle name="asd 16 2 2 10" xfId="17555"/>
    <cellStyle name="asd 16 2 2 11" xfId="19461"/>
    <cellStyle name="asd 16 2 2 12" xfId="21373"/>
    <cellStyle name="asd 16 2 2 13" xfId="23864"/>
    <cellStyle name="asd 16 2 2 14" xfId="25175"/>
    <cellStyle name="asd 16 2 2 15" xfId="27540"/>
    <cellStyle name="asd 16 2 2 16" xfId="1822"/>
    <cellStyle name="asd 16 2 2 17" xfId="31121"/>
    <cellStyle name="asd 16 2 2 18" xfId="31726"/>
    <cellStyle name="asd 16 2 2 19" xfId="33760"/>
    <cellStyle name="asd 16 2 2 2" xfId="4472"/>
    <cellStyle name="asd 16 2 2 2 10" xfId="20717"/>
    <cellStyle name="asd 16 2 2 2 11" xfId="23941"/>
    <cellStyle name="asd 16 2 2 2 12" xfId="24519"/>
    <cellStyle name="asd 16 2 2 2 13" xfId="27522"/>
    <cellStyle name="asd 16 2 2 2 14" xfId="29678"/>
    <cellStyle name="asd 16 2 2 2 15" xfId="31105"/>
    <cellStyle name="asd 16 2 2 2 16" xfId="33063"/>
    <cellStyle name="asd 16 2 2 2 17" xfId="34931"/>
    <cellStyle name="asd 16 2 2 2 18" xfId="35347"/>
    <cellStyle name="asd 16 2 2 2 19" xfId="37225"/>
    <cellStyle name="asd 16 2 2 2 2" xfId="2877"/>
    <cellStyle name="asd 16 2 2 2 20" xfId="40259"/>
    <cellStyle name="asd 16 2 2 2 21" xfId="41917"/>
    <cellStyle name="asd 16 2 2 2 22" xfId="43687"/>
    <cellStyle name="asd 16 2 2 2 3" xfId="2802"/>
    <cellStyle name="asd 16 2 2 2 4" xfId="9279"/>
    <cellStyle name="asd 16 2 2 2 5" xfId="11901"/>
    <cellStyle name="asd 16 2 2 2 6" xfId="14411"/>
    <cellStyle name="asd 16 2 2 2 7" xfId="16317"/>
    <cellStyle name="asd 16 2 2 2 8" xfId="16898"/>
    <cellStyle name="asd 16 2 2 2 9" xfId="18805"/>
    <cellStyle name="asd 16 2 2 20" xfId="36002"/>
    <cellStyle name="asd 16 2 2 21" xfId="37881"/>
    <cellStyle name="asd 16 2 2 22" xfId="38967"/>
    <cellStyle name="asd 16 2 2 23" xfId="40650"/>
    <cellStyle name="asd 16 2 2 24" xfId="43614"/>
    <cellStyle name="asd 16 2 2 3" xfId="5125"/>
    <cellStyle name="asd 16 2 2 4" xfId="6575"/>
    <cellStyle name="asd 16 2 2 5" xfId="8026"/>
    <cellStyle name="asd 16 2 2 6" xfId="9936"/>
    <cellStyle name="asd 16 2 2 7" xfId="12645"/>
    <cellStyle name="asd 16 2 2 8" xfId="14334"/>
    <cellStyle name="asd 16 2 2 9" xfId="16238"/>
    <cellStyle name="asd 16 2 20" xfId="32117"/>
    <cellStyle name="asd 16 2 21" xfId="33699"/>
    <cellStyle name="asd 16 2 22" xfId="35368"/>
    <cellStyle name="asd 16 2 23" xfId="37246"/>
    <cellStyle name="asd 16 2 24" xfId="39341"/>
    <cellStyle name="asd 16 2 25" xfId="41017"/>
    <cellStyle name="asd 16 2 26" xfId="42980"/>
    <cellStyle name="asd 16 2 3" xfId="3893"/>
    <cellStyle name="asd 16 2 3 10" xfId="19600"/>
    <cellStyle name="asd 16 2 3 11" xfId="21512"/>
    <cellStyle name="asd 16 2 3 12" xfId="22534"/>
    <cellStyle name="asd 16 2 3 13" xfId="25314"/>
    <cellStyle name="asd 16 2 3 14" xfId="27632"/>
    <cellStyle name="asd 16 2 3 15" xfId="29724"/>
    <cellStyle name="asd 16 2 3 16" xfId="31209"/>
    <cellStyle name="asd 16 2 3 17" xfId="31934"/>
    <cellStyle name="asd 16 2 3 18" xfId="34762"/>
    <cellStyle name="asd 16 2 3 19" xfId="36141"/>
    <cellStyle name="asd 16 2 3 2" xfId="5870"/>
    <cellStyle name="asd 16 2 3 2 10" xfId="22120"/>
    <cellStyle name="asd 16 2 3 2 11" xfId="23962"/>
    <cellStyle name="asd 16 2 3 2 12" xfId="25922"/>
    <cellStyle name="asd 16 2 3 2 13" xfId="26512"/>
    <cellStyle name="asd 16 2 3 2 14" xfId="28204"/>
    <cellStyle name="asd 16 2 3 2 15" xfId="30117"/>
    <cellStyle name="asd 16 2 3 2 16" xfId="32078"/>
    <cellStyle name="asd 16 2 3 2 17" xfId="33988"/>
    <cellStyle name="asd 16 2 3 2 18" xfId="36749"/>
    <cellStyle name="asd 16 2 3 2 19" xfId="38628"/>
    <cellStyle name="asd 16 2 3 2 2" xfId="7319"/>
    <cellStyle name="asd 16 2 3 2 20" xfId="39302"/>
    <cellStyle name="asd 16 2 3 2 21" xfId="40978"/>
    <cellStyle name="asd 16 2 3 2 22" xfId="43708"/>
    <cellStyle name="asd 16 2 3 2 3" xfId="8773"/>
    <cellStyle name="asd 16 2 3 2 4" xfId="10683"/>
    <cellStyle name="asd 16 2 3 2 5" xfId="11922"/>
    <cellStyle name="asd 16 2 3 2 6" xfId="14432"/>
    <cellStyle name="asd 16 2 3 2 7" xfId="16338"/>
    <cellStyle name="asd 16 2 3 2 8" xfId="18302"/>
    <cellStyle name="asd 16 2 3 2 9" xfId="20208"/>
    <cellStyle name="asd 16 2 3 20" xfId="38020"/>
    <cellStyle name="asd 16 2 3 21" xfId="39164"/>
    <cellStyle name="asd 16 2 3 22" xfId="40845"/>
    <cellStyle name="asd 16 2 3 23" xfId="42343"/>
    <cellStyle name="asd 16 2 3 3" xfId="5264"/>
    <cellStyle name="asd 16 2 3 4" xfId="8165"/>
    <cellStyle name="asd 16 2 3 5" xfId="10075"/>
    <cellStyle name="asd 16 2 3 6" xfId="12354"/>
    <cellStyle name="asd 16 2 3 7" xfId="13002"/>
    <cellStyle name="asd 16 2 3 8" xfId="14906"/>
    <cellStyle name="asd 16 2 3 9" xfId="17694"/>
    <cellStyle name="asd 16 2 4" xfId="4116"/>
    <cellStyle name="asd 16 2 4 10" xfId="19751"/>
    <cellStyle name="asd 16 2 4 11" xfId="21663"/>
    <cellStyle name="asd 16 2 4 12" xfId="1954"/>
    <cellStyle name="asd 16 2 4 13" xfId="25465"/>
    <cellStyle name="asd 16 2 4 14" xfId="3147"/>
    <cellStyle name="asd 16 2 4 15" xfId="4362"/>
    <cellStyle name="asd 16 2 4 16" xfId="27993"/>
    <cellStyle name="asd 16 2 4 17" xfId="18522"/>
    <cellStyle name="asd 16 2 4 18" xfId="32038"/>
    <cellStyle name="asd 16 2 4 19" xfId="36292"/>
    <cellStyle name="asd 16 2 4 2" xfId="6021"/>
    <cellStyle name="asd 16 2 4 2 10" xfId="22271"/>
    <cellStyle name="asd 16 2 4 2 11" xfId="22519"/>
    <cellStyle name="asd 16 2 4 2 12" xfId="26073"/>
    <cellStyle name="asd 16 2 4 2 13" xfId="26695"/>
    <cellStyle name="asd 16 2 4 2 14" xfId="29494"/>
    <cellStyle name="asd 16 2 4 2 15" xfId="30295"/>
    <cellStyle name="asd 16 2 4 2 16" xfId="32830"/>
    <cellStyle name="asd 16 2 4 2 17" xfId="34934"/>
    <cellStyle name="asd 16 2 4 2 18" xfId="36900"/>
    <cellStyle name="asd 16 2 4 2 19" xfId="38779"/>
    <cellStyle name="asd 16 2 4 2 2" xfId="7470"/>
    <cellStyle name="asd 16 2 4 2 20" xfId="40039"/>
    <cellStyle name="asd 16 2 4 2 21" xfId="41703"/>
    <cellStyle name="asd 16 2 4 2 22" xfId="42329"/>
    <cellStyle name="asd 16 2 4 2 3" xfId="8924"/>
    <cellStyle name="asd 16 2 4 2 4" xfId="10834"/>
    <cellStyle name="asd 16 2 4 2 5" xfId="12361"/>
    <cellStyle name="asd 16 2 4 2 6" xfId="12987"/>
    <cellStyle name="asd 16 2 4 2 7" xfId="14891"/>
    <cellStyle name="asd 16 2 4 2 8" xfId="18453"/>
    <cellStyle name="asd 16 2 4 2 9" xfId="20359"/>
    <cellStyle name="asd 16 2 4 20" xfId="38171"/>
    <cellStyle name="asd 16 2 4 21" xfId="33572"/>
    <cellStyle name="asd 16 2 4 22" xfId="31558"/>
    <cellStyle name="asd 16 2 4 23" xfId="3710"/>
    <cellStyle name="asd 16 2 4 3" xfId="6862"/>
    <cellStyle name="asd 16 2 4 4" xfId="8316"/>
    <cellStyle name="asd 16 2 4 5" xfId="10226"/>
    <cellStyle name="asd 16 2 4 6" xfId="10988"/>
    <cellStyle name="asd 16 2 4 7" xfId="2760"/>
    <cellStyle name="asd 16 2 4 8" xfId="4558"/>
    <cellStyle name="asd 16 2 4 9" xfId="17845"/>
    <cellStyle name="asd 16 2 5" xfId="4965"/>
    <cellStyle name="asd 16 2 5 10" xfId="21213"/>
    <cellStyle name="asd 16 2 5 11" xfId="23735"/>
    <cellStyle name="asd 16 2 5 12" xfId="25015"/>
    <cellStyle name="asd 16 2 5 13" xfId="27975"/>
    <cellStyle name="asd 16 2 5 14" xfId="28682"/>
    <cellStyle name="asd 16 2 5 15" xfId="31555"/>
    <cellStyle name="asd 16 2 5 16" xfId="31466"/>
    <cellStyle name="asd 16 2 5 17" xfId="31576"/>
    <cellStyle name="asd 16 2 5 18" xfId="35842"/>
    <cellStyle name="asd 16 2 5 19" xfId="37721"/>
    <cellStyle name="asd 16 2 5 2" xfId="6415"/>
    <cellStyle name="asd 16 2 5 20" xfId="28731"/>
    <cellStyle name="asd 16 2 5 21" xfId="38972"/>
    <cellStyle name="asd 16 2 5 22" xfId="43488"/>
    <cellStyle name="asd 16 2 5 3" xfId="7866"/>
    <cellStyle name="asd 16 2 5 4" xfId="9776"/>
    <cellStyle name="asd 16 2 5 5" xfId="11717"/>
    <cellStyle name="asd 16 2 5 6" xfId="14205"/>
    <cellStyle name="asd 16 2 5 7" xfId="16109"/>
    <cellStyle name="asd 16 2 5 8" xfId="17395"/>
    <cellStyle name="asd 16 2 5 9" xfId="19301"/>
    <cellStyle name="asd 16 2 6" xfId="5553"/>
    <cellStyle name="asd 16 2 6 10" xfId="21803"/>
    <cellStyle name="asd 16 2 6 11" xfId="24100"/>
    <cellStyle name="asd 16 2 6 12" xfId="25605"/>
    <cellStyle name="asd 16 2 6 13" xfId="27061"/>
    <cellStyle name="asd 16 2 6 14" xfId="2891"/>
    <cellStyle name="asd 16 2 6 15" xfId="30652"/>
    <cellStyle name="asd 16 2 6 16" xfId="26114"/>
    <cellStyle name="asd 16 2 6 17" xfId="32216"/>
    <cellStyle name="asd 16 2 6 18" xfId="36432"/>
    <cellStyle name="asd 16 2 6 19" xfId="38311"/>
    <cellStyle name="asd 16 2 6 2" xfId="7002"/>
    <cellStyle name="asd 16 2 6 20" xfId="33336"/>
    <cellStyle name="asd 16 2 6 21" xfId="16594"/>
    <cellStyle name="asd 16 2 6 22" xfId="43843"/>
    <cellStyle name="asd 16 2 6 3" xfId="8456"/>
    <cellStyle name="asd 16 2 6 4" xfId="10366"/>
    <cellStyle name="asd 16 2 6 5" xfId="12059"/>
    <cellStyle name="asd 16 2 6 6" xfId="14570"/>
    <cellStyle name="asd 16 2 6 7" xfId="16476"/>
    <cellStyle name="asd 16 2 6 8" xfId="17985"/>
    <cellStyle name="asd 16 2 6 9" xfId="19891"/>
    <cellStyle name="asd 16 2 7" xfId="2714"/>
    <cellStyle name="asd 16 2 8" xfId="9300"/>
    <cellStyle name="asd 16 2 9" xfId="11070"/>
    <cellStyle name="asd 16 20" xfId="22614"/>
    <cellStyle name="asd 16 21" xfId="29729"/>
    <cellStyle name="asd 16 22" xfId="3070"/>
    <cellStyle name="asd 16 23" xfId="29225"/>
    <cellStyle name="asd 16 24" xfId="2469"/>
    <cellStyle name="asd 16 25" xfId="23797"/>
    <cellStyle name="asd 16 26" xfId="29730"/>
    <cellStyle name="asd 16 27" xfId="38905"/>
    <cellStyle name="asd 16 3" xfId="3374"/>
    <cellStyle name="asd 16 3 10" xfId="13679"/>
    <cellStyle name="asd 16 3 11" xfId="15581"/>
    <cellStyle name="asd 16 3 12" xfId="16687"/>
    <cellStyle name="asd 16 3 13" xfId="18594"/>
    <cellStyle name="asd 16 3 14" xfId="20506"/>
    <cellStyle name="asd 16 3 15" xfId="23207"/>
    <cellStyle name="asd 16 3 16" xfId="24308"/>
    <cellStyle name="asd 16 3 17" xfId="27651"/>
    <cellStyle name="asd 16 3 18" xfId="13566"/>
    <cellStyle name="asd 16 3 19" xfId="31228"/>
    <cellStyle name="asd 16 3 2" xfId="3554"/>
    <cellStyle name="asd 16 3 2 10" xfId="17445"/>
    <cellStyle name="asd 16 3 2 11" xfId="19351"/>
    <cellStyle name="asd 16 3 2 12" xfId="21263"/>
    <cellStyle name="asd 16 3 2 13" xfId="23339"/>
    <cellStyle name="asd 16 3 2 14" xfId="25065"/>
    <cellStyle name="asd 16 3 2 15" xfId="26362"/>
    <cellStyle name="asd 16 3 2 16" xfId="28574"/>
    <cellStyle name="asd 16 3 2 17" xfId="29970"/>
    <cellStyle name="asd 16 3 2 18" xfId="33274"/>
    <cellStyle name="asd 16 3 2 19" xfId="33936"/>
    <cellStyle name="asd 16 3 2 2" xfId="4550"/>
    <cellStyle name="asd 16 3 2 2 10" xfId="20795"/>
    <cellStyle name="asd 16 3 2 2 11" xfId="23248"/>
    <cellStyle name="asd 16 3 2 2 12" xfId="24597"/>
    <cellStyle name="asd 16 3 2 2 13" xfId="27455"/>
    <cellStyle name="asd 16 3 2 2 14" xfId="28958"/>
    <cellStyle name="asd 16 3 2 2 15" xfId="31042"/>
    <cellStyle name="asd 16 3 2 2 16" xfId="32635"/>
    <cellStyle name="asd 16 3 2 2 17" xfId="34622"/>
    <cellStyle name="asd 16 3 2 2 18" xfId="35425"/>
    <cellStyle name="asd 16 3 2 2 19" xfId="37303"/>
    <cellStyle name="asd 16 3 2 2 2" xfId="5382"/>
    <cellStyle name="asd 16 3 2 2 20" xfId="39842"/>
    <cellStyle name="asd 16 3 2 2 21" xfId="41511"/>
    <cellStyle name="asd 16 3 2 2 22" xfId="43025"/>
    <cellStyle name="asd 16 3 2 2 3" xfId="6658"/>
    <cellStyle name="asd 16 3 2 2 4" xfId="9357"/>
    <cellStyle name="asd 16 3 2 2 5" xfId="11158"/>
    <cellStyle name="asd 16 3 2 2 6" xfId="13720"/>
    <cellStyle name="asd 16 3 2 2 7" xfId="15622"/>
    <cellStyle name="asd 16 3 2 2 8" xfId="16976"/>
    <cellStyle name="asd 16 3 2 2 9" xfId="18883"/>
    <cellStyle name="asd 16 3 2 20" xfId="35892"/>
    <cellStyle name="asd 16 3 2 21" xfId="37771"/>
    <cellStyle name="asd 16 3 2 22" xfId="40460"/>
    <cellStyle name="asd 16 3 2 23" xfId="42115"/>
    <cellStyle name="asd 16 3 2 24" xfId="43109"/>
    <cellStyle name="asd 16 3 2 3" xfId="5015"/>
    <cellStyle name="asd 16 3 2 4" xfId="6465"/>
    <cellStyle name="asd 16 3 2 5" xfId="7916"/>
    <cellStyle name="asd 16 3 2 6" xfId="9826"/>
    <cellStyle name="asd 16 3 2 7" xfId="11149"/>
    <cellStyle name="asd 16 3 2 8" xfId="13811"/>
    <cellStyle name="asd 16 3 2 9" xfId="15713"/>
    <cellStyle name="asd 16 3 20" xfId="32696"/>
    <cellStyle name="asd 16 3 21" xfId="34087"/>
    <cellStyle name="asd 16 3 22" xfId="35136"/>
    <cellStyle name="asd 16 3 23" xfId="37014"/>
    <cellStyle name="asd 16 3 24" xfId="39904"/>
    <cellStyle name="asd 16 3 25" xfId="41573"/>
    <cellStyle name="asd 16 3 26" xfId="42985"/>
    <cellStyle name="asd 16 3 3" xfId="3837"/>
    <cellStyle name="asd 16 3 3 10" xfId="19562"/>
    <cellStyle name="asd 16 3 3 11" xfId="21474"/>
    <cellStyle name="asd 16 3 3 12" xfId="23434"/>
    <cellStyle name="asd 16 3 3 13" xfId="25276"/>
    <cellStyle name="asd 16 3 3 14" xfId="27531"/>
    <cellStyle name="asd 16 3 3 15" xfId="29617"/>
    <cellStyle name="asd 16 3 3 16" xfId="31113"/>
    <cellStyle name="asd 16 3 3 17" xfId="33004"/>
    <cellStyle name="asd 16 3 3 18" xfId="33686"/>
    <cellStyle name="asd 16 3 3 19" xfId="36103"/>
    <cellStyle name="asd 16 3 3 2" xfId="5832"/>
    <cellStyle name="asd 16 3 3 2 10" xfId="22082"/>
    <cellStyle name="asd 16 3 3 2 11" xfId="22414"/>
    <cellStyle name="asd 16 3 3 2 12" xfId="25884"/>
    <cellStyle name="asd 16 3 3 2 13" xfId="27002"/>
    <cellStyle name="asd 16 3 3 2 14" xfId="2985"/>
    <cellStyle name="asd 16 3 3 2 15" xfId="30596"/>
    <cellStyle name="asd 16 3 3 2 16" xfId="33016"/>
    <cellStyle name="asd 16 3 3 2 17" xfId="34448"/>
    <cellStyle name="asd 16 3 3 2 18" xfId="36711"/>
    <cellStyle name="asd 16 3 3 2 19" xfId="38590"/>
    <cellStyle name="asd 16 3 3 2 2" xfId="7281"/>
    <cellStyle name="asd 16 3 3 2 20" xfId="40216"/>
    <cellStyle name="asd 16 3 3 2 21" xfId="41875"/>
    <cellStyle name="asd 16 3 3 2 22" xfId="42225"/>
    <cellStyle name="asd 16 3 3 2 3" xfId="8735"/>
    <cellStyle name="asd 16 3 3 2 4" xfId="10645"/>
    <cellStyle name="asd 16 3 3 2 5" xfId="12264"/>
    <cellStyle name="asd 16 3 3 2 6" xfId="12881"/>
    <cellStyle name="asd 16 3 3 2 7" xfId="14786"/>
    <cellStyle name="asd 16 3 3 2 8" xfId="18264"/>
    <cellStyle name="asd 16 3 3 2 9" xfId="20170"/>
    <cellStyle name="asd 16 3 3 20" xfId="37982"/>
    <cellStyle name="asd 16 3 3 21" xfId="40204"/>
    <cellStyle name="asd 16 3 3 22" xfId="41863"/>
    <cellStyle name="asd 16 3 3 23" xfId="43201"/>
    <cellStyle name="asd 16 3 3 3" xfId="5226"/>
    <cellStyle name="asd 16 3 3 4" xfId="8127"/>
    <cellStyle name="asd 16 3 3 5" xfId="10037"/>
    <cellStyle name="asd 16 3 3 6" xfId="12250"/>
    <cellStyle name="asd 16 3 3 7" xfId="13906"/>
    <cellStyle name="asd 16 3 3 8" xfId="15807"/>
    <cellStyle name="asd 16 3 3 9" xfId="17656"/>
    <cellStyle name="asd 16 3 4" xfId="4006"/>
    <cellStyle name="asd 16 3 4 10" xfId="19641"/>
    <cellStyle name="asd 16 3 4 11" xfId="21553"/>
    <cellStyle name="asd 16 3 4 12" xfId="23264"/>
    <cellStyle name="asd 16 3 4 13" xfId="25355"/>
    <cellStyle name="asd 16 3 4 14" xfId="27097"/>
    <cellStyle name="asd 16 3 4 15" xfId="28910"/>
    <cellStyle name="asd 16 3 4 16" xfId="30688"/>
    <cellStyle name="asd 16 3 4 17" xfId="32193"/>
    <cellStyle name="asd 16 3 4 18" xfId="34356"/>
    <cellStyle name="asd 16 3 4 19" xfId="36182"/>
    <cellStyle name="asd 16 3 4 2" xfId="5911"/>
    <cellStyle name="asd 16 3 4 2 10" xfId="22161"/>
    <cellStyle name="asd 16 3 4 2 11" xfId="23838"/>
    <cellStyle name="asd 16 3 4 2 12" xfId="25963"/>
    <cellStyle name="asd 16 3 4 2 13" xfId="26511"/>
    <cellStyle name="asd 16 3 4 2 14" xfId="28100"/>
    <cellStyle name="asd 16 3 4 2 15" xfId="30116"/>
    <cellStyle name="asd 16 3 4 2 16" xfId="32928"/>
    <cellStyle name="asd 16 3 4 2 17" xfId="33742"/>
    <cellStyle name="asd 16 3 4 2 18" xfId="36790"/>
    <cellStyle name="asd 16 3 4 2 19" xfId="38669"/>
    <cellStyle name="asd 16 3 4 2 2" xfId="7360"/>
    <cellStyle name="asd 16 3 4 2 20" xfId="40132"/>
    <cellStyle name="asd 16 3 4 2 21" xfId="41791"/>
    <cellStyle name="asd 16 3 4 2 22" xfId="43589"/>
    <cellStyle name="asd 16 3 4 2 3" xfId="8814"/>
    <cellStyle name="asd 16 3 4 2 4" xfId="10724"/>
    <cellStyle name="asd 16 3 4 2 5" xfId="11557"/>
    <cellStyle name="asd 16 3 4 2 6" xfId="14308"/>
    <cellStyle name="asd 16 3 4 2 7" xfId="16212"/>
    <cellStyle name="asd 16 3 4 2 8" xfId="18343"/>
    <cellStyle name="asd 16 3 4 2 9" xfId="20249"/>
    <cellStyle name="asd 16 3 4 20" xfId="38061"/>
    <cellStyle name="asd 16 3 4 21" xfId="39415"/>
    <cellStyle name="asd 16 3 4 22" xfId="41091"/>
    <cellStyle name="asd 16 3 4 23" xfId="43040"/>
    <cellStyle name="asd 16 3 4 3" xfId="6752"/>
    <cellStyle name="asd 16 3 4 4" xfId="8206"/>
    <cellStyle name="asd 16 3 4 5" xfId="10116"/>
    <cellStyle name="asd 16 3 4 6" xfId="11199"/>
    <cellStyle name="asd 16 3 4 7" xfId="13736"/>
    <cellStyle name="asd 16 3 4 8" xfId="15638"/>
    <cellStyle name="asd 16 3 4 9" xfId="17735"/>
    <cellStyle name="asd 16 3 5" xfId="4879"/>
    <cellStyle name="asd 16 3 5 10" xfId="21127"/>
    <cellStyle name="asd 16 3 5 11" xfId="23097"/>
    <cellStyle name="asd 16 3 5 12" xfId="24929"/>
    <cellStyle name="asd 16 3 5 13" xfId="27798"/>
    <cellStyle name="asd 16 3 5 14" xfId="28734"/>
    <cellStyle name="asd 16 3 5 15" xfId="31375"/>
    <cellStyle name="asd 16 3 5 16" xfId="31796"/>
    <cellStyle name="asd 16 3 5 17" xfId="34198"/>
    <cellStyle name="asd 16 3 5 18" xfId="35756"/>
    <cellStyle name="asd 16 3 5 19" xfId="37635"/>
    <cellStyle name="asd 16 3 5 2" xfId="6329"/>
    <cellStyle name="asd 16 3 5 20" xfId="39034"/>
    <cellStyle name="asd 16 3 5 21" xfId="40716"/>
    <cellStyle name="asd 16 3 5 22" xfId="42878"/>
    <cellStyle name="asd 16 3 5 3" xfId="7780"/>
    <cellStyle name="asd 16 3 5 4" xfId="9690"/>
    <cellStyle name="asd 16 3 5 5" xfId="12709"/>
    <cellStyle name="asd 16 3 5 6" xfId="13568"/>
    <cellStyle name="asd 16 3 5 7" xfId="15471"/>
    <cellStyle name="asd 16 3 5 8" xfId="17309"/>
    <cellStyle name="asd 16 3 5 9" xfId="19215"/>
    <cellStyle name="asd 16 3 6" xfId="1785"/>
    <cellStyle name="asd 16 3 6 10" xfId="20467"/>
    <cellStyle name="asd 16 3 6 11" xfId="23875"/>
    <cellStyle name="asd 16 3 6 12" xfId="24269"/>
    <cellStyle name="asd 16 3 6 13" xfId="26871"/>
    <cellStyle name="asd 16 3 6 14" xfId="4374"/>
    <cellStyle name="asd 16 3 6 15" xfId="30467"/>
    <cellStyle name="asd 16 3 6 16" xfId="31986"/>
    <cellStyle name="asd 16 3 6 17" xfId="34439"/>
    <cellStyle name="asd 16 3 6 18" xfId="35097"/>
    <cellStyle name="asd 16 3 6 19" xfId="36975"/>
    <cellStyle name="asd 16 3 6 2" xfId="5297"/>
    <cellStyle name="asd 16 3 6 20" xfId="39217"/>
    <cellStyle name="asd 16 3 6 21" xfId="40895"/>
    <cellStyle name="asd 16 3 6 22" xfId="43625"/>
    <cellStyle name="asd 16 3 6 3" xfId="6698"/>
    <cellStyle name="asd 16 3 6 4" xfId="9029"/>
    <cellStyle name="asd 16 3 6 5" xfId="11696"/>
    <cellStyle name="asd 16 3 6 6" xfId="14345"/>
    <cellStyle name="asd 16 3 6 7" xfId="16249"/>
    <cellStyle name="asd 16 3 6 8" xfId="16648"/>
    <cellStyle name="asd 16 3 6 9" xfId="18555"/>
    <cellStyle name="asd 16 3 7" xfId="5349"/>
    <cellStyle name="asd 16 3 8" xfId="9068"/>
    <cellStyle name="asd 16 3 9" xfId="11077"/>
    <cellStyle name="asd 16 4" xfId="3370"/>
    <cellStyle name="asd 16 4 10" xfId="16267"/>
    <cellStyle name="asd 16 4 11" xfId="16677"/>
    <cellStyle name="asd 16 4 12" xfId="18584"/>
    <cellStyle name="asd 16 4 13" xfId="20496"/>
    <cellStyle name="asd 16 4 14" xfId="23892"/>
    <cellStyle name="asd 16 4 15" xfId="24298"/>
    <cellStyle name="asd 16 4 16" xfId="27410"/>
    <cellStyle name="asd 16 4 17" xfId="29582"/>
    <cellStyle name="asd 16 4 18" xfId="30996"/>
    <cellStyle name="asd 16 4 19" xfId="32610"/>
    <cellStyle name="asd 16 4 2" xfId="3550"/>
    <cellStyle name="asd 16 4 2 10" xfId="17441"/>
    <cellStyle name="asd 16 4 2 11" xfId="19347"/>
    <cellStyle name="asd 16 4 2 12" xfId="21259"/>
    <cellStyle name="asd 16 4 2 13" xfId="23085"/>
    <cellStyle name="asd 16 4 2 14" xfId="25061"/>
    <cellStyle name="asd 16 4 2 15" xfId="26910"/>
    <cellStyle name="asd 16 4 2 16" xfId="29135"/>
    <cellStyle name="asd 16 4 2 17" xfId="30506"/>
    <cellStyle name="asd 16 4 2 18" xfId="31613"/>
    <cellStyle name="asd 16 4 2 19" xfId="33812"/>
    <cellStyle name="asd 16 4 2 2" xfId="4432"/>
    <cellStyle name="asd 16 4 2 2 10" xfId="20676"/>
    <cellStyle name="asd 16 4 2 2 11" xfId="22811"/>
    <cellStyle name="asd 16 4 2 2 12" xfId="24478"/>
    <cellStyle name="asd 16 4 2 2 13" xfId="26243"/>
    <cellStyle name="asd 16 4 2 2 14" xfId="29102"/>
    <cellStyle name="asd 16 4 2 2 15" xfId="29853"/>
    <cellStyle name="asd 16 4 2 2 16" xfId="31921"/>
    <cellStyle name="asd 16 4 2 2 17" xfId="33923"/>
    <cellStyle name="asd 16 4 2 2 18" xfId="35306"/>
    <cellStyle name="asd 16 4 2 2 19" xfId="37184"/>
    <cellStyle name="asd 16 4 2 2 2" xfId="4575"/>
    <cellStyle name="asd 16 4 2 2 20" xfId="39152"/>
    <cellStyle name="asd 16 4 2 2 21" xfId="40833"/>
    <cellStyle name="asd 16 4 2 2 22" xfId="42604"/>
    <cellStyle name="asd 16 4 2 2 3" xfId="2361"/>
    <cellStyle name="asd 16 4 2 2 4" xfId="9238"/>
    <cellStyle name="asd 16 4 2 2 5" xfId="12481"/>
    <cellStyle name="asd 16 4 2 2 6" xfId="13281"/>
    <cellStyle name="asd 16 4 2 2 7" xfId="15185"/>
    <cellStyle name="asd 16 4 2 2 8" xfId="16857"/>
    <cellStyle name="asd 16 4 2 2 9" xfId="18764"/>
    <cellStyle name="asd 16 4 2 20" xfId="35888"/>
    <cellStyle name="asd 16 4 2 21" xfId="37767"/>
    <cellStyle name="asd 16 4 2 22" xfId="38860"/>
    <cellStyle name="asd 16 4 2 23" xfId="40546"/>
    <cellStyle name="asd 16 4 2 24" xfId="42867"/>
    <cellStyle name="asd 16 4 2 3" xfId="5011"/>
    <cellStyle name="asd 16 4 2 4" xfId="6461"/>
    <cellStyle name="asd 16 4 2 5" xfId="7912"/>
    <cellStyle name="asd 16 4 2 6" xfId="9822"/>
    <cellStyle name="asd 16 4 2 7" xfId="12695"/>
    <cellStyle name="asd 16 4 2 8" xfId="13556"/>
    <cellStyle name="asd 16 4 2 9" xfId="15459"/>
    <cellStyle name="asd 16 4 20" xfId="34150"/>
    <cellStyle name="asd 16 4 21" xfId="35126"/>
    <cellStyle name="asd 16 4 22" xfId="37004"/>
    <cellStyle name="asd 16 4 23" xfId="39820"/>
    <cellStyle name="asd 16 4 24" xfId="41489"/>
    <cellStyle name="asd 16 4 25" xfId="43642"/>
    <cellStyle name="asd 16 4 3" xfId="3788"/>
    <cellStyle name="asd 16 4 3 10" xfId="19524"/>
    <cellStyle name="asd 16 4 3 11" xfId="21436"/>
    <cellStyle name="asd 16 4 3 12" xfId="22922"/>
    <cellStyle name="asd 16 4 3 13" xfId="25238"/>
    <cellStyle name="asd 16 4 3 14" xfId="27442"/>
    <cellStyle name="asd 16 4 3 15" xfId="29233"/>
    <cellStyle name="asd 16 4 3 16" xfId="31028"/>
    <cellStyle name="asd 16 4 3 17" xfId="33113"/>
    <cellStyle name="asd 16 4 3 18" xfId="33418"/>
    <cellStyle name="asd 16 4 3 19" xfId="36065"/>
    <cellStyle name="asd 16 4 3 2" xfId="5794"/>
    <cellStyle name="asd 16 4 3 2 10" xfId="22044"/>
    <cellStyle name="asd 16 4 3 2 11" xfId="23584"/>
    <cellStyle name="asd 16 4 3 2 12" xfId="25846"/>
    <cellStyle name="asd 16 4 3 2 13" xfId="27404"/>
    <cellStyle name="asd 16 4 3 2 14" xfId="29216"/>
    <cellStyle name="asd 16 4 3 2 15" xfId="30990"/>
    <cellStyle name="asd 16 4 3 2 16" xfId="31720"/>
    <cellStyle name="asd 16 4 3 2 17" xfId="34874"/>
    <cellStyle name="asd 16 4 3 2 18" xfId="36673"/>
    <cellStyle name="asd 16 4 3 2 19" xfId="38552"/>
    <cellStyle name="asd 16 4 3 2 2" xfId="7243"/>
    <cellStyle name="asd 16 4 3 2 20" xfId="38961"/>
    <cellStyle name="asd 16 4 3 2 21" xfId="40644"/>
    <cellStyle name="asd 16 4 3 2 22" xfId="43344"/>
    <cellStyle name="asd 16 4 3 2 3" xfId="8697"/>
    <cellStyle name="asd 16 4 3 2 4" xfId="10607"/>
    <cellStyle name="asd 16 4 3 2 5" xfId="12301"/>
    <cellStyle name="asd 16 4 3 2 6" xfId="14055"/>
    <cellStyle name="asd 16 4 3 2 7" xfId="15957"/>
    <cellStyle name="asd 16 4 3 2 8" xfId="18226"/>
    <cellStyle name="asd 16 4 3 2 9" xfId="20132"/>
    <cellStyle name="asd 16 4 3 20" xfId="37944"/>
    <cellStyle name="asd 16 4 3 21" xfId="40308"/>
    <cellStyle name="asd 16 4 3 22" xfId="41964"/>
    <cellStyle name="asd 16 4 3 23" xfId="42708"/>
    <cellStyle name="asd 16 4 3 3" xfId="5188"/>
    <cellStyle name="asd 16 4 3 4" xfId="8089"/>
    <cellStyle name="asd 16 4 3 5" xfId="9999"/>
    <cellStyle name="asd 16 4 3 6" xfId="12401"/>
    <cellStyle name="asd 16 4 3 7" xfId="13390"/>
    <cellStyle name="asd 16 4 3 8" xfId="15295"/>
    <cellStyle name="asd 16 4 3 9" xfId="17618"/>
    <cellStyle name="asd 16 4 4" xfId="4002"/>
    <cellStyle name="asd 16 4 4 10" xfId="19637"/>
    <cellStyle name="asd 16 4 4 11" xfId="21549"/>
    <cellStyle name="asd 16 4 4 12" xfId="23554"/>
    <cellStyle name="asd 16 4 4 13" xfId="25351"/>
    <cellStyle name="asd 16 4 4 14" xfId="27604"/>
    <cellStyle name="asd 16 4 4 15" xfId="28353"/>
    <cellStyle name="asd 16 4 4 16" xfId="31182"/>
    <cellStyle name="asd 16 4 4 17" xfId="31911"/>
    <cellStyle name="asd 16 4 4 18" xfId="34468"/>
    <cellStyle name="asd 16 4 4 19" xfId="36178"/>
    <cellStyle name="asd 16 4 4 2" xfId="5907"/>
    <cellStyle name="asd 16 4 4 2 10" xfId="22157"/>
    <cellStyle name="asd 16 4 4 2 11" xfId="22639"/>
    <cellStyle name="asd 16 4 4 2 12" xfId="25959"/>
    <cellStyle name="asd 16 4 4 2 13" xfId="26851"/>
    <cellStyle name="asd 16 4 4 2 14" xfId="29193"/>
    <cellStyle name="asd 16 4 4 2 15" xfId="30448"/>
    <cellStyle name="asd 16 4 4 2 16" xfId="32506"/>
    <cellStyle name="asd 16 4 4 2 17" xfId="33956"/>
    <cellStyle name="asd 16 4 4 2 18" xfId="36786"/>
    <cellStyle name="asd 16 4 4 2 19" xfId="38665"/>
    <cellStyle name="asd 16 4 4 2 2" xfId="7356"/>
    <cellStyle name="asd 16 4 4 2 20" xfId="39721"/>
    <cellStyle name="asd 16 4 4 2 21" xfId="41393"/>
    <cellStyle name="asd 16 4 4 2 22" xfId="42445"/>
    <cellStyle name="asd 16 4 4 2 3" xfId="8810"/>
    <cellStyle name="asd 16 4 4 2 4" xfId="10720"/>
    <cellStyle name="asd 16 4 4 2 5" xfId="5348"/>
    <cellStyle name="asd 16 4 4 2 6" xfId="13106"/>
    <cellStyle name="asd 16 4 4 2 7" xfId="15011"/>
    <cellStyle name="asd 16 4 4 2 8" xfId="18339"/>
    <cellStyle name="asd 16 4 4 2 9" xfId="20245"/>
    <cellStyle name="asd 16 4 4 20" xfId="38057"/>
    <cellStyle name="asd 16 4 4 21" xfId="39143"/>
    <cellStyle name="asd 16 4 4 22" xfId="40824"/>
    <cellStyle name="asd 16 4 4 23" xfId="43318"/>
    <cellStyle name="asd 16 4 4 3" xfId="6748"/>
    <cellStyle name="asd 16 4 4 4" xfId="8202"/>
    <cellStyle name="asd 16 4 4 5" xfId="10112"/>
    <cellStyle name="asd 16 4 4 6" xfId="11251"/>
    <cellStyle name="asd 16 4 4 7" xfId="14026"/>
    <cellStyle name="asd 16 4 4 8" xfId="15927"/>
    <cellStyle name="asd 16 4 4 9" xfId="17731"/>
    <cellStyle name="asd 16 4 5" xfId="4567"/>
    <cellStyle name="asd 16 4 5 10" xfId="20812"/>
    <cellStyle name="asd 16 4 5 11" xfId="22866"/>
    <cellStyle name="asd 16 4 5 12" xfId="24614"/>
    <cellStyle name="asd 16 4 5 13" xfId="26828"/>
    <cellStyle name="asd 16 4 5 14" xfId="29436"/>
    <cellStyle name="asd 16 4 5 15" xfId="30426"/>
    <cellStyle name="asd 16 4 5 16" xfId="32765"/>
    <cellStyle name="asd 16 4 5 17" xfId="33962"/>
    <cellStyle name="asd 16 4 5 18" xfId="35442"/>
    <cellStyle name="asd 16 4 5 19" xfId="37320"/>
    <cellStyle name="asd 16 4 5 2" xfId="4461"/>
    <cellStyle name="asd 16 4 5 20" xfId="39974"/>
    <cellStyle name="asd 16 4 5 21" xfId="41638"/>
    <cellStyle name="asd 16 4 5 22" xfId="42653"/>
    <cellStyle name="asd 16 4 5 3" xfId="4254"/>
    <cellStyle name="asd 16 4 5 4" xfId="9374"/>
    <cellStyle name="asd 16 4 5 5" xfId="12203"/>
    <cellStyle name="asd 16 4 5 6" xfId="13334"/>
    <cellStyle name="asd 16 4 5 7" xfId="15239"/>
    <cellStyle name="asd 16 4 5 8" xfId="16993"/>
    <cellStyle name="asd 16 4 5 9" xfId="18900"/>
    <cellStyle name="asd 16 4 6" xfId="2055"/>
    <cellStyle name="asd 16 4 7" xfId="9058"/>
    <cellStyle name="asd 16 4 8" xfId="11852"/>
    <cellStyle name="asd 16 4 9" xfId="14362"/>
    <cellStyle name="asd 16 5" xfId="2529"/>
    <cellStyle name="asd 16 5 10" xfId="17170"/>
    <cellStyle name="asd 16 5 11" xfId="19076"/>
    <cellStyle name="asd 16 5 12" xfId="20988"/>
    <cellStyle name="asd 16 5 13" xfId="23464"/>
    <cellStyle name="asd 16 5 14" xfId="24790"/>
    <cellStyle name="asd 16 5 15" xfId="1846"/>
    <cellStyle name="asd 16 5 16" xfId="26224"/>
    <cellStyle name="asd 16 5 17" xfId="29129"/>
    <cellStyle name="asd 16 5 18" xfId="2315"/>
    <cellStyle name="asd 16 5 19" xfId="33045"/>
    <cellStyle name="asd 16 5 2" xfId="5501"/>
    <cellStyle name="asd 16 5 2 10" xfId="21751"/>
    <cellStyle name="asd 16 5 2 11" xfId="23169"/>
    <cellStyle name="asd 16 5 2 12" xfId="25553"/>
    <cellStyle name="asd 16 5 2 13" xfId="27584"/>
    <cellStyle name="asd 16 5 2 14" xfId="29079"/>
    <cellStyle name="asd 16 5 2 15" xfId="31163"/>
    <cellStyle name="asd 16 5 2 16" xfId="33229"/>
    <cellStyle name="asd 16 5 2 17" xfId="33959"/>
    <cellStyle name="asd 16 5 2 18" xfId="36380"/>
    <cellStyle name="asd 16 5 2 19" xfId="38259"/>
    <cellStyle name="asd 16 5 2 2" xfId="6950"/>
    <cellStyle name="asd 16 5 2 20" xfId="40418"/>
    <cellStyle name="asd 16 5 2 21" xfId="42074"/>
    <cellStyle name="asd 16 5 2 22" xfId="42947"/>
    <cellStyle name="asd 16 5 2 3" xfId="8404"/>
    <cellStyle name="asd 16 5 2 4" xfId="10314"/>
    <cellStyle name="asd 16 5 2 5" xfId="10981"/>
    <cellStyle name="asd 16 5 2 6" xfId="13640"/>
    <cellStyle name="asd 16 5 2 7" xfId="15543"/>
    <cellStyle name="asd 16 5 2 8" xfId="17933"/>
    <cellStyle name="asd 16 5 2 9" xfId="19839"/>
    <cellStyle name="asd 16 5 20" xfId="35617"/>
    <cellStyle name="asd 16 5 21" xfId="37496"/>
    <cellStyle name="asd 16 5 22" xfId="26203"/>
    <cellStyle name="asd 16 5 23" xfId="2710"/>
    <cellStyle name="asd 16 5 24" xfId="43231"/>
    <cellStyle name="asd 16 5 3" xfId="4741"/>
    <cellStyle name="asd 16 5 4" xfId="6190"/>
    <cellStyle name="asd 16 5 5" xfId="7641"/>
    <cellStyle name="asd 16 5 6" xfId="9551"/>
    <cellStyle name="asd 16 5 7" xfId="12485"/>
    <cellStyle name="asd 16 5 8" xfId="13936"/>
    <cellStyle name="asd 16 5 9" xfId="15837"/>
    <cellStyle name="asd 16 6" xfId="2077"/>
    <cellStyle name="asd 16 6 10" xfId="19011"/>
    <cellStyle name="asd 16 6 11" xfId="20923"/>
    <cellStyle name="asd 16 6 12" xfId="24009"/>
    <cellStyle name="asd 16 6 13" xfId="24725"/>
    <cellStyle name="asd 16 6 14" xfId="27422"/>
    <cellStyle name="asd 16 6 15" xfId="29576"/>
    <cellStyle name="asd 16 6 16" xfId="31008"/>
    <cellStyle name="asd 16 6 17" xfId="33209"/>
    <cellStyle name="asd 16 6 18" xfId="34452"/>
    <cellStyle name="asd 16 6 19" xfId="35552"/>
    <cellStyle name="asd 16 6 2" xfId="5675"/>
    <cellStyle name="asd 16 6 2 10" xfId="21925"/>
    <cellStyle name="asd 16 6 2 11" xfId="23272"/>
    <cellStyle name="asd 16 6 2 12" xfId="25727"/>
    <cellStyle name="asd 16 6 2 13" xfId="26765"/>
    <cellStyle name="asd 16 6 2 14" xfId="29691"/>
    <cellStyle name="asd 16 6 2 15" xfId="30364"/>
    <cellStyle name="asd 16 6 2 16" xfId="31793"/>
    <cellStyle name="asd 16 6 2 17" xfId="34851"/>
    <cellStyle name="asd 16 6 2 18" xfId="36554"/>
    <cellStyle name="asd 16 6 2 19" xfId="38433"/>
    <cellStyle name="asd 16 6 2 2" xfId="7124"/>
    <cellStyle name="asd 16 6 2 20" xfId="39031"/>
    <cellStyle name="asd 16 6 2 21" xfId="40713"/>
    <cellStyle name="asd 16 6 2 22" xfId="43048"/>
    <cellStyle name="asd 16 6 2 3" xfId="8578"/>
    <cellStyle name="asd 16 6 2 4" xfId="10488"/>
    <cellStyle name="asd 16 6 2 5" xfId="11207"/>
    <cellStyle name="asd 16 6 2 6" xfId="13744"/>
    <cellStyle name="asd 16 6 2 7" xfId="15646"/>
    <cellStyle name="asd 16 6 2 8" xfId="18107"/>
    <cellStyle name="asd 16 6 2 9" xfId="20013"/>
    <cellStyle name="asd 16 6 20" xfId="37431"/>
    <cellStyle name="asd 16 6 21" xfId="40398"/>
    <cellStyle name="asd 16 6 22" xfId="42054"/>
    <cellStyle name="asd 16 6 23" xfId="43753"/>
    <cellStyle name="asd 16 6 3" xfId="4678"/>
    <cellStyle name="asd 16 6 4" xfId="7576"/>
    <cellStyle name="asd 16 6 5" xfId="9486"/>
    <cellStyle name="asd 16 6 6" xfId="11968"/>
    <cellStyle name="asd 16 6 7" xfId="14479"/>
    <cellStyle name="asd 16 6 8" xfId="16385"/>
    <cellStyle name="asd 16 6 9" xfId="17105"/>
    <cellStyle name="asd 16 7" xfId="2836"/>
    <cellStyle name="asd 16 7 10" xfId="19114"/>
    <cellStyle name="asd 16 7 11" xfId="21026"/>
    <cellStyle name="asd 16 7 12" xfId="22719"/>
    <cellStyle name="asd 16 7 13" xfId="24828"/>
    <cellStyle name="asd 16 7 14" xfId="27427"/>
    <cellStyle name="asd 16 7 15" xfId="29096"/>
    <cellStyle name="asd 16 7 16" xfId="31013"/>
    <cellStyle name="asd 16 7 17" xfId="32378"/>
    <cellStyle name="asd 16 7 18" xfId="33878"/>
    <cellStyle name="asd 16 7 19" xfId="35655"/>
    <cellStyle name="asd 16 7 2" xfId="4264"/>
    <cellStyle name="asd 16 7 2 10" xfId="20592"/>
    <cellStyle name="asd 16 7 2 11" xfId="22685"/>
    <cellStyle name="asd 16 7 2 12" xfId="24394"/>
    <cellStyle name="asd 16 7 2 13" xfId="27530"/>
    <cellStyle name="asd 16 7 2 14" xfId="28882"/>
    <cellStyle name="asd 16 7 2 15" xfId="31112"/>
    <cellStyle name="asd 16 7 2 16" xfId="32599"/>
    <cellStyle name="asd 16 7 2 17" xfId="34265"/>
    <cellStyle name="asd 16 7 2 18" xfId="35222"/>
    <cellStyle name="asd 16 7 2 19" xfId="37100"/>
    <cellStyle name="asd 16 7 2 2" xfId="4606"/>
    <cellStyle name="asd 16 7 2 20" xfId="39810"/>
    <cellStyle name="asd 16 7 2 21" xfId="41479"/>
    <cellStyle name="asd 16 7 2 22" xfId="42488"/>
    <cellStyle name="asd 16 7 2 3" xfId="2535"/>
    <cellStyle name="asd 16 7 2 4" xfId="9154"/>
    <cellStyle name="asd 16 7 2 5" xfId="11415"/>
    <cellStyle name="asd 16 7 2 6" xfId="13152"/>
    <cellStyle name="asd 16 7 2 7" xfId="15057"/>
    <cellStyle name="asd 16 7 2 8" xfId="16773"/>
    <cellStyle name="asd 16 7 2 9" xfId="18680"/>
    <cellStyle name="asd 16 7 20" xfId="37534"/>
    <cellStyle name="asd 16 7 21" xfId="39596"/>
    <cellStyle name="asd 16 7 22" xfId="41270"/>
    <cellStyle name="asd 16 7 23" xfId="42518"/>
    <cellStyle name="asd 16 7 3" xfId="6228"/>
    <cellStyle name="asd 16 7 4" xfId="7679"/>
    <cellStyle name="asd 16 7 5" xfId="9589"/>
    <cellStyle name="asd 16 7 6" xfId="12311"/>
    <cellStyle name="asd 16 7 7" xfId="13187"/>
    <cellStyle name="asd 16 7 8" xfId="15091"/>
    <cellStyle name="asd 16 7 9" xfId="17208"/>
    <cellStyle name="asd 16 8" xfId="2587"/>
    <cellStyle name="asd 16 9" xfId="2098"/>
    <cellStyle name="asd 17" xfId="801"/>
    <cellStyle name="asd 17 10" xfId="2197"/>
    <cellStyle name="asd 17 11" xfId="2840"/>
    <cellStyle name="asd 17 12" xfId="3752"/>
    <cellStyle name="asd 17 13" xfId="6672"/>
    <cellStyle name="asd 17 14" xfId="16567"/>
    <cellStyle name="asd 17 15" xfId="14708"/>
    <cellStyle name="asd 17 16" xfId="2620"/>
    <cellStyle name="asd 17 17" xfId="17056"/>
    <cellStyle name="asd 17 18" xfId="1870"/>
    <cellStyle name="asd 17 19" xfId="23893"/>
    <cellStyle name="asd 17 2" xfId="3419"/>
    <cellStyle name="asd 17 2 10" xfId="2869"/>
    <cellStyle name="asd 17 2 11" xfId="2212"/>
    <cellStyle name="asd 17 2 12" xfId="16789"/>
    <cellStyle name="asd 17 2 13" xfId="18696"/>
    <cellStyle name="asd 17 2 14" xfId="20608"/>
    <cellStyle name="asd 17 2 15" xfId="1936"/>
    <cellStyle name="asd 17 2 16" xfId="24410"/>
    <cellStyle name="asd 17 2 17" xfId="1781"/>
    <cellStyle name="asd 17 2 18" xfId="2917"/>
    <cellStyle name="asd 17 2 19" xfId="3892"/>
    <cellStyle name="asd 17 2 2" xfId="3599"/>
    <cellStyle name="asd 17 2 2 10" xfId="17490"/>
    <cellStyle name="asd 17 2 2 11" xfId="19396"/>
    <cellStyle name="asd 17 2 2 12" xfId="21308"/>
    <cellStyle name="asd 17 2 2 13" xfId="24177"/>
    <cellStyle name="asd 17 2 2 14" xfId="25110"/>
    <cellStyle name="asd 17 2 2 15" xfId="26894"/>
    <cellStyle name="asd 17 2 2 16" xfId="28790"/>
    <cellStyle name="asd 17 2 2 17" xfId="30490"/>
    <cellStyle name="asd 17 2 2 18" xfId="32373"/>
    <cellStyle name="asd 17 2 2 19" xfId="33924"/>
    <cellStyle name="asd 17 2 2 2" xfId="4581"/>
    <cellStyle name="asd 17 2 2 2 10" xfId="20826"/>
    <cellStyle name="asd 17 2 2 2 11" xfId="23350"/>
    <cellStyle name="asd 17 2 2 2 12" xfId="24628"/>
    <cellStyle name="asd 17 2 2 2 13" xfId="27330"/>
    <cellStyle name="asd 17 2 2 2 14" xfId="28377"/>
    <cellStyle name="asd 17 2 2 2 15" xfId="30919"/>
    <cellStyle name="asd 17 2 2 2 16" xfId="32464"/>
    <cellStyle name="asd 17 2 2 2 17" xfId="33416"/>
    <cellStyle name="asd 17 2 2 2 18" xfId="35456"/>
    <cellStyle name="asd 17 2 2 2 19" xfId="37334"/>
    <cellStyle name="asd 17 2 2 2 2" xfId="2327"/>
    <cellStyle name="asd 17 2 2 2 20" xfId="39682"/>
    <cellStyle name="asd 17 2 2 2 21" xfId="41355"/>
    <cellStyle name="asd 17 2 2 2 22" xfId="43120"/>
    <cellStyle name="asd 17 2 2 2 3" xfId="4653"/>
    <cellStyle name="asd 17 2 2 2 4" xfId="9388"/>
    <cellStyle name="asd 17 2 2 2 5" xfId="11125"/>
    <cellStyle name="asd 17 2 2 2 6" xfId="13822"/>
    <cellStyle name="asd 17 2 2 2 7" xfId="15724"/>
    <cellStyle name="asd 17 2 2 2 8" xfId="17007"/>
    <cellStyle name="asd 17 2 2 2 9" xfId="18914"/>
    <cellStyle name="asd 17 2 2 20" xfId="35937"/>
    <cellStyle name="asd 17 2 2 21" xfId="37816"/>
    <cellStyle name="asd 17 2 2 22" xfId="39591"/>
    <cellStyle name="asd 17 2 2 23" xfId="41265"/>
    <cellStyle name="asd 17 2 2 24" xfId="43918"/>
    <cellStyle name="asd 17 2 2 3" xfId="5060"/>
    <cellStyle name="asd 17 2 2 4" xfId="6510"/>
    <cellStyle name="asd 17 2 2 5" xfId="7961"/>
    <cellStyle name="asd 17 2 2 6" xfId="9871"/>
    <cellStyle name="asd 17 2 2 7" xfId="12137"/>
    <cellStyle name="asd 17 2 2 8" xfId="14648"/>
    <cellStyle name="asd 17 2 2 9" xfId="16554"/>
    <cellStyle name="asd 17 2 20" xfId="26130"/>
    <cellStyle name="asd 17 2 21" xfId="27801"/>
    <cellStyle name="asd 17 2 22" xfId="35238"/>
    <cellStyle name="asd 17 2 23" xfId="37116"/>
    <cellStyle name="asd 17 2 24" xfId="32938"/>
    <cellStyle name="asd 17 2 25" xfId="26401"/>
    <cellStyle name="asd 17 2 26" xfId="41639"/>
    <cellStyle name="asd 17 2 3" xfId="2790"/>
    <cellStyle name="asd 17 2 3 10" xfId="19110"/>
    <cellStyle name="asd 17 2 3 11" xfId="21022"/>
    <cellStyle name="asd 17 2 3 12" xfId="22623"/>
    <cellStyle name="asd 17 2 3 13" xfId="24824"/>
    <cellStyle name="asd 17 2 3 14" xfId="27268"/>
    <cellStyle name="asd 17 2 3 15" xfId="12280"/>
    <cellStyle name="asd 17 2 3 16" xfId="30860"/>
    <cellStyle name="asd 17 2 3 17" xfId="33275"/>
    <cellStyle name="asd 17 2 3 18" xfId="34670"/>
    <cellStyle name="asd 17 2 3 19" xfId="35651"/>
    <cellStyle name="asd 17 2 3 2" xfId="5741"/>
    <cellStyle name="asd 17 2 3 2 10" xfId="21991"/>
    <cellStyle name="asd 17 2 3 2 11" xfId="23305"/>
    <cellStyle name="asd 17 2 3 2 12" xfId="25793"/>
    <cellStyle name="asd 17 2 3 2 13" xfId="26670"/>
    <cellStyle name="asd 17 2 3 2 14" xfId="28834"/>
    <cellStyle name="asd 17 2 3 2 15" xfId="30270"/>
    <cellStyle name="asd 17 2 3 2 16" xfId="31890"/>
    <cellStyle name="asd 17 2 3 2 17" xfId="34311"/>
    <cellStyle name="asd 17 2 3 2 18" xfId="36620"/>
    <cellStyle name="asd 17 2 3 2 19" xfId="38499"/>
    <cellStyle name="asd 17 2 3 2 2" xfId="7190"/>
    <cellStyle name="asd 17 2 3 2 20" xfId="39125"/>
    <cellStyle name="asd 17 2 3 2 21" xfId="40806"/>
    <cellStyle name="asd 17 2 3 2 22" xfId="43077"/>
    <cellStyle name="asd 17 2 3 2 3" xfId="8644"/>
    <cellStyle name="asd 17 2 3 2 4" xfId="10554"/>
    <cellStyle name="asd 17 2 3 2 5" xfId="11309"/>
    <cellStyle name="asd 17 2 3 2 6" xfId="13777"/>
    <cellStyle name="asd 17 2 3 2 7" xfId="15679"/>
    <cellStyle name="asd 17 2 3 2 8" xfId="18173"/>
    <cellStyle name="asd 17 2 3 2 9" xfId="20079"/>
    <cellStyle name="asd 17 2 3 20" xfId="37530"/>
    <cellStyle name="asd 17 2 3 21" xfId="40461"/>
    <cellStyle name="asd 17 2 3 22" xfId="42116"/>
    <cellStyle name="asd 17 2 3 23" xfId="42429"/>
    <cellStyle name="asd 17 2 3 3" xfId="4775"/>
    <cellStyle name="asd 17 2 3 4" xfId="7675"/>
    <cellStyle name="asd 17 2 3 5" xfId="9585"/>
    <cellStyle name="asd 17 2 3 6" xfId="11453"/>
    <cellStyle name="asd 17 2 3 7" xfId="13090"/>
    <cellStyle name="asd 17 2 3 8" xfId="14995"/>
    <cellStyle name="asd 17 2 3 9" xfId="17204"/>
    <cellStyle name="asd 17 2 4" xfId="4051"/>
    <cellStyle name="asd 17 2 4 10" xfId="19686"/>
    <cellStyle name="asd 17 2 4 11" xfId="21598"/>
    <cellStyle name="asd 17 2 4 12" xfId="23756"/>
    <cellStyle name="asd 17 2 4 13" xfId="25400"/>
    <cellStyle name="asd 17 2 4 14" xfId="27162"/>
    <cellStyle name="asd 17 2 4 15" xfId="28271"/>
    <cellStyle name="asd 17 2 4 16" xfId="30753"/>
    <cellStyle name="asd 17 2 4 17" xfId="32166"/>
    <cellStyle name="asd 17 2 4 18" xfId="34092"/>
    <cellStyle name="asd 17 2 4 19" xfId="36227"/>
    <cellStyle name="asd 17 2 4 2" xfId="5956"/>
    <cellStyle name="asd 17 2 4 2 10" xfId="22206"/>
    <cellStyle name="asd 17 2 4 2 11" xfId="23673"/>
    <cellStyle name="asd 17 2 4 2 12" xfId="26008"/>
    <cellStyle name="asd 17 2 4 2 13" xfId="26446"/>
    <cellStyle name="asd 17 2 4 2 14" xfId="29301"/>
    <cellStyle name="asd 17 2 4 2 15" xfId="30052"/>
    <cellStyle name="asd 17 2 4 2 16" xfId="32002"/>
    <cellStyle name="asd 17 2 4 2 17" xfId="33863"/>
    <cellStyle name="asd 17 2 4 2 18" xfId="36835"/>
    <cellStyle name="asd 17 2 4 2 19" xfId="38714"/>
    <cellStyle name="asd 17 2 4 2 2" xfId="7405"/>
    <cellStyle name="asd 17 2 4 2 20" xfId="39233"/>
    <cellStyle name="asd 17 2 4 2 21" xfId="40910"/>
    <cellStyle name="asd 17 2 4 2 22" xfId="43431"/>
    <cellStyle name="asd 17 2 4 2 3" xfId="8859"/>
    <cellStyle name="asd 17 2 4 2 4" xfId="10769"/>
    <cellStyle name="asd 17 2 4 2 5" xfId="11616"/>
    <cellStyle name="asd 17 2 4 2 6" xfId="14144"/>
    <cellStyle name="asd 17 2 4 2 7" xfId="16047"/>
    <cellStyle name="asd 17 2 4 2 8" xfId="18388"/>
    <cellStyle name="asd 17 2 4 2 9" xfId="20294"/>
    <cellStyle name="asd 17 2 4 20" xfId="38106"/>
    <cellStyle name="asd 17 2 4 21" xfId="39388"/>
    <cellStyle name="asd 17 2 4 22" xfId="41064"/>
    <cellStyle name="asd 17 2 4 23" xfId="43509"/>
    <cellStyle name="asd 17 2 4 3" xfId="6797"/>
    <cellStyle name="asd 17 2 4 4" xfId="8251"/>
    <cellStyle name="asd 17 2 4 5" xfId="10161"/>
    <cellStyle name="asd 17 2 4 6" xfId="11402"/>
    <cellStyle name="asd 17 2 4 7" xfId="14226"/>
    <cellStyle name="asd 17 2 4 8" xfId="16130"/>
    <cellStyle name="asd 17 2 4 9" xfId="17780"/>
    <cellStyle name="asd 17 2 5" xfId="4912"/>
    <cellStyle name="asd 17 2 5 10" xfId="21160"/>
    <cellStyle name="asd 17 2 5 11" xfId="23107"/>
    <cellStyle name="asd 17 2 5 12" xfId="24962"/>
    <cellStyle name="asd 17 2 5 13" xfId="26472"/>
    <cellStyle name="asd 17 2 5 14" xfId="28581"/>
    <cellStyle name="asd 17 2 5 15" xfId="30077"/>
    <cellStyle name="asd 17 2 5 16" xfId="32955"/>
    <cellStyle name="asd 17 2 5 17" xfId="34843"/>
    <cellStyle name="asd 17 2 5 18" xfId="35789"/>
    <cellStyle name="asd 17 2 5 19" xfId="37668"/>
    <cellStyle name="asd 17 2 5 2" xfId="6362"/>
    <cellStyle name="asd 17 2 5 20" xfId="40157"/>
    <cellStyle name="asd 17 2 5 21" xfId="41816"/>
    <cellStyle name="asd 17 2 5 22" xfId="42887"/>
    <cellStyle name="asd 17 2 5 3" xfId="7813"/>
    <cellStyle name="asd 17 2 5 4" xfId="9723"/>
    <cellStyle name="asd 17 2 5 5" xfId="12720"/>
    <cellStyle name="asd 17 2 5 6" xfId="13578"/>
    <cellStyle name="asd 17 2 5 7" xfId="15481"/>
    <cellStyle name="asd 17 2 5 8" xfId="17342"/>
    <cellStyle name="asd 17 2 5 9" xfId="19248"/>
    <cellStyle name="asd 17 2 6" xfId="4501"/>
    <cellStyle name="asd 17 2 6 10" xfId="20746"/>
    <cellStyle name="asd 17 2 6 11" xfId="22806"/>
    <cellStyle name="asd 17 2 6 12" xfId="24548"/>
    <cellStyle name="asd 17 2 6 13" xfId="26951"/>
    <cellStyle name="asd 17 2 6 14" xfId="28512"/>
    <cellStyle name="asd 17 2 6 15" xfId="30545"/>
    <cellStyle name="asd 17 2 6 16" xfId="32426"/>
    <cellStyle name="asd 17 2 6 17" xfId="34887"/>
    <cellStyle name="asd 17 2 6 18" xfId="35376"/>
    <cellStyle name="asd 17 2 6 19" xfId="37254"/>
    <cellStyle name="asd 17 2 6 2" xfId="2989"/>
    <cellStyle name="asd 17 2 6 20" xfId="39643"/>
    <cellStyle name="asd 17 2 6 21" xfId="41317"/>
    <cellStyle name="asd 17 2 6 22" xfId="42599"/>
    <cellStyle name="asd 17 2 6 3" xfId="5342"/>
    <cellStyle name="asd 17 2 6 4" xfId="9308"/>
    <cellStyle name="asd 17 2 6 5" xfId="11287"/>
    <cellStyle name="asd 17 2 6 6" xfId="13276"/>
    <cellStyle name="asd 17 2 6 7" xfId="15180"/>
    <cellStyle name="asd 17 2 6 8" xfId="16927"/>
    <cellStyle name="asd 17 2 6 9" xfId="18834"/>
    <cellStyle name="asd 17 2 7" xfId="2382"/>
    <cellStyle name="asd 17 2 8" xfId="9170"/>
    <cellStyle name="asd 17 2 9" xfId="11232"/>
    <cellStyle name="asd 17 20" xfId="2282"/>
    <cellStyle name="asd 17 21" xfId="3170"/>
    <cellStyle name="asd 17 22" xfId="28491"/>
    <cellStyle name="asd 17 23" xfId="29465"/>
    <cellStyle name="asd 17 24" xfId="22327"/>
    <cellStyle name="asd 17 25" xfId="2688"/>
    <cellStyle name="asd 17 26" xfId="32366"/>
    <cellStyle name="asd 17 27" xfId="39009"/>
    <cellStyle name="asd 17 3" xfId="3505"/>
    <cellStyle name="asd 17 3 10" xfId="13097"/>
    <cellStyle name="asd 17 3 11" xfId="15002"/>
    <cellStyle name="asd 17 3 12" xfId="16973"/>
    <cellStyle name="asd 17 3 13" xfId="18880"/>
    <cellStyle name="asd 17 3 14" xfId="20792"/>
    <cellStyle name="asd 17 3 15" xfId="22630"/>
    <cellStyle name="asd 17 3 16" xfId="24594"/>
    <cellStyle name="asd 17 3 17" xfId="26883"/>
    <cellStyle name="asd 17 3 18" xfId="28215"/>
    <cellStyle name="asd 17 3 19" xfId="30480"/>
    <cellStyle name="asd 17 3 2" xfId="3685"/>
    <cellStyle name="asd 17 3 2 10" xfId="17576"/>
    <cellStyle name="asd 17 3 2 11" xfId="19482"/>
    <cellStyle name="asd 17 3 2 12" xfId="21394"/>
    <cellStyle name="asd 17 3 2 13" xfId="22505"/>
    <cellStyle name="asd 17 3 2 14" xfId="25196"/>
    <cellStyle name="asd 17 3 2 15" xfId="12237"/>
    <cellStyle name="asd 17 3 2 16" xfId="16630"/>
    <cellStyle name="asd 17 3 2 17" xfId="2591"/>
    <cellStyle name="asd 17 3 2 18" xfId="29380"/>
    <cellStyle name="asd 17 3 2 19" xfId="14656"/>
    <cellStyle name="asd 17 3 2 2" xfId="5752"/>
    <cellStyle name="asd 17 3 2 2 10" xfId="22002"/>
    <cellStyle name="asd 17 3 2 2 11" xfId="23511"/>
    <cellStyle name="asd 17 3 2 2 12" xfId="25804"/>
    <cellStyle name="asd 17 3 2 2 13" xfId="26247"/>
    <cellStyle name="asd 17 3 2 2 14" xfId="29053"/>
    <cellStyle name="asd 17 3 2 2 15" xfId="29857"/>
    <cellStyle name="asd 17 3 2 2 16" xfId="32803"/>
    <cellStyle name="asd 17 3 2 2 17" xfId="34567"/>
    <cellStyle name="asd 17 3 2 2 18" xfId="36631"/>
    <cellStyle name="asd 17 3 2 2 19" xfId="38510"/>
    <cellStyle name="asd 17 3 2 2 2" xfId="7201"/>
    <cellStyle name="asd 17 3 2 2 20" xfId="40012"/>
    <cellStyle name="asd 17 3 2 2 21" xfId="41676"/>
    <cellStyle name="asd 17 3 2 2 22" xfId="43276"/>
    <cellStyle name="asd 17 3 2 2 3" xfId="8655"/>
    <cellStyle name="asd 17 3 2 2 4" xfId="10565"/>
    <cellStyle name="asd 17 3 2 2 5" xfId="12489"/>
    <cellStyle name="asd 17 3 2 2 6" xfId="13983"/>
    <cellStyle name="asd 17 3 2 2 7" xfId="15884"/>
    <cellStyle name="asd 17 3 2 2 8" xfId="18184"/>
    <cellStyle name="asd 17 3 2 2 9" xfId="20090"/>
    <cellStyle name="asd 17 3 2 20" xfId="36023"/>
    <cellStyle name="asd 17 3 2 21" xfId="37902"/>
    <cellStyle name="asd 17 3 2 22" xfId="32161"/>
    <cellStyle name="asd 17 3 2 23" xfId="28006"/>
    <cellStyle name="asd 17 3 2 24" xfId="42315"/>
    <cellStyle name="asd 17 3 2 3" xfId="5146"/>
    <cellStyle name="asd 17 3 2 4" xfId="6596"/>
    <cellStyle name="asd 17 3 2 5" xfId="8047"/>
    <cellStyle name="asd 17 3 2 6" xfId="9957"/>
    <cellStyle name="asd 17 3 2 7" xfId="11450"/>
    <cellStyle name="asd 17 3 2 8" xfId="12973"/>
    <cellStyle name="asd 17 3 2 9" xfId="14877"/>
    <cellStyle name="asd 17 3 20" xfId="32201"/>
    <cellStyle name="asd 17 3 21" xfId="34897"/>
    <cellStyle name="asd 17 3 22" xfId="35422"/>
    <cellStyle name="asd 17 3 23" xfId="37300"/>
    <cellStyle name="asd 17 3 24" xfId="39423"/>
    <cellStyle name="asd 17 3 25" xfId="41099"/>
    <cellStyle name="asd 17 3 26" xfId="42436"/>
    <cellStyle name="asd 17 3 3" xfId="1915"/>
    <cellStyle name="asd 17 3 3 10" xfId="18986"/>
    <cellStyle name="asd 17 3 3 11" xfId="20898"/>
    <cellStyle name="asd 17 3 3 12" xfId="23446"/>
    <cellStyle name="asd 17 3 3 13" xfId="24700"/>
    <cellStyle name="asd 17 3 3 14" xfId="26500"/>
    <cellStyle name="asd 17 3 3 15" xfId="29353"/>
    <cellStyle name="asd 17 3 3 16" xfId="30106"/>
    <cellStyle name="asd 17 3 3 17" xfId="32698"/>
    <cellStyle name="asd 17 3 3 18" xfId="34506"/>
    <cellStyle name="asd 17 3 3 19" xfId="35527"/>
    <cellStyle name="asd 17 3 3 2" xfId="5590"/>
    <cellStyle name="asd 17 3 3 2 10" xfId="21840"/>
    <cellStyle name="asd 17 3 3 2 11" xfId="23917"/>
    <cellStyle name="asd 17 3 3 2 12" xfId="25642"/>
    <cellStyle name="asd 17 3 3 2 13" xfId="27833"/>
    <cellStyle name="asd 17 3 3 2 14" xfId="28146"/>
    <cellStyle name="asd 17 3 3 2 15" xfId="31411"/>
    <cellStyle name="asd 17 3 3 2 16" xfId="32106"/>
    <cellStyle name="asd 17 3 3 2 17" xfId="33605"/>
    <cellStyle name="asd 17 3 3 2 18" xfId="36469"/>
    <cellStyle name="asd 17 3 3 2 19" xfId="38348"/>
    <cellStyle name="asd 17 3 3 2 2" xfId="7039"/>
    <cellStyle name="asd 17 3 3 2 20" xfId="39330"/>
    <cellStyle name="asd 17 3 3 2 21" xfId="41006"/>
    <cellStyle name="asd 17 3 3 2 22" xfId="43663"/>
    <cellStyle name="asd 17 3 3 2 3" xfId="8493"/>
    <cellStyle name="asd 17 3 3 2 4" xfId="10403"/>
    <cellStyle name="asd 17 3 3 2 5" xfId="11876"/>
    <cellStyle name="asd 17 3 3 2 6" xfId="14385"/>
    <cellStyle name="asd 17 3 3 2 7" xfId="16291"/>
    <cellStyle name="asd 17 3 3 2 8" xfId="18022"/>
    <cellStyle name="asd 17 3 3 2 9" xfId="19928"/>
    <cellStyle name="asd 17 3 3 20" xfId="37406"/>
    <cellStyle name="asd 17 3 3 21" xfId="39906"/>
    <cellStyle name="asd 17 3 3 22" xfId="41575"/>
    <cellStyle name="asd 17 3 3 23" xfId="43213"/>
    <cellStyle name="asd 17 3 3 3" xfId="4654"/>
    <cellStyle name="asd 17 3 3 4" xfId="7551"/>
    <cellStyle name="asd 17 3 3 5" xfId="9461"/>
    <cellStyle name="asd 17 3 3 6" xfId="12240"/>
    <cellStyle name="asd 17 3 3 7" xfId="13918"/>
    <cellStyle name="asd 17 3 3 8" xfId="15819"/>
    <cellStyle name="asd 17 3 3 9" xfId="17080"/>
    <cellStyle name="asd 17 3 4" xfId="4137"/>
    <cellStyle name="asd 17 3 4 10" xfId="19772"/>
    <cellStyle name="asd 17 3 4 11" xfId="21684"/>
    <cellStyle name="asd 17 3 4 12" xfId="23619"/>
    <cellStyle name="asd 17 3 4 13" xfId="25486"/>
    <cellStyle name="asd 17 3 4 14" xfId="26289"/>
    <cellStyle name="asd 17 3 4 15" xfId="28711"/>
    <cellStyle name="asd 17 3 4 16" xfId="29898"/>
    <cellStyle name="asd 17 3 4 17" xfId="33135"/>
    <cellStyle name="asd 17 3 4 18" xfId="34527"/>
    <cellStyle name="asd 17 3 4 19" xfId="36313"/>
    <cellStyle name="asd 17 3 4 2" xfId="6042"/>
    <cellStyle name="asd 17 3 4 2 10" xfId="22292"/>
    <cellStyle name="asd 17 3 4 2 11" xfId="1766"/>
    <cellStyle name="asd 17 3 4 2 12" xfId="26094"/>
    <cellStyle name="asd 17 3 4 2 13" xfId="2259"/>
    <cellStyle name="asd 17 3 4 2 14" xfId="4173"/>
    <cellStyle name="asd 17 3 4 2 15" xfId="28019"/>
    <cellStyle name="asd 17 3 4 2 16" xfId="1877"/>
    <cellStyle name="asd 17 3 4 2 17" xfId="32514"/>
    <cellStyle name="asd 17 3 4 2 18" xfId="36921"/>
    <cellStyle name="asd 17 3 4 2 19" xfId="38800"/>
    <cellStyle name="asd 17 3 4 2 2" xfId="7491"/>
    <cellStyle name="asd 17 3 4 2 20" xfId="33871"/>
    <cellStyle name="asd 17 3 4 2 21" xfId="39767"/>
    <cellStyle name="asd 17 3 4 2 22" xfId="33348"/>
    <cellStyle name="asd 17 3 4 2 3" xfId="8945"/>
    <cellStyle name="asd 17 3 4 2 4" xfId="10855"/>
    <cellStyle name="asd 17 3 4 2 5" xfId="3136"/>
    <cellStyle name="asd 17 3 4 2 6" xfId="2651"/>
    <cellStyle name="asd 17 3 4 2 7" xfId="2934"/>
    <cellStyle name="asd 17 3 4 2 8" xfId="18474"/>
    <cellStyle name="asd 17 3 4 2 9" xfId="20380"/>
    <cellStyle name="asd 17 3 4 20" xfId="38192"/>
    <cellStyle name="asd 17 3 4 21" xfId="40329"/>
    <cellStyle name="asd 17 3 4 22" xfId="41985"/>
    <cellStyle name="asd 17 3 4 23" xfId="43377"/>
    <cellStyle name="asd 17 3 4 3" xfId="6883"/>
    <cellStyle name="asd 17 3 4 4" xfId="8337"/>
    <cellStyle name="asd 17 3 4 5" xfId="10247"/>
    <cellStyle name="asd 17 3 4 6" xfId="11719"/>
    <cellStyle name="asd 17 3 4 7" xfId="14089"/>
    <cellStyle name="asd 17 3 4 8" xfId="15992"/>
    <cellStyle name="asd 17 3 4 9" xfId="17866"/>
    <cellStyle name="asd 17 3 5" xfId="4978"/>
    <cellStyle name="asd 17 3 5 10" xfId="21226"/>
    <cellStyle name="asd 17 3 5 11" xfId="23071"/>
    <cellStyle name="asd 17 3 5 12" xfId="25028"/>
    <cellStyle name="asd 17 3 5 13" xfId="27172"/>
    <cellStyle name="asd 17 3 5 14" xfId="28611"/>
    <cellStyle name="asd 17 3 5 15" xfId="30764"/>
    <cellStyle name="asd 17 3 5 16" xfId="32754"/>
    <cellStyle name="asd 17 3 5 17" xfId="34428"/>
    <cellStyle name="asd 17 3 5 18" xfId="35855"/>
    <cellStyle name="asd 17 3 5 19" xfId="37734"/>
    <cellStyle name="asd 17 3 5 2" xfId="6428"/>
    <cellStyle name="asd 17 3 5 20" xfId="39963"/>
    <cellStyle name="asd 17 3 5 21" xfId="41627"/>
    <cellStyle name="asd 17 3 5 22" xfId="42853"/>
    <cellStyle name="asd 17 3 5 3" xfId="7879"/>
    <cellStyle name="asd 17 3 5 4" xfId="9789"/>
    <cellStyle name="asd 17 3 5 5" xfId="12679"/>
    <cellStyle name="asd 17 3 5 6" xfId="13542"/>
    <cellStyle name="asd 17 3 5 7" xfId="15445"/>
    <cellStyle name="asd 17 3 5 8" xfId="17408"/>
    <cellStyle name="asd 17 3 5 9" xfId="19314"/>
    <cellStyle name="asd 17 3 6" xfId="5552"/>
    <cellStyle name="asd 17 3 6 10" xfId="21802"/>
    <cellStyle name="asd 17 3 6 11" xfId="23789"/>
    <cellStyle name="asd 17 3 6 12" xfId="25604"/>
    <cellStyle name="asd 17 3 6 13" xfId="27180"/>
    <cellStyle name="asd 17 3 6 14" xfId="28584"/>
    <cellStyle name="asd 17 3 6 15" xfId="30771"/>
    <cellStyle name="asd 17 3 6 16" xfId="33296"/>
    <cellStyle name="asd 17 3 6 17" xfId="34905"/>
    <cellStyle name="asd 17 3 6 18" xfId="36431"/>
    <cellStyle name="asd 17 3 6 19" xfId="38310"/>
    <cellStyle name="asd 17 3 6 2" xfId="7001"/>
    <cellStyle name="asd 17 3 6 20" xfId="40480"/>
    <cellStyle name="asd 17 3 6 21" xfId="42134"/>
    <cellStyle name="asd 17 3 6 22" xfId="43542"/>
    <cellStyle name="asd 17 3 6 3" xfId="8455"/>
    <cellStyle name="asd 17 3 6 4" xfId="10365"/>
    <cellStyle name="asd 17 3 6 5" xfId="12663"/>
    <cellStyle name="asd 17 3 6 6" xfId="14259"/>
    <cellStyle name="asd 17 3 6 7" xfId="16163"/>
    <cellStyle name="asd 17 3 6 8" xfId="17984"/>
    <cellStyle name="asd 17 3 6 9" xfId="19890"/>
    <cellStyle name="asd 17 3 7" xfId="5365"/>
    <cellStyle name="asd 17 3 8" xfId="9354"/>
    <cellStyle name="asd 17 3 9" xfId="11525"/>
    <cellStyle name="asd 17 4" xfId="3493"/>
    <cellStyle name="asd 17 4 10" xfId="16359"/>
    <cellStyle name="asd 17 4 11" xfId="16940"/>
    <cellStyle name="asd 17 4 12" xfId="18847"/>
    <cellStyle name="asd 17 4 13" xfId="20759"/>
    <cellStyle name="asd 17 4 14" xfId="23983"/>
    <cellStyle name="asd 17 4 15" xfId="24561"/>
    <cellStyle name="asd 17 4 16" xfId="27794"/>
    <cellStyle name="asd 17 4 17" xfId="28853"/>
    <cellStyle name="asd 17 4 18" xfId="31371"/>
    <cellStyle name="asd 17 4 19" xfId="33106"/>
    <cellStyle name="asd 17 4 2" xfId="3673"/>
    <cellStyle name="asd 17 4 2 10" xfId="17564"/>
    <cellStyle name="asd 17 4 2 11" xfId="19470"/>
    <cellStyle name="asd 17 4 2 12" xfId="21382"/>
    <cellStyle name="asd 17 4 2 13" xfId="23121"/>
    <cellStyle name="asd 17 4 2 14" xfId="25184"/>
    <cellStyle name="asd 17 4 2 15" xfId="27765"/>
    <cellStyle name="asd 17 4 2 16" xfId="28322"/>
    <cellStyle name="asd 17 4 2 17" xfId="31343"/>
    <cellStyle name="asd 17 4 2 18" xfId="32466"/>
    <cellStyle name="asd 17 4 2 19" xfId="34756"/>
    <cellStyle name="asd 17 4 2 2" xfId="4251"/>
    <cellStyle name="asd 17 4 2 2 10" xfId="20481"/>
    <cellStyle name="asd 17 4 2 2 11" xfId="16609"/>
    <cellStyle name="asd 17 4 2 2 12" xfId="24283"/>
    <cellStyle name="asd 17 4 2 2 13" xfId="3280"/>
    <cellStyle name="asd 17 4 2 2 14" xfId="28622"/>
    <cellStyle name="asd 17 4 2 2 15" xfId="16185"/>
    <cellStyle name="asd 17 4 2 2 16" xfId="24220"/>
    <cellStyle name="asd 17 4 2 2 17" xfId="2204"/>
    <cellStyle name="asd 17 4 2 2 18" xfId="35111"/>
    <cellStyle name="asd 17 4 2 2 19" xfId="36989"/>
    <cellStyle name="asd 17 4 2 2 2" xfId="5328"/>
    <cellStyle name="asd 17 4 2 2 20" xfId="2669"/>
    <cellStyle name="asd 17 4 2 2 21" xfId="2214"/>
    <cellStyle name="asd 17 4 2 2 22" xfId="40851"/>
    <cellStyle name="asd 17 4 2 2 3" xfId="6650"/>
    <cellStyle name="asd 17 4 2 2 4" xfId="9043"/>
    <cellStyle name="asd 17 4 2 2 5" xfId="1894"/>
    <cellStyle name="asd 17 4 2 2 6" xfId="2227"/>
    <cellStyle name="asd 17 4 2 2 7" xfId="2466"/>
    <cellStyle name="asd 17 4 2 2 8" xfId="16662"/>
    <cellStyle name="asd 17 4 2 2 9" xfId="18569"/>
    <cellStyle name="asd 17 4 2 20" xfId="36011"/>
    <cellStyle name="asd 17 4 2 21" xfId="37890"/>
    <cellStyle name="asd 17 4 2 22" xfId="39684"/>
    <cellStyle name="asd 17 4 2 23" xfId="41357"/>
    <cellStyle name="asd 17 4 2 24" xfId="42901"/>
    <cellStyle name="asd 17 4 2 3" xfId="5134"/>
    <cellStyle name="asd 17 4 2 4" xfId="6584"/>
    <cellStyle name="asd 17 4 2 5" xfId="8035"/>
    <cellStyle name="asd 17 4 2 6" xfId="9945"/>
    <cellStyle name="asd 17 4 2 7" xfId="12738"/>
    <cellStyle name="asd 17 4 2 8" xfId="13592"/>
    <cellStyle name="asd 17 4 2 9" xfId="15495"/>
    <cellStyle name="asd 17 4 20" xfId="33707"/>
    <cellStyle name="asd 17 4 21" xfId="35389"/>
    <cellStyle name="asd 17 4 22" xfId="37267"/>
    <cellStyle name="asd 17 4 23" xfId="40301"/>
    <cellStyle name="asd 17 4 24" xfId="41957"/>
    <cellStyle name="asd 17 4 25" xfId="43727"/>
    <cellStyle name="asd 17 4 3" xfId="3807"/>
    <cellStyle name="asd 17 4 3 10" xfId="19539"/>
    <cellStyle name="asd 17 4 3 11" xfId="21451"/>
    <cellStyle name="asd 17 4 3 12" xfId="23985"/>
    <cellStyle name="asd 17 4 3 13" xfId="25253"/>
    <cellStyle name="asd 17 4 3 14" xfId="26420"/>
    <cellStyle name="asd 17 4 3 15" xfId="29385"/>
    <cellStyle name="asd 17 4 3 16" xfId="30027"/>
    <cellStyle name="asd 17 4 3 17" xfId="33085"/>
    <cellStyle name="asd 17 4 3 18" xfId="34637"/>
    <cellStyle name="asd 17 4 3 19" xfId="36080"/>
    <cellStyle name="asd 17 4 3 2" xfId="5809"/>
    <cellStyle name="asd 17 4 3 2 10" xfId="22059"/>
    <cellStyle name="asd 17 4 3 2 11" xfId="2769"/>
    <cellStyle name="asd 17 4 3 2 12" xfId="25861"/>
    <cellStyle name="asd 17 4 3 2 13" xfId="11857"/>
    <cellStyle name="asd 17 4 3 2 14" xfId="4176"/>
    <cellStyle name="asd 17 4 3 2 15" xfId="3228"/>
    <cellStyle name="asd 17 4 3 2 16" xfId="28738"/>
    <cellStyle name="asd 17 4 3 2 17" xfId="12042"/>
    <cellStyle name="asd 17 4 3 2 18" xfId="36688"/>
    <cellStyle name="asd 17 4 3 2 19" xfId="38567"/>
    <cellStyle name="asd 17 4 3 2 2" xfId="7258"/>
    <cellStyle name="asd 17 4 3 2 20" xfId="28130"/>
    <cellStyle name="asd 17 4 3 2 21" xfId="12455"/>
    <cellStyle name="asd 17 4 3 2 22" xfId="28482"/>
    <cellStyle name="asd 17 4 3 2 3" xfId="8712"/>
    <cellStyle name="asd 17 4 3 2 4" xfId="10622"/>
    <cellStyle name="asd 17 4 3 2 5" xfId="11062"/>
    <cellStyle name="asd 17 4 3 2 6" xfId="1935"/>
    <cellStyle name="asd 17 4 3 2 7" xfId="2291"/>
    <cellStyle name="asd 17 4 3 2 8" xfId="18241"/>
    <cellStyle name="asd 17 4 3 2 9" xfId="20147"/>
    <cellStyle name="asd 17 4 3 20" xfId="37959"/>
    <cellStyle name="asd 17 4 3 21" xfId="40281"/>
    <cellStyle name="asd 17 4 3 22" xfId="41937"/>
    <cellStyle name="asd 17 4 3 23" xfId="43729"/>
    <cellStyle name="asd 17 4 3 3" xfId="5203"/>
    <cellStyle name="asd 17 4 3 4" xfId="8104"/>
    <cellStyle name="asd 17 4 3 5" xfId="10014"/>
    <cellStyle name="asd 17 4 3 6" xfId="11944"/>
    <cellStyle name="asd 17 4 3 7" xfId="14455"/>
    <cellStyle name="asd 17 4 3 8" xfId="16361"/>
    <cellStyle name="asd 17 4 3 9" xfId="17633"/>
    <cellStyle name="asd 17 4 4" xfId="4125"/>
    <cellStyle name="asd 17 4 4 10" xfId="19760"/>
    <cellStyle name="asd 17 4 4 11" xfId="21672"/>
    <cellStyle name="asd 17 4 4 12" xfId="23451"/>
    <cellStyle name="asd 17 4 4 13" xfId="25474"/>
    <cellStyle name="asd 17 4 4 14" xfId="26605"/>
    <cellStyle name="asd 17 4 4 15" xfId="28744"/>
    <cellStyle name="asd 17 4 4 16" xfId="30207"/>
    <cellStyle name="asd 17 4 4 17" xfId="32011"/>
    <cellStyle name="asd 17 4 4 18" xfId="33720"/>
    <cellStyle name="asd 17 4 4 19" xfId="36301"/>
    <cellStyle name="asd 17 4 4 2" xfId="6030"/>
    <cellStyle name="asd 17 4 4 2 10" xfId="22280"/>
    <cellStyle name="asd 17 4 4 2 11" xfId="22642"/>
    <cellStyle name="asd 17 4 4 2 12" xfId="26082"/>
    <cellStyle name="asd 17 4 4 2 13" xfId="27782"/>
    <cellStyle name="asd 17 4 4 2 14" xfId="2805"/>
    <cellStyle name="asd 17 4 4 2 15" xfId="31359"/>
    <cellStyle name="asd 17 4 4 2 16" xfId="32280"/>
    <cellStyle name="asd 17 4 4 2 17" xfId="33648"/>
    <cellStyle name="asd 17 4 4 2 18" xfId="36909"/>
    <cellStyle name="asd 17 4 4 2 19" xfId="38788"/>
    <cellStyle name="asd 17 4 4 2 2" xfId="7479"/>
    <cellStyle name="asd 17 4 4 2 20" xfId="39499"/>
    <cellStyle name="asd 17 4 4 2 21" xfId="41174"/>
    <cellStyle name="asd 17 4 4 2 22" xfId="42448"/>
    <cellStyle name="asd 17 4 4 2 3" xfId="8933"/>
    <cellStyle name="asd 17 4 4 2 4" xfId="10843"/>
    <cellStyle name="asd 17 4 4 2 5" xfId="11075"/>
    <cellStyle name="asd 17 4 4 2 6" xfId="13109"/>
    <cellStyle name="asd 17 4 4 2 7" xfId="15014"/>
    <cellStyle name="asd 17 4 4 2 8" xfId="18462"/>
    <cellStyle name="asd 17 4 4 2 9" xfId="20368"/>
    <cellStyle name="asd 17 4 4 20" xfId="38180"/>
    <cellStyle name="asd 17 4 4 21" xfId="39242"/>
    <cellStyle name="asd 17 4 4 22" xfId="40919"/>
    <cellStyle name="asd 17 4 4 23" xfId="43218"/>
    <cellStyle name="asd 17 4 4 3" xfId="6871"/>
    <cellStyle name="asd 17 4 4 4" xfId="8325"/>
    <cellStyle name="asd 17 4 4 5" xfId="10235"/>
    <cellStyle name="asd 17 4 4 6" xfId="12487"/>
    <cellStyle name="asd 17 4 4 7" xfId="13923"/>
    <cellStyle name="asd 17 4 4 8" xfId="15824"/>
    <cellStyle name="asd 17 4 4 9" xfId="17854"/>
    <cellStyle name="asd 17 4 5" xfId="4435"/>
    <cellStyle name="asd 17 4 5 10" xfId="20680"/>
    <cellStyle name="asd 17 4 5 11" xfId="22818"/>
    <cellStyle name="asd 17 4 5 12" xfId="24482"/>
    <cellStyle name="asd 17 4 5 13" xfId="26273"/>
    <cellStyle name="asd 17 4 5 14" xfId="28474"/>
    <cellStyle name="asd 17 4 5 15" xfId="29882"/>
    <cellStyle name="asd 17 4 5 16" xfId="32737"/>
    <cellStyle name="asd 17 4 5 17" xfId="33703"/>
    <cellStyle name="asd 17 4 5 18" xfId="35310"/>
    <cellStyle name="asd 17 4 5 19" xfId="37188"/>
    <cellStyle name="asd 17 4 5 2" xfId="4491"/>
    <cellStyle name="asd 17 4 5 20" xfId="39946"/>
    <cellStyle name="asd 17 4 5 21" xfId="41612"/>
    <cellStyle name="asd 17 4 5 22" xfId="42611"/>
    <cellStyle name="asd 17 4 5 3" xfId="4302"/>
    <cellStyle name="asd 17 4 5 4" xfId="9242"/>
    <cellStyle name="asd 17 4 5 5" xfId="12379"/>
    <cellStyle name="asd 17 4 5 6" xfId="13288"/>
    <cellStyle name="asd 17 4 5 7" xfId="15192"/>
    <cellStyle name="asd 17 4 5 8" xfId="16861"/>
    <cellStyle name="asd 17 4 5 9" xfId="18768"/>
    <cellStyle name="asd 17 4 6" xfId="6194"/>
    <cellStyle name="asd 17 4 7" xfId="9321"/>
    <cellStyle name="asd 17 4 8" xfId="11942"/>
    <cellStyle name="asd 17 4 9" xfId="14453"/>
    <cellStyle name="asd 17 5" xfId="3107"/>
    <cellStyle name="asd 17 5 10" xfId="17251"/>
    <cellStyle name="asd 17 5 11" xfId="19157"/>
    <cellStyle name="asd 17 5 12" xfId="21069"/>
    <cellStyle name="asd 17 5 13" xfId="1832"/>
    <cellStyle name="asd 17 5 14" xfId="24871"/>
    <cellStyle name="asd 17 5 15" xfId="4485"/>
    <cellStyle name="asd 17 5 16" xfId="26183"/>
    <cellStyle name="asd 17 5 17" xfId="2766"/>
    <cellStyle name="asd 17 5 18" xfId="29528"/>
    <cellStyle name="asd 17 5 19" xfId="3310"/>
    <cellStyle name="asd 17 5 2" xfId="4339"/>
    <cellStyle name="asd 17 5 2 10" xfId="20523"/>
    <cellStyle name="asd 17 5 2 11" xfId="22569"/>
    <cellStyle name="asd 17 5 2 12" xfId="24325"/>
    <cellStyle name="asd 17 5 2 13" xfId="27648"/>
    <cellStyle name="asd 17 5 2 14" xfId="28754"/>
    <cellStyle name="asd 17 5 2 15" xfId="31225"/>
    <cellStyle name="asd 17 5 2 16" xfId="32119"/>
    <cellStyle name="asd 17 5 2 17" xfId="33867"/>
    <cellStyle name="asd 17 5 2 18" xfId="35153"/>
    <cellStyle name="asd 17 5 2 19" xfId="37031"/>
    <cellStyle name="asd 17 5 2 2" xfId="5438"/>
    <cellStyle name="asd 17 5 2 20" xfId="39343"/>
    <cellStyle name="asd 17 5 2 21" xfId="41019"/>
    <cellStyle name="asd 17 5 2 22" xfId="42378"/>
    <cellStyle name="asd 17 5 2 3" xfId="6152"/>
    <cellStyle name="asd 17 5 2 4" xfId="9085"/>
    <cellStyle name="asd 17 5 2 5" xfId="11686"/>
    <cellStyle name="asd 17 5 2 6" xfId="13037"/>
    <cellStyle name="asd 17 5 2 7" xfId="14941"/>
    <cellStyle name="asd 17 5 2 8" xfId="16704"/>
    <cellStyle name="asd 17 5 2 9" xfId="18611"/>
    <cellStyle name="asd 17 5 20" xfId="35698"/>
    <cellStyle name="asd 17 5 21" xfId="37577"/>
    <cellStyle name="asd 17 5 22" xfId="30565"/>
    <cellStyle name="asd 17 5 23" xfId="34498"/>
    <cellStyle name="asd 17 5 24" xfId="26300"/>
    <cellStyle name="asd 17 5 3" xfId="4821"/>
    <cellStyle name="asd 17 5 4" xfId="6271"/>
    <cellStyle name="asd 17 5 5" xfId="7722"/>
    <cellStyle name="asd 17 5 6" xfId="9632"/>
    <cellStyle name="asd 17 5 7" xfId="12251"/>
    <cellStyle name="asd 17 5 8" xfId="4275"/>
    <cellStyle name="asd 17 5 9" xfId="8996"/>
    <cellStyle name="asd 17 6" xfId="1778"/>
    <cellStyle name="asd 17 6 10" xfId="18966"/>
    <cellStyle name="asd 17 6 11" xfId="20878"/>
    <cellStyle name="asd 17 6 12" xfId="22621"/>
    <cellStyle name="asd 17 6 13" xfId="24680"/>
    <cellStyle name="asd 17 6 14" xfId="26521"/>
    <cellStyle name="asd 17 6 15" xfId="28484"/>
    <cellStyle name="asd 17 6 16" xfId="30127"/>
    <cellStyle name="asd 17 6 17" xfId="32254"/>
    <cellStyle name="asd 17 6 18" xfId="34878"/>
    <cellStyle name="asd 17 6 19" xfId="35507"/>
    <cellStyle name="asd 17 6 2" xfId="4629"/>
    <cellStyle name="asd 17 6 2 10" xfId="20874"/>
    <cellStyle name="asd 17 6 2 11" xfId="22834"/>
    <cellStyle name="asd 17 6 2 12" xfId="24676"/>
    <cellStyle name="asd 17 6 2 13" xfId="27891"/>
    <cellStyle name="asd 17 6 2 14" xfId="29571"/>
    <cellStyle name="asd 17 6 2 15" xfId="31473"/>
    <cellStyle name="asd 17 6 2 16" xfId="32413"/>
    <cellStyle name="asd 17 6 2 17" xfId="34518"/>
    <cellStyle name="asd 17 6 2 18" xfId="35504"/>
    <cellStyle name="asd 17 6 2 19" xfId="37382"/>
    <cellStyle name="asd 17 6 2 2" xfId="6077"/>
    <cellStyle name="asd 17 6 2 20" xfId="39630"/>
    <cellStyle name="asd 17 6 2 21" xfId="41304"/>
    <cellStyle name="asd 17 6 2 22" xfId="42625"/>
    <cellStyle name="asd 17 6 2 3" xfId="7526"/>
    <cellStyle name="asd 17 6 2 4" xfId="9436"/>
    <cellStyle name="asd 17 6 2 5" xfId="11246"/>
    <cellStyle name="asd 17 6 2 6" xfId="13303"/>
    <cellStyle name="asd 17 6 2 7" xfId="15207"/>
    <cellStyle name="asd 17 6 2 8" xfId="17055"/>
    <cellStyle name="asd 17 6 2 9" xfId="18962"/>
    <cellStyle name="asd 17 6 20" xfId="37386"/>
    <cellStyle name="asd 17 6 21" xfId="39472"/>
    <cellStyle name="asd 17 6 22" xfId="41147"/>
    <cellStyle name="asd 17 6 23" xfId="42427"/>
    <cellStyle name="asd 17 6 3" xfId="4634"/>
    <cellStyle name="asd 17 6 4" xfId="7531"/>
    <cellStyle name="asd 17 6 5" xfId="9441"/>
    <cellStyle name="asd 17 6 6" xfId="12766"/>
    <cellStyle name="asd 17 6 7" xfId="13088"/>
    <cellStyle name="asd 17 6 8" xfId="14993"/>
    <cellStyle name="asd 17 6 9" xfId="17060"/>
    <cellStyle name="asd 17 7" xfId="1941"/>
    <cellStyle name="asd 17 7 10" xfId="18989"/>
    <cellStyle name="asd 17 7 11" xfId="20901"/>
    <cellStyle name="asd 17 7 12" xfId="22724"/>
    <cellStyle name="asd 17 7 13" xfId="24703"/>
    <cellStyle name="asd 17 7 14" xfId="27069"/>
    <cellStyle name="asd 17 7 15" xfId="26128"/>
    <cellStyle name="asd 17 7 16" xfId="30660"/>
    <cellStyle name="asd 17 7 17" xfId="33219"/>
    <cellStyle name="asd 17 7 18" xfId="34824"/>
    <cellStyle name="asd 17 7 19" xfId="35530"/>
    <cellStyle name="asd 17 7 2" xfId="5483"/>
    <cellStyle name="asd 17 7 2 10" xfId="21733"/>
    <cellStyle name="asd 17 7 2 11" xfId="22880"/>
    <cellStyle name="asd 17 7 2 12" xfId="25535"/>
    <cellStyle name="asd 17 7 2 13" xfId="26804"/>
    <cellStyle name="asd 17 7 2 14" xfId="28094"/>
    <cellStyle name="asd 17 7 2 15" xfId="30402"/>
    <cellStyle name="asd 17 7 2 16" xfId="32812"/>
    <cellStyle name="asd 17 7 2 17" xfId="34691"/>
    <cellStyle name="asd 17 7 2 18" xfId="36362"/>
    <cellStyle name="asd 17 7 2 19" xfId="38241"/>
    <cellStyle name="asd 17 7 2 2" xfId="6932"/>
    <cellStyle name="asd 17 7 2 20" xfId="40021"/>
    <cellStyle name="asd 17 7 2 21" xfId="41685"/>
    <cellStyle name="asd 17 7 2 22" xfId="42667"/>
    <cellStyle name="asd 17 7 2 3" xfId="8386"/>
    <cellStyle name="asd 17 7 2 4" xfId="10296"/>
    <cellStyle name="asd 17 7 2 5" xfId="11276"/>
    <cellStyle name="asd 17 7 2 6" xfId="13348"/>
    <cellStyle name="asd 17 7 2 7" xfId="15253"/>
    <cellStyle name="asd 17 7 2 8" xfId="17915"/>
    <cellStyle name="asd 17 7 2 9" xfId="19821"/>
    <cellStyle name="asd 17 7 20" xfId="37409"/>
    <cellStyle name="asd 17 7 21" xfId="40408"/>
    <cellStyle name="asd 17 7 22" xfId="42064"/>
    <cellStyle name="asd 17 7 23" xfId="42522"/>
    <cellStyle name="asd 17 7 3" xfId="6104"/>
    <cellStyle name="asd 17 7 4" xfId="7554"/>
    <cellStyle name="asd 17 7 5" xfId="9464"/>
    <cellStyle name="asd 17 7 6" xfId="11724"/>
    <cellStyle name="asd 17 7 7" xfId="13193"/>
    <cellStyle name="asd 17 7 8" xfId="15096"/>
    <cellStyle name="asd 17 7 9" xfId="17083"/>
    <cellStyle name="asd 17 8" xfId="2736"/>
    <cellStyle name="asd 17 9" xfId="2980"/>
    <cellStyle name="asd 18" xfId="810"/>
    <cellStyle name="asd 18 10" xfId="2363"/>
    <cellStyle name="asd 18 11" xfId="3727"/>
    <cellStyle name="asd 18 12" xfId="2930"/>
    <cellStyle name="asd 18 13" xfId="2936"/>
    <cellStyle name="asd 18 14" xfId="2242"/>
    <cellStyle name="asd 18 15" xfId="2078"/>
    <cellStyle name="asd 18 16" xfId="5414"/>
    <cellStyle name="asd 18 17" xfId="6646"/>
    <cellStyle name="asd 18 18" xfId="16231"/>
    <cellStyle name="asd 18 19" xfId="12136"/>
    <cellStyle name="asd 18 2" xfId="3373"/>
    <cellStyle name="asd 18 2 10" xfId="14571"/>
    <cellStyle name="asd 18 2 11" xfId="16477"/>
    <cellStyle name="asd 18 2 12" xfId="16682"/>
    <cellStyle name="asd 18 2 13" xfId="18589"/>
    <cellStyle name="asd 18 2 14" xfId="20501"/>
    <cellStyle name="asd 18 2 15" xfId="24101"/>
    <cellStyle name="asd 18 2 16" xfId="24303"/>
    <cellStyle name="asd 18 2 17" xfId="26433"/>
    <cellStyle name="asd 18 2 18" xfId="28308"/>
    <cellStyle name="asd 18 2 19" xfId="30039"/>
    <cellStyle name="asd 18 2 2" xfId="3553"/>
    <cellStyle name="asd 18 2 2 10" xfId="17444"/>
    <cellStyle name="asd 18 2 2 11" xfId="19350"/>
    <cellStyle name="asd 18 2 2 12" xfId="21262"/>
    <cellStyle name="asd 18 2 2 13" xfId="23943"/>
    <cellStyle name="asd 18 2 2 14" xfId="25064"/>
    <cellStyle name="asd 18 2 2 15" xfId="27682"/>
    <cellStyle name="asd 18 2 2 16" xfId="28737"/>
    <cellStyle name="asd 18 2 2 17" xfId="31256"/>
    <cellStyle name="asd 18 2 2 18" xfId="32685"/>
    <cellStyle name="asd 18 2 2 19" xfId="33461"/>
    <cellStyle name="asd 18 2 2 2" xfId="5739"/>
    <cellStyle name="asd 18 2 2 2 10" xfId="21989"/>
    <cellStyle name="asd 18 2 2 2 11" xfId="22946"/>
    <cellStyle name="asd 18 2 2 2 12" xfId="25791"/>
    <cellStyle name="asd 18 2 2 2 13" xfId="26776"/>
    <cellStyle name="asd 18 2 2 2 14" xfId="29435"/>
    <cellStyle name="asd 18 2 2 2 15" xfId="30375"/>
    <cellStyle name="asd 18 2 2 2 16" xfId="33170"/>
    <cellStyle name="asd 18 2 2 2 17" xfId="34879"/>
    <cellStyle name="asd 18 2 2 2 18" xfId="36618"/>
    <cellStyle name="asd 18 2 2 2 19" xfId="38497"/>
    <cellStyle name="asd 18 2 2 2 2" xfId="7188"/>
    <cellStyle name="asd 18 2 2 2 20" xfId="40361"/>
    <cellStyle name="asd 18 2 2 2 21" xfId="42017"/>
    <cellStyle name="asd 18 2 2 2 22" xfId="42732"/>
    <cellStyle name="asd 18 2 2 2 3" xfId="8642"/>
    <cellStyle name="asd 18 2 2 2 4" xfId="10552"/>
    <cellStyle name="asd 18 2 2 2 5" xfId="12472"/>
    <cellStyle name="asd 18 2 2 2 6" xfId="13414"/>
    <cellStyle name="asd 18 2 2 2 7" xfId="15319"/>
    <cellStyle name="asd 18 2 2 2 8" xfId="18171"/>
    <cellStyle name="asd 18 2 2 2 9" xfId="20077"/>
    <cellStyle name="asd 18 2 2 20" xfId="35891"/>
    <cellStyle name="asd 18 2 2 21" xfId="37770"/>
    <cellStyle name="asd 18 2 2 22" xfId="39893"/>
    <cellStyle name="asd 18 2 2 23" xfId="41562"/>
    <cellStyle name="asd 18 2 2 24" xfId="43689"/>
    <cellStyle name="asd 18 2 2 3" xfId="5014"/>
    <cellStyle name="asd 18 2 2 4" xfId="6464"/>
    <cellStyle name="asd 18 2 2 5" xfId="7915"/>
    <cellStyle name="asd 18 2 2 6" xfId="9825"/>
    <cellStyle name="asd 18 2 2 7" xfId="11903"/>
    <cellStyle name="asd 18 2 2 8" xfId="14413"/>
    <cellStyle name="asd 18 2 2 9" xfId="16319"/>
    <cellStyle name="asd 18 2 20" xfId="31632"/>
    <cellStyle name="asd 18 2 21" xfId="35042"/>
    <cellStyle name="asd 18 2 22" xfId="35131"/>
    <cellStyle name="asd 18 2 23" xfId="37009"/>
    <cellStyle name="asd 18 2 24" xfId="38879"/>
    <cellStyle name="asd 18 2 25" xfId="40564"/>
    <cellStyle name="asd 18 2 26" xfId="43844"/>
    <cellStyle name="asd 18 2 3" xfId="3899"/>
    <cellStyle name="asd 18 2 3 10" xfId="19605"/>
    <cellStyle name="asd 18 2 3 11" xfId="21517"/>
    <cellStyle name="asd 18 2 3 12" xfId="23932"/>
    <cellStyle name="asd 18 2 3 13" xfId="25319"/>
    <cellStyle name="asd 18 2 3 14" xfId="27735"/>
    <cellStyle name="asd 18 2 3 15" xfId="12775"/>
    <cellStyle name="asd 18 2 3 16" xfId="31313"/>
    <cellStyle name="asd 18 2 3 17" xfId="3267"/>
    <cellStyle name="asd 18 2 3 18" xfId="20411"/>
    <cellStyle name="asd 18 2 3 19" xfId="36146"/>
    <cellStyle name="asd 18 2 3 2" xfId="5875"/>
    <cellStyle name="asd 18 2 3 2 10" xfId="22125"/>
    <cellStyle name="asd 18 2 3 2 11" xfId="1938"/>
    <cellStyle name="asd 18 2 3 2 12" xfId="25927"/>
    <cellStyle name="asd 18 2 3 2 13" xfId="12790"/>
    <cellStyle name="asd 18 2 3 2 14" xfId="8990"/>
    <cellStyle name="asd 18 2 3 2 15" xfId="28801"/>
    <cellStyle name="asd 18 2 3 2 16" xfId="28823"/>
    <cellStyle name="asd 18 2 3 2 17" xfId="32922"/>
    <cellStyle name="asd 18 2 3 2 18" xfId="36754"/>
    <cellStyle name="asd 18 2 3 2 19" xfId="38633"/>
    <cellStyle name="asd 18 2 3 2 2" xfId="7324"/>
    <cellStyle name="asd 18 2 3 2 20" xfId="33367"/>
    <cellStyle name="asd 18 2 3 2 21" xfId="32601"/>
    <cellStyle name="asd 18 2 3 2 22" xfId="28684"/>
    <cellStyle name="asd 18 2 3 2 3" xfId="8778"/>
    <cellStyle name="asd 18 2 3 2 4" xfId="10688"/>
    <cellStyle name="asd 18 2 3 2 5" xfId="11192"/>
    <cellStyle name="asd 18 2 3 2 6" xfId="2473"/>
    <cellStyle name="asd 18 2 3 2 7" xfId="2904"/>
    <cellStyle name="asd 18 2 3 2 8" xfId="18307"/>
    <cellStyle name="asd 18 2 3 2 9" xfId="20213"/>
    <cellStyle name="asd 18 2 3 20" xfId="38025"/>
    <cellStyle name="asd 18 2 3 21" xfId="16592"/>
    <cellStyle name="asd 18 2 3 22" xfId="32889"/>
    <cellStyle name="asd 18 2 3 23" xfId="43678"/>
    <cellStyle name="asd 18 2 3 3" xfId="5269"/>
    <cellStyle name="asd 18 2 3 4" xfId="8170"/>
    <cellStyle name="asd 18 2 3 5" xfId="10080"/>
    <cellStyle name="asd 18 2 3 6" xfId="11892"/>
    <cellStyle name="asd 18 2 3 7" xfId="14402"/>
    <cellStyle name="asd 18 2 3 8" xfId="16308"/>
    <cellStyle name="asd 18 2 3 9" xfId="17699"/>
    <cellStyle name="asd 18 2 4" xfId="4005"/>
    <cellStyle name="asd 18 2 4 10" xfId="19640"/>
    <cellStyle name="asd 18 2 4 11" xfId="21552"/>
    <cellStyle name="asd 18 2 4 12" xfId="23822"/>
    <cellStyle name="asd 18 2 4 13" xfId="25354"/>
    <cellStyle name="asd 18 2 4 14" xfId="26736"/>
    <cellStyle name="asd 18 2 4 15" xfId="27235"/>
    <cellStyle name="asd 18 2 4 16" xfId="30336"/>
    <cellStyle name="asd 18 2 4 17" xfId="32964"/>
    <cellStyle name="asd 18 2 4 18" xfId="33578"/>
    <cellStyle name="asd 18 2 4 19" xfId="36181"/>
    <cellStyle name="asd 18 2 4 2" xfId="5910"/>
    <cellStyle name="asd 18 2 4 2 10" xfId="22160"/>
    <cellStyle name="asd 18 2 4 2 11" xfId="22895"/>
    <cellStyle name="asd 18 2 4 2 12" xfId="25962"/>
    <cellStyle name="asd 18 2 4 2 13" xfId="26403"/>
    <cellStyle name="asd 18 2 4 2 14" xfId="22530"/>
    <cellStyle name="asd 18 2 4 2 15" xfId="30011"/>
    <cellStyle name="asd 18 2 4 2 16" xfId="32308"/>
    <cellStyle name="asd 18 2 4 2 17" xfId="33916"/>
    <cellStyle name="asd 18 2 4 2 18" xfId="36789"/>
    <cellStyle name="asd 18 2 4 2 19" xfId="38668"/>
    <cellStyle name="asd 18 2 4 2 2" xfId="7359"/>
    <cellStyle name="asd 18 2 4 2 20" xfId="39527"/>
    <cellStyle name="asd 18 2 4 2 21" xfId="41201"/>
    <cellStyle name="asd 18 2 4 2 22" xfId="42681"/>
    <cellStyle name="asd 18 2 4 2 3" xfId="8813"/>
    <cellStyle name="asd 18 2 4 2 4" xfId="10723"/>
    <cellStyle name="asd 18 2 4 2 5" xfId="12400"/>
    <cellStyle name="asd 18 2 4 2 6" xfId="13363"/>
    <cellStyle name="asd 18 2 4 2 7" xfId="15268"/>
    <cellStyle name="asd 18 2 4 2 8" xfId="18342"/>
    <cellStyle name="asd 18 2 4 2 9" xfId="20248"/>
    <cellStyle name="asd 18 2 4 20" xfId="38060"/>
    <cellStyle name="asd 18 2 4 21" xfId="40165"/>
    <cellStyle name="asd 18 2 4 22" xfId="41824"/>
    <cellStyle name="asd 18 2 4 23" xfId="43573"/>
    <cellStyle name="asd 18 2 4 3" xfId="6751"/>
    <cellStyle name="asd 18 2 4 4" xfId="8205"/>
    <cellStyle name="asd 18 2 4 5" xfId="10115"/>
    <cellStyle name="asd 18 2 4 6" xfId="11831"/>
    <cellStyle name="asd 18 2 4 7" xfId="14292"/>
    <cellStyle name="asd 18 2 4 8" xfId="16196"/>
    <cellStyle name="asd 18 2 4 9" xfId="17734"/>
    <cellStyle name="asd 18 2 5" xfId="4878"/>
    <cellStyle name="asd 18 2 5 10" xfId="21126"/>
    <cellStyle name="asd 18 2 5 11" xfId="22757"/>
    <cellStyle name="asd 18 2 5 12" xfId="24928"/>
    <cellStyle name="asd 18 2 5 13" xfId="26962"/>
    <cellStyle name="asd 18 2 5 14" xfId="2323"/>
    <cellStyle name="asd 18 2 5 15" xfId="30556"/>
    <cellStyle name="asd 18 2 5 16" xfId="31516"/>
    <cellStyle name="asd 18 2 5 17" xfId="29475"/>
    <cellStyle name="asd 18 2 5 18" xfId="35755"/>
    <cellStyle name="asd 18 2 5 19" xfId="37634"/>
    <cellStyle name="asd 18 2 5 2" xfId="6328"/>
    <cellStyle name="asd 18 2 5 20" xfId="17057"/>
    <cellStyle name="asd 18 2 5 21" xfId="39884"/>
    <cellStyle name="asd 18 2 5 22" xfId="42554"/>
    <cellStyle name="asd 18 2 5 3" xfId="7779"/>
    <cellStyle name="asd 18 2 5 4" xfId="9689"/>
    <cellStyle name="asd 18 2 5 5" xfId="11664"/>
    <cellStyle name="asd 18 2 5 6" xfId="13226"/>
    <cellStyle name="asd 18 2 5 7" xfId="15129"/>
    <cellStyle name="asd 18 2 5 8" xfId="17308"/>
    <cellStyle name="asd 18 2 5 9" xfId="19214"/>
    <cellStyle name="asd 18 2 6" xfId="5677"/>
    <cellStyle name="asd 18 2 6 10" xfId="21927"/>
    <cellStyle name="asd 18 2 6 11" xfId="3237"/>
    <cellStyle name="asd 18 2 6 12" xfId="25729"/>
    <cellStyle name="asd 18 2 6 13" xfId="1922"/>
    <cellStyle name="asd 18 2 6 14" xfId="4165"/>
    <cellStyle name="asd 18 2 6 15" xfId="20431"/>
    <cellStyle name="asd 18 2 6 16" xfId="3732"/>
    <cellStyle name="asd 18 2 6 17" xfId="26150"/>
    <cellStyle name="asd 18 2 6 18" xfId="36556"/>
    <cellStyle name="asd 18 2 6 19" xfId="38435"/>
    <cellStyle name="asd 18 2 6 2" xfId="7126"/>
    <cellStyle name="asd 18 2 6 20" xfId="14695"/>
    <cellStyle name="asd 18 2 6 21" xfId="18494"/>
    <cellStyle name="asd 18 2 6 22" xfId="40878"/>
    <cellStyle name="asd 18 2 6 3" xfId="8580"/>
    <cellStyle name="asd 18 2 6 4" xfId="10490"/>
    <cellStyle name="asd 18 2 6 5" xfId="12208"/>
    <cellStyle name="asd 18 2 6 6" xfId="2073"/>
    <cellStyle name="asd 18 2 6 7" xfId="3958"/>
    <cellStyle name="asd 18 2 6 8" xfId="18109"/>
    <cellStyle name="asd 18 2 6 9" xfId="20015"/>
    <cellStyle name="asd 18 2 7" xfId="3529"/>
    <cellStyle name="asd 18 2 8" xfId="9063"/>
    <cellStyle name="asd 18 2 9" xfId="12060"/>
    <cellStyle name="asd 18 20" xfId="10908"/>
    <cellStyle name="asd 18 21" xfId="29741"/>
    <cellStyle name="asd 18 22" xfId="29754"/>
    <cellStyle name="asd 18 23" xfId="12799"/>
    <cellStyle name="asd 18 24" xfId="2268"/>
    <cellStyle name="asd 18 25" xfId="28619"/>
    <cellStyle name="asd 18 26" xfId="18536"/>
    <cellStyle name="asd 18 27" xfId="2990"/>
    <cellStyle name="asd 18 3" xfId="3381"/>
    <cellStyle name="asd 18 3 10" xfId="14604"/>
    <cellStyle name="asd 18 3 11" xfId="16510"/>
    <cellStyle name="asd 18 3 12" xfId="16698"/>
    <cellStyle name="asd 18 3 13" xfId="18605"/>
    <cellStyle name="asd 18 3 14" xfId="20517"/>
    <cellStyle name="asd 18 3 15" xfId="24133"/>
    <cellStyle name="asd 18 3 16" xfId="24319"/>
    <cellStyle name="asd 18 3 17" xfId="26351"/>
    <cellStyle name="asd 18 3 18" xfId="2614"/>
    <cellStyle name="asd 18 3 19" xfId="29959"/>
    <cellStyle name="asd 18 3 2" xfId="3561"/>
    <cellStyle name="asd 18 3 2 10" xfId="17452"/>
    <cellStyle name="asd 18 3 2 11" xfId="19358"/>
    <cellStyle name="asd 18 3 2 12" xfId="21270"/>
    <cellStyle name="asd 18 3 2 13" xfId="22434"/>
    <cellStyle name="asd 18 3 2 14" xfId="25072"/>
    <cellStyle name="asd 18 3 2 15" xfId="27370"/>
    <cellStyle name="asd 18 3 2 16" xfId="29308"/>
    <cellStyle name="asd 18 3 2 17" xfId="30957"/>
    <cellStyle name="asd 18 3 2 18" xfId="32351"/>
    <cellStyle name="asd 18 3 2 19" xfId="34994"/>
    <cellStyle name="asd 18 3 2 2" xfId="4545"/>
    <cellStyle name="asd 18 3 2 2 10" xfId="20790"/>
    <cellStyle name="asd 18 3 2 2 11" xfId="24141"/>
    <cellStyle name="asd 18 3 2 2 12" xfId="24592"/>
    <cellStyle name="asd 18 3 2 2 13" xfId="26979"/>
    <cellStyle name="asd 18 3 2 2 14" xfId="28285"/>
    <cellStyle name="asd 18 3 2 2 15" xfId="30573"/>
    <cellStyle name="asd 18 3 2 2 16" xfId="33300"/>
    <cellStyle name="asd 18 3 2 2 17" xfId="34064"/>
    <cellStyle name="asd 18 3 2 2 18" xfId="35420"/>
    <cellStyle name="asd 18 3 2 2 19" xfId="37298"/>
    <cellStyle name="asd 18 3 2 2 2" xfId="4772"/>
    <cellStyle name="asd 18 3 2 2 20" xfId="40483"/>
    <cellStyle name="asd 18 3 2 2 21" xfId="42137"/>
    <cellStyle name="asd 18 3 2 2 22" xfId="43884"/>
    <cellStyle name="asd 18 3 2 2 3" xfId="6255"/>
    <cellStyle name="asd 18 3 2 2 4" xfId="9352"/>
    <cellStyle name="asd 18 3 2 2 5" xfId="12101"/>
    <cellStyle name="asd 18 3 2 2 6" xfId="14612"/>
    <cellStyle name="asd 18 3 2 2 7" xfId="16518"/>
    <cellStyle name="asd 18 3 2 2 8" xfId="16971"/>
    <cellStyle name="asd 18 3 2 2 9" xfId="18878"/>
    <cellStyle name="asd 18 3 2 20" xfId="35899"/>
    <cellStyle name="asd 18 3 2 21" xfId="37778"/>
    <cellStyle name="asd 18 3 2 22" xfId="39570"/>
    <cellStyle name="asd 18 3 2 23" xfId="41244"/>
    <cellStyle name="asd 18 3 2 24" xfId="42245"/>
    <cellStyle name="asd 18 3 2 3" xfId="5022"/>
    <cellStyle name="asd 18 3 2 4" xfId="6472"/>
    <cellStyle name="asd 18 3 2 5" xfId="7923"/>
    <cellStyle name="asd 18 3 2 6" xfId="9833"/>
    <cellStyle name="asd 18 3 2 7" xfId="11495"/>
    <cellStyle name="asd 18 3 2 8" xfId="12902"/>
    <cellStyle name="asd 18 3 2 9" xfId="14807"/>
    <cellStyle name="asd 18 3 20" xfId="32087"/>
    <cellStyle name="asd 18 3 21" xfId="33404"/>
    <cellStyle name="asd 18 3 22" xfId="35147"/>
    <cellStyle name="asd 18 3 23" xfId="37025"/>
    <cellStyle name="asd 18 3 24" xfId="39311"/>
    <cellStyle name="asd 18 3 25" xfId="40987"/>
    <cellStyle name="asd 18 3 26" xfId="43876"/>
    <cellStyle name="asd 18 3 3" xfId="3889"/>
    <cellStyle name="asd 18 3 3 10" xfId="19597"/>
    <cellStyle name="asd 18 3 3 11" xfId="21509"/>
    <cellStyle name="asd 18 3 3 12" xfId="22867"/>
    <cellStyle name="asd 18 3 3 13" xfId="25311"/>
    <cellStyle name="asd 18 3 3 14" xfId="27842"/>
    <cellStyle name="asd 18 3 3 15" xfId="28305"/>
    <cellStyle name="asd 18 3 3 16" xfId="31420"/>
    <cellStyle name="asd 18 3 3 17" xfId="32562"/>
    <cellStyle name="asd 18 3 3 18" xfId="34097"/>
    <cellStyle name="asd 18 3 3 19" xfId="36138"/>
    <cellStyle name="asd 18 3 3 2" xfId="5867"/>
    <cellStyle name="asd 18 3 3 2 10" xfId="22117"/>
    <cellStyle name="asd 18 3 3 2 11" xfId="23087"/>
    <cellStyle name="asd 18 3 3 2 12" xfId="25919"/>
    <cellStyle name="asd 18 3 3 2 13" xfId="27352"/>
    <cellStyle name="asd 18 3 3 2 14" xfId="28422"/>
    <cellStyle name="asd 18 3 3 2 15" xfId="30941"/>
    <cellStyle name="asd 18 3 3 2 16" xfId="31929"/>
    <cellStyle name="asd 18 3 3 2 17" xfId="34831"/>
    <cellStyle name="asd 18 3 3 2 18" xfId="36746"/>
    <cellStyle name="asd 18 3 3 2 19" xfId="38625"/>
    <cellStyle name="asd 18 3 3 2 2" xfId="7316"/>
    <cellStyle name="asd 18 3 3 2 20" xfId="39159"/>
    <cellStyle name="asd 18 3 3 2 21" xfId="40840"/>
    <cellStyle name="asd 18 3 3 2 22" xfId="42869"/>
    <cellStyle name="asd 18 3 3 2 3" xfId="8770"/>
    <cellStyle name="asd 18 3 3 2 4" xfId="10680"/>
    <cellStyle name="asd 18 3 3 2 5" xfId="12698"/>
    <cellStyle name="asd 18 3 3 2 6" xfId="13558"/>
    <cellStyle name="asd 18 3 3 2 7" xfId="15461"/>
    <cellStyle name="asd 18 3 3 2 8" xfId="18299"/>
    <cellStyle name="asd 18 3 3 2 9" xfId="20205"/>
    <cellStyle name="asd 18 3 3 20" xfId="38017"/>
    <cellStyle name="asd 18 3 3 21" xfId="39774"/>
    <cellStyle name="asd 18 3 3 22" xfId="41444"/>
    <cellStyle name="asd 18 3 3 23" xfId="42654"/>
    <cellStyle name="asd 18 3 3 3" xfId="5261"/>
    <cellStyle name="asd 18 3 3 4" xfId="8162"/>
    <cellStyle name="asd 18 3 3 5" xfId="10072"/>
    <cellStyle name="asd 18 3 3 6" xfId="11245"/>
    <cellStyle name="asd 18 3 3 7" xfId="13335"/>
    <cellStyle name="asd 18 3 3 8" xfId="15240"/>
    <cellStyle name="asd 18 3 3 9" xfId="17691"/>
    <cellStyle name="asd 18 3 4" xfId="4013"/>
    <cellStyle name="asd 18 3 4 10" xfId="19648"/>
    <cellStyle name="asd 18 3 4 11" xfId="21560"/>
    <cellStyle name="asd 18 3 4 12" xfId="23360"/>
    <cellStyle name="asd 18 3 4 13" xfId="25362"/>
    <cellStyle name="asd 18 3 4 14" xfId="27729"/>
    <cellStyle name="asd 18 3 4 15" xfId="29722"/>
    <cellStyle name="asd 18 3 4 16" xfId="31307"/>
    <cellStyle name="asd 18 3 4 17" xfId="32675"/>
    <cellStyle name="asd 18 3 4 18" xfId="34653"/>
    <cellStyle name="asd 18 3 4 19" xfId="36189"/>
    <cellStyle name="asd 18 3 4 2" xfId="5918"/>
    <cellStyle name="asd 18 3 4 2 10" xfId="22168"/>
    <cellStyle name="asd 18 3 4 2 11" xfId="23982"/>
    <cellStyle name="asd 18 3 4 2 12" xfId="25970"/>
    <cellStyle name="asd 18 3 4 2 13" xfId="27350"/>
    <cellStyle name="asd 18 3 4 2 14" xfId="3201"/>
    <cellStyle name="asd 18 3 4 2 15" xfId="30938"/>
    <cellStyle name="asd 18 3 4 2 16" xfId="29274"/>
    <cellStyle name="asd 18 3 4 2 17" xfId="2561"/>
    <cellStyle name="asd 18 3 4 2 18" xfId="36797"/>
    <cellStyle name="asd 18 3 4 2 19" xfId="38676"/>
    <cellStyle name="asd 18 3 4 2 2" xfId="7367"/>
    <cellStyle name="asd 18 3 4 2 20" xfId="8982"/>
    <cellStyle name="asd 18 3 4 2 21" xfId="28783"/>
    <cellStyle name="asd 18 3 4 2 22" xfId="43726"/>
    <cellStyle name="asd 18 3 4 2 3" xfId="8821"/>
    <cellStyle name="asd 18 3 4 2 4" xfId="10731"/>
    <cellStyle name="asd 18 3 4 2 5" xfId="11941"/>
    <cellStyle name="asd 18 3 4 2 6" xfId="14452"/>
    <cellStyle name="asd 18 3 4 2 7" xfId="16358"/>
    <cellStyle name="asd 18 3 4 2 8" xfId="18350"/>
    <cellStyle name="asd 18 3 4 2 9" xfId="20256"/>
    <cellStyle name="asd 18 3 4 20" xfId="38068"/>
    <cellStyle name="asd 18 3 4 21" xfId="39882"/>
    <cellStyle name="asd 18 3 4 22" xfId="41551"/>
    <cellStyle name="asd 18 3 4 23" xfId="43130"/>
    <cellStyle name="asd 18 3 4 3" xfId="6759"/>
    <cellStyle name="asd 18 3 4 4" xfId="8213"/>
    <cellStyle name="asd 18 3 4 5" xfId="10123"/>
    <cellStyle name="asd 18 3 4 6" xfId="10967"/>
    <cellStyle name="asd 18 3 4 7" xfId="13832"/>
    <cellStyle name="asd 18 3 4 8" xfId="15734"/>
    <cellStyle name="asd 18 3 4 9" xfId="17742"/>
    <cellStyle name="asd 18 3 5" xfId="4883"/>
    <cellStyle name="asd 18 3 5 10" xfId="21131"/>
    <cellStyle name="asd 18 3 5 11" xfId="22792"/>
    <cellStyle name="asd 18 3 5 12" xfId="24933"/>
    <cellStyle name="asd 18 3 5 13" xfId="26853"/>
    <cellStyle name="asd 18 3 5 14" xfId="29049"/>
    <cellStyle name="asd 18 3 5 15" xfId="30450"/>
    <cellStyle name="asd 18 3 5 16" xfId="32392"/>
    <cellStyle name="asd 18 3 5 17" xfId="34948"/>
    <cellStyle name="asd 18 3 5 18" xfId="35760"/>
    <cellStyle name="asd 18 3 5 19" xfId="37639"/>
    <cellStyle name="asd 18 3 5 2" xfId="6333"/>
    <cellStyle name="asd 18 3 5 20" xfId="39609"/>
    <cellStyle name="asd 18 3 5 21" xfId="41283"/>
    <cellStyle name="asd 18 3 5 22" xfId="42585"/>
    <cellStyle name="asd 18 3 5 3" xfId="7784"/>
    <cellStyle name="asd 18 3 5 4" xfId="9694"/>
    <cellStyle name="asd 18 3 5 5" xfId="12164"/>
    <cellStyle name="asd 18 3 5 6" xfId="13261"/>
    <cellStyle name="asd 18 3 5 7" xfId="15165"/>
    <cellStyle name="asd 18 3 5 8" xfId="17313"/>
    <cellStyle name="asd 18 3 5 9" xfId="19219"/>
    <cellStyle name="asd 18 3 6" xfId="5611"/>
    <cellStyle name="asd 18 3 6 10" xfId="21861"/>
    <cellStyle name="asd 18 3 6 11" xfId="13081"/>
    <cellStyle name="asd 18 3 6 12" xfId="25663"/>
    <cellStyle name="asd 18 3 6 13" xfId="3275"/>
    <cellStyle name="asd 18 3 6 14" xfId="11662"/>
    <cellStyle name="asd 18 3 6 15" xfId="3233"/>
    <cellStyle name="asd 18 3 6 16" xfId="29280"/>
    <cellStyle name="asd 18 3 6 17" xfId="14016"/>
    <cellStyle name="asd 18 3 6 18" xfId="36490"/>
    <cellStyle name="asd 18 3 6 19" xfId="38369"/>
    <cellStyle name="asd 18 3 6 2" xfId="7060"/>
    <cellStyle name="asd 18 3 6 20" xfId="27372"/>
    <cellStyle name="asd 18 3 6 21" xfId="34517"/>
    <cellStyle name="asd 18 3 6 22" xfId="10895"/>
    <cellStyle name="asd 18 3 6 3" xfId="8514"/>
    <cellStyle name="asd 18 3 6 4" xfId="10424"/>
    <cellStyle name="asd 18 3 6 5" xfId="12439"/>
    <cellStyle name="asd 18 3 6 6" xfId="1825"/>
    <cellStyle name="asd 18 3 6 7" xfId="2947"/>
    <cellStyle name="asd 18 3 6 8" xfId="18043"/>
    <cellStyle name="asd 18 3 6 9" xfId="19949"/>
    <cellStyle name="asd 18 3 7" xfId="4311"/>
    <cellStyle name="asd 18 3 8" xfId="9079"/>
    <cellStyle name="asd 18 3 9" xfId="12093"/>
    <cellStyle name="asd 18 4" xfId="3432"/>
    <cellStyle name="asd 18 4 10" xfId="15216"/>
    <cellStyle name="asd 18 4 11" xfId="16809"/>
    <cellStyle name="asd 18 4 12" xfId="18716"/>
    <cellStyle name="asd 18 4 13" xfId="20628"/>
    <cellStyle name="asd 18 4 14" xfId="22843"/>
    <cellStyle name="asd 18 4 15" xfId="24430"/>
    <cellStyle name="asd 18 4 16" xfId="26778"/>
    <cellStyle name="asd 18 4 17" xfId="29553"/>
    <cellStyle name="asd 18 4 18" xfId="30377"/>
    <cellStyle name="asd 18 4 19" xfId="31653"/>
    <cellStyle name="asd 18 4 2" xfId="3612"/>
    <cellStyle name="asd 18 4 2 10" xfId="17503"/>
    <cellStyle name="asd 18 4 2 11" xfId="19409"/>
    <cellStyle name="asd 18 4 2 12" xfId="21321"/>
    <cellStyle name="asd 18 4 2 13" xfId="23805"/>
    <cellStyle name="asd 18 4 2 14" xfId="25123"/>
    <cellStyle name="asd 18 4 2 15" xfId="27627"/>
    <cellStyle name="asd 18 4 2 16" xfId="29364"/>
    <cellStyle name="asd 18 4 2 17" xfId="31205"/>
    <cellStyle name="asd 18 4 2 18" xfId="32753"/>
    <cellStyle name="asd 18 4 2 19" xfId="34979"/>
    <cellStyle name="asd 18 4 2 2" xfId="5591"/>
    <cellStyle name="asd 18 4 2 2 10" xfId="21841"/>
    <cellStyle name="asd 18 4 2 2 11" xfId="23311"/>
    <cellStyle name="asd 18 4 2 2 12" xfId="25643"/>
    <cellStyle name="asd 18 4 2 2 13" xfId="26208"/>
    <cellStyle name="asd 18 4 2 2 14" xfId="28469"/>
    <cellStyle name="asd 18 4 2 2 15" xfId="29820"/>
    <cellStyle name="asd 18 4 2 2 16" xfId="32560"/>
    <cellStyle name="asd 18 4 2 2 17" xfId="33817"/>
    <cellStyle name="asd 18 4 2 2 18" xfId="36470"/>
    <cellStyle name="asd 18 4 2 2 19" xfId="38349"/>
    <cellStyle name="asd 18 4 2 2 2" xfId="7040"/>
    <cellStyle name="asd 18 4 2 2 20" xfId="39773"/>
    <cellStyle name="asd 18 4 2 2 21" xfId="41443"/>
    <cellStyle name="asd 18 4 2 2 22" xfId="43083"/>
    <cellStyle name="asd 18 4 2 2 3" xfId="8494"/>
    <cellStyle name="asd 18 4 2 2 4" xfId="10404"/>
    <cellStyle name="asd 18 4 2 2 5" xfId="11324"/>
    <cellStyle name="asd 18 4 2 2 6" xfId="13783"/>
    <cellStyle name="asd 18 4 2 2 7" xfId="15685"/>
    <cellStyle name="asd 18 4 2 2 8" xfId="18023"/>
    <cellStyle name="asd 18 4 2 2 9" xfId="19929"/>
    <cellStyle name="asd 18 4 2 20" xfId="35950"/>
    <cellStyle name="asd 18 4 2 21" xfId="37829"/>
    <cellStyle name="asd 18 4 2 22" xfId="39962"/>
    <cellStyle name="asd 18 4 2 23" xfId="41626"/>
    <cellStyle name="asd 18 4 2 24" xfId="43557"/>
    <cellStyle name="asd 18 4 2 3" xfId="5073"/>
    <cellStyle name="asd 18 4 2 4" xfId="6523"/>
    <cellStyle name="asd 18 4 2 5" xfId="7974"/>
    <cellStyle name="asd 18 4 2 6" xfId="9884"/>
    <cellStyle name="asd 18 4 2 7" xfId="11710"/>
    <cellStyle name="asd 18 4 2 8" xfId="14275"/>
    <cellStyle name="asd 18 4 2 9" xfId="16179"/>
    <cellStyle name="asd 18 4 20" xfId="33439"/>
    <cellStyle name="asd 18 4 21" xfId="35258"/>
    <cellStyle name="asd 18 4 22" xfId="37136"/>
    <cellStyle name="asd 18 4 23" xfId="38898"/>
    <cellStyle name="asd 18 4 24" xfId="40583"/>
    <cellStyle name="asd 18 4 25" xfId="42634"/>
    <cellStyle name="asd 18 4 3" xfId="3767"/>
    <cellStyle name="asd 18 4 3 10" xfId="19510"/>
    <cellStyle name="asd 18 4 3 11" xfId="21422"/>
    <cellStyle name="asd 18 4 3 12" xfId="22396"/>
    <cellStyle name="asd 18 4 3 13" xfId="25224"/>
    <cellStyle name="asd 18 4 3 14" xfId="26602"/>
    <cellStyle name="asd 18 4 3 15" xfId="28348"/>
    <cellStyle name="asd 18 4 3 16" xfId="30204"/>
    <cellStyle name="asd 18 4 3 17" xfId="31627"/>
    <cellStyle name="asd 18 4 3 18" xfId="33656"/>
    <cellStyle name="asd 18 4 3 19" xfId="36051"/>
    <cellStyle name="asd 18 4 3 2" xfId="5780"/>
    <cellStyle name="asd 18 4 3 2 10" xfId="22030"/>
    <cellStyle name="asd 18 4 3 2 11" xfId="22783"/>
    <cellStyle name="asd 18 4 3 2 12" xfId="25832"/>
    <cellStyle name="asd 18 4 3 2 13" xfId="26417"/>
    <cellStyle name="asd 18 4 3 2 14" xfId="28387"/>
    <cellStyle name="asd 18 4 3 2 15" xfId="30024"/>
    <cellStyle name="asd 18 4 3 2 16" xfId="31947"/>
    <cellStyle name="asd 18 4 3 2 17" xfId="34001"/>
    <cellStyle name="asd 18 4 3 2 18" xfId="36659"/>
    <cellStyle name="asd 18 4 3 2 19" xfId="38538"/>
    <cellStyle name="asd 18 4 3 2 2" xfId="7229"/>
    <cellStyle name="asd 18 4 3 2 20" xfId="39177"/>
    <cellStyle name="asd 18 4 3 2 21" xfId="40858"/>
    <cellStyle name="asd 18 4 3 2 22" xfId="42576"/>
    <cellStyle name="asd 18 4 3 2 3" xfId="8683"/>
    <cellStyle name="asd 18 4 3 2 4" xfId="10593"/>
    <cellStyle name="asd 18 4 3 2 5" xfId="10993"/>
    <cellStyle name="asd 18 4 3 2 6" xfId="13252"/>
    <cellStyle name="asd 18 4 3 2 7" xfId="15156"/>
    <cellStyle name="asd 18 4 3 2 8" xfId="18212"/>
    <cellStyle name="asd 18 4 3 2 9" xfId="20118"/>
    <cellStyle name="asd 18 4 3 20" xfId="37930"/>
    <cellStyle name="asd 18 4 3 21" xfId="38874"/>
    <cellStyle name="asd 18 4 3 22" xfId="40559"/>
    <cellStyle name="asd 18 4 3 23" xfId="42207"/>
    <cellStyle name="asd 18 4 3 3" xfId="5174"/>
    <cellStyle name="asd 18 4 3 4" xfId="8075"/>
    <cellStyle name="asd 18 4 3 5" xfId="9985"/>
    <cellStyle name="asd 18 4 3 6" xfId="12234"/>
    <cellStyle name="asd 18 4 3 7" xfId="12863"/>
    <cellStyle name="asd 18 4 3 8" xfId="14768"/>
    <cellStyle name="asd 18 4 3 9" xfId="17604"/>
    <cellStyle name="asd 18 4 4" xfId="4064"/>
    <cellStyle name="asd 18 4 4 10" xfId="19699"/>
    <cellStyle name="asd 18 4 4 11" xfId="21611"/>
    <cellStyle name="asd 18 4 4 12" xfId="22450"/>
    <cellStyle name="asd 18 4 4 13" xfId="25413"/>
    <cellStyle name="asd 18 4 4 14" xfId="27426"/>
    <cellStyle name="asd 18 4 4 15" xfId="29120"/>
    <cellStyle name="asd 18 4 4 16" xfId="31012"/>
    <cellStyle name="asd 18 4 4 17" xfId="32815"/>
    <cellStyle name="asd 18 4 4 18" xfId="33757"/>
    <cellStyle name="asd 18 4 4 19" xfId="36240"/>
    <cellStyle name="asd 18 4 4 2" xfId="5969"/>
    <cellStyle name="asd 18 4 4 2 10" xfId="22219"/>
    <cellStyle name="asd 18 4 4 2 11" xfId="24017"/>
    <cellStyle name="asd 18 4 4 2 12" xfId="26021"/>
    <cellStyle name="asd 18 4 4 2 13" xfId="27150"/>
    <cellStyle name="asd 18 4 4 2 14" xfId="28028"/>
    <cellStyle name="asd 18 4 4 2 15" xfId="30741"/>
    <cellStyle name="asd 18 4 4 2 16" xfId="33206"/>
    <cellStyle name="asd 18 4 4 2 17" xfId="34713"/>
    <cellStyle name="asd 18 4 4 2 18" xfId="36848"/>
    <cellStyle name="asd 18 4 4 2 19" xfId="38727"/>
    <cellStyle name="asd 18 4 4 2 2" xfId="7418"/>
    <cellStyle name="asd 18 4 4 2 20" xfId="40395"/>
    <cellStyle name="asd 18 4 4 2 21" xfId="42051"/>
    <cellStyle name="asd 18 4 4 2 22" xfId="43761"/>
    <cellStyle name="asd 18 4 4 2 3" xfId="8872"/>
    <cellStyle name="asd 18 4 4 2 4" xfId="10782"/>
    <cellStyle name="asd 18 4 4 2 5" xfId="11976"/>
    <cellStyle name="asd 18 4 4 2 6" xfId="14487"/>
    <cellStyle name="asd 18 4 4 2 7" xfId="16393"/>
    <cellStyle name="asd 18 4 4 2 8" xfId="18401"/>
    <cellStyle name="asd 18 4 4 2 9" xfId="20307"/>
    <cellStyle name="asd 18 4 4 20" xfId="38119"/>
    <cellStyle name="asd 18 4 4 21" xfId="40024"/>
    <cellStyle name="asd 18 4 4 22" xfId="41688"/>
    <cellStyle name="asd 18 4 4 23" xfId="42261"/>
    <cellStyle name="asd 18 4 4 3" xfId="6810"/>
    <cellStyle name="asd 18 4 4 4" xfId="8264"/>
    <cellStyle name="asd 18 4 4 5" xfId="10174"/>
    <cellStyle name="asd 18 4 4 6" xfId="12377"/>
    <cellStyle name="asd 18 4 4 7" xfId="12918"/>
    <cellStyle name="asd 18 4 4 8" xfId="14823"/>
    <cellStyle name="asd 18 4 4 9" xfId="17793"/>
    <cellStyle name="asd 18 4 5" xfId="5568"/>
    <cellStyle name="asd 18 4 5 10" xfId="21818"/>
    <cellStyle name="asd 18 4 5 11" xfId="22452"/>
    <cellStyle name="asd 18 4 5 12" xfId="25620"/>
    <cellStyle name="asd 18 4 5 13" xfId="26523"/>
    <cellStyle name="asd 18 4 5 14" xfId="29630"/>
    <cellStyle name="asd 18 4 5 15" xfId="30129"/>
    <cellStyle name="asd 18 4 5 16" xfId="32657"/>
    <cellStyle name="asd 18 4 5 17" xfId="34202"/>
    <cellStyle name="asd 18 4 5 18" xfId="36447"/>
    <cellStyle name="asd 18 4 5 19" xfId="38326"/>
    <cellStyle name="asd 18 4 5 2" xfId="7017"/>
    <cellStyle name="asd 18 4 5 20" xfId="39864"/>
    <cellStyle name="asd 18 4 5 21" xfId="41533"/>
    <cellStyle name="asd 18 4 5 22" xfId="42263"/>
    <cellStyle name="asd 18 4 5 3" xfId="8471"/>
    <cellStyle name="asd 18 4 5 4" xfId="10381"/>
    <cellStyle name="asd 18 4 5 5" xfId="11325"/>
    <cellStyle name="asd 18 4 5 6" xfId="12920"/>
    <cellStyle name="asd 18 4 5 7" xfId="14825"/>
    <cellStyle name="asd 18 4 5 8" xfId="18000"/>
    <cellStyle name="asd 18 4 5 9" xfId="19906"/>
    <cellStyle name="asd 18 4 6" xfId="4483"/>
    <cellStyle name="asd 18 4 7" xfId="9190"/>
    <cellStyle name="asd 18 4 8" xfId="11238"/>
    <cellStyle name="asd 18 4 9" xfId="13312"/>
    <cellStyle name="asd 18 5" xfId="2085"/>
    <cellStyle name="asd 18 5 10" xfId="17107"/>
    <cellStyle name="asd 18 5 11" xfId="19013"/>
    <cellStyle name="asd 18 5 12" xfId="20925"/>
    <cellStyle name="asd 18 5 13" xfId="23896"/>
    <cellStyle name="asd 18 5 14" xfId="24727"/>
    <cellStyle name="asd 18 5 15" xfId="26552"/>
    <cellStyle name="asd 18 5 16" xfId="1982"/>
    <cellStyle name="asd 18 5 17" xfId="30157"/>
    <cellStyle name="asd 18 5 18" xfId="31649"/>
    <cellStyle name="asd 18 5 19" xfId="34524"/>
    <cellStyle name="asd 18 5 2" xfId="4608"/>
    <cellStyle name="asd 18 5 2 10" xfId="20853"/>
    <cellStyle name="asd 18 5 2 11" xfId="22418"/>
    <cellStyle name="asd 18 5 2 12" xfId="24655"/>
    <cellStyle name="asd 18 5 2 13" xfId="27395"/>
    <cellStyle name="asd 18 5 2 14" xfId="29013"/>
    <cellStyle name="asd 18 5 2 15" xfId="30981"/>
    <cellStyle name="asd 18 5 2 16" xfId="31619"/>
    <cellStyle name="asd 18 5 2 17" xfId="2480"/>
    <cellStyle name="asd 18 5 2 18" xfId="35483"/>
    <cellStyle name="asd 18 5 2 19" xfId="37361"/>
    <cellStyle name="asd 18 5 2 2" xfId="2971"/>
    <cellStyle name="asd 18 5 2 20" xfId="38866"/>
    <cellStyle name="asd 18 5 2 21" xfId="40552"/>
    <cellStyle name="asd 18 5 2 22" xfId="42229"/>
    <cellStyle name="asd 18 5 2 3" xfId="2765"/>
    <cellStyle name="asd 18 5 2 4" xfId="9415"/>
    <cellStyle name="asd 18 5 2 5" xfId="11080"/>
    <cellStyle name="asd 18 5 2 6" xfId="12885"/>
    <cellStyle name="asd 18 5 2 7" xfId="14790"/>
    <cellStyle name="asd 18 5 2 8" xfId="17034"/>
    <cellStyle name="asd 18 5 2 9" xfId="18941"/>
    <cellStyle name="asd 18 5 20" xfId="35554"/>
    <cellStyle name="asd 18 5 21" xfId="37433"/>
    <cellStyle name="asd 18 5 22" xfId="38894"/>
    <cellStyle name="asd 18 5 23" xfId="40579"/>
    <cellStyle name="asd 18 5 24" xfId="43645"/>
    <cellStyle name="asd 18 5 3" xfId="4680"/>
    <cellStyle name="asd 18 5 4" xfId="6127"/>
    <cellStyle name="asd 18 5 5" xfId="7578"/>
    <cellStyle name="asd 18 5 6" xfId="9488"/>
    <cellStyle name="asd 18 5 7" xfId="11855"/>
    <cellStyle name="asd 18 5 8" xfId="14365"/>
    <cellStyle name="asd 18 5 9" xfId="16271"/>
    <cellStyle name="asd 18 6" xfId="2915"/>
    <cellStyle name="asd 18 6 10" xfId="19125"/>
    <cellStyle name="asd 18 6 11" xfId="21037"/>
    <cellStyle name="asd 18 6 12" xfId="23785"/>
    <cellStyle name="asd 18 6 13" xfId="24839"/>
    <cellStyle name="asd 18 6 14" xfId="26854"/>
    <cellStyle name="asd 18 6 15" xfId="29204"/>
    <cellStyle name="asd 18 6 16" xfId="30451"/>
    <cellStyle name="asd 18 6 17" xfId="31708"/>
    <cellStyle name="asd 18 6 18" xfId="33715"/>
    <cellStyle name="asd 18 6 19" xfId="35666"/>
    <cellStyle name="asd 18 6 2" xfId="5496"/>
    <cellStyle name="asd 18 6 2 10" xfId="21746"/>
    <cellStyle name="asd 18 6 2 11" xfId="24062"/>
    <cellStyle name="asd 18 6 2 12" xfId="25548"/>
    <cellStyle name="asd 18 6 2 13" xfId="27837"/>
    <cellStyle name="asd 18 6 2 14" xfId="28856"/>
    <cellStyle name="asd 18 6 2 15" xfId="31415"/>
    <cellStyle name="asd 18 6 2 16" xfId="32052"/>
    <cellStyle name="asd 18 6 2 17" xfId="34176"/>
    <cellStyle name="asd 18 6 2 18" xfId="36375"/>
    <cellStyle name="asd 18 6 2 19" xfId="38254"/>
    <cellStyle name="asd 18 6 2 2" xfId="6945"/>
    <cellStyle name="asd 18 6 2 20" xfId="39279"/>
    <cellStyle name="asd 18 6 2 21" xfId="40955"/>
    <cellStyle name="asd 18 6 2 22" xfId="43806"/>
    <cellStyle name="asd 18 6 2 3" xfId="8399"/>
    <cellStyle name="asd 18 6 2 4" xfId="10309"/>
    <cellStyle name="asd 18 6 2 5" xfId="12021"/>
    <cellStyle name="asd 18 6 2 6" xfId="14532"/>
    <cellStyle name="asd 18 6 2 7" xfId="16438"/>
    <cellStyle name="asd 18 6 2 8" xfId="17928"/>
    <cellStyle name="asd 18 6 2 9" xfId="19834"/>
    <cellStyle name="asd 18 6 20" xfId="37545"/>
    <cellStyle name="asd 18 6 21" xfId="38949"/>
    <cellStyle name="asd 18 6 22" xfId="40632"/>
    <cellStyle name="asd 18 6 23" xfId="43538"/>
    <cellStyle name="asd 18 6 3" xfId="4790"/>
    <cellStyle name="asd 18 6 4" xfId="7690"/>
    <cellStyle name="asd 18 6 5" xfId="9600"/>
    <cellStyle name="asd 18 6 6" xfId="11457"/>
    <cellStyle name="asd 18 6 7" xfId="14255"/>
    <cellStyle name="asd 18 6 8" xfId="16159"/>
    <cellStyle name="asd 18 6 9" xfId="17219"/>
    <cellStyle name="asd 18 7" xfId="2012"/>
    <cellStyle name="asd 18 7 10" xfId="18999"/>
    <cellStyle name="asd 18 7 11" xfId="20911"/>
    <cellStyle name="asd 18 7 12" xfId="22475"/>
    <cellStyle name="asd 18 7 13" xfId="24713"/>
    <cellStyle name="asd 18 7 14" xfId="27944"/>
    <cellStyle name="asd 18 7 15" xfId="29202"/>
    <cellStyle name="asd 18 7 16" xfId="31524"/>
    <cellStyle name="asd 18 7 17" xfId="33122"/>
    <cellStyle name="asd 18 7 18" xfId="34609"/>
    <cellStyle name="asd 18 7 19" xfId="35540"/>
    <cellStyle name="asd 18 7 2" xfId="5475"/>
    <cellStyle name="asd 18 7 2 10" xfId="21725"/>
    <cellStyle name="asd 18 7 2 11" xfId="23429"/>
    <cellStyle name="asd 18 7 2 12" xfId="25527"/>
    <cellStyle name="asd 18 7 2 13" xfId="26993"/>
    <cellStyle name="asd 18 7 2 14" xfId="28084"/>
    <cellStyle name="asd 18 7 2 15" xfId="30587"/>
    <cellStyle name="asd 18 7 2 16" xfId="32379"/>
    <cellStyle name="asd 18 7 2 17" xfId="34801"/>
    <cellStyle name="asd 18 7 2 18" xfId="36354"/>
    <cellStyle name="asd 18 7 2 19" xfId="38233"/>
    <cellStyle name="asd 18 7 2 2" xfId="6924"/>
    <cellStyle name="asd 18 7 2 20" xfId="39597"/>
    <cellStyle name="asd 18 7 2 21" xfId="41271"/>
    <cellStyle name="asd 18 7 2 22" xfId="43196"/>
    <cellStyle name="asd 18 7 2 3" xfId="8378"/>
    <cellStyle name="asd 18 7 2 4" xfId="10288"/>
    <cellStyle name="asd 18 7 2 5" xfId="12230"/>
    <cellStyle name="asd 18 7 2 6" xfId="13901"/>
    <cellStyle name="asd 18 7 2 7" xfId="15802"/>
    <cellStyle name="asd 18 7 2 8" xfId="17907"/>
    <cellStyle name="asd 18 7 2 9" xfId="19813"/>
    <cellStyle name="asd 18 7 20" xfId="37419"/>
    <cellStyle name="asd 18 7 21" xfId="40316"/>
    <cellStyle name="asd 18 7 22" xfId="41972"/>
    <cellStyle name="asd 18 7 23" xfId="42285"/>
    <cellStyle name="asd 18 7 3" xfId="6113"/>
    <cellStyle name="asd 18 7 4" xfId="7564"/>
    <cellStyle name="asd 18 7 5" xfId="9474"/>
    <cellStyle name="asd 18 7 6" xfId="11328"/>
    <cellStyle name="asd 18 7 7" xfId="12943"/>
    <cellStyle name="asd 18 7 8" xfId="14847"/>
    <cellStyle name="asd 18 7 9" xfId="17093"/>
    <cellStyle name="asd 18 8" xfId="4526"/>
    <cellStyle name="asd 18 9" xfId="2296"/>
    <cellStyle name="asd 19" xfId="815"/>
    <cellStyle name="asd 19 10" xfId="2116"/>
    <cellStyle name="asd 19 11" xfId="2375"/>
    <cellStyle name="asd 19 12" xfId="2732"/>
    <cellStyle name="asd 19 13" xfId="13351"/>
    <cellStyle name="asd 19 14" xfId="2013"/>
    <cellStyle name="asd 19 15" xfId="3307"/>
    <cellStyle name="asd 19 16" xfId="12224"/>
    <cellStyle name="asd 19 17" xfId="20446"/>
    <cellStyle name="asd 19 18" xfId="22764"/>
    <cellStyle name="asd 19 19" xfId="27086"/>
    <cellStyle name="asd 19 2" xfId="3516"/>
    <cellStyle name="asd 19 2 10" xfId="2586"/>
    <cellStyle name="asd 19 2 11" xfId="2001"/>
    <cellStyle name="asd 19 2 12" xfId="17020"/>
    <cellStyle name="asd 19 2 13" xfId="18927"/>
    <cellStyle name="asd 19 2 14" xfId="20839"/>
    <cellStyle name="asd 19 2 15" xfId="2034"/>
    <cellStyle name="asd 19 2 16" xfId="24641"/>
    <cellStyle name="asd 19 2 17" xfId="2151"/>
    <cellStyle name="asd 19 2 18" xfId="27988"/>
    <cellStyle name="asd 19 2 19" xfId="26145"/>
    <cellStyle name="asd 19 2 2" xfId="3696"/>
    <cellStyle name="asd 19 2 2 10" xfId="17587"/>
    <cellStyle name="asd 19 2 2 11" xfId="19493"/>
    <cellStyle name="asd 19 2 2 12" xfId="21405"/>
    <cellStyle name="asd 19 2 2 13" xfId="22877"/>
    <cellStyle name="asd 19 2 2 14" xfId="25207"/>
    <cellStyle name="asd 19 2 2 15" xfId="26462"/>
    <cellStyle name="asd 19 2 2 16" xfId="29616"/>
    <cellStyle name="asd 19 2 2 17" xfId="30068"/>
    <cellStyle name="asd 19 2 2 18" xfId="32563"/>
    <cellStyle name="asd 19 2 2 19" xfId="33377"/>
    <cellStyle name="asd 19 2 2 2" xfId="5763"/>
    <cellStyle name="asd 19 2 2 2 10" xfId="22013"/>
    <cellStyle name="asd 19 2 2 2 11" xfId="23409"/>
    <cellStyle name="asd 19 2 2 2 12" xfId="25815"/>
    <cellStyle name="asd 19 2 2 2 13" xfId="26660"/>
    <cellStyle name="asd 19 2 2 2 14" xfId="29648"/>
    <cellStyle name="asd 19 2 2 2 15" xfId="30260"/>
    <cellStyle name="asd 19 2 2 2 16" xfId="33202"/>
    <cellStyle name="asd 19 2 2 2 17" xfId="34310"/>
    <cellStyle name="asd 19 2 2 2 18" xfId="36642"/>
    <cellStyle name="asd 19 2 2 2 19" xfId="38521"/>
    <cellStyle name="asd 19 2 2 2 2" xfId="7212"/>
    <cellStyle name="asd 19 2 2 2 20" xfId="40392"/>
    <cellStyle name="asd 19 2 2 2 21" xfId="42048"/>
    <cellStyle name="asd 19 2 2 2 22" xfId="43176"/>
    <cellStyle name="asd 19 2 2 2 3" xfId="8666"/>
    <cellStyle name="asd 19 2 2 2 4" xfId="10576"/>
    <cellStyle name="asd 19 2 2 2 5" xfId="11260"/>
    <cellStyle name="asd 19 2 2 2 6" xfId="13881"/>
    <cellStyle name="asd 19 2 2 2 7" xfId="15782"/>
    <cellStyle name="asd 19 2 2 2 8" xfId="18195"/>
    <cellStyle name="asd 19 2 2 2 9" xfId="20101"/>
    <cellStyle name="asd 19 2 2 20" xfId="36034"/>
    <cellStyle name="asd 19 2 2 21" xfId="37913"/>
    <cellStyle name="asd 19 2 2 22" xfId="39775"/>
    <cellStyle name="asd 19 2 2 23" xfId="41445"/>
    <cellStyle name="asd 19 2 2 24" xfId="42664"/>
    <cellStyle name="asd 19 2 2 3" xfId="5157"/>
    <cellStyle name="asd 19 2 2 4" xfId="6607"/>
    <cellStyle name="asd 19 2 2 5" xfId="8058"/>
    <cellStyle name="asd 19 2 2 6" xfId="9968"/>
    <cellStyle name="asd 19 2 2 7" xfId="12324"/>
    <cellStyle name="asd 19 2 2 8" xfId="13345"/>
    <cellStyle name="asd 19 2 2 9" xfId="15250"/>
    <cellStyle name="asd 19 2 20" xfId="29227"/>
    <cellStyle name="asd 19 2 21" xfId="2462"/>
    <cellStyle name="asd 19 2 22" xfId="35469"/>
    <cellStyle name="asd 19 2 23" xfId="37347"/>
    <cellStyle name="asd 19 2 24" xfId="35074"/>
    <cellStyle name="asd 19 2 25" xfId="36949"/>
    <cellStyle name="asd 19 2 26" xfId="3789"/>
    <cellStyle name="asd 19 2 3" xfId="2941"/>
    <cellStyle name="asd 19 2 3 10" xfId="19130"/>
    <cellStyle name="asd 19 2 3 11" xfId="21042"/>
    <cellStyle name="asd 19 2 3 12" xfId="22982"/>
    <cellStyle name="asd 19 2 3 13" xfId="24844"/>
    <cellStyle name="asd 19 2 3 14" xfId="27808"/>
    <cellStyle name="asd 19 2 3 15" xfId="28743"/>
    <cellStyle name="asd 19 2 3 16" xfId="31386"/>
    <cellStyle name="asd 19 2 3 17" xfId="33139"/>
    <cellStyle name="asd 19 2 3 18" xfId="33937"/>
    <cellStyle name="asd 19 2 3 19" xfId="35671"/>
    <cellStyle name="asd 19 2 3 2" xfId="4511"/>
    <cellStyle name="asd 19 2 3 2 10" xfId="20756"/>
    <cellStyle name="asd 19 2 3 2 11" xfId="23082"/>
    <cellStyle name="asd 19 2 3 2 12" xfId="24558"/>
    <cellStyle name="asd 19 2 3 2 13" xfId="26578"/>
    <cellStyle name="asd 19 2 3 2 14" xfId="10906"/>
    <cellStyle name="asd 19 2 3 2 15" xfId="30181"/>
    <cellStyle name="asd 19 2 3 2 16" xfId="33330"/>
    <cellStyle name="asd 19 2 3 2 17" xfId="32701"/>
    <cellStyle name="asd 19 2 3 2 18" xfId="35386"/>
    <cellStyle name="asd 19 2 3 2 19" xfId="37264"/>
    <cellStyle name="asd 19 2 3 2 2" xfId="4250"/>
    <cellStyle name="asd 19 2 3 2 20" xfId="40510"/>
    <cellStyle name="asd 19 2 3 2 21" xfId="42162"/>
    <cellStyle name="asd 19 2 3 2 22" xfId="42864"/>
    <cellStyle name="asd 19 2 3 2 3" xfId="5295"/>
    <cellStyle name="asd 19 2 3 2 4" xfId="9318"/>
    <cellStyle name="asd 19 2 3 2 5" xfId="12692"/>
    <cellStyle name="asd 19 2 3 2 6" xfId="13553"/>
    <cellStyle name="asd 19 2 3 2 7" xfId="15456"/>
    <cellStyle name="asd 19 2 3 2 8" xfId="16937"/>
    <cellStyle name="asd 19 2 3 2 9" xfId="18844"/>
    <cellStyle name="asd 19 2 3 20" xfId="37550"/>
    <cellStyle name="asd 19 2 3 21" xfId="40332"/>
    <cellStyle name="asd 19 2 3 22" xfId="41988"/>
    <cellStyle name="asd 19 2 3 23" xfId="42768"/>
    <cellStyle name="asd 19 2 3 3" xfId="4794"/>
    <cellStyle name="asd 19 2 3 4" xfId="7695"/>
    <cellStyle name="asd 19 2 3 5" xfId="9605"/>
    <cellStyle name="asd 19 2 3 6" xfId="12328"/>
    <cellStyle name="asd 19 2 3 7" xfId="13451"/>
    <cellStyle name="asd 19 2 3 8" xfId="15356"/>
    <cellStyle name="asd 19 2 3 9" xfId="17224"/>
    <cellStyle name="asd 19 2 4" xfId="4148"/>
    <cellStyle name="asd 19 2 4 10" xfId="19783"/>
    <cellStyle name="asd 19 2 4 11" xfId="21695"/>
    <cellStyle name="asd 19 2 4 12" xfId="22521"/>
    <cellStyle name="asd 19 2 4 13" xfId="25497"/>
    <cellStyle name="asd 19 2 4 14" xfId="26593"/>
    <cellStyle name="asd 19 2 4 15" xfId="26152"/>
    <cellStyle name="asd 19 2 4 16" xfId="30195"/>
    <cellStyle name="asd 19 2 4 17" xfId="31737"/>
    <cellStyle name="asd 19 2 4 18" xfId="33756"/>
    <cellStyle name="asd 19 2 4 19" xfId="36324"/>
    <cellStyle name="asd 19 2 4 2" xfId="6053"/>
    <cellStyle name="asd 19 2 4 2 10" xfId="22303"/>
    <cellStyle name="asd 19 2 4 2 11" xfId="15960"/>
    <cellStyle name="asd 19 2 4 2 12" xfId="26105"/>
    <cellStyle name="asd 19 2 4 2 13" xfId="26575"/>
    <cellStyle name="asd 19 2 4 2 14" xfId="28514"/>
    <cellStyle name="asd 19 2 4 2 15" xfId="30177"/>
    <cellStyle name="asd 19 2 4 2 16" xfId="32207"/>
    <cellStyle name="asd 19 2 4 2 17" xfId="34033"/>
    <cellStyle name="asd 19 2 4 2 18" xfId="36932"/>
    <cellStyle name="asd 19 2 4 2 19" xfId="38811"/>
    <cellStyle name="asd 19 2 4 2 2" xfId="7502"/>
    <cellStyle name="asd 19 2 4 2 20" xfId="39427"/>
    <cellStyle name="asd 19 2 4 2 21" xfId="41103"/>
    <cellStyle name="asd 19 2 4 2 22" xfId="40804"/>
    <cellStyle name="asd 19 2 4 2 3" xfId="8956"/>
    <cellStyle name="asd 19 2 4 2 4" xfId="10866"/>
    <cellStyle name="asd 19 2 4 2 5" xfId="9438"/>
    <cellStyle name="asd 19 2 4 2 6" xfId="11637"/>
    <cellStyle name="asd 19 2 4 2 7" xfId="13466"/>
    <cellStyle name="asd 19 2 4 2 8" xfId="18485"/>
    <cellStyle name="asd 19 2 4 2 9" xfId="20391"/>
    <cellStyle name="asd 19 2 4 20" xfId="38203"/>
    <cellStyle name="asd 19 2 4 21" xfId="38978"/>
    <cellStyle name="asd 19 2 4 22" xfId="40661"/>
    <cellStyle name="asd 19 2 4 23" xfId="42331"/>
    <cellStyle name="asd 19 2 4 3" xfId="6894"/>
    <cellStyle name="asd 19 2 4 4" xfId="8348"/>
    <cellStyle name="asd 19 2 4 5" xfId="10258"/>
    <cellStyle name="asd 19 2 4 6" xfId="6666"/>
    <cellStyle name="asd 19 2 4 7" xfId="12989"/>
    <cellStyle name="asd 19 2 4 8" xfId="14893"/>
    <cellStyle name="asd 19 2 4 9" xfId="17877"/>
    <cellStyle name="asd 19 2 5" xfId="4989"/>
    <cellStyle name="asd 19 2 5 10" xfId="21237"/>
    <cellStyle name="asd 19 2 5 11" xfId="22648"/>
    <cellStyle name="asd 19 2 5 12" xfId="25039"/>
    <cellStyle name="asd 19 2 5 13" xfId="27666"/>
    <cellStyle name="asd 19 2 5 14" xfId="28246"/>
    <cellStyle name="asd 19 2 5 15" xfId="31242"/>
    <cellStyle name="asd 19 2 5 16" xfId="32966"/>
    <cellStyle name="asd 19 2 5 17" xfId="33520"/>
    <cellStyle name="asd 19 2 5 18" xfId="35866"/>
    <cellStyle name="asd 19 2 5 19" xfId="37745"/>
    <cellStyle name="asd 19 2 5 2" xfId="6439"/>
    <cellStyle name="asd 19 2 5 20" xfId="40167"/>
    <cellStyle name="asd 19 2 5 21" xfId="41826"/>
    <cellStyle name="asd 19 2 5 22" xfId="42454"/>
    <cellStyle name="asd 19 2 5 3" xfId="7890"/>
    <cellStyle name="asd 19 2 5 4" xfId="9800"/>
    <cellStyle name="asd 19 2 5 5" xfId="11493"/>
    <cellStyle name="asd 19 2 5 6" xfId="13115"/>
    <cellStyle name="asd 19 2 5 7" xfId="15020"/>
    <cellStyle name="asd 19 2 5 8" xfId="17419"/>
    <cellStyle name="asd 19 2 5 9" xfId="19325"/>
    <cellStyle name="asd 19 2 6" xfId="5667"/>
    <cellStyle name="asd 19 2 6 10" xfId="21917"/>
    <cellStyle name="asd 19 2 6 11" xfId="22516"/>
    <cellStyle name="asd 19 2 6 12" xfId="25719"/>
    <cellStyle name="asd 19 2 6 13" xfId="26464"/>
    <cellStyle name="asd 19 2 6 14" xfId="29398"/>
    <cellStyle name="asd 19 2 6 15" xfId="30069"/>
    <cellStyle name="asd 19 2 6 16" xfId="32433"/>
    <cellStyle name="asd 19 2 6 17" xfId="33801"/>
    <cellStyle name="asd 19 2 6 18" xfId="36546"/>
    <cellStyle name="asd 19 2 6 19" xfId="38425"/>
    <cellStyle name="asd 19 2 6 2" xfId="7116"/>
    <cellStyle name="asd 19 2 6 20" xfId="39650"/>
    <cellStyle name="asd 19 2 6 21" xfId="41324"/>
    <cellStyle name="asd 19 2 6 22" xfId="42326"/>
    <cellStyle name="asd 19 2 6 3" xfId="8570"/>
    <cellStyle name="asd 19 2 6 4" xfId="10480"/>
    <cellStyle name="asd 19 2 6 5" xfId="12168"/>
    <cellStyle name="asd 19 2 6 6" xfId="12984"/>
    <cellStyle name="asd 19 2 6 7" xfId="14888"/>
    <cellStyle name="asd 19 2 6 8" xfId="18099"/>
    <cellStyle name="asd 19 2 6 9" xfId="20005"/>
    <cellStyle name="asd 19 2 7" xfId="2768"/>
    <cellStyle name="asd 19 2 8" xfId="9401"/>
    <cellStyle name="asd 19 2 9" xfId="11224"/>
    <cellStyle name="asd 19 20" xfId="2906"/>
    <cellStyle name="asd 19 21" xfId="22343"/>
    <cellStyle name="asd 19 22" xfId="33350"/>
    <cellStyle name="asd 19 23" xfId="33307"/>
    <cellStyle name="asd 19 24" xfId="2399"/>
    <cellStyle name="asd 19 25" xfId="34705"/>
    <cellStyle name="asd 19 26" xfId="31995"/>
    <cellStyle name="asd 19 27" xfId="16593"/>
    <cellStyle name="asd 19 3" xfId="3438"/>
    <cellStyle name="asd 19 3 10" xfId="13622"/>
    <cellStyle name="asd 19 3 11" xfId="15525"/>
    <cellStyle name="asd 19 3 12" xfId="16820"/>
    <cellStyle name="asd 19 3 13" xfId="18727"/>
    <cellStyle name="asd 19 3 14" xfId="20639"/>
    <cellStyle name="asd 19 3 15" xfId="23151"/>
    <cellStyle name="asd 19 3 16" xfId="24441"/>
    <cellStyle name="asd 19 3 17" xfId="26872"/>
    <cellStyle name="asd 19 3 18" xfId="29162"/>
    <cellStyle name="asd 19 3 19" xfId="30468"/>
    <cellStyle name="asd 19 3 2" xfId="3618"/>
    <cellStyle name="asd 19 3 2 10" xfId="17509"/>
    <cellStyle name="asd 19 3 2 11" xfId="19415"/>
    <cellStyle name="asd 19 3 2 12" xfId="21327"/>
    <cellStyle name="asd 19 3 2 13" xfId="23473"/>
    <cellStyle name="asd 19 3 2 14" xfId="25129"/>
    <cellStyle name="asd 19 3 2 15" xfId="27327"/>
    <cellStyle name="asd 19 3 2 16" xfId="3188"/>
    <cellStyle name="asd 19 3 2 17" xfId="30916"/>
    <cellStyle name="asd 19 3 2 18" xfId="33134"/>
    <cellStyle name="asd 19 3 2 19" xfId="33919"/>
    <cellStyle name="asd 19 3 2 2" xfId="4350"/>
    <cellStyle name="asd 19 3 2 2 10" xfId="20571"/>
    <cellStyle name="asd 19 3 2 2 11" xfId="23384"/>
    <cellStyle name="asd 19 3 2 2 12" xfId="24373"/>
    <cellStyle name="asd 19 3 2 2 13" xfId="26219"/>
    <cellStyle name="asd 19 3 2 2 14" xfId="28399"/>
    <cellStyle name="asd 19 3 2 2 15" xfId="29830"/>
    <cellStyle name="asd 19 3 2 2 16" xfId="32222"/>
    <cellStyle name="asd 19 3 2 2 17" xfId="34413"/>
    <cellStyle name="asd 19 3 2 2 18" xfId="35201"/>
    <cellStyle name="asd 19 3 2 2 19" xfId="37079"/>
    <cellStyle name="asd 19 3 2 2 2" xfId="5314"/>
    <cellStyle name="asd 19 3 2 2 20" xfId="39441"/>
    <cellStyle name="asd 19 3 2 2 21" xfId="41117"/>
    <cellStyle name="asd 19 3 2 2 22" xfId="43151"/>
    <cellStyle name="asd 19 3 2 2 3" xfId="6715"/>
    <cellStyle name="asd 19 3 2 2 4" xfId="9133"/>
    <cellStyle name="asd 19 3 2 2 5" xfId="11293"/>
    <cellStyle name="asd 19 3 2 2 6" xfId="13856"/>
    <cellStyle name="asd 19 3 2 2 7" xfId="15757"/>
    <cellStyle name="asd 19 3 2 2 8" xfId="16752"/>
    <cellStyle name="asd 19 3 2 2 9" xfId="18659"/>
    <cellStyle name="asd 19 3 2 20" xfId="35956"/>
    <cellStyle name="asd 19 3 2 21" xfId="37835"/>
    <cellStyle name="asd 19 3 2 22" xfId="40328"/>
    <cellStyle name="asd 19 3 2 23" xfId="41984"/>
    <cellStyle name="asd 19 3 2 24" xfId="43240"/>
    <cellStyle name="asd 19 3 2 3" xfId="5079"/>
    <cellStyle name="asd 19 3 2 4" xfId="6529"/>
    <cellStyle name="asd 19 3 2 5" xfId="7980"/>
    <cellStyle name="asd 19 3 2 6" xfId="9890"/>
    <cellStyle name="asd 19 3 2 7" xfId="12570"/>
    <cellStyle name="asd 19 3 2 8" xfId="13945"/>
    <cellStyle name="asd 19 3 2 9" xfId="15846"/>
    <cellStyle name="asd 19 3 20" xfId="31836"/>
    <cellStyle name="asd 19 3 21" xfId="34350"/>
    <cellStyle name="asd 19 3 22" xfId="35269"/>
    <cellStyle name="asd 19 3 23" xfId="37147"/>
    <cellStyle name="asd 19 3 24" xfId="39073"/>
    <cellStyle name="asd 19 3 25" xfId="40755"/>
    <cellStyle name="asd 19 3 26" xfId="42929"/>
    <cellStyle name="asd 19 3 3" xfId="3903"/>
    <cellStyle name="asd 19 3 3 10" xfId="19607"/>
    <cellStyle name="asd 19 3 3 11" xfId="21519"/>
    <cellStyle name="asd 19 3 3 12" xfId="23124"/>
    <cellStyle name="asd 19 3 3 13" xfId="25321"/>
    <cellStyle name="asd 19 3 3 14" xfId="27079"/>
    <cellStyle name="asd 19 3 3 15" xfId="28639"/>
    <cellStyle name="asd 19 3 3 16" xfId="30670"/>
    <cellStyle name="asd 19 3 3 17" xfId="33145"/>
    <cellStyle name="asd 19 3 3 18" xfId="34991"/>
    <cellStyle name="asd 19 3 3 19" xfId="36148"/>
    <cellStyle name="asd 19 3 3 2" xfId="5877"/>
    <cellStyle name="asd 19 3 3 2 10" xfId="22127"/>
    <cellStyle name="asd 19 3 3 2 11" xfId="22837"/>
    <cellStyle name="asd 19 3 3 2 12" xfId="25929"/>
    <cellStyle name="asd 19 3 3 2 13" xfId="26618"/>
    <cellStyle name="asd 19 3 3 2 14" xfId="20440"/>
    <cellStyle name="asd 19 3 3 2 15" xfId="30221"/>
    <cellStyle name="asd 19 3 3 2 16" xfId="32326"/>
    <cellStyle name="asd 19 3 3 2 17" xfId="34758"/>
    <cellStyle name="asd 19 3 3 2 18" xfId="36756"/>
    <cellStyle name="asd 19 3 3 2 19" xfId="38635"/>
    <cellStyle name="asd 19 3 3 2 2" xfId="7326"/>
    <cellStyle name="asd 19 3 3 2 20" xfId="39545"/>
    <cellStyle name="asd 19 3 3 2 21" xfId="41219"/>
    <cellStyle name="asd 19 3 3 2 22" xfId="42628"/>
    <cellStyle name="asd 19 3 3 2 3" xfId="8780"/>
    <cellStyle name="asd 19 3 3 2 4" xfId="10690"/>
    <cellStyle name="asd 19 3 3 2 5" xfId="12380"/>
    <cellStyle name="asd 19 3 3 2 6" xfId="13306"/>
    <cellStyle name="asd 19 3 3 2 7" xfId="15210"/>
    <cellStyle name="asd 19 3 3 2 8" xfId="18309"/>
    <cellStyle name="asd 19 3 3 2 9" xfId="20215"/>
    <cellStyle name="asd 19 3 3 20" xfId="38027"/>
    <cellStyle name="asd 19 3 3 21" xfId="40338"/>
    <cellStyle name="asd 19 3 3 22" xfId="41994"/>
    <cellStyle name="asd 19 3 3 23" xfId="42903"/>
    <cellStyle name="asd 19 3 3 3" xfId="5271"/>
    <cellStyle name="asd 19 3 3 4" xfId="8172"/>
    <cellStyle name="asd 19 3 3 5" xfId="10082"/>
    <cellStyle name="asd 19 3 3 6" xfId="11826"/>
    <cellStyle name="asd 19 3 3 7" xfId="13595"/>
    <cellStyle name="asd 19 3 3 8" xfId="15498"/>
    <cellStyle name="asd 19 3 3 9" xfId="17701"/>
    <cellStyle name="asd 19 3 4" xfId="4070"/>
    <cellStyle name="asd 19 3 4 10" xfId="19705"/>
    <cellStyle name="asd 19 3 4 11" xfId="21617"/>
    <cellStyle name="asd 19 3 4 12" xfId="23321"/>
    <cellStyle name="asd 19 3 4 13" xfId="25419"/>
    <cellStyle name="asd 19 3 4 14" xfId="26952"/>
    <cellStyle name="asd 19 3 4 15" xfId="29237"/>
    <cellStyle name="asd 19 3 4 16" xfId="30546"/>
    <cellStyle name="asd 19 3 4 17" xfId="31773"/>
    <cellStyle name="asd 19 3 4 18" xfId="33395"/>
    <cellStyle name="asd 19 3 4 19" xfId="36246"/>
    <cellStyle name="asd 19 3 4 2" xfId="5975"/>
    <cellStyle name="asd 19 3 4 2 10" xfId="22225"/>
    <cellStyle name="asd 19 3 4 2 11" xfId="22495"/>
    <cellStyle name="asd 19 3 4 2 12" xfId="26027"/>
    <cellStyle name="asd 19 3 4 2 13" xfId="27026"/>
    <cellStyle name="asd 19 3 4 2 14" xfId="28370"/>
    <cellStyle name="asd 19 3 4 2 15" xfId="30619"/>
    <cellStyle name="asd 19 3 4 2 16" xfId="32382"/>
    <cellStyle name="asd 19 3 4 2 17" xfId="34067"/>
    <cellStyle name="asd 19 3 4 2 18" xfId="36854"/>
    <cellStyle name="asd 19 3 4 2 19" xfId="38733"/>
    <cellStyle name="asd 19 3 4 2 2" xfId="7424"/>
    <cellStyle name="asd 19 3 4 2 20" xfId="39600"/>
    <cellStyle name="asd 19 3 4 2 21" xfId="41274"/>
    <cellStyle name="asd 19 3 4 2 22" xfId="42305"/>
    <cellStyle name="asd 19 3 4 2 3" xfId="8878"/>
    <cellStyle name="asd 19 3 4 2 4" xfId="10788"/>
    <cellStyle name="asd 19 3 4 2 5" xfId="11368"/>
    <cellStyle name="asd 19 3 4 2 6" xfId="12963"/>
    <cellStyle name="asd 19 3 4 2 7" xfId="14867"/>
    <cellStyle name="asd 19 3 4 2 8" xfId="18407"/>
    <cellStyle name="asd 19 3 4 2 9" xfId="20313"/>
    <cellStyle name="asd 19 3 4 20" xfId="38125"/>
    <cellStyle name="asd 19 3 4 21" xfId="39012"/>
    <cellStyle name="asd 19 3 4 22" xfId="40694"/>
    <cellStyle name="asd 19 3 4 23" xfId="43092"/>
    <cellStyle name="asd 19 3 4 3" xfId="6816"/>
    <cellStyle name="asd 19 3 4 4" xfId="8270"/>
    <cellStyle name="asd 19 3 4 5" xfId="10180"/>
    <cellStyle name="asd 19 3 4 6" xfId="10960"/>
    <cellStyle name="asd 19 3 4 7" xfId="13793"/>
    <cellStyle name="asd 19 3 4 8" xfId="15695"/>
    <cellStyle name="asd 19 3 4 9" xfId="17799"/>
    <cellStyle name="asd 19 3 5" xfId="4927"/>
    <cellStyle name="asd 19 3 5 10" xfId="21175"/>
    <cellStyle name="asd 19 3 5 11" xfId="22770"/>
    <cellStyle name="asd 19 3 5 12" xfId="24977"/>
    <cellStyle name="asd 19 3 5 13" xfId="27300"/>
    <cellStyle name="asd 19 3 5 14" xfId="14728"/>
    <cellStyle name="asd 19 3 5 15" xfId="30890"/>
    <cellStyle name="asd 19 3 5 16" xfId="32275"/>
    <cellStyle name="asd 19 3 5 17" xfId="30472"/>
    <cellStyle name="asd 19 3 5 18" xfId="35804"/>
    <cellStyle name="asd 19 3 5 19" xfId="37683"/>
    <cellStyle name="asd 19 3 5 2" xfId="6377"/>
    <cellStyle name="asd 19 3 5 20" xfId="39494"/>
    <cellStyle name="asd 19 3 5 21" xfId="41169"/>
    <cellStyle name="asd 19 3 5 22" xfId="42565"/>
    <cellStyle name="asd 19 3 5 3" xfId="7828"/>
    <cellStyle name="asd 19 3 5 4" xfId="9738"/>
    <cellStyle name="asd 19 3 5 5" xfId="11173"/>
    <cellStyle name="asd 19 3 5 6" xfId="13240"/>
    <cellStyle name="asd 19 3 5 7" xfId="15143"/>
    <cellStyle name="asd 19 3 5 8" xfId="17357"/>
    <cellStyle name="asd 19 3 5 9" xfId="19263"/>
    <cellStyle name="asd 19 3 6" xfId="5676"/>
    <cellStyle name="asd 19 3 6 10" xfId="21926"/>
    <cellStyle name="asd 19 3 6 11" xfId="22644"/>
    <cellStyle name="asd 19 3 6 12" xfId="25728"/>
    <cellStyle name="asd 19 3 6 13" xfId="26486"/>
    <cellStyle name="asd 19 3 6 14" xfId="29631"/>
    <cellStyle name="asd 19 3 6 15" xfId="30092"/>
    <cellStyle name="asd 19 3 6 16" xfId="32996"/>
    <cellStyle name="asd 19 3 6 17" xfId="33938"/>
    <cellStyle name="asd 19 3 6 18" xfId="36555"/>
    <cellStyle name="asd 19 3 6 19" xfId="38434"/>
    <cellStyle name="asd 19 3 6 2" xfId="7125"/>
    <cellStyle name="asd 19 3 6 20" xfId="40197"/>
    <cellStyle name="asd 19 3 6 21" xfId="41856"/>
    <cellStyle name="asd 19 3 6 22" xfId="42450"/>
    <cellStyle name="asd 19 3 6 3" xfId="8579"/>
    <cellStyle name="asd 19 3 6 4" xfId="10489"/>
    <cellStyle name="asd 19 3 6 5" xfId="3859"/>
    <cellStyle name="asd 19 3 6 6" xfId="13111"/>
    <cellStyle name="asd 19 3 6 7" xfId="15016"/>
    <cellStyle name="asd 19 3 6 8" xfId="18108"/>
    <cellStyle name="asd 19 3 6 9" xfId="20014"/>
    <cellStyle name="asd 19 3 7" xfId="6148"/>
    <cellStyle name="asd 19 3 8" xfId="9201"/>
    <cellStyle name="asd 19 3 9" xfId="10943"/>
    <cellStyle name="asd 19 4" xfId="3443"/>
    <cellStyle name="asd 19 4 10" xfId="14836"/>
    <cellStyle name="asd 19 4 11" xfId="16827"/>
    <cellStyle name="asd 19 4 12" xfId="18734"/>
    <cellStyle name="asd 19 4 13" xfId="20646"/>
    <cellStyle name="asd 19 4 14" xfId="22463"/>
    <cellStyle name="asd 19 4 15" xfId="24448"/>
    <cellStyle name="asd 19 4 16" xfId="26539"/>
    <cellStyle name="asd 19 4 17" xfId="28481"/>
    <cellStyle name="asd 19 4 18" xfId="30145"/>
    <cellStyle name="asd 19 4 19" xfId="31884"/>
    <cellStyle name="asd 19 4 2" xfId="3623"/>
    <cellStyle name="asd 19 4 2 10" xfId="17514"/>
    <cellStyle name="asd 19 4 2 11" xfId="19420"/>
    <cellStyle name="asd 19 4 2 12" xfId="21332"/>
    <cellStyle name="asd 19 4 2 13" xfId="22456"/>
    <cellStyle name="asd 19 4 2 14" xfId="25134"/>
    <cellStyle name="asd 19 4 2 15" xfId="27664"/>
    <cellStyle name="asd 19 4 2 16" xfId="29179"/>
    <cellStyle name="asd 19 4 2 17" xfId="31240"/>
    <cellStyle name="asd 19 4 2 18" xfId="32425"/>
    <cellStyle name="asd 19 4 2 19" xfId="34401"/>
    <cellStyle name="asd 19 4 2 2" xfId="2914"/>
    <cellStyle name="asd 19 4 2 2 10" xfId="20466"/>
    <cellStyle name="asd 19 4 2 2 11" xfId="22637"/>
    <cellStyle name="asd 19 4 2 2 12" xfId="24268"/>
    <cellStyle name="asd 19 4 2 2 13" xfId="26370"/>
    <cellStyle name="asd 19 4 2 2 14" xfId="28057"/>
    <cellStyle name="asd 19 4 2 2 15" xfId="29978"/>
    <cellStyle name="asd 19 4 2 2 16" xfId="32228"/>
    <cellStyle name="asd 19 4 2 2 17" xfId="34610"/>
    <cellStyle name="asd 19 4 2 2 18" xfId="35096"/>
    <cellStyle name="asd 19 4 2 2 19" xfId="36974"/>
    <cellStyle name="asd 19 4 2 2 2" xfId="4406"/>
    <cellStyle name="asd 19 4 2 2 20" xfId="39447"/>
    <cellStyle name="asd 19 4 2 2 21" xfId="41122"/>
    <cellStyle name="asd 19 4 2 2 22" xfId="42443"/>
    <cellStyle name="asd 19 4 2 2 3" xfId="4465"/>
    <cellStyle name="asd 19 4 2 2 4" xfId="9028"/>
    <cellStyle name="asd 19 4 2 2 5" xfId="12437"/>
    <cellStyle name="asd 19 4 2 2 6" xfId="13104"/>
    <cellStyle name="asd 19 4 2 2 7" xfId="15009"/>
    <cellStyle name="asd 19 4 2 2 8" xfId="16647"/>
    <cellStyle name="asd 19 4 2 2 9" xfId="18554"/>
    <cellStyle name="asd 19 4 2 20" xfId="35961"/>
    <cellStyle name="asd 19 4 2 21" xfId="37840"/>
    <cellStyle name="asd 19 4 2 22" xfId="39642"/>
    <cellStyle name="asd 19 4 2 23" xfId="41316"/>
    <cellStyle name="asd 19 4 2 24" xfId="42267"/>
    <cellStyle name="asd 19 4 2 3" xfId="5084"/>
    <cellStyle name="asd 19 4 2 4" xfId="6534"/>
    <cellStyle name="asd 19 4 2 5" xfId="7985"/>
    <cellStyle name="asd 19 4 2 6" xfId="9895"/>
    <cellStyle name="asd 19 4 2 7" xfId="2854"/>
    <cellStyle name="asd 19 4 2 8" xfId="12924"/>
    <cellStyle name="asd 19 4 2 9" xfId="14829"/>
    <cellStyle name="asd 19 4 20" xfId="33376"/>
    <cellStyle name="asd 19 4 21" xfId="35276"/>
    <cellStyle name="asd 19 4 22" xfId="37154"/>
    <cellStyle name="asd 19 4 23" xfId="39119"/>
    <cellStyle name="asd 19 4 24" xfId="40800"/>
    <cellStyle name="asd 19 4 25" xfId="42274"/>
    <cellStyle name="asd 19 4 3" xfId="2544"/>
    <cellStyle name="asd 19 4 3 10" xfId="19080"/>
    <cellStyle name="asd 19 4 3 11" xfId="20992"/>
    <cellStyle name="asd 19 4 3 12" xfId="23175"/>
    <cellStyle name="asd 19 4 3 13" xfId="24794"/>
    <cellStyle name="asd 19 4 3 14" xfId="26381"/>
    <cellStyle name="asd 19 4 3 15" xfId="28158"/>
    <cellStyle name="asd 19 4 3 16" xfId="29989"/>
    <cellStyle name="asd 19 4 3 17" xfId="33066"/>
    <cellStyle name="asd 19 4 3 18" xfId="34346"/>
    <cellStyle name="asd 19 4 3 19" xfId="35621"/>
    <cellStyle name="asd 19 4 3 2" xfId="5653"/>
    <cellStyle name="asd 19 4 3 2 10" xfId="21903"/>
    <cellStyle name="asd 19 4 3 2 11" xfId="23489"/>
    <cellStyle name="asd 19 4 3 2 12" xfId="25705"/>
    <cellStyle name="asd 19 4 3 2 13" xfId="26870"/>
    <cellStyle name="asd 19 4 3 2 14" xfId="29666"/>
    <cellStyle name="asd 19 4 3 2 15" xfId="30466"/>
    <cellStyle name="asd 19 4 3 2 16" xfId="32088"/>
    <cellStyle name="asd 19 4 3 2 17" xfId="33900"/>
    <cellStyle name="asd 19 4 3 2 18" xfId="36532"/>
    <cellStyle name="asd 19 4 3 2 19" xfId="38411"/>
    <cellStyle name="asd 19 4 3 2 2" xfId="7102"/>
    <cellStyle name="asd 19 4 3 2 20" xfId="39312"/>
    <cellStyle name="asd 19 4 3 2 21" xfId="40988"/>
    <cellStyle name="asd 19 4 3 2 22" xfId="43255"/>
    <cellStyle name="asd 19 4 3 2 3" xfId="8556"/>
    <cellStyle name="asd 19 4 3 2 4" xfId="10466"/>
    <cellStyle name="asd 19 4 3 2 5" xfId="12523"/>
    <cellStyle name="asd 19 4 3 2 6" xfId="13961"/>
    <cellStyle name="asd 19 4 3 2 7" xfId="15862"/>
    <cellStyle name="asd 19 4 3 2 8" xfId="18085"/>
    <cellStyle name="asd 19 4 3 2 9" xfId="19991"/>
    <cellStyle name="asd 19 4 3 20" xfId="37500"/>
    <cellStyle name="asd 19 4 3 21" xfId="40262"/>
    <cellStyle name="asd 19 4 3 22" xfId="41920"/>
    <cellStyle name="asd 19 4 3 23" xfId="42953"/>
    <cellStyle name="asd 19 4 3 3" xfId="4745"/>
    <cellStyle name="asd 19 4 3 4" xfId="7645"/>
    <cellStyle name="asd 19 4 3 5" xfId="9555"/>
    <cellStyle name="asd 19 4 3 6" xfId="11001"/>
    <cellStyle name="asd 19 4 3 7" xfId="13646"/>
    <cellStyle name="asd 19 4 3 8" xfId="15549"/>
    <cellStyle name="asd 19 4 3 9" xfId="17174"/>
    <cellStyle name="asd 19 4 4" xfId="4075"/>
    <cellStyle name="asd 19 4 4 10" xfId="19710"/>
    <cellStyle name="asd 19 4 4 11" xfId="21622"/>
    <cellStyle name="asd 19 4 4 12" xfId="23135"/>
    <cellStyle name="asd 19 4 4 13" xfId="25424"/>
    <cellStyle name="asd 19 4 4 14" xfId="15667"/>
    <cellStyle name="asd 19 4 4 15" xfId="2867"/>
    <cellStyle name="asd 19 4 4 16" xfId="2274"/>
    <cellStyle name="asd 19 4 4 17" xfId="10918"/>
    <cellStyle name="asd 19 4 4 18" xfId="3026"/>
    <cellStyle name="asd 19 4 4 19" xfId="36251"/>
    <cellStyle name="asd 19 4 4 2" xfId="5980"/>
    <cellStyle name="asd 19 4 4 2 10" xfId="22230"/>
    <cellStyle name="asd 19 4 4 2 11" xfId="22814"/>
    <cellStyle name="asd 19 4 4 2 12" xfId="26032"/>
    <cellStyle name="asd 19 4 4 2 13" xfId="26621"/>
    <cellStyle name="asd 19 4 4 2 14" xfId="29180"/>
    <cellStyle name="asd 19 4 4 2 15" xfId="30224"/>
    <cellStyle name="asd 19 4 4 2 16" xfId="32586"/>
    <cellStyle name="asd 19 4 4 2 17" xfId="34593"/>
    <cellStyle name="asd 19 4 4 2 18" xfId="36859"/>
    <cellStyle name="asd 19 4 4 2 19" xfId="38738"/>
    <cellStyle name="asd 19 4 4 2 2" xfId="7429"/>
    <cellStyle name="asd 19 4 4 2 20" xfId="39797"/>
    <cellStyle name="asd 19 4 4 2 21" xfId="41466"/>
    <cellStyle name="asd 19 4 4 2 22" xfId="42607"/>
    <cellStyle name="asd 19 4 4 2 3" xfId="8883"/>
    <cellStyle name="asd 19 4 4 2 4" xfId="10793"/>
    <cellStyle name="asd 19 4 4 2 5" xfId="12371"/>
    <cellStyle name="asd 19 4 4 2 6" xfId="13284"/>
    <cellStyle name="asd 19 4 4 2 7" xfId="15188"/>
    <cellStyle name="asd 19 4 4 2 8" xfId="18412"/>
    <cellStyle name="asd 19 4 4 2 9" xfId="20318"/>
    <cellStyle name="asd 19 4 4 20" xfId="38130"/>
    <cellStyle name="asd 19 4 4 21" xfId="2912"/>
    <cellStyle name="asd 19 4 4 22" xfId="31731"/>
    <cellStyle name="asd 19 4 4 23" xfId="42913"/>
    <cellStyle name="asd 19 4 4 3" xfId="6821"/>
    <cellStyle name="asd 19 4 4 4" xfId="8275"/>
    <cellStyle name="asd 19 4 4 5" xfId="10185"/>
    <cellStyle name="asd 19 4 4 6" xfId="12759"/>
    <cellStyle name="asd 19 4 4 7" xfId="13606"/>
    <cellStyle name="asd 19 4 4 8" xfId="15509"/>
    <cellStyle name="asd 19 4 4 9" xfId="17804"/>
    <cellStyle name="asd 19 4 5" xfId="3754"/>
    <cellStyle name="asd 19 4 5 10" xfId="20620"/>
    <cellStyle name="asd 19 4 5 11" xfId="22383"/>
    <cellStyle name="asd 19 4 5 12" xfId="24422"/>
    <cellStyle name="asd 19 4 5 13" xfId="26497"/>
    <cellStyle name="asd 19 4 5 14" xfId="29244"/>
    <cellStyle name="asd 19 4 5 15" xfId="30102"/>
    <cellStyle name="asd 19 4 5 16" xfId="31821"/>
    <cellStyle name="asd 19 4 5 17" xfId="33487"/>
    <cellStyle name="asd 19 4 5 18" xfId="35250"/>
    <cellStyle name="asd 19 4 5 19" xfId="37128"/>
    <cellStyle name="asd 19 4 5 2" xfId="4488"/>
    <cellStyle name="asd 19 4 5 20" xfId="39059"/>
    <cellStyle name="asd 19 4 5 21" xfId="40741"/>
    <cellStyle name="asd 19 4 5 22" xfId="42194"/>
    <cellStyle name="asd 19 4 5 3" xfId="2514"/>
    <cellStyle name="asd 19 4 5 4" xfId="9182"/>
    <cellStyle name="asd 19 4 5 5" xfId="11714"/>
    <cellStyle name="asd 19 4 5 6" xfId="12850"/>
    <cellStyle name="asd 19 4 5 7" xfId="14755"/>
    <cellStyle name="asd 19 4 5 8" xfId="16801"/>
    <cellStyle name="asd 19 4 5 9" xfId="18708"/>
    <cellStyle name="asd 19 4 6" xfId="6615"/>
    <cellStyle name="asd 19 4 7" xfId="9208"/>
    <cellStyle name="asd 19 4 8" xfId="11439"/>
    <cellStyle name="asd 19 4 9" xfId="12931"/>
    <cellStyle name="asd 19 5" xfId="2689"/>
    <cellStyle name="asd 19 5 10" xfId="17187"/>
    <cellStyle name="asd 19 5 11" xfId="19093"/>
    <cellStyle name="asd 19 5 12" xfId="21005"/>
    <cellStyle name="asd 19 5 13" xfId="22904"/>
    <cellStyle name="asd 19 5 14" xfId="24807"/>
    <cellStyle name="asd 19 5 15" xfId="27686"/>
    <cellStyle name="asd 19 5 16" xfId="29075"/>
    <cellStyle name="asd 19 5 17" xfId="31260"/>
    <cellStyle name="asd 19 5 18" xfId="32419"/>
    <cellStyle name="asd 19 5 19" xfId="34699"/>
    <cellStyle name="asd 19 5 2" xfId="5608"/>
    <cellStyle name="asd 19 5 2 10" xfId="21858"/>
    <cellStyle name="asd 19 5 2 11" xfId="22498"/>
    <cellStyle name="asd 19 5 2 12" xfId="25660"/>
    <cellStyle name="asd 19 5 2 13" xfId="26576"/>
    <cellStyle name="asd 19 5 2 14" xfId="28275"/>
    <cellStyle name="asd 19 5 2 15" xfId="30178"/>
    <cellStyle name="asd 19 5 2 16" xfId="32276"/>
    <cellStyle name="asd 19 5 2 17" xfId="34868"/>
    <cellStyle name="asd 19 5 2 18" xfId="36487"/>
    <cellStyle name="asd 19 5 2 19" xfId="38366"/>
    <cellStyle name="asd 19 5 2 2" xfId="7057"/>
    <cellStyle name="asd 19 5 2 20" xfId="39495"/>
    <cellStyle name="asd 19 5 2 21" xfId="41170"/>
    <cellStyle name="asd 19 5 2 22" xfId="42308"/>
    <cellStyle name="asd 19 5 2 3" xfId="8511"/>
    <cellStyle name="asd 19 5 2 4" xfId="10421"/>
    <cellStyle name="asd 19 5 2 5" xfId="11753"/>
    <cellStyle name="asd 19 5 2 6" xfId="12966"/>
    <cellStyle name="asd 19 5 2 7" xfId="14870"/>
    <cellStyle name="asd 19 5 2 8" xfId="18040"/>
    <cellStyle name="asd 19 5 2 9" xfId="19946"/>
    <cellStyle name="asd 19 5 20" xfId="35634"/>
    <cellStyle name="asd 19 5 21" xfId="37513"/>
    <cellStyle name="asd 19 5 22" xfId="39636"/>
    <cellStyle name="asd 19 5 23" xfId="41310"/>
    <cellStyle name="asd 19 5 24" xfId="42690"/>
    <cellStyle name="asd 19 5 3" xfId="4758"/>
    <cellStyle name="asd 19 5 4" xfId="6207"/>
    <cellStyle name="asd 19 5 5" xfId="7658"/>
    <cellStyle name="asd 19 5 6" xfId="9568"/>
    <cellStyle name="asd 19 5 7" xfId="11274"/>
    <cellStyle name="asd 19 5 8" xfId="13372"/>
    <cellStyle name="asd 19 5 9" xfId="15277"/>
    <cellStyle name="asd 19 6" xfId="3282"/>
    <cellStyle name="asd 19 6 10" xfId="19191"/>
    <cellStyle name="asd 19 6 11" xfId="21103"/>
    <cellStyle name="asd 19 6 12" xfId="22542"/>
    <cellStyle name="asd 19 6 13" xfId="24905"/>
    <cellStyle name="asd 19 6 14" xfId="27228"/>
    <cellStyle name="asd 19 6 15" xfId="28879"/>
    <cellStyle name="asd 19 6 16" xfId="30819"/>
    <cellStyle name="asd 19 6 17" xfId="32652"/>
    <cellStyle name="asd 19 6 18" xfId="35016"/>
    <cellStyle name="asd 19 6 19" xfId="35732"/>
    <cellStyle name="asd 19 6 2" xfId="4518"/>
    <cellStyle name="asd 19 6 2 10" xfId="20763"/>
    <cellStyle name="asd 19 6 2 11" xfId="22557"/>
    <cellStyle name="asd 19 6 2 12" xfId="24565"/>
    <cellStyle name="asd 19 6 2 13" xfId="27250"/>
    <cellStyle name="asd 19 6 2 14" xfId="28717"/>
    <cellStyle name="asd 19 6 2 15" xfId="30841"/>
    <cellStyle name="asd 19 6 2 16" xfId="32402"/>
    <cellStyle name="asd 19 6 2 17" xfId="33628"/>
    <cellStyle name="asd 19 6 2 18" xfId="35393"/>
    <cellStyle name="asd 19 6 2 19" xfId="37271"/>
    <cellStyle name="asd 19 6 2 2" xfId="5445"/>
    <cellStyle name="asd 19 6 2 20" xfId="39619"/>
    <cellStyle name="asd 19 6 2 21" xfId="41293"/>
    <cellStyle name="asd 19 6 2 22" xfId="42366"/>
    <cellStyle name="asd 19 6 2 3" xfId="6244"/>
    <cellStyle name="asd 19 6 2 4" xfId="9325"/>
    <cellStyle name="asd 19 6 2 5" xfId="10982"/>
    <cellStyle name="asd 19 6 2 6" xfId="13025"/>
    <cellStyle name="asd 19 6 2 7" xfId="14929"/>
    <cellStyle name="asd 19 6 2 8" xfId="16944"/>
    <cellStyle name="asd 19 6 2 9" xfId="18851"/>
    <cellStyle name="asd 19 6 20" xfId="37611"/>
    <cellStyle name="asd 19 6 21" xfId="39859"/>
    <cellStyle name="asd 19 6 22" xfId="41528"/>
    <cellStyle name="asd 19 6 23" xfId="42351"/>
    <cellStyle name="asd 19 6 3" xfId="4855"/>
    <cellStyle name="asd 19 6 4" xfId="7756"/>
    <cellStyle name="asd 19 6 5" xfId="9666"/>
    <cellStyle name="asd 19 6 6" xfId="11365"/>
    <cellStyle name="asd 19 6 7" xfId="13010"/>
    <cellStyle name="asd 19 6 8" xfId="14914"/>
    <cellStyle name="asd 19 6 9" xfId="17285"/>
    <cellStyle name="asd 19 7" xfId="2705"/>
    <cellStyle name="asd 19 7 10" xfId="19096"/>
    <cellStyle name="asd 19 7 11" xfId="21008"/>
    <cellStyle name="asd 19 7 12" xfId="22436"/>
    <cellStyle name="asd 19 7 13" xfId="24810"/>
    <cellStyle name="asd 19 7 14" xfId="26780"/>
    <cellStyle name="asd 19 7 15" xfId="29299"/>
    <cellStyle name="asd 19 7 16" xfId="30379"/>
    <cellStyle name="asd 19 7 17" xfId="31749"/>
    <cellStyle name="asd 19 7 18" xfId="34916"/>
    <cellStyle name="asd 19 7 19" xfId="35637"/>
    <cellStyle name="asd 19 7 2" xfId="5658"/>
    <cellStyle name="asd 19 7 2 10" xfId="21908"/>
    <cellStyle name="asd 19 7 2 11" xfId="22496"/>
    <cellStyle name="asd 19 7 2 12" xfId="25710"/>
    <cellStyle name="asd 19 7 2 13" xfId="26349"/>
    <cellStyle name="asd 19 7 2 14" xfId="29219"/>
    <cellStyle name="asd 19 7 2 15" xfId="29957"/>
    <cellStyle name="asd 19 7 2 16" xfId="32190"/>
    <cellStyle name="asd 19 7 2 17" xfId="34981"/>
    <cellStyle name="asd 19 7 2 18" xfId="36537"/>
    <cellStyle name="asd 19 7 2 19" xfId="38416"/>
    <cellStyle name="asd 19 7 2 2" xfId="7107"/>
    <cellStyle name="asd 19 7 2 20" xfId="39412"/>
    <cellStyle name="asd 19 7 2 21" xfId="41088"/>
    <cellStyle name="asd 19 7 2 22" xfId="42306"/>
    <cellStyle name="asd 19 7 2 3" xfId="8561"/>
    <cellStyle name="asd 19 7 2 4" xfId="10471"/>
    <cellStyle name="asd 19 7 2 5" xfId="12258"/>
    <cellStyle name="asd 19 7 2 6" xfId="12964"/>
    <cellStyle name="asd 19 7 2 7" xfId="14868"/>
    <cellStyle name="asd 19 7 2 8" xfId="18090"/>
    <cellStyle name="asd 19 7 2 9" xfId="19996"/>
    <cellStyle name="asd 19 7 20" xfId="37516"/>
    <cellStyle name="asd 19 7 21" xfId="38989"/>
    <cellStyle name="asd 19 7 22" xfId="40672"/>
    <cellStyle name="asd 19 7 23" xfId="42247"/>
    <cellStyle name="asd 19 7 3" xfId="6210"/>
    <cellStyle name="asd 19 7 4" xfId="7661"/>
    <cellStyle name="asd 19 7 5" xfId="9571"/>
    <cellStyle name="asd 19 7 6" xfId="11384"/>
    <cellStyle name="asd 19 7 7" xfId="12904"/>
    <cellStyle name="asd 19 7 8" xfId="14809"/>
    <cellStyle name="asd 19 7 9" xfId="17190"/>
    <cellStyle name="asd 19 8" xfId="2017"/>
    <cellStyle name="asd 19 9" xfId="2822"/>
    <cellStyle name="asd 2" xfId="680"/>
    <cellStyle name="asd 2 10" xfId="3151"/>
    <cellStyle name="asd 2 11" xfId="2280"/>
    <cellStyle name="asd 2 12" xfId="2949"/>
    <cellStyle name="asd 2 13" xfId="1771"/>
    <cellStyle name="asd 2 14" xfId="2511"/>
    <cellStyle name="asd 2 15" xfId="5427"/>
    <cellStyle name="asd 2 16" xfId="2997"/>
    <cellStyle name="asd 2 17" xfId="3761"/>
    <cellStyle name="asd 2 18" xfId="20437"/>
    <cellStyle name="asd 2 19" xfId="20439"/>
    <cellStyle name="asd 2 2" xfId="3387"/>
    <cellStyle name="asd 2 2 10" xfId="14511"/>
    <cellStyle name="asd 2 2 11" xfId="16417"/>
    <cellStyle name="asd 2 2 12" xfId="16716"/>
    <cellStyle name="asd 2 2 13" xfId="18623"/>
    <cellStyle name="asd 2 2 14" xfId="20535"/>
    <cellStyle name="asd 2 2 15" xfId="24041"/>
    <cellStyle name="asd 2 2 16" xfId="24337"/>
    <cellStyle name="asd 2 2 17" xfId="26725"/>
    <cellStyle name="asd 2 2 18" xfId="28675"/>
    <cellStyle name="asd 2 2 19" xfId="30325"/>
    <cellStyle name="asd 2 2 2" xfId="3567"/>
    <cellStyle name="asd 2 2 2 10" xfId="17458"/>
    <cellStyle name="asd 2 2 2 11" xfId="19364"/>
    <cellStyle name="asd 2 2 2 12" xfId="21276"/>
    <cellStyle name="asd 2 2 2 13" xfId="23600"/>
    <cellStyle name="asd 2 2 2 14" xfId="25078"/>
    <cellStyle name="asd 2 2 2 15" xfId="26579"/>
    <cellStyle name="asd 2 2 2 16" xfId="28900"/>
    <cellStyle name="asd 2 2 2 17" xfId="30182"/>
    <cellStyle name="asd 2 2 2 18" xfId="32763"/>
    <cellStyle name="asd 2 2 2 19" xfId="33534"/>
    <cellStyle name="asd 2 2 2 2" xfId="3195"/>
    <cellStyle name="asd 2 2 2 2 10" xfId="20462"/>
    <cellStyle name="asd 2 2 2 2 11" xfId="23930"/>
    <cellStyle name="asd 2 2 2 2 12" xfId="24264"/>
    <cellStyle name="asd 2 2 2 2 13" xfId="26384"/>
    <cellStyle name="asd 2 2 2 2 14" xfId="28380"/>
    <cellStyle name="asd 2 2 2 2 15" xfId="29992"/>
    <cellStyle name="asd 2 2 2 2 16" xfId="32031"/>
    <cellStyle name="asd 2 2 2 2 17" xfId="33483"/>
    <cellStyle name="asd 2 2 2 2 18" xfId="35092"/>
    <cellStyle name="asd 2 2 2 2 19" xfId="36970"/>
    <cellStyle name="asd 2 2 2 2 2" xfId="4766"/>
    <cellStyle name="asd 2 2 2 2 20" xfId="39261"/>
    <cellStyle name="asd 2 2 2 2 21" xfId="40938"/>
    <cellStyle name="asd 2 2 2 2 22" xfId="43676"/>
    <cellStyle name="asd 2 2 2 2 3" xfId="6085"/>
    <cellStyle name="asd 2 2 2 2 4" xfId="9024"/>
    <cellStyle name="asd 2 2 2 2 5" xfId="11889"/>
    <cellStyle name="asd 2 2 2 2 6" xfId="14399"/>
    <cellStyle name="asd 2 2 2 2 7" xfId="16305"/>
    <cellStyle name="asd 2 2 2 2 8" xfId="16643"/>
    <cellStyle name="asd 2 2 2 2 9" xfId="18550"/>
    <cellStyle name="asd 2 2 2 20" xfId="35905"/>
    <cellStyle name="asd 2 2 2 21" xfId="37784"/>
    <cellStyle name="asd 2 2 2 22" xfId="39972"/>
    <cellStyle name="asd 2 2 2 23" xfId="41636"/>
    <cellStyle name="asd 2 2 2 24" xfId="43359"/>
    <cellStyle name="asd 2 2 2 3" xfId="5028"/>
    <cellStyle name="asd 2 2 2 4" xfId="6478"/>
    <cellStyle name="asd 2 2 2 5" xfId="7929"/>
    <cellStyle name="asd 2 2 2 6" xfId="9839"/>
    <cellStyle name="asd 2 2 2 7" xfId="11338"/>
    <cellStyle name="asd 2 2 2 8" xfId="14070"/>
    <cellStyle name="asd 2 2 2 9" xfId="15973"/>
    <cellStyle name="asd 2 2 20" xfId="32294"/>
    <cellStyle name="asd 2 2 21" xfId="34651"/>
    <cellStyle name="asd 2 2 22" xfId="35165"/>
    <cellStyle name="asd 2 2 23" xfId="37043"/>
    <cellStyle name="asd 2 2 24" xfId="39514"/>
    <cellStyle name="asd 2 2 25" xfId="41188"/>
    <cellStyle name="asd 2 2 26" xfId="43785"/>
    <cellStyle name="asd 2 2 3" xfId="1927"/>
    <cellStyle name="asd 2 2 3 10" xfId="18987"/>
    <cellStyle name="asd 2 2 3 11" xfId="20899"/>
    <cellStyle name="asd 2 2 3 12" xfId="23678"/>
    <cellStyle name="asd 2 2 3 13" xfId="24701"/>
    <cellStyle name="asd 2 2 3 14" xfId="27904"/>
    <cellStyle name="asd 2 2 3 15" xfId="28205"/>
    <cellStyle name="asd 2 2 3 16" xfId="31486"/>
    <cellStyle name="asd 2 2 3 17" xfId="32547"/>
    <cellStyle name="asd 2 2 3 18" xfId="34768"/>
    <cellStyle name="asd 2 2 3 19" xfId="35528"/>
    <cellStyle name="asd 2 2 3 2" xfId="4543"/>
    <cellStyle name="asd 2 2 3 2 10" xfId="20788"/>
    <cellStyle name="asd 2 2 3 2 11" xfId="22592"/>
    <cellStyle name="asd 2 2 3 2 12" xfId="24590"/>
    <cellStyle name="asd 2 2 3 2 13" xfId="27211"/>
    <cellStyle name="asd 2 2 3 2 14" xfId="3926"/>
    <cellStyle name="asd 2 2 3 2 15" xfId="30802"/>
    <cellStyle name="asd 2 2 3 2 16" xfId="32260"/>
    <cellStyle name="asd 2 2 3 2 17" xfId="34962"/>
    <cellStyle name="asd 2 2 3 2 18" xfId="35418"/>
    <cellStyle name="asd 2 2 3 2 19" xfId="37296"/>
    <cellStyle name="asd 2 2 3 2 2" xfId="4493"/>
    <cellStyle name="asd 2 2 3 2 20" xfId="39478"/>
    <cellStyle name="asd 2 2 3 2 21" xfId="41153"/>
    <cellStyle name="asd 2 2 3 2 22" xfId="42401"/>
    <cellStyle name="asd 2 2 3 2 3" xfId="4504"/>
    <cellStyle name="asd 2 2 3 2 4" xfId="9350"/>
    <cellStyle name="asd 2 2 3 2 5" xfId="11661"/>
    <cellStyle name="asd 2 2 3 2 6" xfId="13060"/>
    <cellStyle name="asd 2 2 3 2 7" xfId="14964"/>
    <cellStyle name="asd 2 2 3 2 8" xfId="16969"/>
    <cellStyle name="asd 2 2 3 2 9" xfId="18876"/>
    <cellStyle name="asd 2 2 3 20" xfId="37407"/>
    <cellStyle name="asd 2 2 3 21" xfId="39760"/>
    <cellStyle name="asd 2 2 3 22" xfId="41432"/>
    <cellStyle name="asd 2 2 3 23" xfId="43435"/>
    <cellStyle name="asd 2 2 3 3" xfId="4655"/>
    <cellStyle name="asd 2 2 3 4" xfId="7552"/>
    <cellStyle name="asd 2 2 3 5" xfId="9462"/>
    <cellStyle name="asd 2 2 3 6" xfId="11357"/>
    <cellStyle name="asd 2 2 3 7" xfId="14148"/>
    <cellStyle name="asd 2 2 3 8" xfId="16052"/>
    <cellStyle name="asd 2 2 3 9" xfId="17081"/>
    <cellStyle name="asd 2 2 4" xfId="4019"/>
    <cellStyle name="asd 2 2 4 10" xfId="19654"/>
    <cellStyle name="asd 2 2 4 11" xfId="21566"/>
    <cellStyle name="asd 2 2 4 12" xfId="22789"/>
    <cellStyle name="asd 2 2 4 13" xfId="25368"/>
    <cellStyle name="asd 2 2 4 14" xfId="27103"/>
    <cellStyle name="asd 2 2 4 15" xfId="28255"/>
    <cellStyle name="asd 2 2 4 16" xfId="30694"/>
    <cellStyle name="asd 2 2 4 17" xfId="33114"/>
    <cellStyle name="asd 2 2 4 18" xfId="33389"/>
    <cellStyle name="asd 2 2 4 19" xfId="36195"/>
    <cellStyle name="asd 2 2 4 2" xfId="5924"/>
    <cellStyle name="asd 2 2 4 2 10" xfId="22174"/>
    <cellStyle name="asd 2 2 4 2 11" xfId="23083"/>
    <cellStyle name="asd 2 2 4 2 12" xfId="25976"/>
    <cellStyle name="asd 2 2 4 2 13" xfId="15469"/>
    <cellStyle name="asd 2 2 4 2 14" xfId="15442"/>
    <cellStyle name="asd 2 2 4 2 15" xfId="14657"/>
    <cellStyle name="asd 2 2 4 2 16" xfId="28173"/>
    <cellStyle name="asd 2 2 4 2 17" xfId="33360"/>
    <cellStyle name="asd 2 2 4 2 18" xfId="36803"/>
    <cellStyle name="asd 2 2 4 2 19" xfId="38682"/>
    <cellStyle name="asd 2 2 4 2 2" xfId="7373"/>
    <cellStyle name="asd 2 2 4 2 20" xfId="4232"/>
    <cellStyle name="asd 2 2 4 2 21" xfId="35047"/>
    <cellStyle name="asd 2 2 4 2 22" xfId="42865"/>
    <cellStyle name="asd 2 2 4 2 3" xfId="8827"/>
    <cellStyle name="asd 2 2 4 2 4" xfId="10737"/>
    <cellStyle name="asd 2 2 4 2 5" xfId="12693"/>
    <cellStyle name="asd 2 2 4 2 6" xfId="13554"/>
    <cellStyle name="asd 2 2 4 2 7" xfId="15457"/>
    <cellStyle name="asd 2 2 4 2 8" xfId="18356"/>
    <cellStyle name="asd 2 2 4 2 9" xfId="20262"/>
    <cellStyle name="asd 2 2 4 20" xfId="38074"/>
    <cellStyle name="asd 2 2 4 21" xfId="40309"/>
    <cellStyle name="asd 2 2 4 22" xfId="41965"/>
    <cellStyle name="asd 2 2 4 23" xfId="42582"/>
    <cellStyle name="asd 2 2 4 3" xfId="6765"/>
    <cellStyle name="asd 2 2 4 4" xfId="8219"/>
    <cellStyle name="asd 2 2 4 5" xfId="10129"/>
    <cellStyle name="asd 2 2 4 6" xfId="11035"/>
    <cellStyle name="asd 2 2 4 7" xfId="13258"/>
    <cellStyle name="asd 2 2 4 8" xfId="15162"/>
    <cellStyle name="asd 2 2 4 9" xfId="17748"/>
    <cellStyle name="asd 2 2 5" xfId="4888"/>
    <cellStyle name="asd 2 2 5 10" xfId="21136"/>
    <cellStyle name="asd 2 2 5 11" xfId="23859"/>
    <cellStyle name="asd 2 2 5 12" xfId="24938"/>
    <cellStyle name="asd 2 2 5 13" xfId="4319"/>
    <cellStyle name="asd 2 2 5 14" xfId="3348"/>
    <cellStyle name="asd 2 2 5 15" xfId="2541"/>
    <cellStyle name="asd 2 2 5 16" xfId="3982"/>
    <cellStyle name="asd 2 2 5 17" xfId="28483"/>
    <cellStyle name="asd 2 2 5 18" xfId="35765"/>
    <cellStyle name="asd 2 2 5 19" xfId="37644"/>
    <cellStyle name="asd 2 2 5 2" xfId="6338"/>
    <cellStyle name="asd 2 2 5 20" xfId="34483"/>
    <cellStyle name="asd 2 2 5 21" xfId="35080"/>
    <cellStyle name="asd 2 2 5 22" xfId="43609"/>
    <cellStyle name="asd 2 2 5 3" xfId="7789"/>
    <cellStyle name="asd 2 2 5 4" xfId="9699"/>
    <cellStyle name="asd 2 2 5 5" xfId="11377"/>
    <cellStyle name="asd 2 2 5 6" xfId="14329"/>
    <cellStyle name="asd 2 2 5 7" xfId="16233"/>
    <cellStyle name="asd 2 2 5 8" xfId="17318"/>
    <cellStyle name="asd 2 2 5 9" xfId="19224"/>
    <cellStyle name="asd 2 2 6" xfId="5575"/>
    <cellStyle name="asd 2 2 6 10" xfId="21825"/>
    <cellStyle name="asd 2 2 6 11" xfId="23858"/>
    <cellStyle name="asd 2 2 6 12" xfId="25627"/>
    <cellStyle name="asd 2 2 6 13" xfId="26239"/>
    <cellStyle name="asd 2 2 6 14" xfId="29513"/>
    <cellStyle name="asd 2 2 6 15" xfId="29849"/>
    <cellStyle name="asd 2 2 6 16" xfId="33179"/>
    <cellStyle name="asd 2 2 6 17" xfId="33895"/>
    <cellStyle name="asd 2 2 6 18" xfId="36454"/>
    <cellStyle name="asd 2 2 6 19" xfId="38333"/>
    <cellStyle name="asd 2 2 6 2" xfId="7024"/>
    <cellStyle name="asd 2 2 6 20" xfId="40370"/>
    <cellStyle name="asd 2 2 6 21" xfId="42026"/>
    <cellStyle name="asd 2 2 6 22" xfId="43608"/>
    <cellStyle name="asd 2 2 6 3" xfId="8478"/>
    <cellStyle name="asd 2 2 6 4" xfId="10388"/>
    <cellStyle name="asd 2 2 6 5" xfId="11796"/>
    <cellStyle name="asd 2 2 6 6" xfId="14328"/>
    <cellStyle name="asd 2 2 6 7" xfId="16232"/>
    <cellStyle name="asd 2 2 6 8" xfId="18007"/>
    <cellStyle name="asd 2 2 6 9" xfId="19913"/>
    <cellStyle name="asd 2 2 7" xfId="6719"/>
    <cellStyle name="asd 2 2 8" xfId="9097"/>
    <cellStyle name="asd 2 2 9" xfId="12000"/>
    <cellStyle name="asd 2 20" xfId="10917"/>
    <cellStyle name="asd 2 21" xfId="14723"/>
    <cellStyle name="asd 2 22" xfId="3858"/>
    <cellStyle name="asd 2 23" xfId="4259"/>
    <cellStyle name="asd 2 24" xfId="11578"/>
    <cellStyle name="asd 2 25" xfId="26510"/>
    <cellStyle name="asd 2 26" xfId="26984"/>
    <cellStyle name="asd 2 27" xfId="35036"/>
    <cellStyle name="asd 2 3" xfId="3510"/>
    <cellStyle name="asd 2 3 10" xfId="14340"/>
    <cellStyle name="asd 2 3 11" xfId="16244"/>
    <cellStyle name="asd 2 3 12" xfId="16988"/>
    <cellStyle name="asd 2 3 13" xfId="18895"/>
    <cellStyle name="asd 2 3 14" xfId="20807"/>
    <cellStyle name="asd 2 3 15" xfId="23870"/>
    <cellStyle name="asd 2 3 16" xfId="24609"/>
    <cellStyle name="asd 2 3 17" xfId="26689"/>
    <cellStyle name="asd 2 3 18" xfId="28922"/>
    <cellStyle name="asd 2 3 19" xfId="30289"/>
    <cellStyle name="asd 2 3 2" xfId="3690"/>
    <cellStyle name="asd 2 3 2 10" xfId="17581"/>
    <cellStyle name="asd 2 3 2 11" xfId="19487"/>
    <cellStyle name="asd 2 3 2 12" xfId="21399"/>
    <cellStyle name="asd 2 3 2 13" xfId="3022"/>
    <cellStyle name="asd 2 3 2 14" xfId="25201"/>
    <cellStyle name="asd 2 3 2 15" xfId="24240"/>
    <cellStyle name="asd 2 3 2 16" xfId="2910"/>
    <cellStyle name="asd 2 3 2 17" xfId="15917"/>
    <cellStyle name="asd 2 3 2 18" xfId="30276"/>
    <cellStyle name="asd 2 3 2 19" xfId="2324"/>
    <cellStyle name="asd 2 3 2 2" xfId="5757"/>
    <cellStyle name="asd 2 3 2 2 10" xfId="22007"/>
    <cellStyle name="asd 2 3 2 2 11" xfId="22535"/>
    <cellStyle name="asd 2 3 2 2 12" xfId="25809"/>
    <cellStyle name="asd 2 3 2 2 13" xfId="26636"/>
    <cellStyle name="asd 2 3 2 2 14" xfId="28568"/>
    <cellStyle name="asd 2 3 2 2 15" xfId="30239"/>
    <cellStyle name="asd 2 3 2 2 16" xfId="32194"/>
    <cellStyle name="asd 2 3 2 2 17" xfId="33434"/>
    <cellStyle name="asd 2 3 2 2 18" xfId="36636"/>
    <cellStyle name="asd 2 3 2 2 19" xfId="38515"/>
    <cellStyle name="asd 2 3 2 2 2" xfId="7206"/>
    <cellStyle name="asd 2 3 2 2 20" xfId="39416"/>
    <cellStyle name="asd 2 3 2 2 21" xfId="41092"/>
    <cellStyle name="asd 2 3 2 2 22" xfId="42344"/>
    <cellStyle name="asd 2 3 2 2 3" xfId="8660"/>
    <cellStyle name="asd 2 3 2 2 4" xfId="10570"/>
    <cellStyle name="asd 2 3 2 2 5" xfId="12322"/>
    <cellStyle name="asd 2 3 2 2 6" xfId="13003"/>
    <cellStyle name="asd 2 3 2 2 7" xfId="14907"/>
    <cellStyle name="asd 2 3 2 2 8" xfId="18189"/>
    <cellStyle name="asd 2 3 2 2 9" xfId="20095"/>
    <cellStyle name="asd 2 3 2 20" xfId="36028"/>
    <cellStyle name="asd 2 3 2 21" xfId="37907"/>
    <cellStyle name="asd 2 3 2 22" xfId="30148"/>
    <cellStyle name="asd 2 3 2 23" xfId="39921"/>
    <cellStyle name="asd 2 3 2 24" xfId="2631"/>
    <cellStyle name="asd 2 3 2 3" xfId="5151"/>
    <cellStyle name="asd 2 3 2 4" xfId="6601"/>
    <cellStyle name="asd 2 3 2 5" xfId="8052"/>
    <cellStyle name="asd 2 3 2 6" xfId="9962"/>
    <cellStyle name="asd 2 3 2 7" xfId="12479"/>
    <cellStyle name="asd 2 3 2 8" xfId="3091"/>
    <cellStyle name="asd 2 3 2 9" xfId="2487"/>
    <cellStyle name="asd 2 3 20" xfId="32374"/>
    <cellStyle name="asd 2 3 21" xfId="33584"/>
    <cellStyle name="asd 2 3 22" xfId="35437"/>
    <cellStyle name="asd 2 3 23" xfId="37315"/>
    <cellStyle name="asd 2 3 24" xfId="39592"/>
    <cellStyle name="asd 2 3 25" xfId="41266"/>
    <cellStyle name="asd 2 3 26" xfId="43620"/>
    <cellStyle name="asd 2 3 3" xfId="3129"/>
    <cellStyle name="asd 2 3 3 10" xfId="19161"/>
    <cellStyle name="asd 2 3 3 11" xfId="21073"/>
    <cellStyle name="asd 2 3 3 12" xfId="22901"/>
    <cellStyle name="asd 2 3 3 13" xfId="24875"/>
    <cellStyle name="asd 2 3 3 14" xfId="27373"/>
    <cellStyle name="asd 2 3 3 15" xfId="27885"/>
    <cellStyle name="asd 2 3 3 16" xfId="30959"/>
    <cellStyle name="asd 2 3 3 17" xfId="32272"/>
    <cellStyle name="asd 2 3 3 18" xfId="34298"/>
    <cellStyle name="asd 2 3 3 19" xfId="35702"/>
    <cellStyle name="asd 2 3 3 2" xfId="5688"/>
    <cellStyle name="asd 2 3 3 2 10" xfId="21938"/>
    <cellStyle name="asd 2 3 3 2 11" xfId="23324"/>
    <cellStyle name="asd 2 3 3 2 12" xfId="25740"/>
    <cellStyle name="asd 2 3 3 2 13" xfId="26843"/>
    <cellStyle name="asd 2 3 3 2 14" xfId="28172"/>
    <cellStyle name="asd 2 3 3 2 15" xfId="30440"/>
    <cellStyle name="asd 2 3 3 2 16" xfId="33044"/>
    <cellStyle name="asd 2 3 3 2 17" xfId="33797"/>
    <cellStyle name="asd 2 3 3 2 18" xfId="36567"/>
    <cellStyle name="asd 2 3 3 2 19" xfId="38446"/>
    <cellStyle name="asd 2 3 3 2 2" xfId="7137"/>
    <cellStyle name="asd 2 3 3 2 20" xfId="40243"/>
    <cellStyle name="asd 2 3 3 2 21" xfId="41902"/>
    <cellStyle name="asd 2 3 3 2 22" xfId="43095"/>
    <cellStyle name="asd 2 3 3 2 3" xfId="8591"/>
    <cellStyle name="asd 2 3 3 2 4" xfId="10501"/>
    <cellStyle name="asd 2 3 3 2 5" xfId="11281"/>
    <cellStyle name="asd 2 3 3 2 6" xfId="13796"/>
    <cellStyle name="asd 2 3 3 2 7" xfId="15698"/>
    <cellStyle name="asd 2 3 3 2 8" xfId="18120"/>
    <cellStyle name="asd 2 3 3 2 9" xfId="20026"/>
    <cellStyle name="asd 2 3 3 20" xfId="37581"/>
    <cellStyle name="asd 2 3 3 21" xfId="39490"/>
    <cellStyle name="asd 2 3 3 22" xfId="41165"/>
    <cellStyle name="asd 2 3 3 23" xfId="42687"/>
    <cellStyle name="asd 2 3 3 3" xfId="4825"/>
    <cellStyle name="asd 2 3 3 4" xfId="7726"/>
    <cellStyle name="asd 2 3 3 5" xfId="9636"/>
    <cellStyle name="asd 2 3 3 6" xfId="12452"/>
    <cellStyle name="asd 2 3 3 7" xfId="13369"/>
    <cellStyle name="asd 2 3 3 8" xfId="15274"/>
    <cellStyle name="asd 2 3 3 9" xfId="17255"/>
    <cellStyle name="asd 2 3 4" xfId="4142"/>
    <cellStyle name="asd 2 3 4 10" xfId="19777"/>
    <cellStyle name="asd 2 3 4 11" xfId="21689"/>
    <cellStyle name="asd 2 3 4 12" xfId="24106"/>
    <cellStyle name="asd 2 3 4 13" xfId="25491"/>
    <cellStyle name="asd 2 3 4 14" xfId="26298"/>
    <cellStyle name="asd 2 3 4 15" xfId="28125"/>
    <cellStyle name="asd 2 3 4 16" xfId="29907"/>
    <cellStyle name="asd 2 3 4 17" xfId="32285"/>
    <cellStyle name="asd 2 3 4 18" xfId="33968"/>
    <cellStyle name="asd 2 3 4 19" xfId="36318"/>
    <cellStyle name="asd 2 3 4 2" xfId="6047"/>
    <cellStyle name="asd 2 3 4 2 10" xfId="22297"/>
    <cellStyle name="asd 2 3 4 2 11" xfId="2944"/>
    <cellStyle name="asd 2 3 4 2 12" xfId="26099"/>
    <cellStyle name="asd 2 3 4 2 13" xfId="12744"/>
    <cellStyle name="asd 2 3 4 2 14" xfId="1817"/>
    <cellStyle name="asd 2 3 4 2 15" xfId="2240"/>
    <cellStyle name="asd 2 3 4 2 16" xfId="2325"/>
    <cellStyle name="asd 2 3 4 2 17" xfId="28017"/>
    <cellStyle name="asd 2 3 4 2 18" xfId="36926"/>
    <cellStyle name="asd 2 3 4 2 19" xfId="38805"/>
    <cellStyle name="asd 2 3 4 2 2" xfId="7496"/>
    <cellStyle name="asd 2 3 4 2 20" xfId="32874"/>
    <cellStyle name="asd 2 3 4 2 21" xfId="28590"/>
    <cellStyle name="asd 2 3 4 2 22" xfId="34838"/>
    <cellStyle name="asd 2 3 4 2 3" xfId="8950"/>
    <cellStyle name="asd 2 3 4 2 4" xfId="10860"/>
    <cellStyle name="asd 2 3 4 2 5" xfId="2540"/>
    <cellStyle name="asd 2 3 4 2 6" xfId="2022"/>
    <cellStyle name="asd 2 3 4 2 7" xfId="5292"/>
    <cellStyle name="asd 2 3 4 2 8" xfId="18479"/>
    <cellStyle name="asd 2 3 4 2 9" xfId="20385"/>
    <cellStyle name="asd 2 3 4 20" xfId="38197"/>
    <cellStyle name="asd 2 3 4 21" xfId="39504"/>
    <cellStyle name="asd 2 3 4 22" xfId="41179"/>
    <cellStyle name="asd 2 3 4 23" xfId="43849"/>
    <cellStyle name="asd 2 3 4 3" xfId="6888"/>
    <cellStyle name="asd 2 3 4 4" xfId="8342"/>
    <cellStyle name="asd 2 3 4 5" xfId="10252"/>
    <cellStyle name="asd 2 3 4 6" xfId="12065"/>
    <cellStyle name="asd 2 3 4 7" xfId="14576"/>
    <cellStyle name="asd 2 3 4 8" xfId="16482"/>
    <cellStyle name="asd 2 3 4 9" xfId="17871"/>
    <cellStyle name="asd 2 3 5" xfId="4983"/>
    <cellStyle name="asd 2 3 5 10" xfId="21231"/>
    <cellStyle name="asd 2 3 5 11" xfId="23707"/>
    <cellStyle name="asd 2 3 5 12" xfId="25033"/>
    <cellStyle name="asd 2 3 5 13" xfId="27001"/>
    <cellStyle name="asd 2 3 5 14" xfId="28759"/>
    <cellStyle name="asd 2 3 5 15" xfId="30595"/>
    <cellStyle name="asd 2 3 5 16" xfId="32082"/>
    <cellStyle name="asd 2 3 5 17" xfId="34278"/>
    <cellStyle name="asd 2 3 5 18" xfId="35860"/>
    <cellStyle name="asd 2 3 5 19" xfId="37739"/>
    <cellStyle name="asd 2 3 5 2" xfId="6433"/>
    <cellStyle name="asd 2 3 5 20" xfId="39306"/>
    <cellStyle name="asd 2 3 5 21" xfId="40982"/>
    <cellStyle name="asd 2 3 5 22" xfId="43464"/>
    <cellStyle name="asd 2 3 5 3" xfId="7884"/>
    <cellStyle name="asd 2 3 5 4" xfId="9794"/>
    <cellStyle name="asd 2 3 5 5" xfId="11789"/>
    <cellStyle name="asd 2 3 5 6" xfId="14177"/>
    <cellStyle name="asd 2 3 5 7" xfId="16081"/>
    <cellStyle name="asd 2 3 5 8" xfId="17413"/>
    <cellStyle name="asd 2 3 5 9" xfId="19319"/>
    <cellStyle name="asd 2 3 6" xfId="5531"/>
    <cellStyle name="asd 2 3 6 10" xfId="21781"/>
    <cellStyle name="asd 2 3 6 11" xfId="24034"/>
    <cellStyle name="asd 2 3 6 12" xfId="25583"/>
    <cellStyle name="asd 2 3 6 13" xfId="27073"/>
    <cellStyle name="asd 2 3 6 14" xfId="29469"/>
    <cellStyle name="asd 2 3 6 15" xfId="30664"/>
    <cellStyle name="asd 2 3 6 16" xfId="32387"/>
    <cellStyle name="asd 2 3 6 17" xfId="34636"/>
    <cellStyle name="asd 2 3 6 18" xfId="36410"/>
    <cellStyle name="asd 2 3 6 19" xfId="38289"/>
    <cellStyle name="asd 2 3 6 2" xfId="6980"/>
    <cellStyle name="asd 2 3 6 20" xfId="39605"/>
    <cellStyle name="asd 2 3 6 21" xfId="41279"/>
    <cellStyle name="asd 2 3 6 22" xfId="43778"/>
    <cellStyle name="asd 2 3 6 3" xfId="8434"/>
    <cellStyle name="asd 2 3 6 4" xfId="10344"/>
    <cellStyle name="asd 2 3 6 5" xfId="11993"/>
    <cellStyle name="asd 2 3 6 6" xfId="14504"/>
    <cellStyle name="asd 2 3 6 7" xfId="16410"/>
    <cellStyle name="asd 2 3 6 8" xfId="17963"/>
    <cellStyle name="asd 2 3 6 9" xfId="19869"/>
    <cellStyle name="asd 2 3 7" xfId="6677"/>
    <cellStyle name="asd 2 3 8" xfId="9369"/>
    <cellStyle name="asd 2 3 9" xfId="11485"/>
    <cellStyle name="asd 2 4" xfId="3397"/>
    <cellStyle name="asd 2 4 10" xfId="16286"/>
    <cellStyle name="asd 2 4 11" xfId="16735"/>
    <cellStyle name="asd 2 4 12" xfId="18642"/>
    <cellStyle name="asd 2 4 13" xfId="20554"/>
    <cellStyle name="asd 2 4 14" xfId="23912"/>
    <cellStyle name="asd 2 4 15" xfId="24356"/>
    <cellStyle name="asd 2 4 16" xfId="26491"/>
    <cellStyle name="asd 2 4 17" xfId="28944"/>
    <cellStyle name="asd 2 4 18" xfId="30096"/>
    <cellStyle name="asd 2 4 19" xfId="33276"/>
    <cellStyle name="asd 2 4 2" xfId="3577"/>
    <cellStyle name="asd 2 4 2 10" xfId="17468"/>
    <cellStyle name="asd 2 4 2 11" xfId="19374"/>
    <cellStyle name="asd 2 4 2 12" xfId="21286"/>
    <cellStyle name="asd 2 4 2 13" xfId="24006"/>
    <cellStyle name="asd 2 4 2 14" xfId="25088"/>
    <cellStyle name="asd 2 4 2 15" xfId="27302"/>
    <cellStyle name="asd 2 4 2 16" xfId="28918"/>
    <cellStyle name="asd 2 4 2 17" xfId="30892"/>
    <cellStyle name="asd 2 4 2 18" xfId="32682"/>
    <cellStyle name="asd 2 4 2 19" xfId="33844"/>
    <cellStyle name="asd 2 4 2 2" xfId="4566"/>
    <cellStyle name="asd 2 4 2 2 10" xfId="20811"/>
    <cellStyle name="asd 2 4 2 2 11" xfId="23775"/>
    <cellStyle name="asd 2 4 2 2 12" xfId="24613"/>
    <cellStyle name="asd 2 4 2 2 13" xfId="26553"/>
    <cellStyle name="asd 2 4 2 2 14" xfId="28337"/>
    <cellStyle name="asd 2 4 2 2 15" xfId="30158"/>
    <cellStyle name="asd 2 4 2 2 16" xfId="31743"/>
    <cellStyle name="asd 2 4 2 2 17" xfId="33874"/>
    <cellStyle name="asd 2 4 2 2 18" xfId="35441"/>
    <cellStyle name="asd 2 4 2 2 19" xfId="37319"/>
    <cellStyle name="asd 2 4 2 2 2" xfId="5399"/>
    <cellStyle name="asd 2 4 2 2 20" xfId="38984"/>
    <cellStyle name="asd 2 4 2 2 21" xfId="40667"/>
    <cellStyle name="asd 2 4 2 2 22" xfId="43528"/>
    <cellStyle name="asd 2 4 2 2 3" xfId="6635"/>
    <cellStyle name="asd 2 4 2 2 4" xfId="9373"/>
    <cellStyle name="asd 2 4 2 2 5" xfId="11430"/>
    <cellStyle name="asd 2 4 2 2 6" xfId="14245"/>
    <cellStyle name="asd 2 4 2 2 7" xfId="16149"/>
    <cellStyle name="asd 2 4 2 2 8" xfId="16992"/>
    <cellStyle name="asd 2 4 2 2 9" xfId="18899"/>
    <cellStyle name="asd 2 4 2 20" xfId="35915"/>
    <cellStyle name="asd 2 4 2 21" xfId="37794"/>
    <cellStyle name="asd 2 4 2 22" xfId="39890"/>
    <cellStyle name="asd 2 4 2 23" xfId="41559"/>
    <cellStyle name="asd 2 4 2 24" xfId="43750"/>
    <cellStyle name="asd 2 4 2 3" xfId="5038"/>
    <cellStyle name="asd 2 4 2 4" xfId="6488"/>
    <cellStyle name="asd 2 4 2 5" xfId="7939"/>
    <cellStyle name="asd 2 4 2 6" xfId="9849"/>
    <cellStyle name="asd 2 4 2 7" xfId="11965"/>
    <cellStyle name="asd 2 4 2 8" xfId="14476"/>
    <cellStyle name="asd 2 4 2 9" xfId="16382"/>
    <cellStyle name="asd 2 4 20" xfId="34136"/>
    <cellStyle name="asd 2 4 21" xfId="35184"/>
    <cellStyle name="asd 2 4 22" xfId="37062"/>
    <cellStyle name="asd 2 4 23" xfId="40462"/>
    <cellStyle name="asd 2 4 24" xfId="42117"/>
    <cellStyle name="asd 2 4 25" xfId="43658"/>
    <cellStyle name="asd 2 4 3" xfId="3772"/>
    <cellStyle name="asd 2 4 3 10" xfId="19512"/>
    <cellStyle name="asd 2 4 3 11" xfId="21424"/>
    <cellStyle name="asd 2 4 3 12" xfId="23048"/>
    <cellStyle name="asd 2 4 3 13" xfId="25226"/>
    <cellStyle name="asd 2 4 3 14" xfId="27680"/>
    <cellStyle name="asd 2 4 3 15" xfId="28517"/>
    <cellStyle name="asd 2 4 3 16" xfId="31255"/>
    <cellStyle name="asd 2 4 3 17" xfId="32042"/>
    <cellStyle name="asd 2 4 3 18" xfId="34785"/>
    <cellStyle name="asd 2 4 3 19" xfId="36053"/>
    <cellStyle name="asd 2 4 3 2" xfId="5782"/>
    <cellStyle name="asd 2 4 3 2 10" xfId="22032"/>
    <cellStyle name="asd 2 4 3 2 11" xfId="22972"/>
    <cellStyle name="asd 2 4 3 2 12" xfId="25834"/>
    <cellStyle name="asd 2 4 3 2 13" xfId="3974"/>
    <cellStyle name="asd 2 4 3 2 14" xfId="23507"/>
    <cellStyle name="asd 2 4 3 2 15" xfId="14706"/>
    <cellStyle name="asd 2 4 3 2 16" xfId="28280"/>
    <cellStyle name="asd 2 4 3 2 17" xfId="3219"/>
    <cellStyle name="asd 2 4 3 2 18" xfId="36661"/>
    <cellStyle name="asd 2 4 3 2 19" xfId="38540"/>
    <cellStyle name="asd 2 4 3 2 2" xfId="7231"/>
    <cellStyle name="asd 2 4 3 2 20" xfId="31378"/>
    <cellStyle name="asd 2 4 3 2 21" xfId="2162"/>
    <cellStyle name="asd 2 4 3 2 22" xfId="42758"/>
    <cellStyle name="asd 2 4 3 2 3" xfId="8685"/>
    <cellStyle name="asd 2 4 3 2 4" xfId="10595"/>
    <cellStyle name="asd 2 4 3 2 5" xfId="11150"/>
    <cellStyle name="asd 2 4 3 2 6" xfId="13441"/>
    <cellStyle name="asd 2 4 3 2 7" xfId="15346"/>
    <cellStyle name="asd 2 4 3 2 8" xfId="18214"/>
    <cellStyle name="asd 2 4 3 2 9" xfId="20120"/>
    <cellStyle name="asd 2 4 3 20" xfId="37932"/>
    <cellStyle name="asd 2 4 3 21" xfId="39271"/>
    <cellStyle name="asd 2 4 3 22" xfId="40948"/>
    <cellStyle name="asd 2 4 3 23" xfId="42831"/>
    <cellStyle name="asd 2 4 3 3" xfId="5176"/>
    <cellStyle name="asd 2 4 3 4" xfId="8077"/>
    <cellStyle name="asd 2 4 3 5" xfId="9987"/>
    <cellStyle name="asd 2 4 3 6" xfId="12647"/>
    <cellStyle name="asd 2 4 3 7" xfId="13519"/>
    <cellStyle name="asd 2 4 3 8" xfId="15422"/>
    <cellStyle name="asd 2 4 3 9" xfId="17606"/>
    <cellStyle name="asd 2 4 4" xfId="4029"/>
    <cellStyle name="asd 2 4 4 10" xfId="19664"/>
    <cellStyle name="asd 2 4 4 11" xfId="21576"/>
    <cellStyle name="asd 2 4 4 12" xfId="22437"/>
    <cellStyle name="asd 2 4 4 13" xfId="25378"/>
    <cellStyle name="asd 2 4 4 14" xfId="27683"/>
    <cellStyle name="asd 2 4 4 15" xfId="29607"/>
    <cellStyle name="asd 2 4 4 16" xfId="31257"/>
    <cellStyle name="asd 2 4 4 17" xfId="33072"/>
    <cellStyle name="asd 2 4 4 18" xfId="33761"/>
    <cellStyle name="asd 2 4 4 19" xfId="36205"/>
    <cellStyle name="asd 2 4 4 2" xfId="5934"/>
    <cellStyle name="asd 2 4 4 2 10" xfId="22184"/>
    <cellStyle name="asd 2 4 4 2 11" xfId="24151"/>
    <cellStyle name="asd 2 4 4 2 12" xfId="25986"/>
    <cellStyle name="asd 2 4 4 2 13" xfId="26157"/>
    <cellStyle name="asd 2 4 4 2 14" xfId="3328"/>
    <cellStyle name="asd 2 4 4 2 15" xfId="29771"/>
    <cellStyle name="asd 2 4 4 2 16" xfId="15066"/>
    <cellStyle name="asd 2 4 4 2 17" xfId="1976"/>
    <cellStyle name="asd 2 4 4 2 18" xfId="36813"/>
    <cellStyle name="asd 2 4 4 2 19" xfId="38692"/>
    <cellStyle name="asd 2 4 4 2 2" xfId="7383"/>
    <cellStyle name="asd 2 4 4 2 20" xfId="2440"/>
    <cellStyle name="asd 2 4 4 2 21" xfId="36951"/>
    <cellStyle name="asd 2 4 4 2 22" xfId="43893"/>
    <cellStyle name="asd 2 4 4 2 3" xfId="8837"/>
    <cellStyle name="asd 2 4 4 2 4" xfId="10747"/>
    <cellStyle name="asd 2 4 4 2 5" xfId="12111"/>
    <cellStyle name="asd 2 4 4 2 6" xfId="14622"/>
    <cellStyle name="asd 2 4 4 2 7" xfId="16528"/>
    <cellStyle name="asd 2 4 4 2 8" xfId="18366"/>
    <cellStyle name="asd 2 4 4 2 9" xfId="20272"/>
    <cellStyle name="asd 2 4 4 20" xfId="38084"/>
    <cellStyle name="asd 2 4 4 21" xfId="40268"/>
    <cellStyle name="asd 2 4 4 22" xfId="41926"/>
    <cellStyle name="asd 2 4 4 23" xfId="42248"/>
    <cellStyle name="asd 2 4 4 3" xfId="6775"/>
    <cellStyle name="asd 2 4 4 4" xfId="8229"/>
    <cellStyle name="asd 2 4 4 5" xfId="10139"/>
    <cellStyle name="asd 2 4 4 6" xfId="11817"/>
    <cellStyle name="asd 2 4 4 7" xfId="12905"/>
    <cellStyle name="asd 2 4 4 8" xfId="14810"/>
    <cellStyle name="asd 2 4 4 9" xfId="17758"/>
    <cellStyle name="asd 2 4 5" xfId="4605"/>
    <cellStyle name="asd 2 4 5 10" xfId="20850"/>
    <cellStyle name="asd 2 4 5 11" xfId="23386"/>
    <cellStyle name="asd 2 4 5 12" xfId="24652"/>
    <cellStyle name="asd 2 4 5 13" xfId="27688"/>
    <cellStyle name="asd 2 4 5 14" xfId="16252"/>
    <cellStyle name="asd 2 4 5 15" xfId="31262"/>
    <cellStyle name="asd 2 4 5 16" xfId="32913"/>
    <cellStyle name="asd 2 4 5 17" xfId="29668"/>
    <cellStyle name="asd 2 4 5 18" xfId="35480"/>
    <cellStyle name="asd 2 4 5 19" xfId="37358"/>
    <cellStyle name="asd 2 4 5 2" xfId="3318"/>
    <cellStyle name="asd 2 4 5 20" xfId="40117"/>
    <cellStyle name="asd 2 4 5 21" xfId="41777"/>
    <cellStyle name="asd 2 4 5 22" xfId="43153"/>
    <cellStyle name="asd 2 4 5 3" xfId="4631"/>
    <cellStyle name="asd 2 4 5 4" xfId="9412"/>
    <cellStyle name="asd 2 4 5 5" xfId="11212"/>
    <cellStyle name="asd 2 4 5 6" xfId="13858"/>
    <cellStyle name="asd 2 4 5 7" xfId="15759"/>
    <cellStyle name="asd 2 4 5 8" xfId="17031"/>
    <cellStyle name="asd 2 4 5 9" xfId="18938"/>
    <cellStyle name="asd 2 4 6" xfId="4732"/>
    <cellStyle name="asd 2 4 7" xfId="9116"/>
    <cellStyle name="asd 2 4 8" xfId="11871"/>
    <cellStyle name="asd 2 4 9" xfId="14380"/>
    <cellStyle name="asd 2 5" xfId="3113"/>
    <cellStyle name="asd 2 5 10" xfId="17252"/>
    <cellStyle name="asd 2 5 11" xfId="19158"/>
    <cellStyle name="asd 2 5 12" xfId="21070"/>
    <cellStyle name="asd 2 5 13" xfId="23689"/>
    <cellStyle name="asd 2 5 14" xfId="24872"/>
    <cellStyle name="asd 2 5 15" xfId="27793"/>
    <cellStyle name="asd 2 5 16" xfId="28048"/>
    <cellStyle name="asd 2 5 17" xfId="31370"/>
    <cellStyle name="asd 2 5 18" xfId="32705"/>
    <cellStyle name="asd 2 5 19" xfId="33387"/>
    <cellStyle name="asd 2 5 2" xfId="5458"/>
    <cellStyle name="asd 2 5 2 10" xfId="21708"/>
    <cellStyle name="asd 2 5 2 11" xfId="23623"/>
    <cellStyle name="asd 2 5 2 12" xfId="25510"/>
    <cellStyle name="asd 2 5 2 13" xfId="27247"/>
    <cellStyle name="asd 2 5 2 14" xfId="28567"/>
    <cellStyle name="asd 2 5 2 15" xfId="30838"/>
    <cellStyle name="asd 2 5 2 16" xfId="33108"/>
    <cellStyle name="asd 2 5 2 17" xfId="34378"/>
    <cellStyle name="asd 2 5 2 18" xfId="36337"/>
    <cellStyle name="asd 2 5 2 19" xfId="38216"/>
    <cellStyle name="asd 2 5 2 2" xfId="6907"/>
    <cellStyle name="asd 2 5 2 20" xfId="40303"/>
    <cellStyle name="asd 2 5 2 21" xfId="41959"/>
    <cellStyle name="asd 2 5 2 22" xfId="43381"/>
    <cellStyle name="asd 2 5 2 3" xfId="8361"/>
    <cellStyle name="asd 2 5 2 4" xfId="10271"/>
    <cellStyle name="asd 2 5 2 5" xfId="11720"/>
    <cellStyle name="asd 2 5 2 6" xfId="14093"/>
    <cellStyle name="asd 2 5 2 7" xfId="15996"/>
    <cellStyle name="asd 2 5 2 8" xfId="17890"/>
    <cellStyle name="asd 2 5 2 9" xfId="19796"/>
    <cellStyle name="asd 2 5 20" xfId="35699"/>
    <cellStyle name="asd 2 5 21" xfId="37578"/>
    <cellStyle name="asd 2 5 22" xfId="39913"/>
    <cellStyle name="asd 2 5 23" xfId="41582"/>
    <cellStyle name="asd 2 5 24" xfId="43446"/>
    <cellStyle name="asd 2 5 3" xfId="4822"/>
    <cellStyle name="asd 2 5 4" xfId="6272"/>
    <cellStyle name="asd 2 5 5" xfId="7723"/>
    <cellStyle name="asd 2 5 6" xfId="9633"/>
    <cellStyle name="asd 2 5 7" xfId="11419"/>
    <cellStyle name="asd 2 5 8" xfId="14159"/>
    <cellStyle name="asd 2 5 9" xfId="16063"/>
    <cellStyle name="asd 2 6" xfId="3182"/>
    <cellStyle name="asd 2 6 10" xfId="19174"/>
    <cellStyle name="asd 2 6 11" xfId="21086"/>
    <cellStyle name="asd 2 6 12" xfId="24154"/>
    <cellStyle name="asd 2 6 13" xfId="24888"/>
    <cellStyle name="asd 2 6 14" xfId="26763"/>
    <cellStyle name="asd 2 6 15" xfId="28653"/>
    <cellStyle name="asd 2 6 16" xfId="30362"/>
    <cellStyle name="asd 2 6 17" xfId="31841"/>
    <cellStyle name="asd 2 6 18" xfId="33407"/>
    <cellStyle name="asd 2 6 19" xfId="35715"/>
    <cellStyle name="asd 2 6 2" xfId="5606"/>
    <cellStyle name="asd 2 6 2 10" xfId="21856"/>
    <cellStyle name="asd 2 6 2 11" xfId="23975"/>
    <cellStyle name="asd 2 6 2 12" xfId="25658"/>
    <cellStyle name="asd 2 6 2 13" xfId="27165"/>
    <cellStyle name="asd 2 6 2 14" xfId="28709"/>
    <cellStyle name="asd 2 6 2 15" xfId="30756"/>
    <cellStyle name="asd 2 6 2 16" xfId="32615"/>
    <cellStyle name="asd 2 6 2 17" xfId="34646"/>
    <cellStyle name="asd 2 6 2 18" xfId="36485"/>
    <cellStyle name="asd 2 6 2 19" xfId="38364"/>
    <cellStyle name="asd 2 6 2 2" xfId="7055"/>
    <cellStyle name="asd 2 6 2 20" xfId="39825"/>
    <cellStyle name="asd 2 6 2 21" xfId="41494"/>
    <cellStyle name="asd 2 6 2 22" xfId="43720"/>
    <cellStyle name="asd 2 6 2 3" xfId="8509"/>
    <cellStyle name="asd 2 6 2 4" xfId="10419"/>
    <cellStyle name="asd 2 6 2 5" xfId="11935"/>
    <cellStyle name="asd 2 6 2 6" xfId="14445"/>
    <cellStyle name="asd 2 6 2 7" xfId="16351"/>
    <cellStyle name="asd 2 6 2 8" xfId="18038"/>
    <cellStyle name="asd 2 6 2 9" xfId="19944"/>
    <cellStyle name="asd 2 6 20" xfId="37594"/>
    <cellStyle name="asd 2 6 21" xfId="39078"/>
    <cellStyle name="asd 2 6 22" xfId="40759"/>
    <cellStyle name="asd 2 6 23" xfId="43896"/>
    <cellStyle name="asd 2 6 3" xfId="4838"/>
    <cellStyle name="asd 2 6 4" xfId="7739"/>
    <cellStyle name="asd 2 6 5" xfId="9649"/>
    <cellStyle name="asd 2 6 6" xfId="12114"/>
    <cellStyle name="asd 2 6 7" xfId="14625"/>
    <cellStyle name="asd 2 6 8" xfId="16531"/>
    <cellStyle name="asd 2 6 9" xfId="17268"/>
    <cellStyle name="asd 2 7" xfId="2855"/>
    <cellStyle name="asd 2 7 10" xfId="19119"/>
    <cellStyle name="asd 2 7 11" xfId="21031"/>
    <cellStyle name="asd 2 7 12" xfId="22525"/>
    <cellStyle name="asd 2 7 13" xfId="24833"/>
    <cellStyle name="asd 2 7 14" xfId="27780"/>
    <cellStyle name="asd 2 7 15" xfId="29295"/>
    <cellStyle name="asd 2 7 16" xfId="31357"/>
    <cellStyle name="asd 2 7 17" xfId="31647"/>
    <cellStyle name="asd 2 7 18" xfId="33518"/>
    <cellStyle name="asd 2 7 19" xfId="35660"/>
    <cellStyle name="asd 2 7 2" xfId="5497"/>
    <cellStyle name="asd 2 7 2 10" xfId="21747"/>
    <cellStyle name="asd 2 7 2 11" xfId="23458"/>
    <cellStyle name="asd 2 7 2 12" xfId="25549"/>
    <cellStyle name="asd 2 7 2 13" xfId="27280"/>
    <cellStyle name="asd 2 7 2 14" xfId="28423"/>
    <cellStyle name="asd 2 7 2 15" xfId="30872"/>
    <cellStyle name="asd 2 7 2 16" xfId="32519"/>
    <cellStyle name="asd 2 7 2 17" xfId="34693"/>
    <cellStyle name="asd 2 7 2 18" xfId="36376"/>
    <cellStyle name="asd 2 7 2 19" xfId="38255"/>
    <cellStyle name="asd 2 7 2 2" xfId="6946"/>
    <cellStyle name="asd 2 7 2 20" xfId="39733"/>
    <cellStyle name="asd 2 7 2 21" xfId="41405"/>
    <cellStyle name="asd 2 7 2 22" xfId="43225"/>
    <cellStyle name="asd 2 7 2 3" xfId="8400"/>
    <cellStyle name="asd 2 7 2 4" xfId="10310"/>
    <cellStyle name="asd 2 7 2 5" xfId="11143"/>
    <cellStyle name="asd 2 7 2 6" xfId="13930"/>
    <cellStyle name="asd 2 7 2 7" xfId="15831"/>
    <cellStyle name="asd 2 7 2 8" xfId="17929"/>
    <cellStyle name="asd 2 7 2 9" xfId="19835"/>
    <cellStyle name="asd 2 7 20" xfId="37539"/>
    <cellStyle name="asd 2 7 21" xfId="38892"/>
    <cellStyle name="asd 2 7 22" xfId="40577"/>
    <cellStyle name="asd 2 7 23" xfId="42335"/>
    <cellStyle name="asd 2 7 3" xfId="6233"/>
    <cellStyle name="asd 2 7 4" xfId="7684"/>
    <cellStyle name="asd 2 7 5" xfId="9594"/>
    <cellStyle name="asd 2 7 6" xfId="11513"/>
    <cellStyle name="asd 2 7 7" xfId="12993"/>
    <cellStyle name="asd 2 7 8" xfId="14897"/>
    <cellStyle name="asd 2 7 9" xfId="17213"/>
    <cellStyle name="asd 2 8" xfId="3969"/>
    <cellStyle name="asd 2 9" xfId="3714"/>
    <cellStyle name="asd 20" xfId="822"/>
    <cellStyle name="asd 20 10" xfId="2198"/>
    <cellStyle name="asd 20 11" xfId="2495"/>
    <cellStyle name="asd 20 12" xfId="3074"/>
    <cellStyle name="asd 20 13" xfId="1812"/>
    <cellStyle name="asd 20 14" xfId="2616"/>
    <cellStyle name="asd 20 15" xfId="1956"/>
    <cellStyle name="asd 20 16" xfId="2422"/>
    <cellStyle name="asd 20 17" xfId="5296"/>
    <cellStyle name="asd 20 18" xfId="24226"/>
    <cellStyle name="asd 20 19" xfId="1840"/>
    <cellStyle name="asd 20 2" xfId="3483"/>
    <cellStyle name="asd 20 2 10" xfId="13159"/>
    <cellStyle name="asd 20 2 11" xfId="15064"/>
    <cellStyle name="asd 20 2 12" xfId="16918"/>
    <cellStyle name="asd 20 2 13" xfId="18825"/>
    <cellStyle name="asd 20 2 14" xfId="20737"/>
    <cellStyle name="asd 20 2 15" xfId="22692"/>
    <cellStyle name="asd 20 2 16" xfId="24539"/>
    <cellStyle name="asd 20 2 17" xfId="27629"/>
    <cellStyle name="asd 20 2 18" xfId="29339"/>
    <cellStyle name="asd 20 2 19" xfId="31207"/>
    <cellStyle name="asd 20 2 2" xfId="3663"/>
    <cellStyle name="asd 20 2 2 10" xfId="17554"/>
    <cellStyle name="asd 20 2 2 11" xfId="19460"/>
    <cellStyle name="asd 20 2 2 12" xfId="21372"/>
    <cellStyle name="asd 20 2 2 13" xfId="22971"/>
    <cellStyle name="asd 20 2 2 14" xfId="25174"/>
    <cellStyle name="asd 20 2 2 15" xfId="26364"/>
    <cellStyle name="asd 20 2 2 16" xfId="29401"/>
    <cellStyle name="asd 20 2 2 17" xfId="29972"/>
    <cellStyle name="asd 20 2 2 18" xfId="33112"/>
    <cellStyle name="asd 20 2 2 19" xfId="34112"/>
    <cellStyle name="asd 20 2 2 2" xfId="3936"/>
    <cellStyle name="asd 20 2 2 2 10" xfId="20582"/>
    <cellStyle name="asd 20 2 2 2 11" xfId="22484"/>
    <cellStyle name="asd 20 2 2 2 12" xfId="24384"/>
    <cellStyle name="asd 20 2 2 2 13" xfId="26738"/>
    <cellStyle name="asd 20 2 2 2 14" xfId="29122"/>
    <cellStyle name="asd 20 2 2 2 15" xfId="30338"/>
    <cellStyle name="asd 20 2 2 2 16" xfId="31670"/>
    <cellStyle name="asd 20 2 2 2 17" xfId="33691"/>
    <cellStyle name="asd 20 2 2 2 18" xfId="35212"/>
    <cellStyle name="asd 20 2 2 2 19" xfId="37090"/>
    <cellStyle name="asd 20 2 2 2 2" xfId="4763"/>
    <cellStyle name="asd 20 2 2 2 20" xfId="38914"/>
    <cellStyle name="asd 20 2 2 2 21" xfId="40598"/>
    <cellStyle name="asd 20 2 2 2 22" xfId="42294"/>
    <cellStyle name="asd 20 2 2 2 3" xfId="6227"/>
    <cellStyle name="asd 20 2 2 2 4" xfId="9144"/>
    <cellStyle name="asd 20 2 2 2 5" xfId="12688"/>
    <cellStyle name="asd 20 2 2 2 6" xfId="12952"/>
    <cellStyle name="asd 20 2 2 2 7" xfId="14856"/>
    <cellStyle name="asd 20 2 2 2 8" xfId="16763"/>
    <cellStyle name="asd 20 2 2 2 9" xfId="18670"/>
    <cellStyle name="asd 20 2 2 20" xfId="36001"/>
    <cellStyle name="asd 20 2 2 21" xfId="37880"/>
    <cellStyle name="asd 20 2 2 22" xfId="40307"/>
    <cellStyle name="asd 20 2 2 23" xfId="41963"/>
    <cellStyle name="asd 20 2 2 24" xfId="42757"/>
    <cellStyle name="asd 20 2 2 3" xfId="5124"/>
    <cellStyle name="asd 20 2 2 4" xfId="6574"/>
    <cellStyle name="asd 20 2 2 5" xfId="8025"/>
    <cellStyle name="asd 20 2 2 6" xfId="9935"/>
    <cellStyle name="asd 20 2 2 7" xfId="12426"/>
    <cellStyle name="asd 20 2 2 8" xfId="13440"/>
    <cellStyle name="asd 20 2 2 9" xfId="15345"/>
    <cellStyle name="asd 20 2 20" xfId="32186"/>
    <cellStyle name="asd 20 2 21" xfId="33865"/>
    <cellStyle name="asd 20 2 22" xfId="35367"/>
    <cellStyle name="asd 20 2 23" xfId="37245"/>
    <cellStyle name="asd 20 2 24" xfId="39408"/>
    <cellStyle name="asd 20 2 25" xfId="41084"/>
    <cellStyle name="asd 20 2 26" xfId="42495"/>
    <cellStyle name="asd 20 2 3" xfId="2928"/>
    <cellStyle name="asd 20 2 3 10" xfId="19127"/>
    <cellStyle name="asd 20 2 3 11" xfId="21039"/>
    <cellStyle name="asd 20 2 3 12" xfId="23814"/>
    <cellStyle name="asd 20 2 3 13" xfId="24841"/>
    <cellStyle name="asd 20 2 3 14" xfId="26375"/>
    <cellStyle name="asd 20 2 3 15" xfId="11689"/>
    <cellStyle name="asd 20 2 3 16" xfId="29983"/>
    <cellStyle name="asd 20 2 3 17" xfId="32853"/>
    <cellStyle name="asd 20 2 3 18" xfId="2845"/>
    <cellStyle name="asd 20 2 3 19" xfId="35668"/>
    <cellStyle name="asd 20 2 3 2" xfId="4537"/>
    <cellStyle name="asd 20 2 3 2 10" xfId="20782"/>
    <cellStyle name="asd 20 2 3 2 11" xfId="23546"/>
    <cellStyle name="asd 20 2 3 2 12" xfId="24584"/>
    <cellStyle name="asd 20 2 3 2 13" xfId="26933"/>
    <cellStyle name="asd 20 2 3 2 14" xfId="29009"/>
    <cellStyle name="asd 20 2 3 2 15" xfId="30527"/>
    <cellStyle name="asd 20 2 3 2 16" xfId="32139"/>
    <cellStyle name="asd 20 2 3 2 17" xfId="34240"/>
    <cellStyle name="asd 20 2 3 2 18" xfId="35412"/>
    <cellStyle name="asd 20 2 3 2 19" xfId="37290"/>
    <cellStyle name="asd 20 2 3 2 2" xfId="4779"/>
    <cellStyle name="asd 20 2 3 2 20" xfId="39362"/>
    <cellStyle name="asd 20 2 3 2 21" xfId="41038"/>
    <cellStyle name="asd 20 2 3 2 22" xfId="43310"/>
    <cellStyle name="asd 20 2 3 2 3" xfId="6125"/>
    <cellStyle name="asd 20 2 3 2 4" xfId="9344"/>
    <cellStyle name="asd 20 2 3 2 5" xfId="12262"/>
    <cellStyle name="asd 20 2 3 2 6" xfId="14018"/>
    <cellStyle name="asd 20 2 3 2 7" xfId="15919"/>
    <cellStyle name="asd 20 2 3 2 8" xfId="16963"/>
    <cellStyle name="asd 20 2 3 2 9" xfId="18870"/>
    <cellStyle name="asd 20 2 3 20" xfId="37547"/>
    <cellStyle name="asd 20 2 3 21" xfId="40060"/>
    <cellStyle name="asd 20 2 3 22" xfId="41724"/>
    <cellStyle name="asd 20 2 3 23" xfId="43565"/>
    <cellStyle name="asd 20 2 3 3" xfId="4792"/>
    <cellStyle name="asd 20 2 3 4" xfId="7692"/>
    <cellStyle name="asd 20 2 3 5" xfId="9602"/>
    <cellStyle name="asd 20 2 3 6" xfId="11535"/>
    <cellStyle name="asd 20 2 3 7" xfId="14284"/>
    <cellStyle name="asd 20 2 3 8" xfId="16188"/>
    <cellStyle name="asd 20 2 3 9" xfId="17221"/>
    <cellStyle name="asd 20 2 4" xfId="4115"/>
    <cellStyle name="asd 20 2 4 10" xfId="19750"/>
    <cellStyle name="asd 20 2 4 11" xfId="21662"/>
    <cellStyle name="asd 20 2 4 12" xfId="22660"/>
    <cellStyle name="asd 20 2 4 13" xfId="25464"/>
    <cellStyle name="asd 20 2 4 14" xfId="26938"/>
    <cellStyle name="asd 20 2 4 15" xfId="29333"/>
    <cellStyle name="asd 20 2 4 16" xfId="30532"/>
    <cellStyle name="asd 20 2 4 17" xfId="32631"/>
    <cellStyle name="asd 20 2 4 18" xfId="33680"/>
    <cellStyle name="asd 20 2 4 19" xfId="36291"/>
    <cellStyle name="asd 20 2 4 2" xfId="6020"/>
    <cellStyle name="asd 20 2 4 2 10" xfId="22270"/>
    <cellStyle name="asd 20 2 4 2 11" xfId="23211"/>
    <cellStyle name="asd 20 2 4 2 12" xfId="26072"/>
    <cellStyle name="asd 20 2 4 2 13" xfId="26740"/>
    <cellStyle name="asd 20 2 4 2 14" xfId="28700"/>
    <cellStyle name="asd 20 2 4 2 15" xfId="30340"/>
    <cellStyle name="asd 20 2 4 2 16" xfId="32919"/>
    <cellStyle name="asd 20 2 4 2 17" xfId="33866"/>
    <cellStyle name="asd 20 2 4 2 18" xfId="36899"/>
    <cellStyle name="asd 20 2 4 2 19" xfId="38778"/>
    <cellStyle name="asd 20 2 4 2 2" xfId="7469"/>
    <cellStyle name="asd 20 2 4 2 20" xfId="40123"/>
    <cellStyle name="asd 20 2 4 2 21" xfId="41783"/>
    <cellStyle name="asd 20 2 4 2 22" xfId="42989"/>
    <cellStyle name="asd 20 2 4 2 3" xfId="8923"/>
    <cellStyle name="asd 20 2 4 2 4" xfId="10833"/>
    <cellStyle name="asd 20 2 4 2 5" xfId="11082"/>
    <cellStyle name="asd 20 2 4 2 6" xfId="13683"/>
    <cellStyle name="asd 20 2 4 2 7" xfId="15585"/>
    <cellStyle name="asd 20 2 4 2 8" xfId="18452"/>
    <cellStyle name="asd 20 2 4 2 9" xfId="20358"/>
    <cellStyle name="asd 20 2 4 20" xfId="38170"/>
    <cellStyle name="asd 20 2 4 21" xfId="39840"/>
    <cellStyle name="asd 20 2 4 22" xfId="41509"/>
    <cellStyle name="asd 20 2 4 23" xfId="42466"/>
    <cellStyle name="asd 20 2 4 3" xfId="6861"/>
    <cellStyle name="asd 20 2 4 4" xfId="8315"/>
    <cellStyle name="asd 20 2 4 5" xfId="10225"/>
    <cellStyle name="asd 20 2 4 6" xfId="3037"/>
    <cellStyle name="asd 20 2 4 7" xfId="13127"/>
    <cellStyle name="asd 20 2 4 8" xfId="15032"/>
    <cellStyle name="asd 20 2 4 9" xfId="17844"/>
    <cellStyle name="asd 20 2 5" xfId="4964"/>
    <cellStyle name="asd 20 2 5 10" xfId="21212"/>
    <cellStyle name="asd 20 2 5 11" xfId="23354"/>
    <cellStyle name="asd 20 2 5 12" xfId="25014"/>
    <cellStyle name="asd 20 2 5 13" xfId="27048"/>
    <cellStyle name="asd 20 2 5 14" xfId="4342"/>
    <cellStyle name="asd 20 2 5 15" xfId="30641"/>
    <cellStyle name="asd 20 2 5 16" xfId="32529"/>
    <cellStyle name="asd 20 2 5 17" xfId="34736"/>
    <cellStyle name="asd 20 2 5 18" xfId="35841"/>
    <cellStyle name="asd 20 2 5 19" xfId="37720"/>
    <cellStyle name="asd 20 2 5 2" xfId="6414"/>
    <cellStyle name="asd 20 2 5 20" xfId="39742"/>
    <cellStyle name="asd 20 2 5 21" xfId="41414"/>
    <cellStyle name="asd 20 2 5 22" xfId="43124"/>
    <cellStyle name="asd 20 2 5 3" xfId="7865"/>
    <cellStyle name="asd 20 2 5 4" xfId="9775"/>
    <cellStyle name="asd 20 2 5 5" xfId="12297"/>
    <cellStyle name="asd 20 2 5 6" xfId="13826"/>
    <cellStyle name="asd 20 2 5 7" xfId="15728"/>
    <cellStyle name="asd 20 2 5 8" xfId="17394"/>
    <cellStyle name="asd 20 2 5 9" xfId="19300"/>
    <cellStyle name="asd 20 2 6" xfId="5457"/>
    <cellStyle name="asd 20 2 6 10" xfId="21707"/>
    <cellStyle name="asd 20 2 6 11" xfId="22836"/>
    <cellStyle name="asd 20 2 6 12" xfId="25509"/>
    <cellStyle name="asd 20 2 6 13" xfId="26317"/>
    <cellStyle name="asd 20 2 6 14" xfId="28923"/>
    <cellStyle name="asd 20 2 6 15" xfId="29925"/>
    <cellStyle name="asd 20 2 6 16" xfId="31989"/>
    <cellStyle name="asd 20 2 6 17" xfId="33736"/>
    <cellStyle name="asd 20 2 6 18" xfId="36336"/>
    <cellStyle name="asd 20 2 6 19" xfId="38215"/>
    <cellStyle name="asd 20 2 6 2" xfId="6906"/>
    <cellStyle name="asd 20 2 6 20" xfId="39220"/>
    <cellStyle name="asd 20 2 6 21" xfId="40898"/>
    <cellStyle name="asd 20 2 6 22" xfId="42627"/>
    <cellStyle name="asd 20 2 6 3" xfId="8360"/>
    <cellStyle name="asd 20 2 6 4" xfId="10270"/>
    <cellStyle name="asd 20 2 6 5" xfId="12184"/>
    <cellStyle name="asd 20 2 6 6" xfId="13305"/>
    <cellStyle name="asd 20 2 6 7" xfId="15209"/>
    <cellStyle name="asd 20 2 6 8" xfId="17889"/>
    <cellStyle name="asd 20 2 6 9" xfId="19795"/>
    <cellStyle name="asd 20 2 7" xfId="6632"/>
    <cellStyle name="asd 20 2 8" xfId="9299"/>
    <cellStyle name="asd 20 2 9" xfId="11769"/>
    <cellStyle name="asd 20 20" xfId="24215"/>
    <cellStyle name="asd 20 21" xfId="27985"/>
    <cellStyle name="asd 20 22" xfId="15955"/>
    <cellStyle name="asd 20 23" xfId="33813"/>
    <cellStyle name="asd 20 24" xfId="27949"/>
    <cellStyle name="asd 20 25" xfId="32875"/>
    <cellStyle name="asd 20 26" xfId="34899"/>
    <cellStyle name="asd 20 27" xfId="39272"/>
    <cellStyle name="asd 20 3" xfId="3420"/>
    <cellStyle name="asd 20 3 10" xfId="13136"/>
    <cellStyle name="asd 20 3 11" xfId="15041"/>
    <cellStyle name="asd 20 3 12" xfId="16790"/>
    <cellStyle name="asd 20 3 13" xfId="18697"/>
    <cellStyle name="asd 20 3 14" xfId="20609"/>
    <cellStyle name="asd 20 3 15" xfId="22669"/>
    <cellStyle name="asd 20 3 16" xfId="24411"/>
    <cellStyle name="asd 20 3 17" xfId="27030"/>
    <cellStyle name="asd 20 3 18" xfId="26129"/>
    <cellStyle name="asd 20 3 19" xfId="30623"/>
    <cellStyle name="asd 20 3 2" xfId="3600"/>
    <cellStyle name="asd 20 3 2 10" xfId="17491"/>
    <cellStyle name="asd 20 3 2 11" xfId="19397"/>
    <cellStyle name="asd 20 3 2 12" xfId="21309"/>
    <cellStyle name="asd 20 3 2 13" xfId="23574"/>
    <cellStyle name="asd 20 3 2 14" xfId="25111"/>
    <cellStyle name="asd 20 3 2 15" xfId="27113"/>
    <cellStyle name="asd 20 3 2 16" xfId="29263"/>
    <cellStyle name="asd 20 3 2 17" xfId="30704"/>
    <cellStyle name="asd 20 3 2 18" xfId="31640"/>
    <cellStyle name="asd 20 3 2 19" xfId="34014"/>
    <cellStyle name="asd 20 3 2 2" xfId="4427"/>
    <cellStyle name="asd 20 3 2 2 10" xfId="20671"/>
    <cellStyle name="asd 20 3 2 2 11" xfId="23694"/>
    <cellStyle name="asd 20 3 2 2 12" xfId="24473"/>
    <cellStyle name="asd 20 3 2 2 13" xfId="14979"/>
    <cellStyle name="asd 20 3 2 2 14" xfId="28883"/>
    <cellStyle name="asd 20 3 2 2 15" xfId="3110"/>
    <cellStyle name="asd 20 3 2 2 16" xfId="31582"/>
    <cellStyle name="asd 20 3 2 2 17" xfId="28329"/>
    <cellStyle name="asd 20 3 2 2 18" xfId="35301"/>
    <cellStyle name="asd 20 3 2 2 19" xfId="37179"/>
    <cellStyle name="asd 20 3 2 2 2" xfId="5321"/>
    <cellStyle name="asd 20 3 2 2 20" xfId="38834"/>
    <cellStyle name="asd 20 3 2 2 21" xfId="40522"/>
    <cellStyle name="asd 20 3 2 2 22" xfId="43451"/>
    <cellStyle name="asd 20 3 2 2 3" xfId="6176"/>
    <cellStyle name="asd 20 3 2 2 4" xfId="9233"/>
    <cellStyle name="asd 20 3 2 2 5" xfId="11713"/>
    <cellStyle name="asd 20 3 2 2 6" xfId="14164"/>
    <cellStyle name="asd 20 3 2 2 7" xfId="16068"/>
    <cellStyle name="asd 20 3 2 2 8" xfId="16852"/>
    <cellStyle name="asd 20 3 2 2 9" xfId="18759"/>
    <cellStyle name="asd 20 3 2 20" xfId="35938"/>
    <cellStyle name="asd 20 3 2 21" xfId="37817"/>
    <cellStyle name="asd 20 3 2 22" xfId="38886"/>
    <cellStyle name="asd 20 3 2 23" xfId="40571"/>
    <cellStyle name="asd 20 3 2 24" xfId="43337"/>
    <cellStyle name="asd 20 3 2 3" xfId="5061"/>
    <cellStyle name="asd 20 3 2 4" xfId="6511"/>
    <cellStyle name="asd 20 3 2 5" xfId="7962"/>
    <cellStyle name="asd 20 3 2 6" xfId="9872"/>
    <cellStyle name="asd 20 3 2 7" xfId="12219"/>
    <cellStyle name="asd 20 3 2 8" xfId="14046"/>
    <cellStyle name="asd 20 3 2 9" xfId="15947"/>
    <cellStyle name="asd 20 3 20" xfId="32046"/>
    <cellStyle name="asd 20 3 21" xfId="34027"/>
    <cellStyle name="asd 20 3 22" xfId="35239"/>
    <cellStyle name="asd 20 3 23" xfId="37117"/>
    <cellStyle name="asd 20 3 24" xfId="39275"/>
    <cellStyle name="asd 20 3 25" xfId="40951"/>
    <cellStyle name="asd 20 3 26" xfId="42474"/>
    <cellStyle name="asd 20 3 3" xfId="3795"/>
    <cellStyle name="asd 20 3 3 10" xfId="19530"/>
    <cellStyle name="asd 20 3 3 11" xfId="21442"/>
    <cellStyle name="asd 20 3 3 12" xfId="24010"/>
    <cellStyle name="asd 20 3 3 13" xfId="25244"/>
    <cellStyle name="asd 20 3 3 14" xfId="27020"/>
    <cellStyle name="asd 20 3 3 15" xfId="29672"/>
    <cellStyle name="asd 20 3 3 16" xfId="30613"/>
    <cellStyle name="asd 20 3 3 17" xfId="32251"/>
    <cellStyle name="asd 20 3 3 18" xfId="33950"/>
    <cellStyle name="asd 20 3 3 19" xfId="36071"/>
    <cellStyle name="asd 20 3 3 2" xfId="5800"/>
    <cellStyle name="asd 20 3 3 2 10" xfId="22050"/>
    <cellStyle name="asd 20 3 3 2 11" xfId="22653"/>
    <cellStyle name="asd 20 3 3 2 12" xfId="25852"/>
    <cellStyle name="asd 20 3 3 2 13" xfId="26601"/>
    <cellStyle name="asd 20 3 3 2 14" xfId="28335"/>
    <cellStyle name="asd 20 3 3 2 15" xfId="30203"/>
    <cellStyle name="asd 20 3 3 2 16" xfId="32356"/>
    <cellStyle name="asd 20 3 3 2 17" xfId="34180"/>
    <cellStyle name="asd 20 3 3 2 18" xfId="36679"/>
    <cellStyle name="asd 20 3 3 2 19" xfId="38558"/>
    <cellStyle name="asd 20 3 3 2 2" xfId="7249"/>
    <cellStyle name="asd 20 3 3 2 20" xfId="39575"/>
    <cellStyle name="asd 20 3 3 2 21" xfId="41249"/>
    <cellStyle name="asd 20 3 3 2 22" xfId="42459"/>
    <cellStyle name="asd 20 3 3 2 3" xfId="8703"/>
    <cellStyle name="asd 20 3 3 2 4" xfId="10613"/>
    <cellStyle name="asd 20 3 3 2 5" xfId="11628"/>
    <cellStyle name="asd 20 3 3 2 6" xfId="13120"/>
    <cellStyle name="asd 20 3 3 2 7" xfId="15025"/>
    <cellStyle name="asd 20 3 3 2 8" xfId="18232"/>
    <cellStyle name="asd 20 3 3 2 9" xfId="20138"/>
    <cellStyle name="asd 20 3 3 20" xfId="37950"/>
    <cellStyle name="asd 20 3 3 21" xfId="39469"/>
    <cellStyle name="asd 20 3 3 22" xfId="41144"/>
    <cellStyle name="asd 20 3 3 23" xfId="43754"/>
    <cellStyle name="asd 20 3 3 3" xfId="5194"/>
    <cellStyle name="asd 20 3 3 4" xfId="8095"/>
    <cellStyle name="asd 20 3 3 5" xfId="10005"/>
    <cellStyle name="asd 20 3 3 6" xfId="11969"/>
    <cellStyle name="asd 20 3 3 7" xfId="14480"/>
    <cellStyle name="asd 20 3 3 8" xfId="16386"/>
    <cellStyle name="asd 20 3 3 9" xfId="17624"/>
    <cellStyle name="asd 20 3 4" xfId="4052"/>
    <cellStyle name="asd 20 3 4 10" xfId="19687"/>
    <cellStyle name="asd 20 3 4 11" xfId="21599"/>
    <cellStyle name="asd 20 3 4 12" xfId="22838"/>
    <cellStyle name="asd 20 3 4 13" xfId="25401"/>
    <cellStyle name="asd 20 3 4 14" xfId="27602"/>
    <cellStyle name="asd 20 3 4 15" xfId="28145"/>
    <cellStyle name="asd 20 3 4 16" xfId="31180"/>
    <cellStyle name="asd 20 3 4 17" xfId="33298"/>
    <cellStyle name="asd 20 3 4 18" xfId="34163"/>
    <cellStyle name="asd 20 3 4 19" xfId="36228"/>
    <cellStyle name="asd 20 3 4 2" xfId="5957"/>
    <cellStyle name="asd 20 3 4 2 10" xfId="22207"/>
    <cellStyle name="asd 20 3 4 2 11" xfId="23049"/>
    <cellStyle name="asd 20 3 4 2 12" xfId="26009"/>
    <cellStyle name="asd 20 3 4 2 13" xfId="27085"/>
    <cellStyle name="asd 20 3 4 2 14" xfId="28818"/>
    <cellStyle name="asd 20 3 4 2 15" xfId="30676"/>
    <cellStyle name="asd 20 3 4 2 16" xfId="32311"/>
    <cellStyle name="asd 20 3 4 2 17" xfId="34919"/>
    <cellStyle name="asd 20 3 4 2 18" xfId="36836"/>
    <cellStyle name="asd 20 3 4 2 19" xfId="38715"/>
    <cellStyle name="asd 20 3 4 2 2" xfId="7406"/>
    <cellStyle name="asd 20 3 4 2 20" xfId="39530"/>
    <cellStyle name="asd 20 3 4 2 21" xfId="41204"/>
    <cellStyle name="asd 20 3 4 2 22" xfId="42832"/>
    <cellStyle name="asd 20 3 4 2 3" xfId="8860"/>
    <cellStyle name="asd 20 3 4 2 4" xfId="10770"/>
    <cellStyle name="asd 20 3 4 2 5" xfId="12649"/>
    <cellStyle name="asd 20 3 4 2 6" xfId="13520"/>
    <cellStyle name="asd 20 3 4 2 7" xfId="15423"/>
    <cellStyle name="asd 20 3 4 2 8" xfId="18389"/>
    <cellStyle name="asd 20 3 4 2 9" xfId="20295"/>
    <cellStyle name="asd 20 3 4 20" xfId="38107"/>
    <cellStyle name="asd 20 3 4 21" xfId="40482"/>
    <cellStyle name="asd 20 3 4 22" xfId="42136"/>
    <cellStyle name="asd 20 3 4 23" xfId="42629"/>
    <cellStyle name="asd 20 3 4 3" xfId="6798"/>
    <cellStyle name="asd 20 3 4 4" xfId="8252"/>
    <cellStyle name="asd 20 3 4 5" xfId="10162"/>
    <cellStyle name="asd 20 3 4 6" xfId="10996"/>
    <cellStyle name="asd 20 3 4 7" xfId="13307"/>
    <cellStyle name="asd 20 3 4 8" xfId="15211"/>
    <cellStyle name="asd 20 3 4 9" xfId="17781"/>
    <cellStyle name="asd 20 3 5" xfId="4913"/>
    <cellStyle name="asd 20 3 5 10" xfId="21161"/>
    <cellStyle name="asd 20 3 5 11" xfId="24156"/>
    <cellStyle name="asd 20 3 5 12" xfId="24963"/>
    <cellStyle name="asd 20 3 5 13" xfId="26653"/>
    <cellStyle name="asd 20 3 5 14" xfId="29487"/>
    <cellStyle name="asd 20 3 5 15" xfId="30254"/>
    <cellStyle name="asd 20 3 5 16" xfId="33086"/>
    <cellStyle name="asd 20 3 5 17" xfId="33777"/>
    <cellStyle name="asd 20 3 5 18" xfId="35790"/>
    <cellStyle name="asd 20 3 5 19" xfId="37669"/>
    <cellStyle name="asd 20 3 5 2" xfId="6363"/>
    <cellStyle name="asd 20 3 5 20" xfId="40282"/>
    <cellStyle name="asd 20 3 5 21" xfId="41938"/>
    <cellStyle name="asd 20 3 5 22" xfId="43898"/>
    <cellStyle name="asd 20 3 5 3" xfId="7814"/>
    <cellStyle name="asd 20 3 5 4" xfId="9724"/>
    <cellStyle name="asd 20 3 5 5" xfId="12116"/>
    <cellStyle name="asd 20 3 5 6" xfId="14627"/>
    <cellStyle name="asd 20 3 5 7" xfId="16533"/>
    <cellStyle name="asd 20 3 5 8" xfId="17343"/>
    <cellStyle name="asd 20 3 5 9" xfId="19249"/>
    <cellStyle name="asd 20 3 6" xfId="5547"/>
    <cellStyle name="asd 20 3 6 10" xfId="21797"/>
    <cellStyle name="asd 20 3 6 11" xfId="22835"/>
    <cellStyle name="asd 20 3 6 12" xfId="25599"/>
    <cellStyle name="asd 20 3 6 13" xfId="27301"/>
    <cellStyle name="asd 20 3 6 14" xfId="29527"/>
    <cellStyle name="asd 20 3 6 15" xfId="30891"/>
    <cellStyle name="asd 20 3 6 16" xfId="33246"/>
    <cellStyle name="asd 20 3 6 17" xfId="34020"/>
    <cellStyle name="asd 20 3 6 18" xfId="36426"/>
    <cellStyle name="asd 20 3 6 19" xfId="38305"/>
    <cellStyle name="asd 20 3 6 2" xfId="6996"/>
    <cellStyle name="asd 20 3 6 20" xfId="40434"/>
    <cellStyle name="asd 20 3 6 21" xfId="42089"/>
    <cellStyle name="asd 20 3 6 22" xfId="42626"/>
    <cellStyle name="asd 20 3 6 3" xfId="8450"/>
    <cellStyle name="asd 20 3 6 4" xfId="10360"/>
    <cellStyle name="asd 20 3 6 5" xfId="12243"/>
    <cellStyle name="asd 20 3 6 6" xfId="13304"/>
    <cellStyle name="asd 20 3 6 7" xfId="15208"/>
    <cellStyle name="asd 20 3 6 8" xfId="17979"/>
    <cellStyle name="asd 20 3 6 9" xfId="19885"/>
    <cellStyle name="asd 20 3 7" xfId="6644"/>
    <cellStyle name="asd 20 3 8" xfId="9171"/>
    <cellStyle name="asd 20 3 9" xfId="11475"/>
    <cellStyle name="asd 20 4" xfId="3410"/>
    <cellStyle name="asd 20 4 10" xfId="14924"/>
    <cellStyle name="asd 20 4 11" xfId="16770"/>
    <cellStyle name="asd 20 4 12" xfId="18677"/>
    <cellStyle name="asd 20 4 13" xfId="20589"/>
    <cellStyle name="asd 20 4 14" xfId="22552"/>
    <cellStyle name="asd 20 4 15" xfId="24391"/>
    <cellStyle name="asd 20 4 16" xfId="26774"/>
    <cellStyle name="asd 20 4 17" xfId="28394"/>
    <cellStyle name="asd 20 4 18" xfId="30373"/>
    <cellStyle name="asd 20 4 19" xfId="33242"/>
    <cellStyle name="asd 20 4 2" xfId="3590"/>
    <cellStyle name="asd 20 4 2 10" xfId="17481"/>
    <cellStyle name="asd 20 4 2 11" xfId="19387"/>
    <cellStyle name="asd 20 4 2 12" xfId="21299"/>
    <cellStyle name="asd 20 4 2 13" xfId="22448"/>
    <cellStyle name="asd 20 4 2 14" xfId="25101"/>
    <cellStyle name="asd 20 4 2 15" xfId="26175"/>
    <cellStyle name="asd 20 4 2 16" xfId="4365"/>
    <cellStyle name="asd 20 4 2 17" xfId="29788"/>
    <cellStyle name="asd 20 4 2 18" xfId="33318"/>
    <cellStyle name="asd 20 4 2 19" xfId="29182"/>
    <cellStyle name="asd 20 4 2 2" xfId="5695"/>
    <cellStyle name="asd 20 4 2 2 10" xfId="21945"/>
    <cellStyle name="asd 20 4 2 2 11" xfId="23589"/>
    <cellStyle name="asd 20 4 2 2 12" xfId="25747"/>
    <cellStyle name="asd 20 4 2 2 13" xfId="27880"/>
    <cellStyle name="asd 20 4 2 2 14" xfId="28751"/>
    <cellStyle name="asd 20 4 2 2 15" xfId="31461"/>
    <cellStyle name="asd 20 4 2 2 16" xfId="31729"/>
    <cellStyle name="asd 20 4 2 2 17" xfId="34034"/>
    <cellStyle name="asd 20 4 2 2 18" xfId="36574"/>
    <cellStyle name="asd 20 4 2 2 19" xfId="38453"/>
    <cellStyle name="asd 20 4 2 2 2" xfId="7144"/>
    <cellStyle name="asd 20 4 2 2 20" xfId="38970"/>
    <cellStyle name="asd 20 4 2 2 21" xfId="40653"/>
    <cellStyle name="asd 20 4 2 2 22" xfId="43348"/>
    <cellStyle name="asd 20 4 2 2 3" xfId="8598"/>
    <cellStyle name="asd 20 4 2 2 4" xfId="10508"/>
    <cellStyle name="asd 20 4 2 2 5" xfId="12399"/>
    <cellStyle name="asd 20 4 2 2 6" xfId="14059"/>
    <cellStyle name="asd 20 4 2 2 7" xfId="15962"/>
    <cellStyle name="asd 20 4 2 2 8" xfId="18127"/>
    <cellStyle name="asd 20 4 2 2 9" xfId="20033"/>
    <cellStyle name="asd 20 4 2 20" xfId="35928"/>
    <cellStyle name="asd 20 4 2 21" xfId="37807"/>
    <cellStyle name="asd 20 4 2 22" xfId="40498"/>
    <cellStyle name="asd 20 4 2 23" xfId="42151"/>
    <cellStyle name="asd 20 4 2 24" xfId="42259"/>
    <cellStyle name="asd 20 4 2 3" xfId="5051"/>
    <cellStyle name="asd 20 4 2 4" xfId="6501"/>
    <cellStyle name="asd 20 4 2 5" xfId="7952"/>
    <cellStyle name="asd 20 4 2 6" xfId="9862"/>
    <cellStyle name="asd 20 4 2 7" xfId="1997"/>
    <cellStyle name="asd 20 4 2 8" xfId="12916"/>
    <cellStyle name="asd 20 4 2 9" xfId="14821"/>
    <cellStyle name="asd 20 4 20" xfId="33754"/>
    <cellStyle name="asd 20 4 21" xfId="35219"/>
    <cellStyle name="asd 20 4 22" xfId="37097"/>
    <cellStyle name="asd 20 4 23" xfId="40431"/>
    <cellStyle name="asd 20 4 24" xfId="42086"/>
    <cellStyle name="asd 20 4 25" xfId="42361"/>
    <cellStyle name="asd 20 4 3" xfId="3813"/>
    <cellStyle name="asd 20 4 3 10" xfId="19544"/>
    <cellStyle name="asd 20 4 3 11" xfId="21456"/>
    <cellStyle name="asd 20 4 3 12" xfId="23744"/>
    <cellStyle name="asd 20 4 3 13" xfId="25258"/>
    <cellStyle name="asd 20 4 3 14" xfId="27847"/>
    <cellStyle name="asd 20 4 3 15" xfId="28746"/>
    <cellStyle name="asd 20 4 3 16" xfId="31426"/>
    <cellStyle name="asd 20 4 3 17" xfId="33264"/>
    <cellStyle name="asd 20 4 3 18" xfId="34849"/>
    <cellStyle name="asd 20 4 3 19" xfId="36085"/>
    <cellStyle name="asd 20 4 3 2" xfId="5814"/>
    <cellStyle name="asd 20 4 3 2 10" xfId="22064"/>
    <cellStyle name="asd 20 4 3 2 11" xfId="23651"/>
    <cellStyle name="asd 20 4 3 2 12" xfId="25866"/>
    <cellStyle name="asd 20 4 3 2 13" xfId="26963"/>
    <cellStyle name="asd 20 4 3 2 14" xfId="29172"/>
    <cellStyle name="asd 20 4 3 2 15" xfId="30557"/>
    <cellStyle name="asd 20 4 3 2 16" xfId="32953"/>
    <cellStyle name="asd 20 4 3 2 17" xfId="34967"/>
    <cellStyle name="asd 20 4 3 2 18" xfId="36693"/>
    <cellStyle name="asd 20 4 3 2 19" xfId="38572"/>
    <cellStyle name="asd 20 4 3 2 2" xfId="7263"/>
    <cellStyle name="asd 20 4 3 2 20" xfId="40155"/>
    <cellStyle name="asd 20 4 3 2 21" xfId="41814"/>
    <cellStyle name="asd 20 4 3 2 22" xfId="43409"/>
    <cellStyle name="asd 20 4 3 2 3" xfId="8717"/>
    <cellStyle name="asd 20 4 3 2 4" xfId="10627"/>
    <cellStyle name="asd 20 4 3 2 5" xfId="11456"/>
    <cellStyle name="asd 20 4 3 2 6" xfId="14121"/>
    <cellStyle name="asd 20 4 3 2 7" xfId="16024"/>
    <cellStyle name="asd 20 4 3 2 8" xfId="18246"/>
    <cellStyle name="asd 20 4 3 2 9" xfId="20152"/>
    <cellStyle name="asd 20 4 3 20" xfId="37964"/>
    <cellStyle name="asd 20 4 3 21" xfId="40450"/>
    <cellStyle name="asd 20 4 3 22" xfId="42105"/>
    <cellStyle name="asd 20 4 3 23" xfId="43497"/>
    <cellStyle name="asd 20 4 3 3" xfId="5208"/>
    <cellStyle name="asd 20 4 3 4" xfId="8109"/>
    <cellStyle name="asd 20 4 3 5" xfId="10019"/>
    <cellStyle name="asd 20 4 3 6" xfId="11603"/>
    <cellStyle name="asd 20 4 3 7" xfId="14214"/>
    <cellStyle name="asd 20 4 3 8" xfId="16118"/>
    <cellStyle name="asd 20 4 3 9" xfId="17638"/>
    <cellStyle name="asd 20 4 4" xfId="4042"/>
    <cellStyle name="asd 20 4 4 10" xfId="19677"/>
    <cellStyle name="asd 20 4 4 11" xfId="21589"/>
    <cellStyle name="asd 20 4 4 12" xfId="23075"/>
    <cellStyle name="asd 20 4 4 13" xfId="25391"/>
    <cellStyle name="asd 20 4 4 14" xfId="26669"/>
    <cellStyle name="asd 20 4 4 15" xfId="28037"/>
    <cellStyle name="asd 20 4 4 16" xfId="30269"/>
    <cellStyle name="asd 20 4 4 17" xfId="32147"/>
    <cellStyle name="asd 20 4 4 18" xfId="34616"/>
    <cellStyle name="asd 20 4 4 19" xfId="36218"/>
    <cellStyle name="asd 20 4 4 2" xfId="5947"/>
    <cellStyle name="asd 20 4 4 2 10" xfId="22197"/>
    <cellStyle name="asd 20 4 4 2 11" xfId="22998"/>
    <cellStyle name="asd 20 4 4 2 12" xfId="25999"/>
    <cellStyle name="asd 20 4 4 2 13" xfId="27307"/>
    <cellStyle name="asd 20 4 4 2 14" xfId="29315"/>
    <cellStyle name="asd 20 4 4 2 15" xfId="30897"/>
    <cellStyle name="asd 20 4 4 2 16" xfId="31758"/>
    <cellStyle name="asd 20 4 4 2 17" xfId="34983"/>
    <cellStyle name="asd 20 4 4 2 18" xfId="36826"/>
    <cellStyle name="asd 20 4 4 2 19" xfId="38705"/>
    <cellStyle name="asd 20 4 4 2 2" xfId="7396"/>
    <cellStyle name="asd 20 4 4 2 20" xfId="38998"/>
    <cellStyle name="asd 20 4 4 2 21" xfId="40681"/>
    <cellStyle name="asd 20 4 4 2 22" xfId="42783"/>
    <cellStyle name="asd 20 4 4 2 3" xfId="8850"/>
    <cellStyle name="asd 20 4 4 2 4" xfId="10760"/>
    <cellStyle name="asd 20 4 4 2 5" xfId="12307"/>
    <cellStyle name="asd 20 4 4 2 6" xfId="13468"/>
    <cellStyle name="asd 20 4 4 2 7" xfId="15373"/>
    <cellStyle name="asd 20 4 4 2 8" xfId="18379"/>
    <cellStyle name="asd 20 4 4 2 9" xfId="20285"/>
    <cellStyle name="asd 20 4 4 20" xfId="38097"/>
    <cellStyle name="asd 20 4 4 21" xfId="39370"/>
    <cellStyle name="asd 20 4 4 22" xfId="41046"/>
    <cellStyle name="asd 20 4 4 23" xfId="42857"/>
    <cellStyle name="asd 20 4 4 3" xfId="6788"/>
    <cellStyle name="asd 20 4 4 4" xfId="8242"/>
    <cellStyle name="asd 20 4 4 5" xfId="10152"/>
    <cellStyle name="asd 20 4 4 6" xfId="12683"/>
    <cellStyle name="asd 20 4 4 7" xfId="13546"/>
    <cellStyle name="asd 20 4 4 8" xfId="15449"/>
    <cellStyle name="asd 20 4 4 9" xfId="17771"/>
    <cellStyle name="asd 20 4 5" xfId="5564"/>
    <cellStyle name="asd 20 4 5 10" xfId="21814"/>
    <cellStyle name="asd 20 4 5 11" xfId="23953"/>
    <cellStyle name="asd 20 4 5 12" xfId="25616"/>
    <cellStyle name="asd 20 4 5 13" xfId="27003"/>
    <cellStyle name="asd 20 4 5 14" xfId="28384"/>
    <cellStyle name="asd 20 4 5 15" xfId="30597"/>
    <cellStyle name="asd 20 4 5 16" xfId="33308"/>
    <cellStyle name="asd 20 4 5 17" xfId="34052"/>
    <cellStyle name="asd 20 4 5 18" xfId="36443"/>
    <cellStyle name="asd 20 4 5 19" xfId="38322"/>
    <cellStyle name="asd 20 4 5 2" xfId="7013"/>
    <cellStyle name="asd 20 4 5 20" xfId="40490"/>
    <cellStyle name="asd 20 4 5 21" xfId="42143"/>
    <cellStyle name="asd 20 4 5 22" xfId="43699"/>
    <cellStyle name="asd 20 4 5 3" xfId="8467"/>
    <cellStyle name="asd 20 4 5 4" xfId="10377"/>
    <cellStyle name="asd 20 4 5 5" xfId="11913"/>
    <cellStyle name="asd 20 4 5 6" xfId="14423"/>
    <cellStyle name="asd 20 4 5 7" xfId="16329"/>
    <cellStyle name="asd 20 4 5 8" xfId="17996"/>
    <cellStyle name="asd 20 4 5 9" xfId="19902"/>
    <cellStyle name="asd 20 4 6" xfId="2810"/>
    <cellStyle name="asd 20 4 7" xfId="9151"/>
    <cellStyle name="asd 20 4 8" xfId="10963"/>
    <cellStyle name="asd 20 4 9" xfId="13020"/>
    <cellStyle name="asd 20 5" xfId="2052"/>
    <cellStyle name="asd 20 5 10" xfId="17100"/>
    <cellStyle name="asd 20 5 11" xfId="19006"/>
    <cellStyle name="asd 20 5 12" xfId="20918"/>
    <cellStyle name="asd 20 5 13" xfId="12772"/>
    <cellStyle name="asd 20 5 14" xfId="24720"/>
    <cellStyle name="asd 20 5 15" xfId="1989"/>
    <cellStyle name="asd 20 5 16" xfId="27979"/>
    <cellStyle name="asd 20 5 17" xfId="16274"/>
    <cellStyle name="asd 20 5 18" xfId="4301"/>
    <cellStyle name="asd 20 5 19" xfId="4322"/>
    <cellStyle name="asd 20 5 2" xfId="5471"/>
    <cellStyle name="asd 20 5 2 10" xfId="21721"/>
    <cellStyle name="asd 20 5 2 11" xfId="23032"/>
    <cellStyle name="asd 20 5 2 12" xfId="25523"/>
    <cellStyle name="asd 20 5 2 13" xfId="26206"/>
    <cellStyle name="asd 20 5 2 14" xfId="28881"/>
    <cellStyle name="asd 20 5 2 15" xfId="29818"/>
    <cellStyle name="asd 20 5 2 16" xfId="32674"/>
    <cellStyle name="asd 20 5 2 17" xfId="30772"/>
    <cellStyle name="asd 20 5 2 18" xfId="36350"/>
    <cellStyle name="asd 20 5 2 19" xfId="38229"/>
    <cellStyle name="asd 20 5 2 2" xfId="6920"/>
    <cellStyle name="asd 20 5 2 20" xfId="39881"/>
    <cellStyle name="asd 20 5 2 21" xfId="41550"/>
    <cellStyle name="asd 20 5 2 22" xfId="42815"/>
    <cellStyle name="asd 20 5 2 3" xfId="8374"/>
    <cellStyle name="asd 20 5 2 4" xfId="10284"/>
    <cellStyle name="asd 20 5 2 5" xfId="12626"/>
    <cellStyle name="asd 20 5 2 6" xfId="13502"/>
    <cellStyle name="asd 20 5 2 7" xfId="15406"/>
    <cellStyle name="asd 20 5 2 8" xfId="17903"/>
    <cellStyle name="asd 20 5 2 9" xfId="19809"/>
    <cellStyle name="asd 20 5 20" xfId="35547"/>
    <cellStyle name="asd 20 5 21" xfId="37426"/>
    <cellStyle name="asd 20 5 22" xfId="14693"/>
    <cellStyle name="asd 20 5 23" xfId="38831"/>
    <cellStyle name="asd 20 5 24" xfId="28698"/>
    <cellStyle name="asd 20 5 3" xfId="4673"/>
    <cellStyle name="asd 20 5 4" xfId="6120"/>
    <cellStyle name="asd 20 5 5" xfId="7571"/>
    <cellStyle name="asd 20 5 6" xfId="9481"/>
    <cellStyle name="asd 20 5 7" xfId="11021"/>
    <cellStyle name="asd 20 5 8" xfId="2051"/>
    <cellStyle name="asd 20 5 9" xfId="4506"/>
    <cellStyle name="asd 20 6" xfId="2706"/>
    <cellStyle name="asd 20 6 10" xfId="19097"/>
    <cellStyle name="asd 20 6 11" xfId="21009"/>
    <cellStyle name="asd 20 6 12" xfId="22820"/>
    <cellStyle name="asd 20 6 13" xfId="24811"/>
    <cellStyle name="asd 20 6 14" xfId="27512"/>
    <cellStyle name="asd 20 6 15" xfId="20419"/>
    <cellStyle name="asd 20 6 16" xfId="31097"/>
    <cellStyle name="asd 20 6 17" xfId="32214"/>
    <cellStyle name="asd 20 6 18" xfId="2129"/>
    <cellStyle name="asd 20 6 19" xfId="35638"/>
    <cellStyle name="asd 20 6 2" xfId="4596"/>
    <cellStyle name="asd 20 6 2 10" xfId="20841"/>
    <cellStyle name="asd 20 6 2 11" xfId="22872"/>
    <cellStyle name="asd 20 6 2 12" xfId="24643"/>
    <cellStyle name="asd 20 6 2 13" xfId="26966"/>
    <cellStyle name="asd 20 6 2 14" xfId="2439"/>
    <cellStyle name="asd 20 6 2 15" xfId="30560"/>
    <cellStyle name="asd 20 6 2 16" xfId="32141"/>
    <cellStyle name="asd 20 6 2 17" xfId="34647"/>
    <cellStyle name="asd 20 6 2 18" xfId="35471"/>
    <cellStyle name="asd 20 6 2 19" xfId="37349"/>
    <cellStyle name="asd 20 6 2 2" xfId="2700"/>
    <cellStyle name="asd 20 6 2 20" xfId="39364"/>
    <cellStyle name="asd 20 6 2 21" xfId="41040"/>
    <cellStyle name="asd 20 6 2 22" xfId="42659"/>
    <cellStyle name="asd 20 6 2 3" xfId="1962"/>
    <cellStyle name="asd 20 6 2 4" xfId="9403"/>
    <cellStyle name="asd 20 6 2 5" xfId="10998"/>
    <cellStyle name="asd 20 6 2 6" xfId="13340"/>
    <cellStyle name="asd 20 6 2 7" xfId="15245"/>
    <cellStyle name="asd 20 6 2 8" xfId="17022"/>
    <cellStyle name="asd 20 6 2 9" xfId="18929"/>
    <cellStyle name="asd 20 6 20" xfId="37517"/>
    <cellStyle name="asd 20 6 21" xfId="39434"/>
    <cellStyle name="asd 20 6 22" xfId="41110"/>
    <cellStyle name="asd 20 6 23" xfId="42613"/>
    <cellStyle name="asd 20 6 3" xfId="4762"/>
    <cellStyle name="asd 20 6 4" xfId="7662"/>
    <cellStyle name="asd 20 6 5" xfId="9572"/>
    <cellStyle name="asd 20 6 6" xfId="11301"/>
    <cellStyle name="asd 20 6 7" xfId="13290"/>
    <cellStyle name="asd 20 6 8" xfId="15194"/>
    <cellStyle name="asd 20 6 9" xfId="17191"/>
    <cellStyle name="asd 20 7" xfId="3192"/>
    <cellStyle name="asd 20 7 10" xfId="19175"/>
    <cellStyle name="asd 20 7 11" xfId="21087"/>
    <cellStyle name="asd 20 7 12" xfId="23551"/>
    <cellStyle name="asd 20 7 13" xfId="24889"/>
    <cellStyle name="asd 20 7 14" xfId="27695"/>
    <cellStyle name="asd 20 7 15" xfId="29090"/>
    <cellStyle name="asd 20 7 16" xfId="31269"/>
    <cellStyle name="asd 20 7 17" xfId="32370"/>
    <cellStyle name="asd 20 7 18" xfId="33446"/>
    <cellStyle name="asd 20 7 19" xfId="35716"/>
    <cellStyle name="asd 20 7 2" xfId="5478"/>
    <cellStyle name="asd 20 7 2 10" xfId="21728"/>
    <cellStyle name="asd 20 7 2 11" xfId="22424"/>
    <cellStyle name="asd 20 7 2 12" xfId="25530"/>
    <cellStyle name="asd 20 7 2 13" xfId="27628"/>
    <cellStyle name="asd 20 7 2 14" xfId="29278"/>
    <cellStyle name="asd 20 7 2 15" xfId="31206"/>
    <cellStyle name="asd 20 7 2 16" xfId="32987"/>
    <cellStyle name="asd 20 7 2 17" xfId="34261"/>
    <cellStyle name="asd 20 7 2 18" xfId="36357"/>
    <cellStyle name="asd 20 7 2 19" xfId="38236"/>
    <cellStyle name="asd 20 7 2 2" xfId="6927"/>
    <cellStyle name="asd 20 7 2 20" xfId="40188"/>
    <cellStyle name="asd 20 7 2 21" xfId="41847"/>
    <cellStyle name="asd 20 7 2 22" xfId="42235"/>
    <cellStyle name="asd 20 7 2 3" xfId="8381"/>
    <cellStyle name="asd 20 7 2 4" xfId="10291"/>
    <cellStyle name="asd 20 7 2 5" xfId="2032"/>
    <cellStyle name="asd 20 7 2 6" xfId="12891"/>
    <cellStyle name="asd 20 7 2 7" xfId="14796"/>
    <cellStyle name="asd 20 7 2 8" xfId="17910"/>
    <cellStyle name="asd 20 7 2 9" xfId="19816"/>
    <cellStyle name="asd 20 7 20" xfId="37595"/>
    <cellStyle name="asd 20 7 21" xfId="39588"/>
    <cellStyle name="asd 20 7 22" xfId="41262"/>
    <cellStyle name="asd 20 7 23" xfId="43315"/>
    <cellStyle name="asd 20 7 3" xfId="6289"/>
    <cellStyle name="asd 20 7 4" xfId="7740"/>
    <cellStyle name="asd 20 7 5" xfId="9650"/>
    <cellStyle name="asd 20 7 6" xfId="12582"/>
    <cellStyle name="asd 20 7 7" xfId="14023"/>
    <cellStyle name="asd 20 7 8" xfId="15924"/>
    <cellStyle name="asd 20 7 9" xfId="17269"/>
    <cellStyle name="asd 20 8" xfId="2152"/>
    <cellStyle name="asd 20 9" xfId="2892"/>
    <cellStyle name="asd 21" xfId="830"/>
    <cellStyle name="asd 21 10" xfId="2640"/>
    <cellStyle name="asd 21 11" xfId="5306"/>
    <cellStyle name="asd 21 12" xfId="3712"/>
    <cellStyle name="asd 21 13" xfId="1890"/>
    <cellStyle name="asd 21 14" xfId="16105"/>
    <cellStyle name="asd 21 15" xfId="16049"/>
    <cellStyle name="asd 21 16" xfId="2470"/>
    <cellStyle name="asd 21 17" xfId="20401"/>
    <cellStyle name="asd 21 18" xfId="3966"/>
    <cellStyle name="asd 21 19" xfId="1917"/>
    <cellStyle name="asd 21 2" xfId="3416"/>
    <cellStyle name="asd 21 2 10" xfId="13421"/>
    <cellStyle name="asd 21 2 11" xfId="15326"/>
    <cellStyle name="asd 21 2 12" xfId="16785"/>
    <cellStyle name="asd 21 2 13" xfId="18692"/>
    <cellStyle name="asd 21 2 14" xfId="20604"/>
    <cellStyle name="asd 21 2 15" xfId="22952"/>
    <cellStyle name="asd 21 2 16" xfId="24406"/>
    <cellStyle name="asd 21 2 17" xfId="26948"/>
    <cellStyle name="asd 21 2 18" xfId="29592"/>
    <cellStyle name="asd 21 2 19" xfId="30542"/>
    <cellStyle name="asd 21 2 2" xfId="3596"/>
    <cellStyle name="asd 21 2 2 10" xfId="17487"/>
    <cellStyle name="asd 21 2 2 11" xfId="19393"/>
    <cellStyle name="asd 21 2 2 12" xfId="21305"/>
    <cellStyle name="asd 21 2 2 13" xfId="23627"/>
    <cellStyle name="asd 21 2 2 14" xfId="25107"/>
    <cellStyle name="asd 21 2 2 15" xfId="26964"/>
    <cellStyle name="asd 21 2 2 16" xfId="29290"/>
    <cellStyle name="asd 21 2 2 17" xfId="30558"/>
    <cellStyle name="asd 21 2 2 18" xfId="32169"/>
    <cellStyle name="asd 21 2 2 19" xfId="33682"/>
    <cellStyle name="asd 21 2 2 2" xfId="4880"/>
    <cellStyle name="asd 21 2 2 2 10" xfId="21128"/>
    <cellStyle name="asd 21 2 2 2 11" xfId="24145"/>
    <cellStyle name="asd 21 2 2 2 12" xfId="24930"/>
    <cellStyle name="asd 21 2 2 2 13" xfId="27812"/>
    <cellStyle name="asd 21 2 2 2 14" xfId="29505"/>
    <cellStyle name="asd 21 2 2 2 15" xfId="31390"/>
    <cellStyle name="asd 21 2 2 2 16" xfId="31882"/>
    <cellStyle name="asd 21 2 2 2 17" xfId="34639"/>
    <cellStyle name="asd 21 2 2 2 18" xfId="35757"/>
    <cellStyle name="asd 21 2 2 2 19" xfId="37636"/>
    <cellStyle name="asd 21 2 2 2 2" xfId="6330"/>
    <cellStyle name="asd 21 2 2 2 20" xfId="39117"/>
    <cellStyle name="asd 21 2 2 2 21" xfId="40798"/>
    <cellStyle name="asd 21 2 2 2 22" xfId="43888"/>
    <cellStyle name="asd 21 2 2 2 3" xfId="7781"/>
    <cellStyle name="asd 21 2 2 2 4" xfId="9691"/>
    <cellStyle name="asd 21 2 2 2 5" xfId="12105"/>
    <cellStyle name="asd 21 2 2 2 6" xfId="14616"/>
    <cellStyle name="asd 21 2 2 2 7" xfId="16522"/>
    <cellStyle name="asd 21 2 2 2 8" xfId="17310"/>
    <cellStyle name="asd 21 2 2 2 9" xfId="19216"/>
    <cellStyle name="asd 21 2 2 20" xfId="35934"/>
    <cellStyle name="asd 21 2 2 21" xfId="37813"/>
    <cellStyle name="asd 21 2 2 22" xfId="39391"/>
    <cellStyle name="asd 21 2 2 23" xfId="41067"/>
    <cellStyle name="asd 21 2 2 24" xfId="43385"/>
    <cellStyle name="asd 21 2 2 3" xfId="5057"/>
    <cellStyle name="asd 21 2 2 4" xfId="6507"/>
    <cellStyle name="asd 21 2 2 5" xfId="7958"/>
    <cellStyle name="asd 21 2 2 6" xfId="9868"/>
    <cellStyle name="asd 21 2 2 7" xfId="11434"/>
    <cellStyle name="asd 21 2 2 8" xfId="14097"/>
    <cellStyle name="asd 21 2 2 9" xfId="16000"/>
    <cellStyle name="asd 21 2 20" xfId="31844"/>
    <cellStyle name="asd 21 2 21" xfId="33943"/>
    <cellStyle name="asd 21 2 22" xfId="35234"/>
    <cellStyle name="asd 21 2 23" xfId="37112"/>
    <cellStyle name="asd 21 2 24" xfId="39081"/>
    <cellStyle name="asd 21 2 25" xfId="40762"/>
    <cellStyle name="asd 21 2 26" xfId="42738"/>
    <cellStyle name="asd 21 2 3" xfId="3864"/>
    <cellStyle name="asd 21 2 3 10" xfId="19579"/>
    <cellStyle name="asd 21 2 3 11" xfId="21491"/>
    <cellStyle name="asd 21 2 3 12" xfId="24162"/>
    <cellStyle name="asd 21 2 3 13" xfId="25293"/>
    <cellStyle name="asd 21 2 3 14" xfId="27806"/>
    <cellStyle name="asd 21 2 3 15" xfId="28082"/>
    <cellStyle name="asd 21 2 3 16" xfId="31383"/>
    <cellStyle name="asd 21 2 3 17" xfId="31787"/>
    <cellStyle name="asd 21 2 3 18" xfId="34124"/>
    <cellStyle name="asd 21 2 3 19" xfId="36120"/>
    <cellStyle name="asd 21 2 3 2" xfId="5849"/>
    <cellStyle name="asd 21 2 3 2 10" xfId="22099"/>
    <cellStyle name="asd 21 2 3 2 11" xfId="23645"/>
    <cellStyle name="asd 21 2 3 2 12" xfId="25901"/>
    <cellStyle name="asd 21 2 3 2 13" xfId="26825"/>
    <cellStyle name="asd 21 2 3 2 14" xfId="28833"/>
    <cellStyle name="asd 21 2 3 2 15" xfId="30423"/>
    <cellStyle name="asd 21 2 3 2 16" xfId="32713"/>
    <cellStyle name="asd 21 2 3 2 17" xfId="33713"/>
    <cellStyle name="asd 21 2 3 2 18" xfId="36728"/>
    <cellStyle name="asd 21 2 3 2 19" xfId="38607"/>
    <cellStyle name="asd 21 2 3 2 2" xfId="7298"/>
    <cellStyle name="asd 21 2 3 2 20" xfId="39924"/>
    <cellStyle name="asd 21 2 3 2 21" xfId="41590"/>
    <cellStyle name="asd 21 2 3 2 22" xfId="43403"/>
    <cellStyle name="asd 21 2 3 2 3" xfId="8752"/>
    <cellStyle name="asd 21 2 3 2 4" xfId="10662"/>
    <cellStyle name="asd 21 2 3 2 5" xfId="12621"/>
    <cellStyle name="asd 21 2 3 2 6" xfId="14115"/>
    <cellStyle name="asd 21 2 3 2 7" xfId="16018"/>
    <cellStyle name="asd 21 2 3 2 8" xfId="18281"/>
    <cellStyle name="asd 21 2 3 2 9" xfId="20187"/>
    <cellStyle name="asd 21 2 3 20" xfId="37999"/>
    <cellStyle name="asd 21 2 3 21" xfId="39026"/>
    <cellStyle name="asd 21 2 3 22" xfId="40708"/>
    <cellStyle name="asd 21 2 3 23" xfId="43904"/>
    <cellStyle name="asd 21 2 3 3" xfId="5243"/>
    <cellStyle name="asd 21 2 3 4" xfId="8144"/>
    <cellStyle name="asd 21 2 3 5" xfId="10054"/>
    <cellStyle name="asd 21 2 3 6" xfId="12122"/>
    <cellStyle name="asd 21 2 3 7" xfId="14633"/>
    <cellStyle name="asd 21 2 3 8" xfId="16539"/>
    <cellStyle name="asd 21 2 3 9" xfId="17673"/>
    <cellStyle name="asd 21 2 4" xfId="4048"/>
    <cellStyle name="asd 21 2 4 10" xfId="19683"/>
    <cellStyle name="asd 21 2 4 11" xfId="21595"/>
    <cellStyle name="asd 21 2 4 12" xfId="23226"/>
    <cellStyle name="asd 21 2 4 13" xfId="25397"/>
    <cellStyle name="asd 21 2 4 14" xfId="27853"/>
    <cellStyle name="asd 21 2 4 15" xfId="29359"/>
    <cellStyle name="asd 21 2 4 16" xfId="31432"/>
    <cellStyle name="asd 21 2 4 17" xfId="31784"/>
    <cellStyle name="asd 21 2 4 18" xfId="34744"/>
    <cellStyle name="asd 21 2 4 19" xfId="36224"/>
    <cellStyle name="asd 21 2 4 2" xfId="5953"/>
    <cellStyle name="asd 21 2 4 2 10" xfId="22203"/>
    <cellStyle name="asd 21 2 4 2 11" xfId="22455"/>
    <cellStyle name="asd 21 2 4 2 12" xfId="26005"/>
    <cellStyle name="asd 21 2 4 2 13" xfId="26617"/>
    <cellStyle name="asd 21 2 4 2 14" xfId="4207"/>
    <cellStyle name="asd 21 2 4 2 15" xfId="30220"/>
    <cellStyle name="asd 21 2 4 2 16" xfId="31689"/>
    <cellStyle name="asd 21 2 4 2 17" xfId="34510"/>
    <cellStyle name="asd 21 2 4 2 18" xfId="36832"/>
    <cellStyle name="asd 21 2 4 2 19" xfId="38711"/>
    <cellStyle name="asd 21 2 4 2 2" xfId="7402"/>
    <cellStyle name="asd 21 2 4 2 20" xfId="38931"/>
    <cellStyle name="asd 21 2 4 2 21" xfId="40615"/>
    <cellStyle name="asd 21 2 4 2 22" xfId="42266"/>
    <cellStyle name="asd 21 2 4 2 3" xfId="8856"/>
    <cellStyle name="asd 21 2 4 2 4" xfId="10766"/>
    <cellStyle name="asd 21 2 4 2 5" xfId="11833"/>
    <cellStyle name="asd 21 2 4 2 6" xfId="12923"/>
    <cellStyle name="asd 21 2 4 2 7" xfId="14828"/>
    <cellStyle name="asd 21 2 4 2 8" xfId="18385"/>
    <cellStyle name="asd 21 2 4 2 9" xfId="20291"/>
    <cellStyle name="asd 21 2 4 20" xfId="38103"/>
    <cellStyle name="asd 21 2 4 21" xfId="39023"/>
    <cellStyle name="asd 21 2 4 22" xfId="40705"/>
    <cellStyle name="asd 21 2 4 23" xfId="43003"/>
    <cellStyle name="asd 21 2 4 3" xfId="6794"/>
    <cellStyle name="asd 21 2 4 4" xfId="8248"/>
    <cellStyle name="asd 21 2 4 5" xfId="10158"/>
    <cellStyle name="asd 21 2 4 6" xfId="11108"/>
    <cellStyle name="asd 21 2 4 7" xfId="13698"/>
    <cellStyle name="asd 21 2 4 8" xfId="15600"/>
    <cellStyle name="asd 21 2 4 9" xfId="17777"/>
    <cellStyle name="asd 21 2 5" xfId="4910"/>
    <cellStyle name="asd 21 2 5 10" xfId="21158"/>
    <cellStyle name="asd 21 2 5 11" xfId="22479"/>
    <cellStyle name="asd 21 2 5 12" xfId="24960"/>
    <cellStyle name="asd 21 2 5 13" xfId="26522"/>
    <cellStyle name="asd 21 2 5 14" xfId="28654"/>
    <cellStyle name="asd 21 2 5 15" xfId="30128"/>
    <cellStyle name="asd 21 2 5 16" xfId="33218"/>
    <cellStyle name="asd 21 2 5 17" xfId="34470"/>
    <cellStyle name="asd 21 2 5 18" xfId="35787"/>
    <cellStyle name="asd 21 2 5 19" xfId="37666"/>
    <cellStyle name="asd 21 2 5 2" xfId="6360"/>
    <cellStyle name="asd 21 2 5 20" xfId="40407"/>
    <cellStyle name="asd 21 2 5 21" xfId="42063"/>
    <cellStyle name="asd 21 2 5 22" xfId="42289"/>
    <cellStyle name="asd 21 2 5 3" xfId="7811"/>
    <cellStyle name="asd 21 2 5 4" xfId="9721"/>
    <cellStyle name="asd 21 2 5 5" xfId="12341"/>
    <cellStyle name="asd 21 2 5 6" xfId="12947"/>
    <cellStyle name="asd 21 2 5 7" xfId="14851"/>
    <cellStyle name="asd 21 2 5 8" xfId="17340"/>
    <cellStyle name="asd 21 2 5 9" xfId="19246"/>
    <cellStyle name="asd 21 2 6" xfId="5603"/>
    <cellStyle name="asd 21 2 6 10" xfId="21853"/>
    <cellStyle name="asd 21 2 6 11" xfId="23045"/>
    <cellStyle name="asd 21 2 6 12" xfId="25655"/>
    <cellStyle name="asd 21 2 6 13" xfId="27956"/>
    <cellStyle name="asd 21 2 6 14" xfId="28303"/>
    <cellStyle name="asd 21 2 6 15" xfId="31535"/>
    <cellStyle name="asd 21 2 6 16" xfId="31831"/>
    <cellStyle name="asd 21 2 6 17" xfId="33408"/>
    <cellStyle name="asd 21 2 6 18" xfId="36482"/>
    <cellStyle name="asd 21 2 6 19" xfId="38361"/>
    <cellStyle name="asd 21 2 6 2" xfId="7052"/>
    <cellStyle name="asd 21 2 6 20" xfId="39069"/>
    <cellStyle name="asd 21 2 6 21" xfId="40751"/>
    <cellStyle name="asd 21 2 6 22" xfId="42828"/>
    <cellStyle name="asd 21 2 6 3" xfId="8506"/>
    <cellStyle name="asd 21 2 6 4" xfId="10416"/>
    <cellStyle name="asd 21 2 6 5" xfId="12642"/>
    <cellStyle name="asd 21 2 6 6" xfId="13515"/>
    <cellStyle name="asd 21 2 6 7" xfId="15419"/>
    <cellStyle name="asd 21 2 6 8" xfId="18035"/>
    <cellStyle name="asd 21 2 6 9" xfId="19941"/>
    <cellStyle name="asd 21 2 7" xfId="2041"/>
    <cellStyle name="asd 21 2 8" xfId="9166"/>
    <cellStyle name="asd 21 2 9" xfId="12471"/>
    <cellStyle name="asd 21 20" xfId="20450"/>
    <cellStyle name="asd 21 21" xfId="29341"/>
    <cellStyle name="asd 21 22" xfId="28578"/>
    <cellStyle name="asd 21 23" xfId="26574"/>
    <cellStyle name="asd 21 24" xfId="34469"/>
    <cellStyle name="asd 21 25" xfId="34942"/>
    <cellStyle name="asd 21 26" xfId="33315"/>
    <cellStyle name="asd 21 27" xfId="40424"/>
    <cellStyle name="asd 21 3" xfId="3488"/>
    <cellStyle name="asd 21 3 10" xfId="13905"/>
    <cellStyle name="asd 21 3 11" xfId="15806"/>
    <cellStyle name="asd 21 3 12" xfId="16930"/>
    <cellStyle name="asd 21 3 13" xfId="18837"/>
    <cellStyle name="asd 21 3 14" xfId="20749"/>
    <cellStyle name="asd 21 3 15" xfId="23433"/>
    <cellStyle name="asd 21 3 16" xfId="24551"/>
    <cellStyle name="asd 21 3 17" xfId="26808"/>
    <cellStyle name="asd 21 3 18" xfId="28553"/>
    <cellStyle name="asd 21 3 19" xfId="30407"/>
    <cellStyle name="asd 21 3 2" xfId="3668"/>
    <cellStyle name="asd 21 3 2 10" xfId="17559"/>
    <cellStyle name="asd 21 3 2 11" xfId="19465"/>
    <cellStyle name="asd 21 3 2 12" xfId="21377"/>
    <cellStyle name="asd 21 3 2 13" xfId="22861"/>
    <cellStyle name="asd 21 3 2 14" xfId="25179"/>
    <cellStyle name="asd 21 3 2 15" xfId="27130"/>
    <cellStyle name="asd 21 3 2 16" xfId="28053"/>
    <cellStyle name="asd 21 3 2 17" xfId="30721"/>
    <cellStyle name="asd 21 3 2 18" xfId="32012"/>
    <cellStyle name="asd 21 3 2 19" xfId="34156"/>
    <cellStyle name="asd 21 3 2 2" xfId="4430"/>
    <cellStyle name="asd 21 3 2 2 10" xfId="20674"/>
    <cellStyle name="asd 21 3 2 2 11" xfId="16587"/>
    <cellStyle name="asd 21 3 2 2 12" xfId="24476"/>
    <cellStyle name="asd 21 3 2 2 13" xfId="20434"/>
    <cellStyle name="asd 21 3 2 2 14" xfId="13184"/>
    <cellStyle name="asd 21 3 2 2 15" xfId="28318"/>
    <cellStyle name="asd 21 3 2 2 16" xfId="29007"/>
    <cellStyle name="asd 21 3 2 2 17" xfId="2421"/>
    <cellStyle name="asd 21 3 2 2 18" xfId="35304"/>
    <cellStyle name="asd 21 3 2 2 19" xfId="37182"/>
    <cellStyle name="asd 21 3 2 2 2" xfId="4382"/>
    <cellStyle name="asd 21 3 2 2 20" xfId="34060"/>
    <cellStyle name="asd 21 3 2 2 21" xfId="31683"/>
    <cellStyle name="asd 21 3 2 2 22" xfId="39920"/>
    <cellStyle name="asd 21 3 2 2 3" xfId="5299"/>
    <cellStyle name="asd 21 3 2 2 4" xfId="9236"/>
    <cellStyle name="asd 21 3 2 2 5" xfId="12192"/>
    <cellStyle name="asd 21 3 2 2 6" xfId="2483"/>
    <cellStyle name="asd 21 3 2 2 7" xfId="1886"/>
    <cellStyle name="asd 21 3 2 2 8" xfId="16855"/>
    <cellStyle name="asd 21 3 2 2 9" xfId="18762"/>
    <cellStyle name="asd 21 3 2 20" xfId="36006"/>
    <cellStyle name="asd 21 3 2 21" xfId="37885"/>
    <cellStyle name="asd 21 3 2 22" xfId="39243"/>
    <cellStyle name="asd 21 3 2 23" xfId="40920"/>
    <cellStyle name="asd 21 3 2 24" xfId="42649"/>
    <cellStyle name="asd 21 3 2 3" xfId="5129"/>
    <cellStyle name="asd 21 3 2 4" xfId="6579"/>
    <cellStyle name="asd 21 3 2 5" xfId="8030"/>
    <cellStyle name="asd 21 3 2 6" xfId="9940"/>
    <cellStyle name="asd 21 3 2 7" xfId="12402"/>
    <cellStyle name="asd 21 3 2 8" xfId="13330"/>
    <cellStyle name="asd 21 3 2 9" xfId="15234"/>
    <cellStyle name="asd 21 3 20" xfId="31961"/>
    <cellStyle name="asd 21 3 21" xfId="33734"/>
    <cellStyle name="asd 21 3 22" xfId="35379"/>
    <cellStyle name="asd 21 3 23" xfId="37257"/>
    <cellStyle name="asd 21 3 24" xfId="39190"/>
    <cellStyle name="asd 21 3 25" xfId="40871"/>
    <cellStyle name="asd 21 3 26" xfId="43200"/>
    <cellStyle name="asd 21 3 3" xfId="3781"/>
    <cellStyle name="asd 21 3 3 10" xfId="19520"/>
    <cellStyle name="asd 21 3 3 11" xfId="21432"/>
    <cellStyle name="asd 21 3 3 12" xfId="2835"/>
    <cellStyle name="asd 21 3 3 13" xfId="25234"/>
    <cellStyle name="asd 21 3 3 14" xfId="2670"/>
    <cellStyle name="asd 21 3 3 15" xfId="22331"/>
    <cellStyle name="asd 21 3 3 16" xfId="4227"/>
    <cellStyle name="asd 21 3 3 17" xfId="28109"/>
    <cellStyle name="asd 21 3 3 18" xfId="14703"/>
    <cellStyle name="asd 21 3 3 19" xfId="36061"/>
    <cellStyle name="asd 21 3 3 2" xfId="5790"/>
    <cellStyle name="asd 21 3 3 2 10" xfId="22040"/>
    <cellStyle name="asd 21 3 3 2 11" xfId="22666"/>
    <cellStyle name="asd 21 3 3 2 12" xfId="25842"/>
    <cellStyle name="asd 21 3 3 2 13" xfId="27762"/>
    <cellStyle name="asd 21 3 3 2 14" xfId="29591"/>
    <cellStyle name="asd 21 3 3 2 15" xfId="31340"/>
    <cellStyle name="asd 21 3 3 2 16" xfId="33156"/>
    <cellStyle name="asd 21 3 3 2 17" xfId="34845"/>
    <cellStyle name="asd 21 3 3 2 18" xfId="36669"/>
    <cellStyle name="asd 21 3 3 2 19" xfId="38548"/>
    <cellStyle name="asd 21 3 3 2 2" xfId="7239"/>
    <cellStyle name="asd 21 3 3 2 20" xfId="40349"/>
    <cellStyle name="asd 21 3 3 2 21" xfId="42005"/>
    <cellStyle name="asd 21 3 3 2 22" xfId="42472"/>
    <cellStyle name="asd 21 3 3 2 3" xfId="8693"/>
    <cellStyle name="asd 21 3 3 2 4" xfId="10603"/>
    <cellStyle name="asd 21 3 3 2 5" xfId="12263"/>
    <cellStyle name="asd 21 3 3 2 6" xfId="13133"/>
    <cellStyle name="asd 21 3 3 2 7" xfId="15038"/>
    <cellStyle name="asd 21 3 3 2 8" xfId="18222"/>
    <cellStyle name="asd 21 3 3 2 9" xfId="20128"/>
    <cellStyle name="asd 21 3 3 20" xfId="37940"/>
    <cellStyle name="asd 21 3 3 21" xfId="12781"/>
    <cellStyle name="asd 21 3 3 22" xfId="28196"/>
    <cellStyle name="asd 21 3 3 23" xfId="33424"/>
    <cellStyle name="asd 21 3 3 3" xfId="5184"/>
    <cellStyle name="asd 21 3 3 4" xfId="8085"/>
    <cellStyle name="asd 21 3 3 5" xfId="9995"/>
    <cellStyle name="asd 21 3 3 6" xfId="12360"/>
    <cellStyle name="asd 21 3 3 7" xfId="2719"/>
    <cellStyle name="asd 21 3 3 8" xfId="8966"/>
    <cellStyle name="asd 21 3 3 9" xfId="17614"/>
    <cellStyle name="asd 21 3 4" xfId="4120"/>
    <cellStyle name="asd 21 3 4 10" xfId="19755"/>
    <cellStyle name="asd 21 3 4 11" xfId="21667"/>
    <cellStyle name="asd 21 3 4 12" xfId="22863"/>
    <cellStyle name="asd 21 3 4 13" xfId="25469"/>
    <cellStyle name="asd 21 3 4 14" xfId="27046"/>
    <cellStyle name="asd 21 3 4 15" xfId="28320"/>
    <cellStyle name="asd 21 3 4 16" xfId="30639"/>
    <cellStyle name="asd 21 3 4 17" xfId="32668"/>
    <cellStyle name="asd 21 3 4 18" xfId="34442"/>
    <cellStyle name="asd 21 3 4 19" xfId="36296"/>
    <cellStyle name="asd 21 3 4 2" xfId="6025"/>
    <cellStyle name="asd 21 3 4 2 10" xfId="22275"/>
    <cellStyle name="asd 21 3 4 2 11" xfId="23560"/>
    <cellStyle name="asd 21 3 4 2 12" xfId="26077"/>
    <cellStyle name="asd 21 3 4 2 13" xfId="27444"/>
    <cellStyle name="asd 21 3 4 2 14" xfId="29335"/>
    <cellStyle name="asd 21 3 4 2 15" xfId="31030"/>
    <cellStyle name="asd 21 3 4 2 16" xfId="33042"/>
    <cellStyle name="asd 21 3 4 2 17" xfId="33904"/>
    <cellStyle name="asd 21 3 4 2 18" xfId="36904"/>
    <cellStyle name="asd 21 3 4 2 19" xfId="38783"/>
    <cellStyle name="asd 21 3 4 2 2" xfId="7474"/>
    <cellStyle name="asd 21 3 4 2 20" xfId="40241"/>
    <cellStyle name="asd 21 3 4 2 21" xfId="41900"/>
    <cellStyle name="asd 21 3 4 2 22" xfId="43324"/>
    <cellStyle name="asd 21 3 4 2 3" xfId="8928"/>
    <cellStyle name="asd 21 3 4 2 4" xfId="10838"/>
    <cellStyle name="asd 21 3 4 2 5" xfId="12542"/>
    <cellStyle name="asd 21 3 4 2 6" xfId="14032"/>
    <cellStyle name="asd 21 3 4 2 7" xfId="15933"/>
    <cellStyle name="asd 21 3 4 2 8" xfId="18457"/>
    <cellStyle name="asd 21 3 4 2 9" xfId="20363"/>
    <cellStyle name="asd 21 3 4 20" xfId="38175"/>
    <cellStyle name="asd 21 3 4 21" xfId="39875"/>
    <cellStyle name="asd 21 3 4 22" xfId="41544"/>
    <cellStyle name="asd 21 3 4 23" xfId="42650"/>
    <cellStyle name="asd 21 3 4 3" xfId="6866"/>
    <cellStyle name="asd 21 3 4 4" xfId="8320"/>
    <cellStyle name="asd 21 3 4 5" xfId="10230"/>
    <cellStyle name="asd 21 3 4 6" xfId="11278"/>
    <cellStyle name="asd 21 3 4 7" xfId="13331"/>
    <cellStyle name="asd 21 3 4 8" xfId="15236"/>
    <cellStyle name="asd 21 3 4 9" xfId="17849"/>
    <cellStyle name="asd 21 3 5" xfId="4968"/>
    <cellStyle name="asd 21 3 5 10" xfId="21216"/>
    <cellStyle name="asd 21 3 5 11" xfId="23856"/>
    <cellStyle name="asd 21 3 5 12" xfId="25018"/>
    <cellStyle name="asd 21 3 5 13" xfId="26168"/>
    <cellStyle name="asd 21 3 5 14" xfId="29524"/>
    <cellStyle name="asd 21 3 5 15" xfId="29782"/>
    <cellStyle name="asd 21 3 5 16" xfId="33075"/>
    <cellStyle name="asd 21 3 5 17" xfId="33587"/>
    <cellStyle name="asd 21 3 5 18" xfId="35845"/>
    <cellStyle name="asd 21 3 5 19" xfId="37724"/>
    <cellStyle name="asd 21 3 5 2" xfId="6418"/>
    <cellStyle name="asd 21 3 5 20" xfId="40271"/>
    <cellStyle name="asd 21 3 5 21" xfId="41928"/>
    <cellStyle name="asd 21 3 5 22" xfId="43607"/>
    <cellStyle name="asd 21 3 5 3" xfId="7869"/>
    <cellStyle name="asd 21 3 5 4" xfId="9779"/>
    <cellStyle name="asd 21 3 5 5" xfId="11690"/>
    <cellStyle name="asd 21 3 5 6" xfId="14326"/>
    <cellStyle name="asd 21 3 5 7" xfId="16230"/>
    <cellStyle name="asd 21 3 5 8" xfId="17398"/>
    <cellStyle name="asd 21 3 5 9" xfId="19304"/>
    <cellStyle name="asd 21 3 6" xfId="4609"/>
    <cellStyle name="asd 21 3 6 10" xfId="20854"/>
    <cellStyle name="asd 21 3 6 11" xfId="22517"/>
    <cellStyle name="asd 21 3 6 12" xfId="24656"/>
    <cellStyle name="asd 21 3 6 13" xfId="26704"/>
    <cellStyle name="asd 21 3 6 14" xfId="28851"/>
    <cellStyle name="asd 21 3 6 15" xfId="30304"/>
    <cellStyle name="asd 21 3 6 16" xfId="32108"/>
    <cellStyle name="asd 21 3 6 17" xfId="33450"/>
    <cellStyle name="asd 21 3 6 18" xfId="35484"/>
    <cellStyle name="asd 21 3 6 19" xfId="37362"/>
    <cellStyle name="asd 21 3 6 2" xfId="2794"/>
    <cellStyle name="asd 21 3 6 20" xfId="39332"/>
    <cellStyle name="asd 21 3 6 21" xfId="41008"/>
    <cellStyle name="asd 21 3 6 22" xfId="42327"/>
    <cellStyle name="asd 21 3 6 3" xfId="2398"/>
    <cellStyle name="asd 21 3 6 4" xfId="9416"/>
    <cellStyle name="asd 21 3 6 5" xfId="11630"/>
    <cellStyle name="asd 21 3 6 6" xfId="12985"/>
    <cellStyle name="asd 21 3 6 7" xfId="14889"/>
    <cellStyle name="asd 21 3 6 8" xfId="17035"/>
    <cellStyle name="asd 21 3 6 9" xfId="18942"/>
    <cellStyle name="asd 21 3 7" xfId="2356"/>
    <cellStyle name="asd 21 3 8" xfId="9311"/>
    <cellStyle name="asd 21 3 9" xfId="12554"/>
    <cellStyle name="asd 21 4" xfId="3411"/>
    <cellStyle name="asd 21 4 10" xfId="15215"/>
    <cellStyle name="asd 21 4 11" xfId="16776"/>
    <cellStyle name="asd 21 4 12" xfId="18683"/>
    <cellStyle name="asd 21 4 13" xfId="20595"/>
    <cellStyle name="asd 21 4 14" xfId="22842"/>
    <cellStyle name="asd 21 4 15" xfId="24397"/>
    <cellStyle name="asd 21 4 16" xfId="27635"/>
    <cellStyle name="asd 21 4 17" xfId="2590"/>
    <cellStyle name="asd 21 4 18" xfId="31212"/>
    <cellStyle name="asd 21 4 19" xfId="33207"/>
    <cellStyle name="asd 21 4 2" xfId="3591"/>
    <cellStyle name="asd 21 4 2 10" xfId="17482"/>
    <cellStyle name="asd 21 4 2 11" xfId="19388"/>
    <cellStyle name="asd 21 4 2 12" xfId="21300"/>
    <cellStyle name="asd 21 4 2 13" xfId="2797"/>
    <cellStyle name="asd 21 4 2 14" xfId="25102"/>
    <cellStyle name="asd 21 4 2 15" xfId="4247"/>
    <cellStyle name="asd 21 4 2 16" xfId="16595"/>
    <cellStyle name="asd 21 4 2 17" xfId="3346"/>
    <cellStyle name="asd 21 4 2 18" xfId="28716"/>
    <cellStyle name="asd 21 4 2 19" xfId="29727"/>
    <cellStyle name="asd 21 4 2 2" xfId="5588"/>
    <cellStyle name="asd 21 4 2 2 10" xfId="21838"/>
    <cellStyle name="asd 21 4 2 2 11" xfId="23695"/>
    <cellStyle name="asd 21 4 2 2 12" xfId="25640"/>
    <cellStyle name="asd 21 4 2 2 13" xfId="26388"/>
    <cellStyle name="asd 21 4 2 2 14" xfId="28092"/>
    <cellStyle name="asd 21 4 2 2 15" xfId="29996"/>
    <cellStyle name="asd 21 4 2 2 16" xfId="33166"/>
    <cellStyle name="asd 21 4 2 2 17" xfId="33783"/>
    <cellStyle name="asd 21 4 2 2 18" xfId="36467"/>
    <cellStyle name="asd 21 4 2 2 19" xfId="38346"/>
    <cellStyle name="asd 21 4 2 2 2" xfId="7037"/>
    <cellStyle name="asd 21 4 2 2 20" xfId="40358"/>
    <cellStyle name="asd 21 4 2 2 21" xfId="42014"/>
    <cellStyle name="asd 21 4 2 2 22" xfId="43452"/>
    <cellStyle name="asd 21 4 2 2 3" xfId="8491"/>
    <cellStyle name="asd 21 4 2 2 4" xfId="10401"/>
    <cellStyle name="asd 21 4 2 2 5" xfId="11349"/>
    <cellStyle name="asd 21 4 2 2 6" xfId="14165"/>
    <cellStyle name="asd 21 4 2 2 7" xfId="16069"/>
    <cellStyle name="asd 21 4 2 2 8" xfId="18020"/>
    <cellStyle name="asd 21 4 2 2 9" xfId="19926"/>
    <cellStyle name="asd 21 4 2 20" xfId="35929"/>
    <cellStyle name="asd 21 4 2 21" xfId="37808"/>
    <cellStyle name="asd 21 4 2 22" xfId="29644"/>
    <cellStyle name="asd 21 4 2 23" xfId="10902"/>
    <cellStyle name="asd 21 4 2 24" xfId="39923"/>
    <cellStyle name="asd 21 4 2 3" xfId="5052"/>
    <cellStyle name="asd 21 4 2 4" xfId="6502"/>
    <cellStyle name="asd 21 4 2 5" xfId="7953"/>
    <cellStyle name="asd 21 4 2 6" xfId="9863"/>
    <cellStyle name="asd 21 4 2 7" xfId="11008"/>
    <cellStyle name="asd 21 4 2 8" xfId="2876"/>
    <cellStyle name="asd 21 4 2 9" xfId="1957"/>
    <cellStyle name="asd 21 4 20" xfId="34037"/>
    <cellStyle name="asd 21 4 21" xfId="35225"/>
    <cellStyle name="asd 21 4 22" xfId="37103"/>
    <cellStyle name="asd 21 4 23" xfId="40396"/>
    <cellStyle name="asd 21 4 24" xfId="42052"/>
    <cellStyle name="asd 21 4 25" xfId="42633"/>
    <cellStyle name="asd 21 4 3" xfId="2303"/>
    <cellStyle name="asd 21 4 3 10" xfId="19048"/>
    <cellStyle name="asd 21 4 3 11" xfId="20960"/>
    <cellStyle name="asd 21 4 3 12" xfId="22601"/>
    <cellStyle name="asd 21 4 3 13" xfId="24762"/>
    <cellStyle name="asd 21 4 3 14" xfId="27144"/>
    <cellStyle name="asd 21 4 3 15" xfId="29030"/>
    <cellStyle name="asd 21 4 3 16" xfId="30735"/>
    <cellStyle name="asd 21 4 3 17" xfId="32565"/>
    <cellStyle name="asd 21 4 3 18" xfId="34085"/>
    <cellStyle name="asd 21 4 3 19" xfId="35589"/>
    <cellStyle name="asd 21 4 3 2" xfId="4392"/>
    <cellStyle name="asd 21 4 3 2 10" xfId="20636"/>
    <cellStyle name="asd 21 4 3 2 11" xfId="23957"/>
    <cellStyle name="asd 21 4 3 2 12" xfId="24438"/>
    <cellStyle name="asd 21 4 3 2 13" xfId="26723"/>
    <cellStyle name="asd 21 4 3 2 14" xfId="29019"/>
    <cellStyle name="asd 21 4 3 2 15" xfId="30323"/>
    <cellStyle name="asd 21 4 3 2 16" xfId="31939"/>
    <cellStyle name="asd 21 4 3 2 17" xfId="34556"/>
    <cellStyle name="asd 21 4 3 2 18" xfId="35266"/>
    <cellStyle name="asd 21 4 3 2 19" xfId="37144"/>
    <cellStyle name="asd 21 4 3 2 2" xfId="4243"/>
    <cellStyle name="asd 21 4 3 2 20" xfId="39169"/>
    <cellStyle name="asd 21 4 3 2 21" xfId="40850"/>
    <cellStyle name="asd 21 4 3 2 22" xfId="43703"/>
    <cellStyle name="asd 21 4 3 2 3" xfId="2010"/>
    <cellStyle name="asd 21 4 3 2 4" xfId="9198"/>
    <cellStyle name="asd 21 4 3 2 5" xfId="11917"/>
    <cellStyle name="asd 21 4 3 2 6" xfId="14427"/>
    <cellStyle name="asd 21 4 3 2 7" xfId="16333"/>
    <cellStyle name="asd 21 4 3 2 8" xfId="16817"/>
    <cellStyle name="asd 21 4 3 2 9" xfId="18724"/>
    <cellStyle name="asd 21 4 3 20" xfId="37468"/>
    <cellStyle name="asd 21 4 3 21" xfId="39777"/>
    <cellStyle name="asd 21 4 3 22" xfId="41447"/>
    <cellStyle name="asd 21 4 3 23" xfId="42410"/>
    <cellStyle name="asd 21 4 3 3" xfId="4714"/>
    <cellStyle name="asd 21 4 3 4" xfId="7613"/>
    <cellStyle name="asd 21 4 3 5" xfId="9523"/>
    <cellStyle name="asd 21 4 3 6" xfId="12346"/>
    <cellStyle name="asd 21 4 3 7" xfId="13069"/>
    <cellStyle name="asd 21 4 3 8" xfId="14973"/>
    <cellStyle name="asd 21 4 3 9" xfId="17142"/>
    <cellStyle name="asd 21 4 4" xfId="4043"/>
    <cellStyle name="asd 21 4 4 10" xfId="19678"/>
    <cellStyle name="asd 21 4 4 11" xfId="21590"/>
    <cellStyle name="asd 21 4 4 12" xfId="24119"/>
    <cellStyle name="asd 21 4 4 13" xfId="25392"/>
    <cellStyle name="asd 21 4 4 14" xfId="1923"/>
    <cellStyle name="asd 21 4 4 15" xfId="2486"/>
    <cellStyle name="asd 21 4 4 16" xfId="27208"/>
    <cellStyle name="asd 21 4 4 17" xfId="8978"/>
    <cellStyle name="asd 21 4 4 18" xfId="2224"/>
    <cellStyle name="asd 21 4 4 19" xfId="36219"/>
    <cellStyle name="asd 21 4 4 2" xfId="5948"/>
    <cellStyle name="asd 21 4 4 2 10" xfId="22198"/>
    <cellStyle name="asd 21 4 4 2 11" xfId="23745"/>
    <cellStyle name="asd 21 4 4 2 12" xfId="26000"/>
    <cellStyle name="asd 21 4 4 2 13" xfId="27255"/>
    <cellStyle name="asd 21 4 4 2 14" xfId="29092"/>
    <cellStyle name="asd 21 4 4 2 15" xfId="30846"/>
    <cellStyle name="asd 21 4 4 2 16" xfId="31702"/>
    <cellStyle name="asd 21 4 4 2 17" xfId="33610"/>
    <cellStyle name="asd 21 4 4 2 18" xfId="36827"/>
    <cellStyle name="asd 21 4 4 2 19" xfId="38706"/>
    <cellStyle name="asd 21 4 4 2 2" xfId="7397"/>
    <cellStyle name="asd 21 4 4 2 20" xfId="38943"/>
    <cellStyle name="asd 21 4 4 2 21" xfId="40627"/>
    <cellStyle name="asd 21 4 4 2 22" xfId="43498"/>
    <cellStyle name="asd 21 4 4 2 3" xfId="8851"/>
    <cellStyle name="asd 21 4 4 2 4" xfId="10761"/>
    <cellStyle name="asd 21 4 4 2 5" xfId="12723"/>
    <cellStyle name="asd 21 4 4 2 6" xfId="14215"/>
    <cellStyle name="asd 21 4 4 2 7" xfId="16119"/>
    <cellStyle name="asd 21 4 4 2 8" xfId="18380"/>
    <cellStyle name="asd 21 4 4 2 9" xfId="20286"/>
    <cellStyle name="asd 21 4 4 20" xfId="38098"/>
    <cellStyle name="asd 21 4 4 21" xfId="2434"/>
    <cellStyle name="asd 21 4 4 22" xfId="13146"/>
    <cellStyle name="asd 21 4 4 23" xfId="43862"/>
    <cellStyle name="asd 21 4 4 3" xfId="6789"/>
    <cellStyle name="asd 21 4 4 4" xfId="8243"/>
    <cellStyle name="asd 21 4 4 5" xfId="10153"/>
    <cellStyle name="asd 21 4 4 6" xfId="12079"/>
    <cellStyle name="asd 21 4 4 7" xfId="14590"/>
    <cellStyle name="asd 21 4 4 8" xfId="16496"/>
    <cellStyle name="asd 21 4 4 9" xfId="17772"/>
    <cellStyle name="asd 21 4 5" xfId="2636"/>
    <cellStyle name="asd 21 4 5 10" xfId="20578"/>
    <cellStyle name="asd 21 4 5 11" xfId="23736"/>
    <cellStyle name="asd 21 4 5 12" xfId="24380"/>
    <cellStyle name="asd 21 4 5 13" xfId="27386"/>
    <cellStyle name="asd 21 4 5 14" xfId="29428"/>
    <cellStyle name="asd 21 4 5 15" xfId="30972"/>
    <cellStyle name="asd 21 4 5 16" xfId="31736"/>
    <cellStyle name="asd 21 4 5 17" xfId="34508"/>
    <cellStyle name="asd 21 4 5 18" xfId="35208"/>
    <cellStyle name="asd 21 4 5 19" xfId="37086"/>
    <cellStyle name="asd 21 4 5 2" xfId="4521"/>
    <cellStyle name="asd 21 4 5 20" xfId="38977"/>
    <cellStyle name="asd 21 4 5 21" xfId="40660"/>
    <cellStyle name="asd 21 4 5 22" xfId="43489"/>
    <cellStyle name="asd 21 4 5 3" xfId="4666"/>
    <cellStyle name="asd 21 4 5 4" xfId="9140"/>
    <cellStyle name="asd 21 4 5 5" xfId="11527"/>
    <cellStyle name="asd 21 4 5 6" xfId="14206"/>
    <cellStyle name="asd 21 4 5 7" xfId="16110"/>
    <cellStyle name="asd 21 4 5 8" xfId="16759"/>
    <cellStyle name="asd 21 4 5 9" xfId="18666"/>
    <cellStyle name="asd 21 4 6" xfId="6724"/>
    <cellStyle name="asd 21 4 7" xfId="9157"/>
    <cellStyle name="asd 21 4 8" xfId="11103"/>
    <cellStyle name="asd 21 4 9" xfId="13311"/>
    <cellStyle name="asd 21 5" xfId="2598"/>
    <cellStyle name="asd 21 5 10" xfId="17181"/>
    <cellStyle name="asd 21 5 11" xfId="19087"/>
    <cellStyle name="asd 21 5 12" xfId="20999"/>
    <cellStyle name="asd 21 5 13" xfId="22854"/>
    <cellStyle name="asd 21 5 14" xfId="24801"/>
    <cellStyle name="asd 21 5 15" xfId="26953"/>
    <cellStyle name="asd 21 5 16" xfId="28985"/>
    <cellStyle name="asd 21 5 17" xfId="30547"/>
    <cellStyle name="asd 21 5 18" xfId="33026"/>
    <cellStyle name="asd 21 5 19" xfId="34348"/>
    <cellStyle name="asd 21 5 2" xfId="2953"/>
    <cellStyle name="asd 21 5 2 10" xfId="20458"/>
    <cellStyle name="asd 21 5 2 11" xfId="23007"/>
    <cellStyle name="asd 21 5 2 12" xfId="24260"/>
    <cellStyle name="asd 21 5 2 13" xfId="27576"/>
    <cellStyle name="asd 21 5 2 14" xfId="3910"/>
    <cellStyle name="asd 21 5 2 15" xfId="31155"/>
    <cellStyle name="asd 21 5 2 16" xfId="28274"/>
    <cellStyle name="asd 21 5 2 17" xfId="32569"/>
    <cellStyle name="asd 21 5 2 18" xfId="35088"/>
    <cellStyle name="asd 21 5 2 19" xfId="36966"/>
    <cellStyle name="asd 21 5 2 2" xfId="4422"/>
    <cellStyle name="asd 21 5 2 20" xfId="33565"/>
    <cellStyle name="asd 21 5 2 21" xfId="33356"/>
    <cellStyle name="asd 21 5 2 22" xfId="42791"/>
    <cellStyle name="asd 21 5 2 3" xfId="4442"/>
    <cellStyle name="asd 21 5 2 4" xfId="9020"/>
    <cellStyle name="asd 21 5 2 5" xfId="11171"/>
    <cellStyle name="asd 21 5 2 6" xfId="13477"/>
    <cellStyle name="asd 21 5 2 7" xfId="15382"/>
    <cellStyle name="asd 21 5 2 8" xfId="16639"/>
    <cellStyle name="asd 21 5 2 9" xfId="18546"/>
    <cellStyle name="asd 21 5 20" xfId="35628"/>
    <cellStyle name="asd 21 5 21" xfId="37507"/>
    <cellStyle name="asd 21 5 22" xfId="40226"/>
    <cellStyle name="asd 21 5 23" xfId="41885"/>
    <cellStyle name="asd 21 5 24" xfId="42644"/>
    <cellStyle name="asd 21 5 3" xfId="4752"/>
    <cellStyle name="asd 21 5 4" xfId="6201"/>
    <cellStyle name="asd 21 5 5" xfId="7652"/>
    <cellStyle name="asd 21 5 6" xfId="9562"/>
    <cellStyle name="asd 21 5 7" xfId="12465"/>
    <cellStyle name="asd 21 5 8" xfId="13323"/>
    <cellStyle name="asd 21 5 9" xfId="15227"/>
    <cellStyle name="asd 21 6" xfId="3204"/>
    <cellStyle name="asd 21 6 10" xfId="19178"/>
    <cellStyle name="asd 21 6 11" xfId="21090"/>
    <cellStyle name="asd 21 6 12" xfId="23723"/>
    <cellStyle name="asd 21 6 13" xfId="24892"/>
    <cellStyle name="asd 21 6 14" xfId="27124"/>
    <cellStyle name="asd 21 6 15" xfId="8992"/>
    <cellStyle name="asd 21 6 16" xfId="30714"/>
    <cellStyle name="asd 21 6 17" xfId="31701"/>
    <cellStyle name="asd 21 6 18" xfId="34207"/>
    <cellStyle name="asd 21 6 19" xfId="35719"/>
    <cellStyle name="asd 21 6 2" xfId="4271"/>
    <cellStyle name="asd 21 6 2 10" xfId="20555"/>
    <cellStyle name="asd 21 6 2 11" xfId="23306"/>
    <cellStyle name="asd 21 6 2 12" xfId="24357"/>
    <cellStyle name="asd 21 6 2 13" xfId="27545"/>
    <cellStyle name="asd 21 6 2 14" xfId="29366"/>
    <cellStyle name="asd 21 6 2 15" xfId="31126"/>
    <cellStyle name="asd 21 6 2 16" xfId="32154"/>
    <cellStyle name="asd 21 6 2 17" xfId="33932"/>
    <cellStyle name="asd 21 6 2 18" xfId="35185"/>
    <cellStyle name="asd 21 6 2 19" xfId="37063"/>
    <cellStyle name="asd 21 6 2 2" xfId="5393"/>
    <cellStyle name="asd 21 6 2 20" xfId="39377"/>
    <cellStyle name="asd 21 6 2 21" xfId="41053"/>
    <cellStyle name="asd 21 6 2 22" xfId="43078"/>
    <cellStyle name="asd 21 6 2 3" xfId="6090"/>
    <cellStyle name="asd 21 6 2 4" xfId="9117"/>
    <cellStyle name="asd 21 6 2 5" xfId="11310"/>
    <cellStyle name="asd 21 6 2 6" xfId="13778"/>
    <cellStyle name="asd 21 6 2 7" xfId="15680"/>
    <cellStyle name="asd 21 6 2 8" xfId="16736"/>
    <cellStyle name="asd 21 6 2 9" xfId="18643"/>
    <cellStyle name="asd 21 6 20" xfId="37598"/>
    <cellStyle name="asd 21 6 21" xfId="38942"/>
    <cellStyle name="asd 21 6 22" xfId="40626"/>
    <cellStyle name="asd 21 6 23" xfId="43478"/>
    <cellStyle name="asd 21 6 3" xfId="4842"/>
    <cellStyle name="asd 21 6 4" xfId="7743"/>
    <cellStyle name="asd 21 6 5" xfId="9653"/>
    <cellStyle name="asd 21 6 6" xfId="11828"/>
    <cellStyle name="asd 21 6 7" xfId="14193"/>
    <cellStyle name="asd 21 6 8" xfId="16097"/>
    <cellStyle name="asd 21 6 9" xfId="17272"/>
    <cellStyle name="asd 21 7" xfId="2929"/>
    <cellStyle name="asd 21 7 10" xfId="19128"/>
    <cellStyle name="asd 21 7 11" xfId="21040"/>
    <cellStyle name="asd 21 7 12" xfId="22970"/>
    <cellStyle name="asd 21 7 13" xfId="24842"/>
    <cellStyle name="asd 21 7 14" xfId="27034"/>
    <cellStyle name="asd 21 7 15" xfId="24216"/>
    <cellStyle name="asd 21 7 16" xfId="30627"/>
    <cellStyle name="asd 21 7 17" xfId="32152"/>
    <cellStyle name="asd 21 7 18" xfId="33857"/>
    <cellStyle name="asd 21 7 19" xfId="35669"/>
    <cellStyle name="asd 21 7 2" xfId="5728"/>
    <cellStyle name="asd 21 7 2 10" xfId="21978"/>
    <cellStyle name="asd 21 7 2 11" xfId="23517"/>
    <cellStyle name="asd 21 7 2 12" xfId="25780"/>
    <cellStyle name="asd 21 7 2 13" xfId="27114"/>
    <cellStyle name="asd 21 7 2 14" xfId="29297"/>
    <cellStyle name="asd 21 7 2 15" xfId="30705"/>
    <cellStyle name="asd 21 7 2 16" xfId="32357"/>
    <cellStyle name="asd 21 7 2 17" xfId="33549"/>
    <cellStyle name="asd 21 7 2 18" xfId="36607"/>
    <cellStyle name="asd 21 7 2 19" xfId="38486"/>
    <cellStyle name="asd 21 7 2 2" xfId="7177"/>
    <cellStyle name="asd 21 7 2 20" xfId="39576"/>
    <cellStyle name="asd 21 7 2 21" xfId="41250"/>
    <cellStyle name="asd 21 7 2 22" xfId="43282"/>
    <cellStyle name="asd 21 7 2 3" xfId="8631"/>
    <cellStyle name="asd 21 7 2 4" xfId="10541"/>
    <cellStyle name="asd 21 7 2 5" xfId="12586"/>
    <cellStyle name="asd 21 7 2 6" xfId="13989"/>
    <cellStyle name="asd 21 7 2 7" xfId="15890"/>
    <cellStyle name="asd 21 7 2 8" xfId="18160"/>
    <cellStyle name="asd 21 7 2 9" xfId="20066"/>
    <cellStyle name="asd 21 7 20" xfId="37548"/>
    <cellStyle name="asd 21 7 21" xfId="39375"/>
    <cellStyle name="asd 21 7 22" xfId="41051"/>
    <cellStyle name="asd 21 7 23" xfId="42756"/>
    <cellStyle name="asd 21 7 3" xfId="6242"/>
    <cellStyle name="asd 21 7 4" xfId="7693"/>
    <cellStyle name="asd 21 7 5" xfId="9603"/>
    <cellStyle name="asd 21 7 6" xfId="11002"/>
    <cellStyle name="asd 21 7 7" xfId="13439"/>
    <cellStyle name="asd 21 7 8" xfId="15344"/>
    <cellStyle name="asd 21 7 9" xfId="17222"/>
    <cellStyle name="asd 21 8" xfId="4241"/>
    <cellStyle name="asd 21 9" xfId="5287"/>
    <cellStyle name="asd 22" xfId="838"/>
    <cellStyle name="asd 22 10" xfId="3081"/>
    <cellStyle name="asd 22 11" xfId="2593"/>
    <cellStyle name="asd 22 12" xfId="2217"/>
    <cellStyle name="asd 22 13" xfId="10890"/>
    <cellStyle name="asd 22 14" xfId="15120"/>
    <cellStyle name="asd 22 15" xfId="3930"/>
    <cellStyle name="asd 22 16" xfId="3817"/>
    <cellStyle name="asd 22 17" xfId="2945"/>
    <cellStyle name="asd 22 18" xfId="3179"/>
    <cellStyle name="asd 22 19" xfId="28016"/>
    <cellStyle name="asd 22 2" xfId="3396"/>
    <cellStyle name="asd 22 2 10" xfId="13418"/>
    <cellStyle name="asd 22 2 11" xfId="15323"/>
    <cellStyle name="asd 22 2 12" xfId="16734"/>
    <cellStyle name="asd 22 2 13" xfId="18641"/>
    <cellStyle name="asd 22 2 14" xfId="20553"/>
    <cellStyle name="asd 22 2 15" xfId="22950"/>
    <cellStyle name="asd 22 2 16" xfId="24355"/>
    <cellStyle name="asd 22 2 17" xfId="27802"/>
    <cellStyle name="asd 22 2 18" xfId="29267"/>
    <cellStyle name="asd 22 2 19" xfId="31379"/>
    <cellStyle name="asd 22 2 2" xfId="3576"/>
    <cellStyle name="asd 22 2 2 10" xfId="17467"/>
    <cellStyle name="asd 22 2 2 11" xfId="19373"/>
    <cellStyle name="asd 22 2 2 12" xfId="21285"/>
    <cellStyle name="asd 22 2 2 13" xfId="23565"/>
    <cellStyle name="asd 22 2 2 14" xfId="25087"/>
    <cellStyle name="asd 22 2 2 15" xfId="26794"/>
    <cellStyle name="asd 22 2 2 16" xfId="28343"/>
    <cellStyle name="asd 22 2 2 17" xfId="30392"/>
    <cellStyle name="asd 22 2 2 18" xfId="33131"/>
    <cellStyle name="asd 22 2 2 19" xfId="34655"/>
    <cellStyle name="asd 22 2 2 2" xfId="4334"/>
    <cellStyle name="asd 22 2 2 2 10" xfId="20591"/>
    <cellStyle name="asd 22 2 2 2 11" xfId="22781"/>
    <cellStyle name="asd 22 2 2 2 12" xfId="24393"/>
    <cellStyle name="asd 22 2 2 2 13" xfId="26865"/>
    <cellStyle name="asd 22 2 2 2 14" xfId="3305"/>
    <cellStyle name="asd 22 2 2 2 15" xfId="30461"/>
    <cellStyle name="asd 22 2 2 2 16" xfId="33129"/>
    <cellStyle name="asd 22 2 2 2 17" xfId="33639"/>
    <cellStyle name="asd 22 2 2 2 18" xfId="35221"/>
    <cellStyle name="asd 22 2 2 2 19" xfId="37099"/>
    <cellStyle name="asd 22 2 2 2 2" xfId="5450"/>
    <cellStyle name="asd 22 2 2 2 20" xfId="40323"/>
    <cellStyle name="asd 22 2 2 2 21" xfId="41979"/>
    <cellStyle name="asd 22 2 2 2 22" xfId="42574"/>
    <cellStyle name="asd 22 2 2 2 3" xfId="6213"/>
    <cellStyle name="asd 22 2 2 2 4" xfId="9153"/>
    <cellStyle name="asd 22 2 2 2 5" xfId="11248"/>
    <cellStyle name="asd 22 2 2 2 6" xfId="13250"/>
    <cellStyle name="asd 22 2 2 2 7" xfId="15154"/>
    <cellStyle name="asd 22 2 2 2 8" xfId="16772"/>
    <cellStyle name="asd 22 2 2 2 9" xfId="18679"/>
    <cellStyle name="asd 22 2 2 20" xfId="35914"/>
    <cellStyle name="asd 22 2 2 21" xfId="37793"/>
    <cellStyle name="asd 22 2 2 22" xfId="40325"/>
    <cellStyle name="asd 22 2 2 23" xfId="41981"/>
    <cellStyle name="asd 22 2 2 24" xfId="43329"/>
    <cellStyle name="asd 22 2 2 3" xfId="5037"/>
    <cellStyle name="asd 22 2 2 4" xfId="6487"/>
    <cellStyle name="asd 22 2 2 5" xfId="7938"/>
    <cellStyle name="asd 22 2 2 6" xfId="9848"/>
    <cellStyle name="asd 22 2 2 7" xfId="12569"/>
    <cellStyle name="asd 22 2 2 8" xfId="14037"/>
    <cellStyle name="asd 22 2 2 9" xfId="15938"/>
    <cellStyle name="asd 22 2 20" xfId="32968"/>
    <cellStyle name="asd 22 2 21" xfId="34065"/>
    <cellStyle name="asd 22 2 22" xfId="35183"/>
    <cellStyle name="asd 22 2 23" xfId="37061"/>
    <cellStyle name="asd 22 2 24" xfId="40169"/>
    <cellStyle name="asd 22 2 25" xfId="41828"/>
    <cellStyle name="asd 22 2 26" xfId="42736"/>
    <cellStyle name="asd 22 2 3" xfId="3834"/>
    <cellStyle name="asd 22 2 3 10" xfId="19559"/>
    <cellStyle name="asd 22 2 3 11" xfId="21471"/>
    <cellStyle name="asd 22 2 3 12" xfId="22955"/>
    <cellStyle name="asd 22 2 3 13" xfId="25273"/>
    <cellStyle name="asd 22 2 3 14" xfId="26934"/>
    <cellStyle name="asd 22 2 3 15" xfId="28963"/>
    <cellStyle name="asd 22 2 3 16" xfId="30528"/>
    <cellStyle name="asd 22 2 3 17" xfId="32844"/>
    <cellStyle name="asd 22 2 3 18" xfId="33560"/>
    <cellStyle name="asd 22 2 3 19" xfId="36100"/>
    <cellStyle name="asd 22 2 3 2" xfId="5829"/>
    <cellStyle name="asd 22 2 3 2 10" xfId="22079"/>
    <cellStyle name="asd 22 2 3 2 11" xfId="23374"/>
    <cellStyle name="asd 22 2 3 2 12" xfId="25881"/>
    <cellStyle name="asd 22 2 3 2 13" xfId="27222"/>
    <cellStyle name="asd 22 2 3 2 14" xfId="28055"/>
    <cellStyle name="asd 22 2 3 2 15" xfId="30813"/>
    <cellStyle name="asd 22 2 3 2 16" xfId="32902"/>
    <cellStyle name="asd 22 2 3 2 17" xfId="34747"/>
    <cellStyle name="asd 22 2 3 2 18" xfId="36708"/>
    <cellStyle name="asd 22 2 3 2 19" xfId="38587"/>
    <cellStyle name="asd 22 2 3 2 2" xfId="7278"/>
    <cellStyle name="asd 22 2 3 2 20" xfId="40106"/>
    <cellStyle name="asd 22 2 3 2 21" xfId="41766"/>
    <cellStyle name="asd 22 2 3 2 22" xfId="43142"/>
    <cellStyle name="asd 22 2 3 2 3" xfId="8732"/>
    <cellStyle name="asd 22 2 3 2 4" xfId="10642"/>
    <cellStyle name="asd 22 2 3 2 5" xfId="11265"/>
    <cellStyle name="asd 22 2 3 2 6" xfId="13846"/>
    <cellStyle name="asd 22 2 3 2 7" xfId="15747"/>
    <cellStyle name="asd 22 2 3 2 8" xfId="18261"/>
    <cellStyle name="asd 22 2 3 2 9" xfId="20167"/>
    <cellStyle name="asd 22 2 3 20" xfId="37979"/>
    <cellStyle name="asd 22 2 3 21" xfId="40051"/>
    <cellStyle name="asd 22 2 3 22" xfId="41715"/>
    <cellStyle name="asd 22 2 3 23" xfId="42741"/>
    <cellStyle name="asd 22 2 3 3" xfId="5223"/>
    <cellStyle name="asd 22 2 3 4" xfId="8124"/>
    <cellStyle name="asd 22 2 3 5" xfId="10034"/>
    <cellStyle name="asd 22 2 3 6" xfId="12195"/>
    <cellStyle name="asd 22 2 3 7" xfId="13424"/>
    <cellStyle name="asd 22 2 3 8" xfId="15329"/>
    <cellStyle name="asd 22 2 3 9" xfId="17653"/>
    <cellStyle name="asd 22 2 4" xfId="4028"/>
    <cellStyle name="asd 22 2 4 10" xfId="19663"/>
    <cellStyle name="asd 22 2 4 11" xfId="21575"/>
    <cellStyle name="asd 22 2 4 12" xfId="23422"/>
    <cellStyle name="asd 22 2 4 13" xfId="25377"/>
    <cellStyle name="asd 22 2 4 14" xfId="27466"/>
    <cellStyle name="asd 22 2 4 15" xfId="28142"/>
    <cellStyle name="asd 22 2 4 16" xfId="31053"/>
    <cellStyle name="asd 22 2 4 17" xfId="32435"/>
    <cellStyle name="asd 22 2 4 18" xfId="33883"/>
    <cellStyle name="asd 22 2 4 19" xfId="36204"/>
    <cellStyle name="asd 22 2 4 2" xfId="5933"/>
    <cellStyle name="asd 22 2 4 2 10" xfId="22183"/>
    <cellStyle name="asd 22 2 4 2 11" xfId="23102"/>
    <cellStyle name="asd 22 2 4 2 12" xfId="25985"/>
    <cellStyle name="asd 22 2 4 2 13" xfId="20418"/>
    <cellStyle name="asd 22 2 4 2 14" xfId="27987"/>
    <cellStyle name="asd 22 2 4 2 15" xfId="2661"/>
    <cellStyle name="asd 22 2 4 2 16" xfId="22337"/>
    <cellStyle name="asd 22 2 4 2 17" xfId="28509"/>
    <cellStyle name="asd 22 2 4 2 18" xfId="36812"/>
    <cellStyle name="asd 22 2 4 2 19" xfId="38691"/>
    <cellStyle name="asd 22 2 4 2 2" xfId="7382"/>
    <cellStyle name="asd 22 2 4 2 20" xfId="24242"/>
    <cellStyle name="asd 22 2 4 2 21" xfId="34073"/>
    <cellStyle name="asd 22 2 4 2 22" xfId="42882"/>
    <cellStyle name="asd 22 2 4 2 3" xfId="8836"/>
    <cellStyle name="asd 22 2 4 2 4" xfId="10746"/>
    <cellStyle name="asd 22 2 4 2 5" xfId="12715"/>
    <cellStyle name="asd 22 2 4 2 6" xfId="13573"/>
    <cellStyle name="asd 22 2 4 2 7" xfId="15476"/>
    <cellStyle name="asd 22 2 4 2 8" xfId="18365"/>
    <cellStyle name="asd 22 2 4 2 9" xfId="20271"/>
    <cellStyle name="asd 22 2 4 20" xfId="38083"/>
    <cellStyle name="asd 22 2 4 21" xfId="39652"/>
    <cellStyle name="asd 22 2 4 22" xfId="41326"/>
    <cellStyle name="asd 22 2 4 23" xfId="43189"/>
    <cellStyle name="asd 22 2 4 3" xfId="6774"/>
    <cellStyle name="asd 22 2 4 4" xfId="8228"/>
    <cellStyle name="asd 22 2 4 5" xfId="10138"/>
    <cellStyle name="asd 22 2 4 6" xfId="11000"/>
    <cellStyle name="asd 22 2 4 7" xfId="13894"/>
    <cellStyle name="asd 22 2 4 8" xfId="15795"/>
    <cellStyle name="asd 22 2 4 9" xfId="17757"/>
    <cellStyle name="asd 22 2 5" xfId="4895"/>
    <cellStyle name="asd 22 2 5 10" xfId="21143"/>
    <cellStyle name="asd 22 2 5 11" xfId="24184"/>
    <cellStyle name="asd 22 2 5 12" xfId="24945"/>
    <cellStyle name="asd 22 2 5 13" xfId="26402"/>
    <cellStyle name="asd 22 2 5 14" xfId="23573"/>
    <cellStyle name="asd 22 2 5 15" xfId="30010"/>
    <cellStyle name="asd 22 2 5 16" xfId="31626"/>
    <cellStyle name="asd 22 2 5 17" xfId="33845"/>
    <cellStyle name="asd 22 2 5 18" xfId="35772"/>
    <cellStyle name="asd 22 2 5 19" xfId="37651"/>
    <cellStyle name="asd 22 2 5 2" xfId="6345"/>
    <cellStyle name="asd 22 2 5 20" xfId="38873"/>
    <cellStyle name="asd 22 2 5 21" xfId="40558"/>
    <cellStyle name="asd 22 2 5 22" xfId="43924"/>
    <cellStyle name="asd 22 2 5 3" xfId="7796"/>
    <cellStyle name="asd 22 2 5 4" xfId="9706"/>
    <cellStyle name="asd 22 2 5 5" xfId="12143"/>
    <cellStyle name="asd 22 2 5 6" xfId="14655"/>
    <cellStyle name="asd 22 2 5 7" xfId="16561"/>
    <cellStyle name="asd 22 2 5 8" xfId="17325"/>
    <cellStyle name="asd 22 2 5 9" xfId="19231"/>
    <cellStyle name="asd 22 2 6" xfId="2969"/>
    <cellStyle name="asd 22 2 6 10" xfId="20534"/>
    <cellStyle name="asd 22 2 6 11" xfId="23020"/>
    <cellStyle name="asd 22 2 6 12" xfId="24336"/>
    <cellStyle name="asd 22 2 6 13" xfId="26846"/>
    <cellStyle name="asd 22 2 6 14" xfId="29709"/>
    <cellStyle name="asd 22 2 6 15" xfId="30443"/>
    <cellStyle name="asd 22 2 6 16" xfId="31954"/>
    <cellStyle name="asd 22 2 6 17" xfId="33475"/>
    <cellStyle name="asd 22 2 6 18" xfId="35164"/>
    <cellStyle name="asd 22 2 6 19" xfId="37042"/>
    <cellStyle name="asd 22 2 6 2" xfId="4742"/>
    <cellStyle name="asd 22 2 6 20" xfId="39183"/>
    <cellStyle name="asd 22 2 6 21" xfId="40864"/>
    <cellStyle name="asd 22 2 6 22" xfId="42803"/>
    <cellStyle name="asd 22 2 6 3" xfId="6269"/>
    <cellStyle name="asd 22 2 6 4" xfId="9096"/>
    <cellStyle name="asd 22 2 6 5" xfId="12604"/>
    <cellStyle name="asd 22 2 6 6" xfId="13490"/>
    <cellStyle name="asd 22 2 6 7" xfId="15394"/>
    <cellStyle name="asd 22 2 6 8" xfId="16715"/>
    <cellStyle name="asd 22 2 6 9" xfId="18622"/>
    <cellStyle name="asd 22 2 7" xfId="6703"/>
    <cellStyle name="asd 22 2 8" xfId="9115"/>
    <cellStyle name="asd 22 2 9" xfId="12473"/>
    <cellStyle name="asd 22 20" xfId="28024"/>
    <cellStyle name="asd 22 21" xfId="28626"/>
    <cellStyle name="asd 22 22" xfId="1975"/>
    <cellStyle name="asd 22 23" xfId="29423"/>
    <cellStyle name="asd 22 24" xfId="34090"/>
    <cellStyle name="asd 22 25" xfId="32237"/>
    <cellStyle name="asd 22 26" xfId="29113"/>
    <cellStyle name="asd 22 27" xfId="20408"/>
    <cellStyle name="asd 22 3" xfId="3388"/>
    <cellStyle name="asd 22 3 10" xfId="13909"/>
    <cellStyle name="asd 22 3 11" xfId="15810"/>
    <cellStyle name="asd 22 3 12" xfId="16717"/>
    <cellStyle name="asd 22 3 13" xfId="18624"/>
    <cellStyle name="asd 22 3 14" xfId="20536"/>
    <cellStyle name="asd 22 3 15" xfId="23437"/>
    <cellStyle name="asd 22 3 16" xfId="24338"/>
    <cellStyle name="asd 22 3 17" xfId="26810"/>
    <cellStyle name="asd 22 3 18" xfId="28599"/>
    <cellStyle name="asd 22 3 19" xfId="30409"/>
    <cellStyle name="asd 22 3 2" xfId="3568"/>
    <cellStyle name="asd 22 3 2 10" xfId="17459"/>
    <cellStyle name="asd 22 3 2 11" xfId="19365"/>
    <cellStyle name="asd 22 3 2 12" xfId="21277"/>
    <cellStyle name="asd 22 3 2 13" xfId="22775"/>
    <cellStyle name="asd 22 3 2 14" xfId="25079"/>
    <cellStyle name="asd 22 3 2 15" xfId="26334"/>
    <cellStyle name="asd 22 3 2 16" xfId="28656"/>
    <cellStyle name="asd 22 3 2 17" xfId="29942"/>
    <cellStyle name="asd 22 3 2 18" xfId="32414"/>
    <cellStyle name="asd 22 3 2 19" xfId="33975"/>
    <cellStyle name="asd 22 3 2 2" xfId="5705"/>
    <cellStyle name="asd 22 3 2 2 10" xfId="21955"/>
    <cellStyle name="asd 22 3 2 2 11" xfId="22694"/>
    <cellStyle name="asd 22 3 2 2 12" xfId="25757"/>
    <cellStyle name="asd 22 3 2 2 13" xfId="26389"/>
    <cellStyle name="asd 22 3 2 2 14" xfId="3819"/>
    <cellStyle name="asd 22 3 2 2 15" xfId="29997"/>
    <cellStyle name="asd 22 3 2 2 16" xfId="32604"/>
    <cellStyle name="asd 22 3 2 2 17" xfId="34007"/>
    <cellStyle name="asd 22 3 2 2 18" xfId="36584"/>
    <cellStyle name="asd 22 3 2 2 19" xfId="38463"/>
    <cellStyle name="asd 22 3 2 2 2" xfId="7154"/>
    <cellStyle name="asd 22 3 2 2 20" xfId="39814"/>
    <cellStyle name="asd 22 3 2 2 21" xfId="41483"/>
    <cellStyle name="asd 22 3 2 2 22" xfId="42496"/>
    <cellStyle name="asd 22 3 2 2 3" xfId="8608"/>
    <cellStyle name="asd 22 3 2 2 4" xfId="10518"/>
    <cellStyle name="asd 22 3 2 2 5" xfId="11367"/>
    <cellStyle name="asd 22 3 2 2 6" xfId="13162"/>
    <cellStyle name="asd 22 3 2 2 7" xfId="15067"/>
    <cellStyle name="asd 22 3 2 2 8" xfId="18137"/>
    <cellStyle name="asd 22 3 2 2 9" xfId="20043"/>
    <cellStyle name="asd 22 3 2 20" xfId="35906"/>
    <cellStyle name="asd 22 3 2 21" xfId="37785"/>
    <cellStyle name="asd 22 3 2 22" xfId="39631"/>
    <cellStyle name="asd 22 3 2 23" xfId="41305"/>
    <cellStyle name="asd 22 3 2 24" xfId="42570"/>
    <cellStyle name="asd 22 3 2 3" xfId="5029"/>
    <cellStyle name="asd 22 3 2 4" xfId="6479"/>
    <cellStyle name="asd 22 3 2 5" xfId="7930"/>
    <cellStyle name="asd 22 3 2 6" xfId="9840"/>
    <cellStyle name="asd 22 3 2 7" xfId="11479"/>
    <cellStyle name="asd 22 3 2 8" xfId="13245"/>
    <cellStyle name="asd 22 3 2 9" xfId="15148"/>
    <cellStyle name="asd 22 3 20" xfId="32946"/>
    <cellStyle name="asd 22 3 21" xfId="34542"/>
    <cellStyle name="asd 22 3 22" xfId="35166"/>
    <cellStyle name="asd 22 3 23" xfId="37044"/>
    <cellStyle name="asd 22 3 24" xfId="40149"/>
    <cellStyle name="asd 22 3 25" xfId="41808"/>
    <cellStyle name="asd 22 3 26" xfId="43204"/>
    <cellStyle name="asd 22 3 3" xfId="3902"/>
    <cellStyle name="asd 22 3 3 10" xfId="19606"/>
    <cellStyle name="asd 22 3 3 11" xfId="21518"/>
    <cellStyle name="asd 22 3 3 12" xfId="23328"/>
    <cellStyle name="asd 22 3 3 13" xfId="25320"/>
    <cellStyle name="asd 22 3 3 14" xfId="27182"/>
    <cellStyle name="asd 22 3 3 15" xfId="16596"/>
    <cellStyle name="asd 22 3 3 16" xfId="30773"/>
    <cellStyle name="asd 22 3 3 17" xfId="33078"/>
    <cellStyle name="asd 22 3 3 18" xfId="33403"/>
    <cellStyle name="asd 22 3 3 19" xfId="36147"/>
    <cellStyle name="asd 22 3 3 2" xfId="5876"/>
    <cellStyle name="asd 22 3 3 2 10" xfId="22126"/>
    <cellStyle name="asd 22 3 3 2 11" xfId="22629"/>
    <cellStyle name="asd 22 3 3 2 12" xfId="25928"/>
    <cellStyle name="asd 22 3 3 2 13" xfId="27657"/>
    <cellStyle name="asd 22 3 3 2 14" xfId="29446"/>
    <cellStyle name="asd 22 3 3 2 15" xfId="31234"/>
    <cellStyle name="asd 22 3 3 2 16" xfId="32975"/>
    <cellStyle name="asd 22 3 3 2 17" xfId="33638"/>
    <cellStyle name="asd 22 3 3 2 18" xfId="36755"/>
    <cellStyle name="asd 22 3 3 2 19" xfId="38634"/>
    <cellStyle name="asd 22 3 3 2 2" xfId="7325"/>
    <cellStyle name="asd 22 3 3 2 20" xfId="40176"/>
    <cellStyle name="asd 22 3 3 2 21" xfId="41835"/>
    <cellStyle name="asd 22 3 3 2 22" xfId="42435"/>
    <cellStyle name="asd 22 3 3 2 3" xfId="8779"/>
    <cellStyle name="asd 22 3 3 2 4" xfId="10689"/>
    <cellStyle name="asd 22 3 3 2 5" xfId="11401"/>
    <cellStyle name="asd 22 3 3 2 6" xfId="13096"/>
    <cellStyle name="asd 22 3 3 2 7" xfId="15001"/>
    <cellStyle name="asd 22 3 3 2 8" xfId="18308"/>
    <cellStyle name="asd 22 3 3 2 9" xfId="20214"/>
    <cellStyle name="asd 22 3 3 20" xfId="38026"/>
    <cellStyle name="asd 22 3 3 21" xfId="40275"/>
    <cellStyle name="asd 22 3 3 22" xfId="41931"/>
    <cellStyle name="asd 22 3 3 23" xfId="43098"/>
    <cellStyle name="asd 22 3 3 3" xfId="5270"/>
    <cellStyle name="asd 22 3 3 4" xfId="8171"/>
    <cellStyle name="asd 22 3 3 5" xfId="10081"/>
    <cellStyle name="asd 22 3 3 6" xfId="11691"/>
    <cellStyle name="asd 22 3 3 7" xfId="13800"/>
    <cellStyle name="asd 22 3 3 8" xfId="15702"/>
    <cellStyle name="asd 22 3 3 9" xfId="17700"/>
    <cellStyle name="asd 22 3 4" xfId="4020"/>
    <cellStyle name="asd 22 3 4 10" xfId="19655"/>
    <cellStyle name="asd 22 3 4 11" xfId="21567"/>
    <cellStyle name="asd 22 3 4 12" xfId="22472"/>
    <cellStyle name="asd 22 3 4 13" xfId="25369"/>
    <cellStyle name="asd 22 3 4 14" xfId="26409"/>
    <cellStyle name="asd 22 3 4 15" xfId="29173"/>
    <cellStyle name="asd 22 3 4 16" xfId="30016"/>
    <cellStyle name="asd 22 3 4 17" xfId="32457"/>
    <cellStyle name="asd 22 3 4 18" xfId="33958"/>
    <cellStyle name="asd 22 3 4 19" xfId="36196"/>
    <cellStyle name="asd 22 3 4 2" xfId="5925"/>
    <cellStyle name="asd 22 3 4 2 10" xfId="22175"/>
    <cellStyle name="asd 22 3 4 2 11" xfId="24129"/>
    <cellStyle name="asd 22 3 4 2 12" xfId="25977"/>
    <cellStyle name="asd 22 3 4 2 13" xfId="27746"/>
    <cellStyle name="asd 22 3 4 2 14" xfId="28042"/>
    <cellStyle name="asd 22 3 4 2 15" xfId="31324"/>
    <cellStyle name="asd 22 3 4 2 16" xfId="32521"/>
    <cellStyle name="asd 22 3 4 2 17" xfId="33885"/>
    <cellStyle name="asd 22 3 4 2 18" xfId="36804"/>
    <cellStyle name="asd 22 3 4 2 19" xfId="38683"/>
    <cellStyle name="asd 22 3 4 2 2" xfId="7374"/>
    <cellStyle name="asd 22 3 4 2 20" xfId="39735"/>
    <cellStyle name="asd 22 3 4 2 21" xfId="41407"/>
    <cellStyle name="asd 22 3 4 2 22" xfId="43872"/>
    <cellStyle name="asd 22 3 4 2 3" xfId="8828"/>
    <cellStyle name="asd 22 3 4 2 4" xfId="10738"/>
    <cellStyle name="asd 22 3 4 2 5" xfId="12089"/>
    <cellStyle name="asd 22 3 4 2 6" xfId="14600"/>
    <cellStyle name="asd 22 3 4 2 7" xfId="16506"/>
    <cellStyle name="asd 22 3 4 2 8" xfId="18357"/>
    <cellStyle name="asd 22 3 4 2 9" xfId="20263"/>
    <cellStyle name="asd 22 3 4 20" xfId="38075"/>
    <cellStyle name="asd 22 3 4 21" xfId="39675"/>
    <cellStyle name="asd 22 3 4 22" xfId="41348"/>
    <cellStyle name="asd 22 3 4 23" xfId="42282"/>
    <cellStyle name="asd 22 3 4 3" xfId="6766"/>
    <cellStyle name="asd 22 3 4 4" xfId="8220"/>
    <cellStyle name="asd 22 3 4 5" xfId="10130"/>
    <cellStyle name="asd 22 3 4 6" xfId="11500"/>
    <cellStyle name="asd 22 3 4 7" xfId="12940"/>
    <cellStyle name="asd 22 3 4 8" xfId="14844"/>
    <cellStyle name="asd 22 3 4 9" xfId="17749"/>
    <cellStyle name="asd 22 3 5" xfId="4889"/>
    <cellStyle name="asd 22 3 5 10" xfId="21137"/>
    <cellStyle name="asd 22 3 5 11" xfId="22813"/>
    <cellStyle name="asd 22 3 5 12" xfId="24939"/>
    <cellStyle name="asd 22 3 5 13" xfId="27650"/>
    <cellStyle name="asd 22 3 5 14" xfId="29639"/>
    <cellStyle name="asd 22 3 5 15" xfId="31227"/>
    <cellStyle name="asd 22 3 5 16" xfId="33260"/>
    <cellStyle name="asd 22 3 5 17" xfId="33787"/>
    <cellStyle name="asd 22 3 5 18" xfId="35766"/>
    <cellStyle name="asd 22 3 5 19" xfId="37645"/>
    <cellStyle name="asd 22 3 5 2" xfId="6339"/>
    <cellStyle name="asd 22 3 5 20" xfId="40446"/>
    <cellStyle name="asd 22 3 5 21" xfId="42101"/>
    <cellStyle name="asd 22 3 5 22" xfId="42606"/>
    <cellStyle name="asd 22 3 5 3" xfId="7790"/>
    <cellStyle name="asd 22 3 5 4" xfId="9700"/>
    <cellStyle name="asd 22 3 5 5" xfId="12210"/>
    <cellStyle name="asd 22 3 5 6" xfId="13283"/>
    <cellStyle name="asd 22 3 5 7" xfId="15187"/>
    <cellStyle name="asd 22 3 5 8" xfId="17319"/>
    <cellStyle name="asd 22 3 5 9" xfId="19225"/>
    <cellStyle name="asd 22 3 6" xfId="5510"/>
    <cellStyle name="asd 22 3 6 10" xfId="21760"/>
    <cellStyle name="asd 22 3 6 11" xfId="23289"/>
    <cellStyle name="asd 22 3 6 12" xfId="25562"/>
    <cellStyle name="asd 22 3 6 13" xfId="26459"/>
    <cellStyle name="asd 22 3 6 14" xfId="4460"/>
    <cellStyle name="asd 22 3 6 15" xfId="30065"/>
    <cellStyle name="asd 22 3 6 16" xfId="33263"/>
    <cellStyle name="asd 22 3 6 17" xfId="34449"/>
    <cellStyle name="asd 22 3 6 18" xfId="36389"/>
    <cellStyle name="asd 22 3 6 19" xfId="38268"/>
    <cellStyle name="asd 22 3 6 2" xfId="6959"/>
    <cellStyle name="asd 22 3 6 20" xfId="40449"/>
    <cellStyle name="asd 22 3 6 21" xfId="42104"/>
    <cellStyle name="asd 22 3 6 22" xfId="43064"/>
    <cellStyle name="asd 22 3 6 3" xfId="8413"/>
    <cellStyle name="asd 22 3 6 4" xfId="10323"/>
    <cellStyle name="asd 22 3 6 5" xfId="11244"/>
    <cellStyle name="asd 22 3 6 6" xfId="13761"/>
    <cellStyle name="asd 22 3 6 7" xfId="15663"/>
    <cellStyle name="asd 22 3 6 8" xfId="17942"/>
    <cellStyle name="asd 22 3 6 9" xfId="19848"/>
    <cellStyle name="asd 22 3 7" xfId="5415"/>
    <cellStyle name="asd 22 3 8" xfId="9098"/>
    <cellStyle name="asd 22 3 9" xfId="12547"/>
    <cellStyle name="asd 22 4" xfId="3522"/>
    <cellStyle name="asd 22 4 10" xfId="15437"/>
    <cellStyle name="asd 22 4 11" xfId="17036"/>
    <cellStyle name="asd 22 4 12" xfId="18943"/>
    <cellStyle name="asd 22 4 13" xfId="20855"/>
    <cellStyle name="asd 22 4 14" xfId="23063"/>
    <cellStyle name="asd 22 4 15" xfId="24657"/>
    <cellStyle name="asd 22 4 16" xfId="27340"/>
    <cellStyle name="asd 22 4 17" xfId="29287"/>
    <cellStyle name="asd 22 4 18" xfId="30929"/>
    <cellStyle name="asd 22 4 19" xfId="31968"/>
    <cellStyle name="asd 22 4 2" xfId="3702"/>
    <cellStyle name="asd 22 4 2 10" xfId="17593"/>
    <cellStyle name="asd 22 4 2 11" xfId="19499"/>
    <cellStyle name="asd 22 4 2 12" xfId="21411"/>
    <cellStyle name="asd 22 4 2 13" xfId="22412"/>
    <cellStyle name="asd 22 4 2 14" xfId="25213"/>
    <cellStyle name="asd 22 4 2 15" xfId="27167"/>
    <cellStyle name="asd 22 4 2 16" xfId="28228"/>
    <cellStyle name="asd 22 4 2 17" xfId="30758"/>
    <cellStyle name="asd 22 4 2 18" xfId="32063"/>
    <cellStyle name="asd 22 4 2 19" xfId="34377"/>
    <cellStyle name="asd 22 4 2 2" xfId="5769"/>
    <cellStyle name="asd 22 4 2 2 10" xfId="22019"/>
    <cellStyle name="asd 22 4 2 2 11" xfId="24056"/>
    <cellStyle name="asd 22 4 2 2 12" xfId="25821"/>
    <cellStyle name="asd 22 4 2 2 13" xfId="26688"/>
    <cellStyle name="asd 22 4 2 2 14" xfId="26706"/>
    <cellStyle name="asd 22 4 2 2 15" xfId="30288"/>
    <cellStyle name="asd 22 4 2 2 16" xfId="31832"/>
    <cellStyle name="asd 22 4 2 2 17" xfId="34058"/>
    <cellStyle name="asd 22 4 2 2 18" xfId="36648"/>
    <cellStyle name="asd 22 4 2 2 19" xfId="38527"/>
    <cellStyle name="asd 22 4 2 2 2" xfId="7218"/>
    <cellStyle name="asd 22 4 2 2 20" xfId="39070"/>
    <cellStyle name="asd 22 4 2 2 21" xfId="40752"/>
    <cellStyle name="asd 22 4 2 2 22" xfId="43800"/>
    <cellStyle name="asd 22 4 2 2 3" xfId="8672"/>
    <cellStyle name="asd 22 4 2 2 4" xfId="10582"/>
    <cellStyle name="asd 22 4 2 2 5" xfId="12015"/>
    <cellStyle name="asd 22 4 2 2 6" xfId="14526"/>
    <cellStyle name="asd 22 4 2 2 7" xfId="16432"/>
    <cellStyle name="asd 22 4 2 2 8" xfId="18201"/>
    <cellStyle name="asd 22 4 2 2 9" xfId="20107"/>
    <cellStyle name="asd 22 4 2 20" xfId="36040"/>
    <cellStyle name="asd 22 4 2 21" xfId="37919"/>
    <cellStyle name="asd 22 4 2 22" xfId="39289"/>
    <cellStyle name="asd 22 4 2 23" xfId="40965"/>
    <cellStyle name="asd 22 4 2 24" xfId="42223"/>
    <cellStyle name="asd 22 4 2 3" xfId="5163"/>
    <cellStyle name="asd 22 4 2 4" xfId="6613"/>
    <cellStyle name="asd 22 4 2 5" xfId="8064"/>
    <cellStyle name="asd 22 4 2 6" xfId="9974"/>
    <cellStyle name="asd 22 4 2 7" xfId="11786"/>
    <cellStyle name="asd 22 4 2 8" xfId="12879"/>
    <cellStyle name="asd 22 4 2 9" xfId="14784"/>
    <cellStyle name="asd 22 4 20" xfId="33799"/>
    <cellStyle name="asd 22 4 21" xfId="35485"/>
    <cellStyle name="asd 22 4 22" xfId="37363"/>
    <cellStyle name="asd 22 4 23" xfId="39198"/>
    <cellStyle name="asd 22 4 24" xfId="40879"/>
    <cellStyle name="asd 22 4 25" xfId="42846"/>
    <cellStyle name="asd 22 4 3" xfId="1803"/>
    <cellStyle name="asd 22 4 3 10" xfId="18969"/>
    <cellStyle name="asd 22 4 3 11" xfId="20881"/>
    <cellStyle name="asd 22 4 3 12" xfId="23835"/>
    <cellStyle name="asd 22 4 3 13" xfId="24683"/>
    <cellStyle name="asd 22 4 3 14" xfId="27264"/>
    <cellStyle name="asd 22 4 3 15" xfId="29723"/>
    <cellStyle name="asd 22 4 3 16" xfId="30855"/>
    <cellStyle name="asd 22 4 3 17" xfId="31668"/>
    <cellStyle name="asd 22 4 3 18" xfId="34789"/>
    <cellStyle name="asd 22 4 3 19" xfId="35510"/>
    <cellStyle name="asd 22 4 3 2" xfId="5546"/>
    <cellStyle name="asd 22 4 3 2 10" xfId="21796"/>
    <cellStyle name="asd 22 4 3 2 11" xfId="22591"/>
    <cellStyle name="asd 22 4 3 2 12" xfId="25598"/>
    <cellStyle name="asd 22 4 3 2 13" xfId="27805"/>
    <cellStyle name="asd 22 4 3 2 14" xfId="28523"/>
    <cellStyle name="asd 22 4 3 2 15" xfId="31382"/>
    <cellStyle name="asd 22 4 3 2 16" xfId="32023"/>
    <cellStyle name="asd 22 4 3 2 17" xfId="34631"/>
    <cellStyle name="asd 22 4 3 2 18" xfId="36425"/>
    <cellStyle name="asd 22 4 3 2 19" xfId="38304"/>
    <cellStyle name="asd 22 4 3 2 2" xfId="6995"/>
    <cellStyle name="asd 22 4 3 2 20" xfId="39253"/>
    <cellStyle name="asd 22 4 3 2 21" xfId="40930"/>
    <cellStyle name="asd 22 4 3 2 22" xfId="42400"/>
    <cellStyle name="asd 22 4 3 2 3" xfId="8449"/>
    <cellStyle name="asd 22 4 3 2 4" xfId="10359"/>
    <cellStyle name="asd 22 4 3 2 5" xfId="11399"/>
    <cellStyle name="asd 22 4 3 2 6" xfId="13059"/>
    <cellStyle name="asd 22 4 3 2 7" xfId="14963"/>
    <cellStyle name="asd 22 4 3 2 8" xfId="17978"/>
    <cellStyle name="asd 22 4 3 2 9" xfId="19884"/>
    <cellStyle name="asd 22 4 3 20" xfId="37389"/>
    <cellStyle name="asd 22 4 3 21" xfId="38912"/>
    <cellStyle name="asd 22 4 3 22" xfId="40596"/>
    <cellStyle name="asd 22 4 3 23" xfId="43586"/>
    <cellStyle name="asd 22 4 3 3" xfId="4637"/>
    <cellStyle name="asd 22 4 3 4" xfId="7534"/>
    <cellStyle name="asd 22 4 3 5" xfId="9444"/>
    <cellStyle name="asd 22 4 3 6" xfId="11463"/>
    <cellStyle name="asd 22 4 3 7" xfId="14305"/>
    <cellStyle name="asd 22 4 3 8" xfId="16209"/>
    <cellStyle name="asd 22 4 3 9" xfId="17063"/>
    <cellStyle name="asd 22 4 4" xfId="4154"/>
    <cellStyle name="asd 22 4 4 10" xfId="19789"/>
    <cellStyle name="asd 22 4 4 11" xfId="21701"/>
    <cellStyle name="asd 22 4 4 12" xfId="22509"/>
    <cellStyle name="asd 22 4 4 13" xfId="25503"/>
    <cellStyle name="asd 22 4 4 14" xfId="27379"/>
    <cellStyle name="asd 22 4 4 15" xfId="28116"/>
    <cellStyle name="asd 22 4 4 16" xfId="30965"/>
    <cellStyle name="asd 22 4 4 17" xfId="32410"/>
    <cellStyle name="asd 22 4 4 18" xfId="33613"/>
    <cellStyle name="asd 22 4 4 19" xfId="36330"/>
    <cellStyle name="asd 22 4 4 2" xfId="6059"/>
    <cellStyle name="asd 22 4 4 2 10" xfId="22309"/>
    <cellStyle name="asd 22 4 4 2 11" xfId="2061"/>
    <cellStyle name="asd 22 4 4 2 12" xfId="26111"/>
    <cellStyle name="asd 22 4 4 2 13" xfId="9005"/>
    <cellStyle name="asd 22 4 4 2 14" xfId="29572"/>
    <cellStyle name="asd 22 4 4 2 15" xfId="18523"/>
    <cellStyle name="asd 22 4 4 2 16" xfId="3149"/>
    <cellStyle name="asd 22 4 4 2 17" xfId="34984"/>
    <cellStyle name="asd 22 4 4 2 18" xfId="36938"/>
    <cellStyle name="asd 22 4 4 2 19" xfId="38817"/>
    <cellStyle name="asd 22 4 4 2 2" xfId="7508"/>
    <cellStyle name="asd 22 4 4 2 20" xfId="26133"/>
    <cellStyle name="asd 22 4 4 2 21" xfId="3243"/>
    <cellStyle name="asd 22 4 4 2 22" xfId="40655"/>
    <cellStyle name="asd 22 4 4 2 3" xfId="8962"/>
    <cellStyle name="asd 22 4 4 2 4" xfId="10872"/>
    <cellStyle name="asd 22 4 4 2 5" xfId="12769"/>
    <cellStyle name="asd 22 4 4 2 6" xfId="3333"/>
    <cellStyle name="asd 22 4 4 2 7" xfId="12359"/>
    <cellStyle name="asd 22 4 4 2 8" xfId="18491"/>
    <cellStyle name="asd 22 4 4 2 9" xfId="20397"/>
    <cellStyle name="asd 22 4 4 20" xfId="38209"/>
    <cellStyle name="asd 22 4 4 21" xfId="39627"/>
    <cellStyle name="asd 22 4 4 22" xfId="41301"/>
    <cellStyle name="asd 22 4 4 23" xfId="42319"/>
    <cellStyle name="asd 22 4 4 3" xfId="6900"/>
    <cellStyle name="asd 22 4 4 4" xfId="8354"/>
    <cellStyle name="asd 22 4 4 5" xfId="10264"/>
    <cellStyle name="asd 22 4 4 6" xfId="11568"/>
    <cellStyle name="asd 22 4 4 7" xfId="12977"/>
    <cellStyle name="asd 22 4 4 8" xfId="14881"/>
    <cellStyle name="asd 22 4 4 9" xfId="17883"/>
    <cellStyle name="asd 22 4 5" xfId="5743"/>
    <cellStyle name="asd 22 4 5 10" xfId="21993"/>
    <cellStyle name="asd 22 4 5 11" xfId="3222"/>
    <cellStyle name="asd 22 4 5 12" xfId="25795"/>
    <cellStyle name="asd 22 4 5 13" xfId="10881"/>
    <cellStyle name="asd 22 4 5 14" xfId="3029"/>
    <cellStyle name="asd 22 4 5 15" xfId="14192"/>
    <cellStyle name="asd 22 4 5 16" xfId="14401"/>
    <cellStyle name="asd 22 4 5 17" xfId="31529"/>
    <cellStyle name="asd 22 4 5 18" xfId="36622"/>
    <cellStyle name="asd 22 4 5 19" xfId="38501"/>
    <cellStyle name="asd 22 4 5 2" xfId="7192"/>
    <cellStyle name="asd 22 4 5 20" xfId="27063"/>
    <cellStyle name="asd 22 4 5 21" xfId="33347"/>
    <cellStyle name="asd 22 4 5 22" xfId="4371"/>
    <cellStyle name="asd 22 4 5 3" xfId="8646"/>
    <cellStyle name="asd 22 4 5 4" xfId="10556"/>
    <cellStyle name="asd 22 4 5 5" xfId="12186"/>
    <cellStyle name="asd 22 4 5 6" xfId="3117"/>
    <cellStyle name="asd 22 4 5 7" xfId="11284"/>
    <cellStyle name="asd 22 4 5 8" xfId="18175"/>
    <cellStyle name="asd 22 4 5 9" xfId="20081"/>
    <cellStyle name="asd 22 4 6" xfId="3010"/>
    <cellStyle name="asd 22 4 7" xfId="9417"/>
    <cellStyle name="asd 22 4 8" xfId="12667"/>
    <cellStyle name="asd 22 4 9" xfId="13534"/>
    <cellStyle name="asd 22 5" xfId="2553"/>
    <cellStyle name="asd 22 5 10" xfId="17176"/>
    <cellStyle name="asd 22 5 11" xfId="19082"/>
    <cellStyle name="asd 22 5 12" xfId="20994"/>
    <cellStyle name="asd 22 5 13" xfId="23780"/>
    <cellStyle name="asd 22 5 14" xfId="24796"/>
    <cellStyle name="asd 22 5 15" xfId="27125"/>
    <cellStyle name="asd 22 5 16" xfId="3919"/>
    <cellStyle name="asd 22 5 17" xfId="30715"/>
    <cellStyle name="asd 22 5 18" xfId="2176"/>
    <cellStyle name="asd 22 5 19" xfId="32226"/>
    <cellStyle name="asd 22 5 2" xfId="4274"/>
    <cellStyle name="asd 22 5 2 10" xfId="20513"/>
    <cellStyle name="asd 22 5 2 11" xfId="22910"/>
    <cellStyle name="asd 22 5 2 12" xfId="24315"/>
    <cellStyle name="asd 22 5 2 13" xfId="26504"/>
    <cellStyle name="asd 22 5 2 14" xfId="28582"/>
    <cellStyle name="asd 22 5 2 15" xfId="30110"/>
    <cellStyle name="asd 22 5 2 16" xfId="32432"/>
    <cellStyle name="asd 22 5 2 17" xfId="33995"/>
    <cellStyle name="asd 22 5 2 18" xfId="35143"/>
    <cellStyle name="asd 22 5 2 19" xfId="37021"/>
    <cellStyle name="asd 22 5 2 2" xfId="5392"/>
    <cellStyle name="asd 22 5 2 20" xfId="39649"/>
    <cellStyle name="asd 22 5 2 21" xfId="41323"/>
    <cellStyle name="asd 22 5 2 22" xfId="42696"/>
    <cellStyle name="asd 22 5 2 3" xfId="6638"/>
    <cellStyle name="asd 22 5 2 4" xfId="9075"/>
    <cellStyle name="asd 22 5 2 5" xfId="10989"/>
    <cellStyle name="asd 22 5 2 6" xfId="13378"/>
    <cellStyle name="asd 22 5 2 7" xfId="15283"/>
    <cellStyle name="asd 22 5 2 8" xfId="16694"/>
    <cellStyle name="asd 22 5 2 9" xfId="18601"/>
    <cellStyle name="asd 22 5 20" xfId="35623"/>
    <cellStyle name="asd 22 5 21" xfId="37502"/>
    <cellStyle name="asd 22 5 22" xfId="29879"/>
    <cellStyle name="asd 22 5 23" xfId="29458"/>
    <cellStyle name="asd 22 5 24" xfId="43533"/>
    <cellStyle name="asd 22 5 3" xfId="4747"/>
    <cellStyle name="asd 22 5 4" xfId="6196"/>
    <cellStyle name="asd 22 5 5" xfId="7647"/>
    <cellStyle name="asd 22 5 6" xfId="9557"/>
    <cellStyle name="asd 22 5 7" xfId="11698"/>
    <cellStyle name="asd 22 5 8" xfId="14250"/>
    <cellStyle name="asd 22 5 9" xfId="16154"/>
    <cellStyle name="asd 22 6" xfId="2658"/>
    <cellStyle name="asd 22 6 10" xfId="19092"/>
    <cellStyle name="asd 22 6 11" xfId="21004"/>
    <cellStyle name="asd 22 6 12" xfId="22467"/>
    <cellStyle name="asd 22 6 13" xfId="24806"/>
    <cellStyle name="asd 22 6 14" xfId="27334"/>
    <cellStyle name="asd 22 6 15" xfId="4380"/>
    <cellStyle name="asd 22 6 16" xfId="30923"/>
    <cellStyle name="asd 22 6 17" xfId="33328"/>
    <cellStyle name="asd 22 6 18" xfId="26126"/>
    <cellStyle name="asd 22 6 19" xfId="35633"/>
    <cellStyle name="asd 22 6 2" xfId="4560"/>
    <cellStyle name="asd 22 6 2 10" xfId="20805"/>
    <cellStyle name="asd 22 6 2 11" xfId="22556"/>
    <cellStyle name="asd 22 6 2 12" xfId="24607"/>
    <cellStyle name="asd 22 6 2 13" xfId="27843"/>
    <cellStyle name="asd 22 6 2 14" xfId="29045"/>
    <cellStyle name="asd 22 6 2 15" xfId="31421"/>
    <cellStyle name="asd 22 6 2 16" xfId="32927"/>
    <cellStyle name="asd 22 6 2 17" xfId="33507"/>
    <cellStyle name="asd 22 6 2 18" xfId="35435"/>
    <cellStyle name="asd 22 6 2 19" xfId="37313"/>
    <cellStyle name="asd 22 6 2 2" xfId="3296"/>
    <cellStyle name="asd 22 6 2 20" xfId="40131"/>
    <cellStyle name="asd 22 6 2 21" xfId="41790"/>
    <cellStyle name="asd 22 6 2 22" xfId="42365"/>
    <cellStyle name="asd 22 6 2 3" xfId="2899"/>
    <cellStyle name="asd 22 6 2 4" xfId="9367"/>
    <cellStyle name="asd 22 6 2 5" xfId="2647"/>
    <cellStyle name="asd 22 6 2 6" xfId="13024"/>
    <cellStyle name="asd 22 6 2 7" xfId="14928"/>
    <cellStyle name="asd 22 6 2 8" xfId="16986"/>
    <cellStyle name="asd 22 6 2 9" xfId="18893"/>
    <cellStyle name="asd 22 6 20" xfId="37512"/>
    <cellStyle name="asd 22 6 21" xfId="40508"/>
    <cellStyle name="asd 22 6 22" xfId="42160"/>
    <cellStyle name="asd 22 6 23" xfId="42278"/>
    <cellStyle name="asd 22 6 3" xfId="4757"/>
    <cellStyle name="asd 22 6 4" xfId="7657"/>
    <cellStyle name="asd 22 6 5" xfId="9567"/>
    <cellStyle name="asd 22 6 6" xfId="11468"/>
    <cellStyle name="asd 22 6 7" xfId="12935"/>
    <cellStyle name="asd 22 6 8" xfId="14840"/>
    <cellStyle name="asd 22 6 9" xfId="17186"/>
    <cellStyle name="asd 22 7" xfId="3264"/>
    <cellStyle name="asd 22 7 10" xfId="19190"/>
    <cellStyle name="asd 22 7 11" xfId="21102"/>
    <cellStyle name="asd 22 7 12" xfId="13849"/>
    <cellStyle name="asd 22 7 13" xfId="24904"/>
    <cellStyle name="asd 22 7 14" xfId="26112"/>
    <cellStyle name="asd 22 7 15" xfId="3018"/>
    <cellStyle name="asd 22 7 16" xfId="29726"/>
    <cellStyle name="asd 22 7 17" xfId="29736"/>
    <cellStyle name="asd 22 7 18" xfId="4551"/>
    <cellStyle name="asd 22 7 19" xfId="35731"/>
    <cellStyle name="asd 22 7 2" xfId="5494"/>
    <cellStyle name="asd 22 7 2 10" xfId="21744"/>
    <cellStyle name="asd 22 7 2 11" xfId="22411"/>
    <cellStyle name="asd 22 7 2 12" xfId="25546"/>
    <cellStyle name="asd 22 7 2 13" xfId="27759"/>
    <cellStyle name="asd 22 7 2 14" xfId="2166"/>
    <cellStyle name="asd 22 7 2 15" xfId="31338"/>
    <cellStyle name="asd 22 7 2 16" xfId="32315"/>
    <cellStyle name="asd 22 7 2 17" xfId="34633"/>
    <cellStyle name="asd 22 7 2 18" xfId="36373"/>
    <cellStyle name="asd 22 7 2 19" xfId="38252"/>
    <cellStyle name="asd 22 7 2 2" xfId="6943"/>
    <cellStyle name="asd 22 7 2 20" xfId="39534"/>
    <cellStyle name="asd 22 7 2 21" xfId="41208"/>
    <cellStyle name="asd 22 7 2 22" xfId="42222"/>
    <cellStyle name="asd 22 7 2 3" xfId="8397"/>
    <cellStyle name="asd 22 7 2 4" xfId="10307"/>
    <cellStyle name="asd 22 7 2 5" xfId="11597"/>
    <cellStyle name="asd 22 7 2 6" xfId="12878"/>
    <cellStyle name="asd 22 7 2 7" xfId="14783"/>
    <cellStyle name="asd 22 7 2 8" xfId="17926"/>
    <cellStyle name="asd 22 7 2 9" xfId="19832"/>
    <cellStyle name="asd 22 7 20" xfId="37610"/>
    <cellStyle name="asd 22 7 21" xfId="28406"/>
    <cellStyle name="asd 22 7 22" xfId="8995"/>
    <cellStyle name="asd 22 7 23" xfId="33359"/>
    <cellStyle name="asd 22 7 3" xfId="6304"/>
    <cellStyle name="asd 22 7 4" xfId="7755"/>
    <cellStyle name="asd 22 7 5" xfId="9665"/>
    <cellStyle name="asd 22 7 6" xfId="11105"/>
    <cellStyle name="asd 22 7 7" xfId="2918"/>
    <cellStyle name="asd 22 7 8" xfId="2244"/>
    <cellStyle name="asd 22 7 9" xfId="17284"/>
    <cellStyle name="asd 22 8" xfId="4228"/>
    <cellStyle name="asd 22 9" xfId="2946"/>
    <cellStyle name="asd 23" xfId="846"/>
    <cellStyle name="asd 23 10" xfId="3314"/>
    <cellStyle name="asd 23 11" xfId="3257"/>
    <cellStyle name="asd 23 12" xfId="3210"/>
    <cellStyle name="asd 23 13" xfId="1939"/>
    <cellStyle name="asd 23 14" xfId="3207"/>
    <cellStyle name="asd 23 15" xfId="2986"/>
    <cellStyle name="asd 23 16" xfId="3254"/>
    <cellStyle name="asd 23 17" xfId="14721"/>
    <cellStyle name="asd 23 18" xfId="26625"/>
    <cellStyle name="asd 23 19" xfId="28960"/>
    <cellStyle name="asd 23 2" xfId="3440"/>
    <cellStyle name="asd 23 2 10" xfId="3904"/>
    <cellStyle name="asd 23 2 11" xfId="3186"/>
    <cellStyle name="asd 23 2 12" xfId="16822"/>
    <cellStyle name="asd 23 2 13" xfId="18729"/>
    <cellStyle name="asd 23 2 14" xfId="20641"/>
    <cellStyle name="asd 23 2 15" xfId="16629"/>
    <cellStyle name="asd 23 2 16" xfId="24443"/>
    <cellStyle name="asd 23 2 17" xfId="2601"/>
    <cellStyle name="asd 23 2 18" xfId="15088"/>
    <cellStyle name="asd 23 2 19" xfId="28487"/>
    <cellStyle name="asd 23 2 2" xfId="3620"/>
    <cellStyle name="asd 23 2 2 10" xfId="17511"/>
    <cellStyle name="asd 23 2 2 11" xfId="19417"/>
    <cellStyle name="asd 23 2 2 12" xfId="21329"/>
    <cellStyle name="asd 23 2 2 13" xfId="23403"/>
    <cellStyle name="asd 23 2 2 14" xfId="25131"/>
    <cellStyle name="asd 23 2 2 15" xfId="27411"/>
    <cellStyle name="asd 23 2 2 16" xfId="28381"/>
    <cellStyle name="asd 23 2 2 17" xfId="30997"/>
    <cellStyle name="asd 23 2 2 18" xfId="32829"/>
    <cellStyle name="asd 23 2 2 19" xfId="34678"/>
    <cellStyle name="asd 23 2 2 2" xfId="5709"/>
    <cellStyle name="asd 23 2 2 2 10" xfId="21959"/>
    <cellStyle name="asd 23 2 2 2 11" xfId="22442"/>
    <cellStyle name="asd 23 2 2 2 12" xfId="25761"/>
    <cellStyle name="asd 23 2 2 2 13" xfId="27818"/>
    <cellStyle name="asd 23 2 2 2 14" xfId="28101"/>
    <cellStyle name="asd 23 2 2 2 15" xfId="31396"/>
    <cellStyle name="asd 23 2 2 2 16" xfId="32142"/>
    <cellStyle name="asd 23 2 2 2 17" xfId="34043"/>
    <cellStyle name="asd 23 2 2 2 18" xfId="36588"/>
    <cellStyle name="asd 23 2 2 2 19" xfId="38467"/>
    <cellStyle name="asd 23 2 2 2 2" xfId="7158"/>
    <cellStyle name="asd 23 2 2 2 20" xfId="39365"/>
    <cellStyle name="asd 23 2 2 2 21" xfId="41041"/>
    <cellStyle name="asd 23 2 2 2 22" xfId="42253"/>
    <cellStyle name="asd 23 2 2 2 3" xfId="8612"/>
    <cellStyle name="asd 23 2 2 2 4" xfId="10522"/>
    <cellStyle name="asd 23 2 2 2 5" xfId="2035"/>
    <cellStyle name="asd 23 2 2 2 6" xfId="12910"/>
    <cellStyle name="asd 23 2 2 2 7" xfId="14815"/>
    <cellStyle name="asd 23 2 2 2 8" xfId="18141"/>
    <cellStyle name="asd 23 2 2 2 9" xfId="20047"/>
    <cellStyle name="asd 23 2 2 20" xfId="35958"/>
    <cellStyle name="asd 23 2 2 21" xfId="37837"/>
    <cellStyle name="asd 23 2 2 22" xfId="40038"/>
    <cellStyle name="asd 23 2 2 23" xfId="41702"/>
    <cellStyle name="asd 23 2 2 24" xfId="43170"/>
    <cellStyle name="asd 23 2 2 3" xfId="5081"/>
    <cellStyle name="asd 23 2 2 4" xfId="6531"/>
    <cellStyle name="asd 23 2 2 5" xfId="7982"/>
    <cellStyle name="asd 23 2 2 6" xfId="9892"/>
    <cellStyle name="asd 23 2 2 7" xfId="10965"/>
    <cellStyle name="asd 23 2 2 8" xfId="13875"/>
    <cellStyle name="asd 23 2 2 9" xfId="15776"/>
    <cellStyle name="asd 23 2 20" xfId="3256"/>
    <cellStyle name="asd 23 2 21" xfId="32730"/>
    <cellStyle name="asd 23 2 22" xfId="35271"/>
    <cellStyle name="asd 23 2 23" xfId="37149"/>
    <cellStyle name="asd 23 2 24" xfId="14553"/>
    <cellStyle name="asd 23 2 25" xfId="24213"/>
    <cellStyle name="asd 23 2 26" xfId="29749"/>
    <cellStyle name="asd 23 2 3" xfId="3780"/>
    <cellStyle name="asd 23 2 3 10" xfId="19519"/>
    <cellStyle name="asd 23 2 3 11" xfId="21431"/>
    <cellStyle name="asd 23 2 3 12" xfId="22471"/>
    <cellStyle name="asd 23 2 3 13" xfId="25233"/>
    <cellStyle name="asd 23 2 3 14" xfId="27052"/>
    <cellStyle name="asd 23 2 3 15" xfId="2694"/>
    <cellStyle name="asd 23 2 3 16" xfId="30644"/>
    <cellStyle name="asd 23 2 3 17" xfId="31680"/>
    <cellStyle name="asd 23 2 3 18" xfId="29426"/>
    <cellStyle name="asd 23 2 3 19" xfId="36060"/>
    <cellStyle name="asd 23 2 3 2" xfId="5789"/>
    <cellStyle name="asd 23 2 3 2 10" xfId="22039"/>
    <cellStyle name="asd 23 2 3 2 11" xfId="23282"/>
    <cellStyle name="asd 23 2 3 2 12" xfId="25841"/>
    <cellStyle name="asd 23 2 3 2 13" xfId="26915"/>
    <cellStyle name="asd 23 2 3 2 14" xfId="28795"/>
    <cellStyle name="asd 23 2 3 2 15" xfId="30511"/>
    <cellStyle name="asd 23 2 3 2 16" xfId="33128"/>
    <cellStyle name="asd 23 2 3 2 17" xfId="34219"/>
    <cellStyle name="asd 23 2 3 2 18" xfId="36668"/>
    <cellStyle name="asd 23 2 3 2 19" xfId="38547"/>
    <cellStyle name="asd 23 2 3 2 2" xfId="7238"/>
    <cellStyle name="asd 23 2 3 2 20" xfId="40322"/>
    <cellStyle name="asd 23 2 3 2 21" xfId="41978"/>
    <cellStyle name="asd 23 2 3 2 22" xfId="43058"/>
    <cellStyle name="asd 23 2 3 2 3" xfId="8692"/>
    <cellStyle name="asd 23 2 3 2 4" xfId="10602"/>
    <cellStyle name="asd 23 2 3 2 5" xfId="11229"/>
    <cellStyle name="asd 23 2 3 2 6" xfId="13754"/>
    <cellStyle name="asd 23 2 3 2 7" xfId="15656"/>
    <cellStyle name="asd 23 2 3 2 8" xfId="18221"/>
    <cellStyle name="asd 23 2 3 2 9" xfId="20127"/>
    <cellStyle name="asd 23 2 3 20" xfId="37939"/>
    <cellStyle name="asd 23 2 3 21" xfId="38923"/>
    <cellStyle name="asd 23 2 3 22" xfId="40607"/>
    <cellStyle name="asd 23 2 3 23" xfId="42281"/>
    <cellStyle name="asd 23 2 3 3" xfId="5183"/>
    <cellStyle name="asd 23 2 3 4" xfId="8084"/>
    <cellStyle name="asd 23 2 3 5" xfId="9994"/>
    <cellStyle name="asd 23 2 3 6" xfId="2642"/>
    <cellStyle name="asd 23 2 3 7" xfId="12939"/>
    <cellStyle name="asd 23 2 3 8" xfId="14843"/>
    <cellStyle name="asd 23 2 3 9" xfId="17613"/>
    <cellStyle name="asd 23 2 4" xfId="4072"/>
    <cellStyle name="asd 23 2 4 10" xfId="19707"/>
    <cellStyle name="asd 23 2 4 11" xfId="21619"/>
    <cellStyle name="asd 23 2 4 12" xfId="23218"/>
    <cellStyle name="asd 23 2 4 13" xfId="25421"/>
    <cellStyle name="asd 23 2 4 14" xfId="27220"/>
    <cellStyle name="asd 23 2 4 15" xfId="28375"/>
    <cellStyle name="asd 23 2 4 16" xfId="30811"/>
    <cellStyle name="asd 23 2 4 17" xfId="32997"/>
    <cellStyle name="asd 23 2 4 18" xfId="34792"/>
    <cellStyle name="asd 23 2 4 19" xfId="36248"/>
    <cellStyle name="asd 23 2 4 2" xfId="5977"/>
    <cellStyle name="asd 23 2 4 2 10" xfId="22227"/>
    <cellStyle name="asd 23 2 4 2 11" xfId="22576"/>
    <cellStyle name="asd 23 2 4 2 12" xfId="26029"/>
    <cellStyle name="asd 23 2 4 2 13" xfId="27751"/>
    <cellStyle name="asd 23 2 4 2 14" xfId="28730"/>
    <cellStyle name="asd 23 2 4 2 15" xfId="31330"/>
    <cellStyle name="asd 23 2 4 2 16" xfId="33194"/>
    <cellStyle name="asd 23 2 4 2 17" xfId="34731"/>
    <cellStyle name="asd 23 2 4 2 18" xfId="36856"/>
    <cellStyle name="asd 23 2 4 2 19" xfId="38735"/>
    <cellStyle name="asd 23 2 4 2 2" xfId="7426"/>
    <cellStyle name="asd 23 2 4 2 20" xfId="40385"/>
    <cellStyle name="asd 23 2 4 2 21" xfId="42041"/>
    <cellStyle name="asd 23 2 4 2 22" xfId="42385"/>
    <cellStyle name="asd 23 2 4 2 3" xfId="8880"/>
    <cellStyle name="asd 23 2 4 2 4" xfId="10790"/>
    <cellStyle name="asd 23 2 4 2 5" xfId="11543"/>
    <cellStyle name="asd 23 2 4 2 6" xfId="13044"/>
    <cellStyle name="asd 23 2 4 2 7" xfId="14948"/>
    <cellStyle name="asd 23 2 4 2 8" xfId="18409"/>
    <cellStyle name="asd 23 2 4 2 9" xfId="20315"/>
    <cellStyle name="asd 23 2 4 20" xfId="38127"/>
    <cellStyle name="asd 23 2 4 21" xfId="40198"/>
    <cellStyle name="asd 23 2 4 22" xfId="41857"/>
    <cellStyle name="asd 23 2 4 23" xfId="42995"/>
    <cellStyle name="asd 23 2 4 3" xfId="6818"/>
    <cellStyle name="asd 23 2 4 4" xfId="8272"/>
    <cellStyle name="asd 23 2 4 5" xfId="10182"/>
    <cellStyle name="asd 23 2 4 6" xfId="11095"/>
    <cellStyle name="asd 23 2 4 7" xfId="13690"/>
    <cellStyle name="asd 23 2 4 8" xfId="15592"/>
    <cellStyle name="asd 23 2 4 9" xfId="17801"/>
    <cellStyle name="asd 23 2 5" xfId="4929"/>
    <cellStyle name="asd 23 2 5 10" xfId="21177"/>
    <cellStyle name="asd 23 2 5 11" xfId="22968"/>
    <cellStyle name="asd 23 2 5 12" xfId="24979"/>
    <cellStyle name="asd 23 2 5 13" xfId="27139"/>
    <cellStyle name="asd 23 2 5 14" xfId="28386"/>
    <cellStyle name="asd 23 2 5 15" xfId="30730"/>
    <cellStyle name="asd 23 2 5 16" xfId="31645"/>
    <cellStyle name="asd 23 2 5 17" xfId="34746"/>
    <cellStyle name="asd 23 2 5 18" xfId="35806"/>
    <cellStyle name="asd 23 2 5 19" xfId="37685"/>
    <cellStyle name="asd 23 2 5 2" xfId="6379"/>
    <cellStyle name="asd 23 2 5 20" xfId="38890"/>
    <cellStyle name="asd 23 2 5 21" xfId="40575"/>
    <cellStyle name="asd 23 2 5 22" xfId="42754"/>
    <cellStyle name="asd 23 2 5 3" xfId="7830"/>
    <cellStyle name="asd 23 2 5 4" xfId="9740"/>
    <cellStyle name="asd 23 2 5 5" xfId="11228"/>
    <cellStyle name="asd 23 2 5 6" xfId="13437"/>
    <cellStyle name="asd 23 2 5 7" xfId="15342"/>
    <cellStyle name="asd 23 2 5 8" xfId="17359"/>
    <cellStyle name="asd 23 2 5 9" xfId="19265"/>
    <cellStyle name="asd 23 2 6" xfId="4611"/>
    <cellStyle name="asd 23 2 6 10" xfId="20856"/>
    <cellStyle name="asd 23 2 6 11" xfId="24104"/>
    <cellStyle name="asd 23 2 6 12" xfId="24658"/>
    <cellStyle name="asd 23 2 6 13" xfId="27861"/>
    <cellStyle name="asd 23 2 6 14" xfId="28616"/>
    <cellStyle name="asd 23 2 6 15" xfId="31441"/>
    <cellStyle name="asd 23 2 6 16" xfId="31839"/>
    <cellStyle name="asd 23 2 6 17" xfId="33629"/>
    <cellStyle name="asd 23 2 6 18" xfId="35486"/>
    <cellStyle name="asd 23 2 6 19" xfId="37364"/>
    <cellStyle name="asd 23 2 6 2" xfId="2649"/>
    <cellStyle name="asd 23 2 6 20" xfId="39076"/>
    <cellStyle name="asd 23 2 6 21" xfId="40758"/>
    <cellStyle name="asd 23 2 6 22" xfId="43847"/>
    <cellStyle name="asd 23 2 6 3" xfId="2754"/>
    <cellStyle name="asd 23 2 6 4" xfId="9418"/>
    <cellStyle name="asd 23 2 6 5" xfId="12063"/>
    <cellStyle name="asd 23 2 6 6" xfId="14574"/>
    <cellStyle name="asd 23 2 6 7" xfId="16480"/>
    <cellStyle name="asd 23 2 6 8" xfId="17037"/>
    <cellStyle name="asd 23 2 6 9" xfId="18944"/>
    <cellStyle name="asd 23 2 7" xfId="6293"/>
    <cellStyle name="asd 23 2 8" xfId="9203"/>
    <cellStyle name="asd 23 2 9" xfId="12350"/>
    <cellStyle name="asd 23 20" xfId="30228"/>
    <cellStyle name="asd 23 21" xfId="31690"/>
    <cellStyle name="asd 23 22" xfId="33546"/>
    <cellStyle name="asd 23 23" xfId="26144"/>
    <cellStyle name="asd 23 24" xfId="29761"/>
    <cellStyle name="asd 23 25" xfId="38932"/>
    <cellStyle name="asd 23 26" xfId="40616"/>
    <cellStyle name="asd 23 27" xfId="26256"/>
    <cellStyle name="asd 23 3" xfId="3392"/>
    <cellStyle name="asd 23 3 10" xfId="13198"/>
    <cellStyle name="asd 23 3 11" xfId="15101"/>
    <cellStyle name="asd 23 3 12" xfId="16726"/>
    <cellStyle name="asd 23 3 13" xfId="18633"/>
    <cellStyle name="asd 23 3 14" xfId="20545"/>
    <cellStyle name="asd 23 3 15" xfId="22729"/>
    <cellStyle name="asd 23 3 16" xfId="24347"/>
    <cellStyle name="asd 23 3 17" xfId="27265"/>
    <cellStyle name="asd 23 3 18" xfId="28872"/>
    <cellStyle name="asd 23 3 19" xfId="30856"/>
    <cellStyle name="asd 23 3 2" xfId="3572"/>
    <cellStyle name="asd 23 3 2 10" xfId="17463"/>
    <cellStyle name="asd 23 3 2 11" xfId="19369"/>
    <cellStyle name="asd 23 3 2 12" xfId="21281"/>
    <cellStyle name="asd 23 3 2 13" xfId="22756"/>
    <cellStyle name="asd 23 3 2 14" xfId="25083"/>
    <cellStyle name="asd 23 3 2 15" xfId="26444"/>
    <cellStyle name="asd 23 3 2 16" xfId="28170"/>
    <cellStyle name="asd 23 3 2 17" xfId="30050"/>
    <cellStyle name="asd 23 3 2 18" xfId="32127"/>
    <cellStyle name="asd 23 3 2 19" xfId="34694"/>
    <cellStyle name="asd 23 3 2 2" xfId="4431"/>
    <cellStyle name="asd 23 3 2 2 10" xfId="20675"/>
    <cellStyle name="asd 23 3 2 2 11" xfId="23631"/>
    <cellStyle name="asd 23 3 2 2 12" xfId="24477"/>
    <cellStyle name="asd 23 3 2 2 13" xfId="26666"/>
    <cellStyle name="asd 23 3 2 2 14" xfId="13470"/>
    <cellStyle name="asd 23 3 2 2 15" xfId="30266"/>
    <cellStyle name="asd 23 3 2 2 16" xfId="31660"/>
    <cellStyle name="asd 23 3 2 2 17" xfId="34192"/>
    <cellStyle name="asd 23 3 2 2 18" xfId="35305"/>
    <cellStyle name="asd 23 3 2 2 19" xfId="37183"/>
    <cellStyle name="asd 23 3 2 2 2" xfId="5442"/>
    <cellStyle name="asd 23 3 2 2 20" xfId="38904"/>
    <cellStyle name="asd 23 3 2 2 21" xfId="40589"/>
    <cellStyle name="asd 23 3 2 2 22" xfId="43389"/>
    <cellStyle name="asd 23 3 2 2 3" xfId="6186"/>
    <cellStyle name="asd 23 3 2 2 4" xfId="9237"/>
    <cellStyle name="asd 23 3 2 2 5" xfId="11375"/>
    <cellStyle name="asd 23 3 2 2 6" xfId="14101"/>
    <cellStyle name="asd 23 3 2 2 7" xfId="16004"/>
    <cellStyle name="asd 23 3 2 2 8" xfId="16856"/>
    <cellStyle name="asd 23 3 2 2 9" xfId="18763"/>
    <cellStyle name="asd 23 3 2 20" xfId="35910"/>
    <cellStyle name="asd 23 3 2 21" xfId="37789"/>
    <cellStyle name="asd 23 3 2 22" xfId="39350"/>
    <cellStyle name="asd 23 3 2 23" xfId="41026"/>
    <cellStyle name="asd 23 3 2 24" xfId="42553"/>
    <cellStyle name="asd 23 3 2 3" xfId="5033"/>
    <cellStyle name="asd 23 3 2 4" xfId="6483"/>
    <cellStyle name="asd 23 3 2 5" xfId="7934"/>
    <cellStyle name="asd 23 3 2 6" xfId="9844"/>
    <cellStyle name="asd 23 3 2 7" xfId="11239"/>
    <cellStyle name="asd 23 3 2 8" xfId="13225"/>
    <cellStyle name="asd 23 3 2 9" xfId="15128"/>
    <cellStyle name="asd 23 3 20" xfId="32448"/>
    <cellStyle name="asd 23 3 21" xfId="34969"/>
    <cellStyle name="asd 23 3 22" xfId="35175"/>
    <cellStyle name="asd 23 3 23" xfId="37053"/>
    <cellStyle name="asd 23 3 24" xfId="39665"/>
    <cellStyle name="asd 23 3 25" xfId="41339"/>
    <cellStyle name="asd 23 3 26" xfId="42527"/>
    <cellStyle name="asd 23 3 3" xfId="3803"/>
    <cellStyle name="asd 23 3 3 10" xfId="19537"/>
    <cellStyle name="asd 23 3 3 11" xfId="21449"/>
    <cellStyle name="asd 23 3 3 12" xfId="24146"/>
    <cellStyle name="asd 23 3 3 13" xfId="25251"/>
    <cellStyle name="asd 23 3 3 14" xfId="27219"/>
    <cellStyle name="asd 23 3 3 15" xfId="27012"/>
    <cellStyle name="asd 23 3 3 16" xfId="30810"/>
    <cellStyle name="asd 23 3 3 17" xfId="28530"/>
    <cellStyle name="asd 23 3 3 18" xfId="32204"/>
    <cellStyle name="asd 23 3 3 19" xfId="36078"/>
    <cellStyle name="asd 23 3 3 2" xfId="5807"/>
    <cellStyle name="asd 23 3 3 2 10" xfId="22057"/>
    <cellStyle name="asd 23 3 3 2 11" xfId="23208"/>
    <cellStyle name="asd 23 3 3 2 12" xfId="25859"/>
    <cellStyle name="asd 23 3 3 2 13" xfId="27950"/>
    <cellStyle name="asd 23 3 3 2 14" xfId="29508"/>
    <cellStyle name="asd 23 3 3 2 15" xfId="31530"/>
    <cellStyle name="asd 23 3 3 2 16" xfId="32302"/>
    <cellStyle name="asd 23 3 3 2 17" xfId="34125"/>
    <cellStyle name="asd 23 3 3 2 18" xfId="36686"/>
    <cellStyle name="asd 23 3 3 2 19" xfId="38565"/>
    <cellStyle name="asd 23 3 3 2 2" xfId="7256"/>
    <cellStyle name="asd 23 3 3 2 20" xfId="39521"/>
    <cellStyle name="asd 23 3 3 2 21" xfId="41195"/>
    <cellStyle name="asd 23 3 3 2 22" xfId="42986"/>
    <cellStyle name="asd 23 3 3 2 3" xfId="8710"/>
    <cellStyle name="asd 23 3 3 2 4" xfId="10620"/>
    <cellStyle name="asd 23 3 3 2 5" xfId="11078"/>
    <cellStyle name="asd 23 3 3 2 6" xfId="13680"/>
    <cellStyle name="asd 23 3 3 2 7" xfId="15582"/>
    <cellStyle name="asd 23 3 3 2 8" xfId="18239"/>
    <cellStyle name="asd 23 3 3 2 9" xfId="20145"/>
    <cellStyle name="asd 23 3 3 20" xfId="37957"/>
    <cellStyle name="asd 23 3 3 21" xfId="36958"/>
    <cellStyle name="asd 23 3 3 22" xfId="34382"/>
    <cellStyle name="asd 23 3 3 23" xfId="43889"/>
    <cellStyle name="asd 23 3 3 3" xfId="5201"/>
    <cellStyle name="asd 23 3 3 4" xfId="8102"/>
    <cellStyle name="asd 23 3 3 5" xfId="10012"/>
    <cellStyle name="asd 23 3 3 6" xfId="12106"/>
    <cellStyle name="asd 23 3 3 7" xfId="14617"/>
    <cellStyle name="asd 23 3 3 8" xfId="16523"/>
    <cellStyle name="asd 23 3 3 9" xfId="17631"/>
    <cellStyle name="asd 23 3 4" xfId="4024"/>
    <cellStyle name="asd 23 3 4 10" xfId="19659"/>
    <cellStyle name="asd 23 3 4 11" xfId="21571"/>
    <cellStyle name="asd 23 3 4 12" xfId="23855"/>
    <cellStyle name="asd 23 3 4 13" xfId="25373"/>
    <cellStyle name="asd 23 3 4 14" xfId="26598"/>
    <cellStyle name="asd 23 3 4 15" xfId="29089"/>
    <cellStyle name="asd 23 3 4 16" xfId="30200"/>
    <cellStyle name="asd 23 3 4 17" xfId="32839"/>
    <cellStyle name="asd 23 3 4 18" xfId="35003"/>
    <cellStyle name="asd 23 3 4 19" xfId="36200"/>
    <cellStyle name="asd 23 3 4 2" xfId="5929"/>
    <cellStyle name="asd 23 3 4 2 10" xfId="22179"/>
    <cellStyle name="asd 23 3 4 2 11" xfId="23886"/>
    <cellStyle name="asd 23 3 4 2 12" xfId="25981"/>
    <cellStyle name="asd 23 3 4 2 13" xfId="26458"/>
    <cellStyle name="asd 23 3 4 2 14" xfId="14696"/>
    <cellStyle name="asd 23 3 4 2 15" xfId="30064"/>
    <cellStyle name="asd 23 3 4 2 16" xfId="32286"/>
    <cellStyle name="asd 23 3 4 2 17" xfId="33762"/>
    <cellStyle name="asd 23 3 4 2 18" xfId="36808"/>
    <cellStyle name="asd 23 3 4 2 19" xfId="38687"/>
    <cellStyle name="asd 23 3 4 2 2" xfId="7378"/>
    <cellStyle name="asd 23 3 4 2 20" xfId="39506"/>
    <cellStyle name="asd 23 3 4 2 21" xfId="41180"/>
    <cellStyle name="asd 23 3 4 2 22" xfId="43636"/>
    <cellStyle name="asd 23 3 4 2 3" xfId="8832"/>
    <cellStyle name="asd 23 3 4 2 4" xfId="10742"/>
    <cellStyle name="asd 23 3 4 2 5" xfId="11803"/>
    <cellStyle name="asd 23 3 4 2 6" xfId="14356"/>
    <cellStyle name="asd 23 3 4 2 7" xfId="16261"/>
    <cellStyle name="asd 23 3 4 2 8" xfId="18361"/>
    <cellStyle name="asd 23 3 4 2 9" xfId="20267"/>
    <cellStyle name="asd 23 3 4 20" xfId="38079"/>
    <cellStyle name="asd 23 3 4 21" xfId="40046"/>
    <cellStyle name="asd 23 3 4 22" xfId="41710"/>
    <cellStyle name="asd 23 3 4 23" xfId="43606"/>
    <cellStyle name="asd 23 3 4 3" xfId="6770"/>
    <cellStyle name="asd 23 3 4 4" xfId="8224"/>
    <cellStyle name="asd 23 3 4 5" xfId="10134"/>
    <cellStyle name="asd 23 3 4 6" xfId="12707"/>
    <cellStyle name="asd 23 3 4 7" xfId="14325"/>
    <cellStyle name="asd 23 3 4 8" xfId="16229"/>
    <cellStyle name="asd 23 3 4 9" xfId="17753"/>
    <cellStyle name="asd 23 3 5" xfId="4892"/>
    <cellStyle name="asd 23 3 5 10" xfId="21140"/>
    <cellStyle name="asd 23 3 5 11" xfId="22684"/>
    <cellStyle name="asd 23 3 5 12" xfId="24942"/>
    <cellStyle name="asd 23 3 5 13" xfId="26761"/>
    <cellStyle name="asd 23 3 5 14" xfId="29109"/>
    <cellStyle name="asd 23 3 5 15" xfId="30360"/>
    <cellStyle name="asd 23 3 5 16" xfId="33095"/>
    <cellStyle name="asd 23 3 5 17" xfId="33889"/>
    <cellStyle name="asd 23 3 5 18" xfId="35769"/>
    <cellStyle name="asd 23 3 5 19" xfId="37648"/>
    <cellStyle name="asd 23 3 5 2" xfId="6342"/>
    <cellStyle name="asd 23 3 5 20" xfId="40291"/>
    <cellStyle name="asd 23 3 5 21" xfId="41947"/>
    <cellStyle name="asd 23 3 5 22" xfId="42487"/>
    <cellStyle name="asd 23 3 5 3" xfId="7793"/>
    <cellStyle name="asd 23 3 5 4" xfId="9703"/>
    <cellStyle name="asd 23 3 5 5" xfId="11553"/>
    <cellStyle name="asd 23 3 5 6" xfId="13151"/>
    <cellStyle name="asd 23 3 5 7" xfId="15056"/>
    <cellStyle name="asd 23 3 5 8" xfId="17322"/>
    <cellStyle name="asd 23 3 5 9" xfId="19228"/>
    <cellStyle name="asd 23 3 6" xfId="4328"/>
    <cellStyle name="asd 23 3 6 10" xfId="20584"/>
    <cellStyle name="asd 23 3 6 11" xfId="23521"/>
    <cellStyle name="asd 23 3 6 12" xfId="24386"/>
    <cellStyle name="asd 23 3 6 13" xfId="27390"/>
    <cellStyle name="asd 23 3 6 14" xfId="29052"/>
    <cellStyle name="asd 23 3 6 15" xfId="30976"/>
    <cellStyle name="asd 23 3 6 16" xfId="32623"/>
    <cellStyle name="asd 23 3 6 17" xfId="34343"/>
    <cellStyle name="asd 23 3 6 18" xfId="35214"/>
    <cellStyle name="asd 23 3 6 19" xfId="37092"/>
    <cellStyle name="asd 23 3 6 2" xfId="3039"/>
    <cellStyle name="asd 23 3 6 20" xfId="39833"/>
    <cellStyle name="asd 23 3 6 21" xfId="41502"/>
    <cellStyle name="asd 23 3 6 22" xfId="43286"/>
    <cellStyle name="asd 23 3 6 3" xfId="1792"/>
    <cellStyle name="asd 23 3 6 4" xfId="9146"/>
    <cellStyle name="asd 23 3 6 5" xfId="12556"/>
    <cellStyle name="asd 23 3 6 6" xfId="13993"/>
    <cellStyle name="asd 23 3 6 7" xfId="15894"/>
    <cellStyle name="asd 23 3 6 8" xfId="16765"/>
    <cellStyle name="asd 23 3 6 9" xfId="18672"/>
    <cellStyle name="asd 23 3 7" xfId="6714"/>
    <cellStyle name="asd 23 3 8" xfId="9107"/>
    <cellStyle name="asd 23 3 9" xfId="11502"/>
    <cellStyle name="asd 23 4" xfId="3417"/>
    <cellStyle name="asd 23 4 10" xfId="15678"/>
    <cellStyle name="asd 23 4 11" xfId="16787"/>
    <cellStyle name="asd 23 4 12" xfId="18694"/>
    <cellStyle name="asd 23 4 13" xfId="20606"/>
    <cellStyle name="asd 23 4 14" xfId="23304"/>
    <cellStyle name="asd 23 4 15" xfId="24408"/>
    <cellStyle name="asd 23 4 16" xfId="26532"/>
    <cellStyle name="asd 23 4 17" xfId="2316"/>
    <cellStyle name="asd 23 4 18" xfId="30138"/>
    <cellStyle name="asd 23 4 19" xfId="32709"/>
    <cellStyle name="asd 23 4 2" xfId="3597"/>
    <cellStyle name="asd 23 4 2 10" xfId="17488"/>
    <cellStyle name="asd 23 4 2 11" xfId="19394"/>
    <cellStyle name="asd 23 4 2 12" xfId="21306"/>
    <cellStyle name="asd 23 4 2 13" xfId="22870"/>
    <cellStyle name="asd 23 4 2 14" xfId="25108"/>
    <cellStyle name="asd 23 4 2 15" xfId="27133"/>
    <cellStyle name="asd 23 4 2 16" xfId="29708"/>
    <cellStyle name="asd 23 4 2 17" xfId="30724"/>
    <cellStyle name="asd 23 4 2 18" xfId="32678"/>
    <cellStyle name="asd 23 4 2 19" xfId="33882"/>
    <cellStyle name="asd 23 4 2 2" xfId="5516"/>
    <cellStyle name="asd 23 4 2 2 10" xfId="21766"/>
    <cellStyle name="asd 23 4 2 2 11" xfId="22874"/>
    <cellStyle name="asd 23 4 2 2 12" xfId="25568"/>
    <cellStyle name="asd 23 4 2 2 13" xfId="2177"/>
    <cellStyle name="asd 23 4 2 2 14" xfId="27996"/>
    <cellStyle name="asd 23 4 2 2 15" xfId="29056"/>
    <cellStyle name="asd 23 4 2 2 16" xfId="28880"/>
    <cellStyle name="asd 23 4 2 2 17" xfId="24217"/>
    <cellStyle name="asd 23 4 2 2 18" xfId="36395"/>
    <cellStyle name="asd 23 4 2 2 19" xfId="38274"/>
    <cellStyle name="asd 23 4 2 2 2" xfId="6965"/>
    <cellStyle name="asd 23 4 2 2 20" xfId="36946"/>
    <cellStyle name="asd 23 4 2 2 21" xfId="33319"/>
    <cellStyle name="asd 23 4 2 2 22" xfId="42661"/>
    <cellStyle name="asd 23 4 2 2 3" xfId="8419"/>
    <cellStyle name="asd 23 4 2 2 4" xfId="10329"/>
    <cellStyle name="asd 23 4 2 2 5" xfId="11220"/>
    <cellStyle name="asd 23 4 2 2 6" xfId="13342"/>
    <cellStyle name="asd 23 4 2 2 7" xfId="15247"/>
    <cellStyle name="asd 23 4 2 2 8" xfId="17948"/>
    <cellStyle name="asd 23 4 2 2 9" xfId="19854"/>
    <cellStyle name="asd 23 4 2 20" xfId="35935"/>
    <cellStyle name="asd 23 4 2 21" xfId="37814"/>
    <cellStyle name="asd 23 4 2 22" xfId="39886"/>
    <cellStyle name="asd 23 4 2 23" xfId="41555"/>
    <cellStyle name="asd 23 4 2 24" xfId="42657"/>
    <cellStyle name="asd 23 4 2 3" xfId="5058"/>
    <cellStyle name="asd 23 4 2 4" xfId="6508"/>
    <cellStyle name="asd 23 4 2 5" xfId="7959"/>
    <cellStyle name="asd 23 4 2 6" xfId="9869"/>
    <cellStyle name="asd 23 4 2 7" xfId="12430"/>
    <cellStyle name="asd 23 4 2 8" xfId="13338"/>
    <cellStyle name="asd 23 4 2 9" xfId="15243"/>
    <cellStyle name="asd 23 4 20" xfId="34677"/>
    <cellStyle name="asd 23 4 21" xfId="35236"/>
    <cellStyle name="asd 23 4 22" xfId="37114"/>
    <cellStyle name="asd 23 4 23" xfId="39917"/>
    <cellStyle name="asd 23 4 24" xfId="41586"/>
    <cellStyle name="asd 23 4 25" xfId="43076"/>
    <cellStyle name="asd 23 4 3" xfId="3861"/>
    <cellStyle name="asd 23 4 3 10" xfId="19578"/>
    <cellStyle name="asd 23 4 3 11" xfId="21490"/>
    <cellStyle name="asd 23 4 3 12" xfId="23111"/>
    <cellStyle name="asd 23 4 3 13" xfId="25292"/>
    <cellStyle name="asd 23 4 3 14" xfId="27227"/>
    <cellStyle name="asd 23 4 3 15" xfId="28588"/>
    <cellStyle name="asd 23 4 3 16" xfId="30818"/>
    <cellStyle name="asd 23 4 3 17" xfId="33213"/>
    <cellStyle name="asd 23 4 3 18" xfId="34188"/>
    <cellStyle name="asd 23 4 3 19" xfId="36119"/>
    <cellStyle name="asd 23 4 3 2" xfId="5848"/>
    <cellStyle name="asd 23 4 3 2 10" xfId="22098"/>
    <cellStyle name="asd 23 4 3 2 11" xfId="22790"/>
    <cellStyle name="asd 23 4 3 2 12" xfId="25900"/>
    <cellStyle name="asd 23 4 3 2 13" xfId="26548"/>
    <cellStyle name="asd 23 4 3 2 14" xfId="28822"/>
    <cellStyle name="asd 23 4 3 2 15" xfId="30153"/>
    <cellStyle name="asd 23 4 3 2 16" xfId="33132"/>
    <cellStyle name="asd 23 4 3 2 17" xfId="33886"/>
    <cellStyle name="asd 23 4 3 2 18" xfId="36727"/>
    <cellStyle name="asd 23 4 3 2 19" xfId="38606"/>
    <cellStyle name="asd 23 4 3 2 2" xfId="7297"/>
    <cellStyle name="asd 23 4 3 2 20" xfId="40326"/>
    <cellStyle name="asd 23 4 3 2 21" xfId="41982"/>
    <cellStyle name="asd 23 4 3 2 22" xfId="42583"/>
    <cellStyle name="asd 23 4 3 2 3" xfId="8751"/>
    <cellStyle name="asd 23 4 3 2 4" xfId="10661"/>
    <cellStyle name="asd 23 4 3 2 5" xfId="12206"/>
    <cellStyle name="asd 23 4 3 2 6" xfId="13259"/>
    <cellStyle name="asd 23 4 3 2 7" xfId="15163"/>
    <cellStyle name="asd 23 4 3 2 8" xfId="18280"/>
    <cellStyle name="asd 23 4 3 2 9" xfId="20186"/>
    <cellStyle name="asd 23 4 3 20" xfId="37998"/>
    <cellStyle name="asd 23 4 3 21" xfId="40402"/>
    <cellStyle name="asd 23 4 3 22" xfId="42058"/>
    <cellStyle name="asd 23 4 3 23" xfId="42891"/>
    <cellStyle name="asd 23 4 3 3" xfId="5242"/>
    <cellStyle name="asd 23 4 3 4" xfId="8143"/>
    <cellStyle name="asd 23 4 3 5" xfId="10053"/>
    <cellStyle name="asd 23 4 3 6" xfId="12726"/>
    <cellStyle name="asd 23 4 3 7" xfId="13582"/>
    <cellStyle name="asd 23 4 3 8" xfId="15485"/>
    <cellStyle name="asd 23 4 3 9" xfId="17672"/>
    <cellStyle name="asd 23 4 4" xfId="4049"/>
    <cellStyle name="asd 23 4 4 10" xfId="19684"/>
    <cellStyle name="asd 23 4 4 11" xfId="21596"/>
    <cellStyle name="asd 23 4 4 12" xfId="22545"/>
    <cellStyle name="asd 23 4 4 13" xfId="25398"/>
    <cellStyle name="asd 23 4 4 14" xfId="27555"/>
    <cellStyle name="asd 23 4 4 15" xfId="28214"/>
    <cellStyle name="asd 23 4 4 16" xfId="31135"/>
    <cellStyle name="asd 23 4 4 17" xfId="32892"/>
    <cellStyle name="asd 23 4 4 18" xfId="34603"/>
    <cellStyle name="asd 23 4 4 19" xfId="36225"/>
    <cellStyle name="asd 23 4 4 2" xfId="5954"/>
    <cellStyle name="asd 23 4 4 2 10" xfId="22204"/>
    <cellStyle name="asd 23 4 4 2 11" xfId="23266"/>
    <cellStyle name="asd 23 4 4 2 12" xfId="26006"/>
    <cellStyle name="asd 23 4 4 2 13" xfId="2962"/>
    <cellStyle name="asd 23 4 4 2 14" xfId="28022"/>
    <cellStyle name="asd 23 4 4 2 15" xfId="3705"/>
    <cellStyle name="asd 23 4 4 2 16" xfId="4202"/>
    <cellStyle name="asd 23 4 4 2 17" xfId="27358"/>
    <cellStyle name="asd 23 4 4 2 18" xfId="36833"/>
    <cellStyle name="asd 23 4 4 2 19" xfId="38712"/>
    <cellStyle name="asd 23 4 4 2 2" xfId="7403"/>
    <cellStyle name="asd 23 4 4 2 20" xfId="1838"/>
    <cellStyle name="asd 23 4 4 2 21" xfId="32897"/>
    <cellStyle name="asd 23 4 4 2 22" xfId="43042"/>
    <cellStyle name="asd 23 4 4 2 3" xfId="8857"/>
    <cellStyle name="asd 23 4 4 2 4" xfId="10767"/>
    <cellStyle name="asd 23 4 4 2 5" xfId="11201"/>
    <cellStyle name="asd 23 4 4 2 6" xfId="13738"/>
    <cellStyle name="asd 23 4 4 2 7" xfId="15640"/>
    <cellStyle name="asd 23 4 4 2 8" xfId="18386"/>
    <cellStyle name="asd 23 4 4 2 9" xfId="20292"/>
    <cellStyle name="asd 23 4 4 20" xfId="38104"/>
    <cellStyle name="asd 23 4 4 21" xfId="40096"/>
    <cellStyle name="asd 23 4 4 22" xfId="41758"/>
    <cellStyle name="asd 23 4 4 23" xfId="42354"/>
    <cellStyle name="asd 23 4 4 3" xfId="6795"/>
    <cellStyle name="asd 23 4 4 4" xfId="8249"/>
    <cellStyle name="asd 23 4 4 5" xfId="10159"/>
    <cellStyle name="asd 23 4 4 6" xfId="2300"/>
    <cellStyle name="asd 23 4 4 7" xfId="13013"/>
    <cellStyle name="asd 23 4 4 8" xfId="14917"/>
    <cellStyle name="asd 23 4 4 9" xfId="17778"/>
    <cellStyle name="asd 23 4 5" xfId="5640"/>
    <cellStyle name="asd 23 4 5 10" xfId="21890"/>
    <cellStyle name="asd 23 4 5 11" xfId="23391"/>
    <cellStyle name="asd 23 4 5 12" xfId="25692"/>
    <cellStyle name="asd 23 4 5 13" xfId="27936"/>
    <cellStyle name="asd 23 4 5 14" xfId="28982"/>
    <cellStyle name="asd 23 4 5 15" xfId="31517"/>
    <cellStyle name="asd 23 4 5 16" xfId="33167"/>
    <cellStyle name="asd 23 4 5 17" xfId="33562"/>
    <cellStyle name="asd 23 4 5 18" xfId="36519"/>
    <cellStyle name="asd 23 4 5 19" xfId="38398"/>
    <cellStyle name="asd 23 4 5 2" xfId="7089"/>
    <cellStyle name="asd 23 4 5 20" xfId="40359"/>
    <cellStyle name="asd 23 4 5 21" xfId="42015"/>
    <cellStyle name="asd 23 4 5 22" xfId="43158"/>
    <cellStyle name="asd 23 4 5 3" xfId="8543"/>
    <cellStyle name="asd 23 4 5 4" xfId="10453"/>
    <cellStyle name="asd 23 4 5 5" xfId="11596"/>
    <cellStyle name="asd 23 4 5 6" xfId="13863"/>
    <cellStyle name="asd 23 4 5 7" xfId="15764"/>
    <cellStyle name="asd 23 4 5 8" xfId="18072"/>
    <cellStyle name="asd 23 4 5 9" xfId="19978"/>
    <cellStyle name="asd 23 4 6" xfId="6218"/>
    <cellStyle name="asd 23 4 7" xfId="9168"/>
    <cellStyle name="asd 23 4 8" xfId="11298"/>
    <cellStyle name="asd 23 4 9" xfId="13776"/>
    <cellStyle name="asd 23 5" xfId="1953"/>
    <cellStyle name="asd 23 5 10" xfId="17086"/>
    <cellStyle name="asd 23 5 11" xfId="18992"/>
    <cellStyle name="asd 23 5 12" xfId="20904"/>
    <cellStyle name="asd 23 5 13" xfId="2494"/>
    <cellStyle name="asd 23 5 14" xfId="24706"/>
    <cellStyle name="asd 23 5 15" xfId="26121"/>
    <cellStyle name="asd 23 5 16" xfId="28040"/>
    <cellStyle name="asd 23 5 17" xfId="29733"/>
    <cellStyle name="asd 23 5 18" xfId="2842"/>
    <cellStyle name="asd 23 5 19" xfId="30915"/>
    <cellStyle name="asd 23 5 2" xfId="5565"/>
    <cellStyle name="asd 23 5 2 10" xfId="21815"/>
    <cellStyle name="asd 23 5 2 11" xfId="23349"/>
    <cellStyle name="asd 23 5 2 12" xfId="25617"/>
    <cellStyle name="asd 23 5 2 13" xfId="27920"/>
    <cellStyle name="asd 23 5 2 14" xfId="26492"/>
    <cellStyle name="asd 23 5 2 15" xfId="31502"/>
    <cellStyle name="asd 23 5 2 16" xfId="32612"/>
    <cellStyle name="asd 23 5 2 17" xfId="30388"/>
    <cellStyle name="asd 23 5 2 18" xfId="36444"/>
    <cellStyle name="asd 23 5 2 19" xfId="38323"/>
    <cellStyle name="asd 23 5 2 2" xfId="7014"/>
    <cellStyle name="asd 23 5 2 20" xfId="39822"/>
    <cellStyle name="asd 23 5 2 21" xfId="41491"/>
    <cellStyle name="asd 23 5 2 22" xfId="43119"/>
    <cellStyle name="asd 23 5 2 3" xfId="8468"/>
    <cellStyle name="asd 23 5 2 4" xfId="10378"/>
    <cellStyle name="asd 23 5 2 5" xfId="11145"/>
    <cellStyle name="asd 23 5 2 6" xfId="13821"/>
    <cellStyle name="asd 23 5 2 7" xfId="15723"/>
    <cellStyle name="asd 23 5 2 8" xfId="17997"/>
    <cellStyle name="asd 23 5 2 9" xfId="19903"/>
    <cellStyle name="asd 23 5 20" xfId="35533"/>
    <cellStyle name="asd 23 5 21" xfId="37412"/>
    <cellStyle name="asd 23 5 22" xfId="33664"/>
    <cellStyle name="asd 23 5 23" xfId="2159"/>
    <cellStyle name="asd 23 5 24" xfId="41454"/>
    <cellStyle name="asd 23 5 3" xfId="4660"/>
    <cellStyle name="asd 23 5 4" xfId="6106"/>
    <cellStyle name="asd 23 5 5" xfId="7557"/>
    <cellStyle name="asd 23 5 6" xfId="9467"/>
    <cellStyle name="asd 23 5 7" xfId="12294"/>
    <cellStyle name="asd 23 5 8" xfId="11167"/>
    <cellStyle name="asd 23 5 9" xfId="13726"/>
    <cellStyle name="asd 23 6" xfId="3058"/>
    <cellStyle name="asd 23 6 10" xfId="19150"/>
    <cellStyle name="asd 23 6 11" xfId="21062"/>
    <cellStyle name="asd 23 6 12" xfId="24132"/>
    <cellStyle name="asd 23 6 13" xfId="24864"/>
    <cellStyle name="asd 23 6 14" xfId="27028"/>
    <cellStyle name="asd 23 6 15" xfId="2262"/>
    <cellStyle name="asd 23 6 16" xfId="30621"/>
    <cellStyle name="asd 23 6 17" xfId="2211"/>
    <cellStyle name="asd 23 6 18" xfId="3013"/>
    <cellStyle name="asd 23 6 19" xfId="35691"/>
    <cellStyle name="asd 23 6 2" xfId="5532"/>
    <cellStyle name="asd 23 6 2 10" xfId="21782"/>
    <cellStyle name="asd 23 6 2 11" xfId="23430"/>
    <cellStyle name="asd 23 6 2 12" xfId="25584"/>
    <cellStyle name="asd 23 6 2 13" xfId="26290"/>
    <cellStyle name="asd 23 6 2 14" xfId="29699"/>
    <cellStyle name="asd 23 6 2 15" xfId="29899"/>
    <cellStyle name="asd 23 6 2 16" xfId="32573"/>
    <cellStyle name="asd 23 6 2 17" xfId="33625"/>
    <cellStyle name="asd 23 6 2 18" xfId="36411"/>
    <cellStyle name="asd 23 6 2 19" xfId="38290"/>
    <cellStyle name="asd 23 6 2 2" xfId="6981"/>
    <cellStyle name="asd 23 6 2 20" xfId="39783"/>
    <cellStyle name="asd 23 6 2 21" xfId="41453"/>
    <cellStyle name="asd 23 6 2 22" xfId="43197"/>
    <cellStyle name="asd 23 6 2 3" xfId="8435"/>
    <cellStyle name="asd 23 6 2 4" xfId="10345"/>
    <cellStyle name="asd 23 6 2 5" xfId="12450"/>
    <cellStyle name="asd 23 6 2 6" xfId="13902"/>
    <cellStyle name="asd 23 6 2 7" xfId="15803"/>
    <cellStyle name="asd 23 6 2 8" xfId="17964"/>
    <cellStyle name="asd 23 6 2 9" xfId="19870"/>
    <cellStyle name="asd 23 6 20" xfId="37570"/>
    <cellStyle name="asd 23 6 21" xfId="30036"/>
    <cellStyle name="asd 23 6 22" xfId="35068"/>
    <cellStyle name="asd 23 6 23" xfId="43875"/>
    <cellStyle name="asd 23 6 3" xfId="4814"/>
    <cellStyle name="asd 23 6 4" xfId="7715"/>
    <cellStyle name="asd 23 6 5" xfId="9625"/>
    <cellStyle name="asd 23 6 6" xfId="12092"/>
    <cellStyle name="asd 23 6 7" xfId="14603"/>
    <cellStyle name="asd 23 6 8" xfId="16509"/>
    <cellStyle name="asd 23 6 9" xfId="17244"/>
    <cellStyle name="asd 23 7" xfId="2109"/>
    <cellStyle name="asd 23 7 10" xfId="19019"/>
    <cellStyle name="asd 23 7 11" xfId="20931"/>
    <cellStyle name="asd 23 7 12" xfId="23514"/>
    <cellStyle name="asd 23 7 13" xfId="24733"/>
    <cellStyle name="asd 23 7 14" xfId="27886"/>
    <cellStyle name="asd 23 7 15" xfId="29305"/>
    <cellStyle name="asd 23 7 16" xfId="31467"/>
    <cellStyle name="asd 23 7 17" xfId="32273"/>
    <cellStyle name="asd 23 7 18" xfId="34679"/>
    <cellStyle name="asd 23 7 19" xfId="35560"/>
    <cellStyle name="asd 23 7 2" xfId="4439"/>
    <cellStyle name="asd 23 7 2 10" xfId="20684"/>
    <cellStyle name="asd 23 7 2 11" xfId="24027"/>
    <cellStyle name="asd 23 7 2 12" xfId="24486"/>
    <cellStyle name="asd 23 7 2 13" xfId="26604"/>
    <cellStyle name="asd 23 7 2 14" xfId="28209"/>
    <cellStyle name="asd 23 7 2 15" xfId="30206"/>
    <cellStyle name="asd 23 7 2 16" xfId="32887"/>
    <cellStyle name="asd 23 7 2 17" xfId="33433"/>
    <cellStyle name="asd 23 7 2 18" xfId="35314"/>
    <cellStyle name="asd 23 7 2 19" xfId="37192"/>
    <cellStyle name="asd 23 7 2 2" xfId="4508"/>
    <cellStyle name="asd 23 7 2 20" xfId="40092"/>
    <cellStyle name="asd 23 7 2 21" xfId="41754"/>
    <cellStyle name="asd 23 7 2 22" xfId="43771"/>
    <cellStyle name="asd 23 7 2 3" xfId="5439"/>
    <cellStyle name="asd 23 7 2 4" xfId="9246"/>
    <cellStyle name="asd 23 7 2 5" xfId="11986"/>
    <cellStyle name="asd 23 7 2 6" xfId="14497"/>
    <cellStyle name="asd 23 7 2 7" xfId="16403"/>
    <cellStyle name="asd 23 7 2 8" xfId="16865"/>
    <cellStyle name="asd 23 7 2 9" xfId="18772"/>
    <cellStyle name="asd 23 7 20" xfId="37439"/>
    <cellStyle name="asd 23 7 21" xfId="39491"/>
    <cellStyle name="asd 23 7 22" xfId="41166"/>
    <cellStyle name="asd 23 7 23" xfId="43279"/>
    <cellStyle name="asd 23 7 3" xfId="6133"/>
    <cellStyle name="asd 23 7 4" xfId="7584"/>
    <cellStyle name="asd 23 7 5" xfId="9494"/>
    <cellStyle name="asd 23 7 6" xfId="11083"/>
    <cellStyle name="asd 23 7 7" xfId="13986"/>
    <cellStyle name="asd 23 7 8" xfId="15887"/>
    <cellStyle name="asd 23 7 9" xfId="17113"/>
    <cellStyle name="asd 23 8" xfId="3927"/>
    <cellStyle name="asd 23 9" xfId="4317"/>
    <cellStyle name="asd 24" xfId="854"/>
    <cellStyle name="asd 24 10" xfId="2542"/>
    <cellStyle name="asd 24 11" xfId="12812"/>
    <cellStyle name="asd 24 12" xfId="14716"/>
    <cellStyle name="asd 24 13" xfId="14581"/>
    <cellStyle name="asd 24 14" xfId="2026"/>
    <cellStyle name="asd 24 15" xfId="3086"/>
    <cellStyle name="asd 24 16" xfId="22347"/>
    <cellStyle name="asd 24 17" xfId="18532"/>
    <cellStyle name="asd 24 18" xfId="8999"/>
    <cellStyle name="asd 24 19" xfId="28821"/>
    <cellStyle name="asd 24 2" xfId="3453"/>
    <cellStyle name="asd 24 2 10" xfId="13209"/>
    <cellStyle name="asd 24 2 11" xfId="15112"/>
    <cellStyle name="asd 24 2 12" xfId="16846"/>
    <cellStyle name="asd 24 2 13" xfId="18753"/>
    <cellStyle name="asd 24 2 14" xfId="20665"/>
    <cellStyle name="asd 24 2 15" xfId="22740"/>
    <cellStyle name="asd 24 2 16" xfId="24467"/>
    <cellStyle name="asd 24 2 17" xfId="27149"/>
    <cellStyle name="asd 24 2 18" xfId="12788"/>
    <cellStyle name="asd 24 2 19" xfId="30740"/>
    <cellStyle name="asd 24 2 2" xfId="3633"/>
    <cellStyle name="asd 24 2 2 10" xfId="17524"/>
    <cellStyle name="asd 24 2 2 11" xfId="19430"/>
    <cellStyle name="asd 24 2 2 12" xfId="21342"/>
    <cellStyle name="asd 24 2 2 13" xfId="23578"/>
    <cellStyle name="asd 24 2 2 14" xfId="25144"/>
    <cellStyle name="asd 24 2 2 15" xfId="27559"/>
    <cellStyle name="asd 24 2 2 16" xfId="29696"/>
    <cellStyle name="asd 24 2 2 17" xfId="31139"/>
    <cellStyle name="asd 24 2 2 18" xfId="32318"/>
    <cellStyle name="asd 24 2 2 19" xfId="34749"/>
    <cellStyle name="asd 24 2 2 2" xfId="4587"/>
    <cellStyle name="asd 24 2 2 2 10" xfId="20832"/>
    <cellStyle name="asd 24 2 2 2 11" xfId="24138"/>
    <cellStyle name="asd 24 2 2 2 12" xfId="24634"/>
    <cellStyle name="asd 24 2 2 2 13" xfId="27396"/>
    <cellStyle name="asd 24 2 2 2 14" xfId="28454"/>
    <cellStyle name="asd 24 2 2 2 15" xfId="30982"/>
    <cellStyle name="asd 24 2 2 2 16" xfId="31814"/>
    <cellStyle name="asd 24 2 2 2 17" xfId="34711"/>
    <cellStyle name="asd 24 2 2 2 18" xfId="35462"/>
    <cellStyle name="asd 24 2 2 2 19" xfId="37340"/>
    <cellStyle name="asd 24 2 2 2 2" xfId="3945"/>
    <cellStyle name="asd 24 2 2 2 20" xfId="39052"/>
    <cellStyle name="asd 24 2 2 2 21" xfId="40734"/>
    <cellStyle name="asd 24 2 2 2 22" xfId="43881"/>
    <cellStyle name="asd 24 2 2 2 3" xfId="4580"/>
    <cellStyle name="asd 24 2 2 2 4" xfId="9394"/>
    <cellStyle name="asd 24 2 2 2 5" xfId="12098"/>
    <cellStyle name="asd 24 2 2 2 6" xfId="14609"/>
    <cellStyle name="asd 24 2 2 2 7" xfId="16515"/>
    <cellStyle name="asd 24 2 2 2 8" xfId="17013"/>
    <cellStyle name="asd 24 2 2 2 9" xfId="18920"/>
    <cellStyle name="asd 24 2 2 20" xfId="35971"/>
    <cellStyle name="asd 24 2 2 21" xfId="37850"/>
    <cellStyle name="asd 24 2 2 22" xfId="39537"/>
    <cellStyle name="asd 24 2 2 23" xfId="41211"/>
    <cellStyle name="asd 24 2 2 24" xfId="43340"/>
    <cellStyle name="asd 24 2 2 3" xfId="5094"/>
    <cellStyle name="asd 24 2 2 4" xfId="6544"/>
    <cellStyle name="asd 24 2 2 5" xfId="7995"/>
    <cellStyle name="asd 24 2 2 6" xfId="9905"/>
    <cellStyle name="asd 24 2 2 7" xfId="11708"/>
    <cellStyle name="asd 24 2 2 8" xfId="14050"/>
    <cellStyle name="asd 24 2 2 9" xfId="15951"/>
    <cellStyle name="asd 24 2 20" xfId="32245"/>
    <cellStyle name="asd 24 2 21" xfId="28898"/>
    <cellStyle name="asd 24 2 22" xfId="35295"/>
    <cellStyle name="asd 24 2 23" xfId="37173"/>
    <cellStyle name="asd 24 2 24" xfId="39463"/>
    <cellStyle name="asd 24 2 25" xfId="41138"/>
    <cellStyle name="asd 24 2 26" xfId="42538"/>
    <cellStyle name="asd 24 2 3" xfId="3891"/>
    <cellStyle name="asd 24 2 3 10" xfId="19599"/>
    <cellStyle name="asd 24 2 3 11" xfId="21511"/>
    <cellStyle name="asd 24 2 3 12" xfId="23220"/>
    <cellStyle name="asd 24 2 3 13" xfId="25313"/>
    <cellStyle name="asd 24 2 3 14" xfId="27216"/>
    <cellStyle name="asd 24 2 3 15" xfId="28961"/>
    <cellStyle name="asd 24 2 3 16" xfId="30807"/>
    <cellStyle name="asd 24 2 3 17" xfId="31754"/>
    <cellStyle name="asd 24 2 3 18" xfId="34099"/>
    <cellStyle name="asd 24 2 3 19" xfId="36140"/>
    <cellStyle name="asd 24 2 3 2" xfId="5869"/>
    <cellStyle name="asd 24 2 3 2 10" xfId="22119"/>
    <cellStyle name="asd 24 2 3 2 11" xfId="23531"/>
    <cellStyle name="asd 24 2 3 2 12" xfId="25921"/>
    <cellStyle name="asd 24 2 3 2 13" xfId="26170"/>
    <cellStyle name="asd 24 2 3 2 14" xfId="28591"/>
    <cellStyle name="asd 24 2 3 2 15" xfId="29784"/>
    <cellStyle name="asd 24 2 3 2 16" xfId="33029"/>
    <cellStyle name="asd 24 2 3 2 17" xfId="33548"/>
    <cellStyle name="asd 24 2 3 2 18" xfId="36748"/>
    <cellStyle name="asd 24 2 3 2 19" xfId="38627"/>
    <cellStyle name="asd 24 2 3 2 2" xfId="7318"/>
    <cellStyle name="asd 24 2 3 2 20" xfId="40229"/>
    <cellStyle name="asd 24 2 3 2 21" xfId="41888"/>
    <cellStyle name="asd 24 2 3 2 22" xfId="43296"/>
    <cellStyle name="asd 24 2 3 2 3" xfId="8772"/>
    <cellStyle name="asd 24 2 3 2 4" xfId="10682"/>
    <cellStyle name="asd 24 2 3 2 5" xfId="12525"/>
    <cellStyle name="asd 24 2 3 2 6" xfId="14003"/>
    <cellStyle name="asd 24 2 3 2 7" xfId="15904"/>
    <cellStyle name="asd 24 2 3 2 8" xfId="18301"/>
    <cellStyle name="asd 24 2 3 2 9" xfId="20207"/>
    <cellStyle name="asd 24 2 3 20" xfId="38019"/>
    <cellStyle name="asd 24 2 3 21" xfId="38994"/>
    <cellStyle name="asd 24 2 3 22" xfId="40677"/>
    <cellStyle name="asd 24 2 3 23" xfId="42997"/>
    <cellStyle name="asd 24 2 3 3" xfId="5263"/>
    <cellStyle name="asd 24 2 3 4" xfId="8164"/>
    <cellStyle name="asd 24 2 3 5" xfId="10074"/>
    <cellStyle name="asd 24 2 3 6" xfId="11097"/>
    <cellStyle name="asd 24 2 3 7" xfId="13692"/>
    <cellStyle name="asd 24 2 3 8" xfId="15594"/>
    <cellStyle name="asd 24 2 3 9" xfId="17693"/>
    <cellStyle name="asd 24 2 4" xfId="4085"/>
    <cellStyle name="asd 24 2 4 10" xfId="19720"/>
    <cellStyle name="asd 24 2 4 11" xfId="21632"/>
    <cellStyle name="asd 24 2 4 12" xfId="22869"/>
    <cellStyle name="asd 24 2 4 13" xfId="25434"/>
    <cellStyle name="asd 24 2 4 14" xfId="27725"/>
    <cellStyle name="asd 24 2 4 15" xfId="28997"/>
    <cellStyle name="asd 24 2 4 16" xfId="31303"/>
    <cellStyle name="asd 24 2 4 17" xfId="31920"/>
    <cellStyle name="asd 24 2 4 18" xfId="33627"/>
    <cellStyle name="asd 24 2 4 19" xfId="36261"/>
    <cellStyle name="asd 24 2 4 2" xfId="5990"/>
    <cellStyle name="asd 24 2 4 2 10" xfId="22240"/>
    <cellStyle name="asd 24 2 4 2 11" xfId="23044"/>
    <cellStyle name="asd 24 2 4 2 12" xfId="26042"/>
    <cellStyle name="asd 24 2 4 2 13" xfId="27439"/>
    <cellStyle name="asd 24 2 4 2 14" xfId="28702"/>
    <cellStyle name="asd 24 2 4 2 15" xfId="31025"/>
    <cellStyle name="asd 24 2 4 2 16" xfId="32325"/>
    <cellStyle name="asd 24 2 4 2 17" xfId="33665"/>
    <cellStyle name="asd 24 2 4 2 18" xfId="36869"/>
    <cellStyle name="asd 24 2 4 2 19" xfId="38748"/>
    <cellStyle name="asd 24 2 4 2 2" xfId="7439"/>
    <cellStyle name="asd 24 2 4 2 20" xfId="39544"/>
    <cellStyle name="asd 24 2 4 2 21" xfId="41218"/>
    <cellStyle name="asd 24 2 4 2 22" xfId="42827"/>
    <cellStyle name="asd 24 2 4 2 3" xfId="8893"/>
    <cellStyle name="asd 24 2 4 2 4" xfId="10803"/>
    <cellStyle name="asd 24 2 4 2 5" xfId="12641"/>
    <cellStyle name="asd 24 2 4 2 6" xfId="13514"/>
    <cellStyle name="asd 24 2 4 2 7" xfId="15418"/>
    <cellStyle name="asd 24 2 4 2 8" xfId="18422"/>
    <cellStyle name="asd 24 2 4 2 9" xfId="20328"/>
    <cellStyle name="asd 24 2 4 20" xfId="38140"/>
    <cellStyle name="asd 24 2 4 21" xfId="39151"/>
    <cellStyle name="asd 24 2 4 22" xfId="40832"/>
    <cellStyle name="asd 24 2 4 23" xfId="42656"/>
    <cellStyle name="asd 24 2 4 3" xfId="6831"/>
    <cellStyle name="asd 24 2 4 4" xfId="8285"/>
    <cellStyle name="asd 24 2 4 5" xfId="10195"/>
    <cellStyle name="asd 24 2 4 6" xfId="12325"/>
    <cellStyle name="asd 24 2 4 7" xfId="13337"/>
    <cellStyle name="asd 24 2 4 8" xfId="15242"/>
    <cellStyle name="asd 24 2 4 9" xfId="17814"/>
    <cellStyle name="asd 24 2 5" xfId="4939"/>
    <cellStyle name="asd 24 2 5 10" xfId="21187"/>
    <cellStyle name="asd 24 2 5 11" xfId="22743"/>
    <cellStyle name="asd 24 2 5 12" xfId="24989"/>
    <cellStyle name="asd 24 2 5 13" xfId="26376"/>
    <cellStyle name="asd 24 2 5 14" xfId="28913"/>
    <cellStyle name="asd 24 2 5 15" xfId="29984"/>
    <cellStyle name="asd 24 2 5 16" xfId="32345"/>
    <cellStyle name="asd 24 2 5 17" xfId="33851"/>
    <cellStyle name="asd 24 2 5 18" xfId="35816"/>
    <cellStyle name="asd 24 2 5 19" xfId="37695"/>
    <cellStyle name="asd 24 2 5 2" xfId="6389"/>
    <cellStyle name="asd 24 2 5 20" xfId="39564"/>
    <cellStyle name="asd 24 2 5 21" xfId="41238"/>
    <cellStyle name="asd 24 2 5 22" xfId="42541"/>
    <cellStyle name="asd 24 2 5 3" xfId="7840"/>
    <cellStyle name="asd 24 2 5 4" xfId="9750"/>
    <cellStyle name="asd 24 2 5 5" xfId="11556"/>
    <cellStyle name="asd 24 2 5 6" xfId="13212"/>
    <cellStyle name="asd 24 2 5 7" xfId="15115"/>
    <cellStyle name="asd 24 2 5 8" xfId="17369"/>
    <cellStyle name="asd 24 2 5 9" xfId="19275"/>
    <cellStyle name="asd 24 2 6" xfId="4420"/>
    <cellStyle name="asd 24 2 6 10" xfId="20664"/>
    <cellStyle name="asd 24 2 6 11" xfId="22585"/>
    <cellStyle name="asd 24 2 6 12" xfId="24466"/>
    <cellStyle name="asd 24 2 6 13" xfId="27108"/>
    <cellStyle name="asd 24 2 6 14" xfId="28349"/>
    <cellStyle name="asd 24 2 6 15" xfId="30699"/>
    <cellStyle name="asd 24 2 6 16" xfId="32235"/>
    <cellStyle name="asd 24 2 6 17" xfId="33488"/>
    <cellStyle name="asd 24 2 6 18" xfId="35294"/>
    <cellStyle name="asd 24 2 6 19" xfId="37172"/>
    <cellStyle name="asd 24 2 6 2" xfId="4446"/>
    <cellStyle name="asd 24 2 6 20" xfId="39454"/>
    <cellStyle name="asd 24 2 6 21" xfId="41129"/>
    <cellStyle name="asd 24 2 6 22" xfId="42394"/>
    <cellStyle name="asd 24 2 6 3" xfId="5353"/>
    <cellStyle name="asd 24 2 6 4" xfId="9226"/>
    <cellStyle name="asd 24 2 6 5" xfId="11305"/>
    <cellStyle name="asd 24 2 6 6" xfId="13053"/>
    <cellStyle name="asd 24 2 6 7" xfId="14957"/>
    <cellStyle name="asd 24 2 6 8" xfId="16845"/>
    <cellStyle name="asd 24 2 6 9" xfId="18752"/>
    <cellStyle name="asd 24 2 7" xfId="6706"/>
    <cellStyle name="asd 24 2 8" xfId="9227"/>
    <cellStyle name="asd 24 2 9" xfId="11585"/>
    <cellStyle name="asd 24 20" xfId="2819"/>
    <cellStyle name="asd 24 21" xfId="28917"/>
    <cellStyle name="asd 24 22" xfId="16036"/>
    <cellStyle name="asd 24 23" xfId="29141"/>
    <cellStyle name="asd 24 24" xfId="29909"/>
    <cellStyle name="asd 24 25" xfId="3526"/>
    <cellStyle name="asd 24 26" xfId="2672"/>
    <cellStyle name="asd 24 27" xfId="42168"/>
    <cellStyle name="asd 24 3" xfId="3448"/>
    <cellStyle name="asd 24 3 10" xfId="13456"/>
    <cellStyle name="asd 24 3 11" xfId="15361"/>
    <cellStyle name="asd 24 3 12" xfId="16833"/>
    <cellStyle name="asd 24 3 13" xfId="18740"/>
    <cellStyle name="asd 24 3 14" xfId="20652"/>
    <cellStyle name="asd 24 3 15" xfId="22987"/>
    <cellStyle name="asd 24 3 16" xfId="24454"/>
    <cellStyle name="asd 24 3 17" xfId="26265"/>
    <cellStyle name="asd 24 3 18" xfId="29108"/>
    <cellStyle name="asd 24 3 19" xfId="29875"/>
    <cellStyle name="asd 24 3 2" xfId="3628"/>
    <cellStyle name="asd 24 3 2 10" xfId="17519"/>
    <cellStyle name="asd 24 3 2 11" xfId="19425"/>
    <cellStyle name="asd 24 3 2 12" xfId="21337"/>
    <cellStyle name="asd 24 3 2 13" xfId="22920"/>
    <cellStyle name="asd 24 3 2 14" xfId="25139"/>
    <cellStyle name="asd 24 3 2 15" xfId="26943"/>
    <cellStyle name="asd 24 3 2 16" xfId="28033"/>
    <cellStyle name="asd 24 3 2 17" xfId="30537"/>
    <cellStyle name="asd 24 3 2 18" xfId="31638"/>
    <cellStyle name="asd 24 3 2 19" xfId="33670"/>
    <cellStyle name="asd 24 3 2 2" xfId="5740"/>
    <cellStyle name="asd 24 3 2 2 10" xfId="21990"/>
    <cellStyle name="asd 24 3 2 2 11" xfId="23911"/>
    <cellStyle name="asd 24 3 2 2 12" xfId="25792"/>
    <cellStyle name="asd 24 3 2 2 13" xfId="27197"/>
    <cellStyle name="asd 24 3 2 2 14" xfId="28513"/>
    <cellStyle name="asd 24 3 2 2 15" xfId="30788"/>
    <cellStyle name="asd 24 3 2 2 16" xfId="32079"/>
    <cellStyle name="asd 24 3 2 2 17" xfId="34940"/>
    <cellStyle name="asd 24 3 2 2 18" xfId="36619"/>
    <cellStyle name="asd 24 3 2 2 19" xfId="38498"/>
    <cellStyle name="asd 24 3 2 2 2" xfId="7189"/>
    <cellStyle name="asd 24 3 2 2 20" xfId="39303"/>
    <cellStyle name="asd 24 3 2 2 21" xfId="40979"/>
    <cellStyle name="asd 24 3 2 2 22" xfId="43657"/>
    <cellStyle name="asd 24 3 2 2 3" xfId="8643"/>
    <cellStyle name="asd 24 3 2 2 4" xfId="10553"/>
    <cellStyle name="asd 24 3 2 2 5" xfId="11870"/>
    <cellStyle name="asd 24 3 2 2 6" xfId="14379"/>
    <cellStyle name="asd 24 3 2 2 7" xfId="16285"/>
    <cellStyle name="asd 24 3 2 2 8" xfId="18172"/>
    <cellStyle name="asd 24 3 2 2 9" xfId="20078"/>
    <cellStyle name="asd 24 3 2 20" xfId="35966"/>
    <cellStyle name="asd 24 3 2 21" xfId="37845"/>
    <cellStyle name="asd 24 3 2 22" xfId="38885"/>
    <cellStyle name="asd 24 3 2 23" xfId="40570"/>
    <cellStyle name="asd 24 3 2 24" xfId="42706"/>
    <cellStyle name="asd 24 3 2 3" xfId="5089"/>
    <cellStyle name="asd 24 3 2 4" xfId="6539"/>
    <cellStyle name="asd 24 3 2 5" xfId="7990"/>
    <cellStyle name="asd 24 3 2 6" xfId="9900"/>
    <cellStyle name="asd 24 3 2 7" xfId="11259"/>
    <cellStyle name="asd 24 3 2 8" xfId="13388"/>
    <cellStyle name="asd 24 3 2 9" xfId="15293"/>
    <cellStyle name="asd 24 3 20" xfId="33120"/>
    <cellStyle name="asd 24 3 21" xfId="34116"/>
    <cellStyle name="asd 24 3 22" xfId="35282"/>
    <cellStyle name="asd 24 3 23" xfId="37160"/>
    <cellStyle name="asd 24 3 24" xfId="40314"/>
    <cellStyle name="asd 24 3 25" xfId="41970"/>
    <cellStyle name="asd 24 3 26" xfId="42773"/>
    <cellStyle name="asd 24 3 3" xfId="3924"/>
    <cellStyle name="asd 24 3 3 10" xfId="19618"/>
    <cellStyle name="asd 24 3 3 11" xfId="21530"/>
    <cellStyle name="asd 24 3 3 12" xfId="22493"/>
    <cellStyle name="asd 24 3 3 13" xfId="25332"/>
    <cellStyle name="asd 24 3 3 14" xfId="27178"/>
    <cellStyle name="asd 24 3 3 15" xfId="28885"/>
    <cellStyle name="asd 24 3 3 16" xfId="30769"/>
    <cellStyle name="asd 24 3 3 17" xfId="31854"/>
    <cellStyle name="asd 24 3 3 18" xfId="33482"/>
    <cellStyle name="asd 24 3 3 19" xfId="36159"/>
    <cellStyle name="asd 24 3 3 2" xfId="5888"/>
    <cellStyle name="asd 24 3 3 2 10" xfId="22138"/>
    <cellStyle name="asd 24 3 3 2 11" xfId="23279"/>
    <cellStyle name="asd 24 3 3 2 12" xfId="25940"/>
    <cellStyle name="asd 24 3 3 2 13" xfId="26983"/>
    <cellStyle name="asd 24 3 3 2 14" xfId="28852"/>
    <cellStyle name="asd 24 3 3 2 15" xfId="30577"/>
    <cellStyle name="asd 24 3 3 2 16" xfId="32893"/>
    <cellStyle name="asd 24 3 3 2 17" xfId="33764"/>
    <cellStyle name="asd 24 3 3 2 18" xfId="36767"/>
    <cellStyle name="asd 24 3 3 2 19" xfId="38646"/>
    <cellStyle name="asd 24 3 3 2 2" xfId="7337"/>
    <cellStyle name="asd 24 3 3 2 20" xfId="40097"/>
    <cellStyle name="asd 24 3 3 2 21" xfId="41759"/>
    <cellStyle name="asd 24 3 3 2 22" xfId="43055"/>
    <cellStyle name="asd 24 3 3 2 3" xfId="8791"/>
    <cellStyle name="asd 24 3 3 2 4" xfId="10701"/>
    <cellStyle name="asd 24 3 3 2 5" xfId="11222"/>
    <cellStyle name="asd 24 3 3 2 6" xfId="13751"/>
    <cellStyle name="asd 24 3 3 2 7" xfId="15653"/>
    <cellStyle name="asd 24 3 3 2 8" xfId="18320"/>
    <cellStyle name="asd 24 3 3 2 9" xfId="20226"/>
    <cellStyle name="asd 24 3 3 20" xfId="38038"/>
    <cellStyle name="asd 24 3 3 21" xfId="39089"/>
    <cellStyle name="asd 24 3 3 22" xfId="40770"/>
    <cellStyle name="asd 24 3 3 23" xfId="42303"/>
    <cellStyle name="asd 24 3 3 3" xfId="5282"/>
    <cellStyle name="asd 24 3 3 4" xfId="8183"/>
    <cellStyle name="asd 24 3 3 5" xfId="10093"/>
    <cellStyle name="asd 24 3 3 6" xfId="9010"/>
    <cellStyle name="asd 24 3 3 7" xfId="12961"/>
    <cellStyle name="asd 24 3 3 8" xfId="14865"/>
    <cellStyle name="asd 24 3 3 9" xfId="17712"/>
    <cellStyle name="asd 24 3 4" xfId="4080"/>
    <cellStyle name="asd 24 3 4 10" xfId="19715"/>
    <cellStyle name="asd 24 3 4 11" xfId="21627"/>
    <cellStyle name="asd 24 3 4 12" xfId="23908"/>
    <cellStyle name="asd 24 3 4 13" xfId="25429"/>
    <cellStyle name="asd 24 3 4 14" xfId="27841"/>
    <cellStyle name="asd 24 3 4 15" xfId="2236"/>
    <cellStyle name="asd 24 3 4 16" xfId="31419"/>
    <cellStyle name="asd 24 3 4 17" xfId="33124"/>
    <cellStyle name="asd 24 3 4 18" xfId="34482"/>
    <cellStyle name="asd 24 3 4 19" xfId="36256"/>
    <cellStyle name="asd 24 3 4 2" xfId="5985"/>
    <cellStyle name="asd 24 3 4 2 10" xfId="22235"/>
    <cellStyle name="asd 24 3 4 2 11" xfId="23362"/>
    <cellStyle name="asd 24 3 4 2 12" xfId="26037"/>
    <cellStyle name="asd 24 3 4 2 13" xfId="27659"/>
    <cellStyle name="asd 24 3 4 2 14" xfId="29690"/>
    <cellStyle name="asd 24 3 4 2 15" xfId="31236"/>
    <cellStyle name="asd 24 3 4 2 16" xfId="33255"/>
    <cellStyle name="asd 24 3 4 2 17" xfId="33500"/>
    <cellStyle name="asd 24 3 4 2 18" xfId="36864"/>
    <cellStyle name="asd 24 3 4 2 19" xfId="38743"/>
    <cellStyle name="asd 24 3 4 2 2" xfId="7434"/>
    <cellStyle name="asd 24 3 4 2 20" xfId="40441"/>
    <cellStyle name="asd 24 3 4 2 21" xfId="42096"/>
    <cellStyle name="asd 24 3 4 2 22" xfId="43132"/>
    <cellStyle name="asd 24 3 4 2 3" xfId="8888"/>
    <cellStyle name="asd 24 3 4 2 4" xfId="10798"/>
    <cellStyle name="asd 24 3 4 2 5" xfId="12176"/>
    <cellStyle name="asd 24 3 4 2 6" xfId="13834"/>
    <cellStyle name="asd 24 3 4 2 7" xfId="15736"/>
    <cellStyle name="asd 24 3 4 2 8" xfId="18417"/>
    <cellStyle name="asd 24 3 4 2 9" xfId="20323"/>
    <cellStyle name="asd 24 3 4 20" xfId="38135"/>
    <cellStyle name="asd 24 3 4 21" xfId="40318"/>
    <cellStyle name="asd 24 3 4 22" xfId="41974"/>
    <cellStyle name="asd 24 3 4 23" xfId="43654"/>
    <cellStyle name="asd 24 3 4 3" xfId="6826"/>
    <cellStyle name="asd 24 3 4 4" xfId="8280"/>
    <cellStyle name="asd 24 3 4 5" xfId="10190"/>
    <cellStyle name="asd 24 3 4 6" xfId="11867"/>
    <cellStyle name="asd 24 3 4 7" xfId="14376"/>
    <cellStyle name="asd 24 3 4 8" xfId="16282"/>
    <cellStyle name="asd 24 3 4 9" xfId="17809"/>
    <cellStyle name="asd 24 3 5" xfId="4935"/>
    <cellStyle name="asd 24 3 5 10" xfId="21183"/>
    <cellStyle name="asd 24 3 5 11" xfId="23787"/>
    <cellStyle name="asd 24 3 5 12" xfId="24985"/>
    <cellStyle name="asd 24 3 5 13" xfId="27282"/>
    <cellStyle name="asd 24 3 5 14" xfId="29596"/>
    <cellStyle name="asd 24 3 5 15" xfId="30874"/>
    <cellStyle name="asd 24 3 5 16" xfId="32424"/>
    <cellStyle name="asd 24 3 5 17" xfId="34952"/>
    <cellStyle name="asd 24 3 5 18" xfId="35812"/>
    <cellStyle name="asd 24 3 5 19" xfId="37691"/>
    <cellStyle name="asd 24 3 5 2" xfId="6385"/>
    <cellStyle name="asd 24 3 5 20" xfId="39641"/>
    <cellStyle name="asd 24 3 5 21" xfId="41315"/>
    <cellStyle name="asd 24 3 5 22" xfId="43540"/>
    <cellStyle name="asd 24 3 5 3" xfId="7836"/>
    <cellStyle name="asd 24 3 5 4" xfId="9746"/>
    <cellStyle name="asd 24 3 5 5" xfId="11683"/>
    <cellStyle name="asd 24 3 5 6" xfId="14257"/>
    <cellStyle name="asd 24 3 5 7" xfId="16161"/>
    <cellStyle name="asd 24 3 5 8" xfId="17365"/>
    <cellStyle name="asd 24 3 5 9" xfId="19271"/>
    <cellStyle name="asd 24 3 6" xfId="4447"/>
    <cellStyle name="asd 24 3 6 10" xfId="20692"/>
    <cellStyle name="asd 24 3 6 11" xfId="23444"/>
    <cellStyle name="asd 24 3 6 12" xfId="24494"/>
    <cellStyle name="asd 24 3 6 13" xfId="26977"/>
    <cellStyle name="asd 24 3 6 14" xfId="2744"/>
    <cellStyle name="asd 24 3 6 15" xfId="30571"/>
    <cellStyle name="asd 24 3 6 16" xfId="31899"/>
    <cellStyle name="asd 24 3 6 17" xfId="34329"/>
    <cellStyle name="asd 24 3 6 18" xfId="35322"/>
    <cellStyle name="asd 24 3 6 19" xfId="37200"/>
    <cellStyle name="asd 24 3 6 2" xfId="2149"/>
    <cellStyle name="asd 24 3 6 20" xfId="39132"/>
    <cellStyle name="asd 24 3 6 21" xfId="40813"/>
    <cellStyle name="asd 24 3 6 22" xfId="43211"/>
    <cellStyle name="asd 24 3 6 3" xfId="4815"/>
    <cellStyle name="asd 24 3 6 4" xfId="9254"/>
    <cellStyle name="asd 24 3 6 5" xfId="12519"/>
    <cellStyle name="asd 24 3 6 6" xfId="13916"/>
    <cellStyle name="asd 24 3 6 7" xfId="15817"/>
    <cellStyle name="asd 24 3 6 8" xfId="16873"/>
    <cellStyle name="asd 24 3 6 9" xfId="18780"/>
    <cellStyle name="asd 24 3 7" xfId="4396"/>
    <cellStyle name="asd 24 3 8" xfId="9214"/>
    <cellStyle name="asd 24 3 9" xfId="11190"/>
    <cellStyle name="asd 24 4" xfId="3376"/>
    <cellStyle name="asd 24 4 10" xfId="2933"/>
    <cellStyle name="asd 24 4 11" xfId="16689"/>
    <cellStyle name="asd 24 4 12" xfId="18596"/>
    <cellStyle name="asd 24 4 13" xfId="20508"/>
    <cellStyle name="asd 24 4 14" xfId="3870"/>
    <cellStyle name="asd 24 4 15" xfId="24310"/>
    <cellStyle name="asd 24 4 16" xfId="12773"/>
    <cellStyle name="asd 24 4 17" xfId="13239"/>
    <cellStyle name="asd 24 4 18" xfId="10884"/>
    <cellStyle name="asd 24 4 19" xfId="22683"/>
    <cellStyle name="asd 24 4 2" xfId="3556"/>
    <cellStyle name="asd 24 4 2 10" xfId="17447"/>
    <cellStyle name="asd 24 4 2 11" xfId="19353"/>
    <cellStyle name="asd 24 4 2 12" xfId="21265"/>
    <cellStyle name="asd 24 4 2 13" xfId="23238"/>
    <cellStyle name="asd 24 4 2 14" xfId="25067"/>
    <cellStyle name="asd 24 4 2 15" xfId="26490"/>
    <cellStyle name="asd 24 4 2 16" xfId="29071"/>
    <cellStyle name="asd 24 4 2 17" xfId="30095"/>
    <cellStyle name="asd 24 4 2 18" xfId="32298"/>
    <cellStyle name="asd 24 4 2 19" xfId="33989"/>
    <cellStyle name="asd 24 4 2 2" xfId="4499"/>
    <cellStyle name="asd 24 4 2 2 10" xfId="20744"/>
    <cellStyle name="asd 24 4 2 2 11" xfId="22787"/>
    <cellStyle name="asd 24 4 2 2 12" xfId="24546"/>
    <cellStyle name="asd 24 4 2 2 13" xfId="26692"/>
    <cellStyle name="asd 24 4 2 2 14" xfId="29321"/>
    <cellStyle name="asd 24 4 2 2 15" xfId="30292"/>
    <cellStyle name="asd 24 4 2 2 16" xfId="32330"/>
    <cellStyle name="asd 24 4 2 2 17" xfId="34291"/>
    <cellStyle name="asd 24 4 2 2 18" xfId="35374"/>
    <cellStyle name="asd 24 4 2 2 19" xfId="37252"/>
    <cellStyle name="asd 24 4 2 2 2" xfId="4326"/>
    <cellStyle name="asd 24 4 2 2 20" xfId="39549"/>
    <cellStyle name="asd 24 4 2 2 21" xfId="41223"/>
    <cellStyle name="asd 24 4 2 2 22" xfId="42580"/>
    <cellStyle name="asd 24 4 2 2 3" xfId="2950"/>
    <cellStyle name="asd 24 4 2 2 4" xfId="9306"/>
    <cellStyle name="asd 24 4 2 2 5" xfId="11113"/>
    <cellStyle name="asd 24 4 2 2 6" xfId="13256"/>
    <cellStyle name="asd 24 4 2 2 7" xfId="15160"/>
    <cellStyle name="asd 24 4 2 2 8" xfId="16925"/>
    <cellStyle name="asd 24 4 2 2 9" xfId="18832"/>
    <cellStyle name="asd 24 4 2 20" xfId="35894"/>
    <cellStyle name="asd 24 4 2 21" xfId="37773"/>
    <cellStyle name="asd 24 4 2 22" xfId="39518"/>
    <cellStyle name="asd 24 4 2 23" xfId="41192"/>
    <cellStyle name="asd 24 4 2 24" xfId="43015"/>
    <cellStyle name="asd 24 4 2 3" xfId="5017"/>
    <cellStyle name="asd 24 4 2 4" xfId="6467"/>
    <cellStyle name="asd 24 4 2 5" xfId="7918"/>
    <cellStyle name="asd 24 4 2 6" xfId="9828"/>
    <cellStyle name="asd 24 4 2 7" xfId="11127"/>
    <cellStyle name="asd 24 4 2 8" xfId="13710"/>
    <cellStyle name="asd 24 4 2 9" xfId="15612"/>
    <cellStyle name="asd 24 4 20" xfId="27983"/>
    <cellStyle name="asd 24 4 21" xfId="35138"/>
    <cellStyle name="asd 24 4 22" xfId="37016"/>
    <cellStyle name="asd 24 4 23" xfId="33646"/>
    <cellStyle name="asd 24 4 24" xfId="31661"/>
    <cellStyle name="asd 24 4 25" xfId="14725"/>
    <cellStyle name="asd 24 4 3" xfId="3775"/>
    <cellStyle name="asd 24 4 3 10" xfId="19514"/>
    <cellStyle name="asd 24 4 3 11" xfId="21426"/>
    <cellStyle name="asd 24 4 3 12" xfId="23480"/>
    <cellStyle name="asd 24 4 3 13" xfId="25228"/>
    <cellStyle name="asd 24 4 3 14" xfId="26887"/>
    <cellStyle name="asd 24 4 3 15" xfId="28637"/>
    <cellStyle name="asd 24 4 3 16" xfId="30484"/>
    <cellStyle name="asd 24 4 3 17" xfId="32878"/>
    <cellStyle name="asd 24 4 3 18" xfId="34445"/>
    <cellStyle name="asd 24 4 3 19" xfId="36055"/>
    <cellStyle name="asd 24 4 3 2" xfId="5784"/>
    <cellStyle name="asd 24 4 3 2 10" xfId="22034"/>
    <cellStyle name="asd 24 4 3 2 11" xfId="24175"/>
    <cellStyle name="asd 24 4 3 2 12" xfId="25836"/>
    <cellStyle name="asd 24 4 3 2 13" xfId="26437"/>
    <cellStyle name="asd 24 4 3 2 14" xfId="28219"/>
    <cellStyle name="asd 24 4 3 2 15" xfId="30043"/>
    <cellStyle name="asd 24 4 3 2 16" xfId="33144"/>
    <cellStyle name="asd 24 4 3 2 17" xfId="34028"/>
    <cellStyle name="asd 24 4 3 2 18" xfId="36663"/>
    <cellStyle name="asd 24 4 3 2 19" xfId="38542"/>
    <cellStyle name="asd 24 4 3 2 2" xfId="7233"/>
    <cellStyle name="asd 24 4 3 2 20" xfId="40337"/>
    <cellStyle name="asd 24 4 3 2 21" xfId="41993"/>
    <cellStyle name="asd 24 4 3 2 22" xfId="43917"/>
    <cellStyle name="asd 24 4 3 2 3" xfId="8687"/>
    <cellStyle name="asd 24 4 3 2 4" xfId="10597"/>
    <cellStyle name="asd 24 4 3 2 5" xfId="12135"/>
    <cellStyle name="asd 24 4 3 2 6" xfId="14646"/>
    <cellStyle name="asd 24 4 3 2 7" xfId="16552"/>
    <cellStyle name="asd 24 4 3 2 8" xfId="18216"/>
    <cellStyle name="asd 24 4 3 2 9" xfId="20122"/>
    <cellStyle name="asd 24 4 3 20" xfId="37934"/>
    <cellStyle name="asd 24 4 3 21" xfId="40083"/>
    <cellStyle name="asd 24 4 3 22" xfId="41746"/>
    <cellStyle name="asd 24 4 3 23" xfId="43246"/>
    <cellStyle name="asd 24 4 3 3" xfId="5178"/>
    <cellStyle name="asd 24 4 3 4" xfId="8079"/>
    <cellStyle name="asd 24 4 3 5" xfId="9989"/>
    <cellStyle name="asd 24 4 3 6" xfId="12560"/>
    <cellStyle name="asd 24 4 3 7" xfId="13952"/>
    <cellStyle name="asd 24 4 3 8" xfId="15853"/>
    <cellStyle name="asd 24 4 3 9" xfId="17608"/>
    <cellStyle name="asd 24 4 4" xfId="4008"/>
    <cellStyle name="asd 24 4 4 10" xfId="19643"/>
    <cellStyle name="asd 24 4 4 11" xfId="21555"/>
    <cellStyle name="asd 24 4 4 12" xfId="23720"/>
    <cellStyle name="asd 24 4 4 13" xfId="25357"/>
    <cellStyle name="asd 24 4 4 14" xfId="27896"/>
    <cellStyle name="asd 24 4 4 15" xfId="28796"/>
    <cellStyle name="asd 24 4 4 16" xfId="31478"/>
    <cellStyle name="asd 24 4 4 17" xfId="31802"/>
    <cellStyle name="asd 24 4 4 18" xfId="34854"/>
    <cellStyle name="asd 24 4 4 19" xfId="36184"/>
    <cellStyle name="asd 24 4 4 2" xfId="5913"/>
    <cellStyle name="asd 24 4 4 2 10" xfId="22163"/>
    <cellStyle name="asd 24 4 4 2 11" xfId="23676"/>
    <cellStyle name="asd 24 4 4 2 12" xfId="25965"/>
    <cellStyle name="asd 24 4 4 2 13" xfId="26396"/>
    <cellStyle name="asd 24 4 4 2 14" xfId="28520"/>
    <cellStyle name="asd 24 4 4 2 15" xfId="30004"/>
    <cellStyle name="asd 24 4 4 2 16" xfId="32625"/>
    <cellStyle name="asd 24 4 4 2 17" xfId="34134"/>
    <cellStyle name="asd 24 4 4 2 18" xfId="36792"/>
    <cellStyle name="asd 24 4 4 2 19" xfId="38671"/>
    <cellStyle name="asd 24 4 4 2 2" xfId="7362"/>
    <cellStyle name="asd 24 4 4 2 20" xfId="39835"/>
    <cellStyle name="asd 24 4 4 2 21" xfId="41504"/>
    <cellStyle name="asd 24 4 4 2 22" xfId="43433"/>
    <cellStyle name="asd 24 4 4 2 3" xfId="8816"/>
    <cellStyle name="asd 24 4 4 2 4" xfId="10726"/>
    <cellStyle name="asd 24 4 4 2 5" xfId="11403"/>
    <cellStyle name="asd 24 4 4 2 6" xfId="14146"/>
    <cellStyle name="asd 24 4 4 2 7" xfId="16050"/>
    <cellStyle name="asd 24 4 4 2 8" xfId="18345"/>
    <cellStyle name="asd 24 4 4 2 9" xfId="20251"/>
    <cellStyle name="asd 24 4 4 20" xfId="38063"/>
    <cellStyle name="asd 24 4 4 21" xfId="39040"/>
    <cellStyle name="asd 24 4 4 22" xfId="40722"/>
    <cellStyle name="asd 24 4 4 23" xfId="43476"/>
    <cellStyle name="asd 24 4 4 3" xfId="6754"/>
    <cellStyle name="asd 24 4 4 4" xfId="8208"/>
    <cellStyle name="asd 24 4 4 5" xfId="10118"/>
    <cellStyle name="asd 24 4 4 6" xfId="11624"/>
    <cellStyle name="asd 24 4 4 7" xfId="14190"/>
    <cellStyle name="asd 24 4 4 8" xfId="16094"/>
    <cellStyle name="asd 24 4 4 9" xfId="17737"/>
    <cellStyle name="asd 24 4 5" xfId="5633"/>
    <cellStyle name="asd 24 4 5 10" xfId="21883"/>
    <cellStyle name="asd 24 4 5 11" xfId="23277"/>
    <cellStyle name="asd 24 4 5 12" xfId="25685"/>
    <cellStyle name="asd 24 4 5 13" xfId="26654"/>
    <cellStyle name="asd 24 4 5 14" xfId="28781"/>
    <cellStyle name="asd 24 4 5 15" xfId="30255"/>
    <cellStyle name="asd 24 4 5 16" xfId="32523"/>
    <cellStyle name="asd 24 4 5 17" xfId="33774"/>
    <cellStyle name="asd 24 4 5 18" xfId="36512"/>
    <cellStyle name="asd 24 4 5 19" xfId="38391"/>
    <cellStyle name="asd 24 4 5 2" xfId="7082"/>
    <cellStyle name="asd 24 4 5 20" xfId="39736"/>
    <cellStyle name="asd 24 4 5 21" xfId="41408"/>
    <cellStyle name="asd 24 4 5 22" xfId="43053"/>
    <cellStyle name="asd 24 4 5 3" xfId="8536"/>
    <cellStyle name="asd 24 4 5 4" xfId="10446"/>
    <cellStyle name="asd 24 4 5 5" xfId="11219"/>
    <cellStyle name="asd 24 4 5 6" xfId="13749"/>
    <cellStyle name="asd 24 4 5 7" xfId="15651"/>
    <cellStyle name="asd 24 4 5 8" xfId="18065"/>
    <cellStyle name="asd 24 4 5 9" xfId="19971"/>
    <cellStyle name="asd 24 4 6" xfId="1951"/>
    <cellStyle name="asd 24 4 7" xfId="9070"/>
    <cellStyle name="asd 24 4 8" xfId="1841"/>
    <cellStyle name="asd 24 4 9" xfId="3948"/>
    <cellStyle name="asd 24 5" xfId="2450"/>
    <cellStyle name="asd 24 5 10" xfId="17163"/>
    <cellStyle name="asd 24 5 11" xfId="19069"/>
    <cellStyle name="asd 24 5 12" xfId="20981"/>
    <cellStyle name="asd 24 5 13" xfId="23348"/>
    <cellStyle name="asd 24 5 14" xfId="24783"/>
    <cellStyle name="asd 24 5 15" xfId="26892"/>
    <cellStyle name="asd 24 5 16" xfId="29489"/>
    <cellStyle name="asd 24 5 17" xfId="30488"/>
    <cellStyle name="asd 24 5 18" xfId="32597"/>
    <cellStyle name="asd 24 5 19" xfId="34471"/>
    <cellStyle name="asd 24 5 2" xfId="4505"/>
    <cellStyle name="asd 24 5 2 10" xfId="20750"/>
    <cellStyle name="asd 24 5 2 11" xfId="23991"/>
    <cellStyle name="asd 24 5 2 12" xfId="24552"/>
    <cellStyle name="asd 24 5 2 13" xfId="27663"/>
    <cellStyle name="asd 24 5 2 14" xfId="28374"/>
    <cellStyle name="asd 24 5 2 15" xfId="31239"/>
    <cellStyle name="asd 24 5 2 16" xfId="31707"/>
    <cellStyle name="asd 24 5 2 17" xfId="34316"/>
    <cellStyle name="asd 24 5 2 18" xfId="35380"/>
    <cellStyle name="asd 24 5 2 19" xfId="37258"/>
    <cellStyle name="asd 24 5 2 2" xfId="4784"/>
    <cellStyle name="asd 24 5 2 20" xfId="38948"/>
    <cellStyle name="asd 24 5 2 21" xfId="40631"/>
    <cellStyle name="asd 24 5 2 22" xfId="43735"/>
    <cellStyle name="asd 24 5 2 3" xfId="6288"/>
    <cellStyle name="asd 24 5 2 4" xfId="9312"/>
    <cellStyle name="asd 24 5 2 5" xfId="11950"/>
    <cellStyle name="asd 24 5 2 6" xfId="14461"/>
    <cellStyle name="asd 24 5 2 7" xfId="16367"/>
    <cellStyle name="asd 24 5 2 8" xfId="16931"/>
    <cellStyle name="asd 24 5 2 9" xfId="18838"/>
    <cellStyle name="asd 24 5 20" xfId="35610"/>
    <cellStyle name="asd 24 5 21" xfId="37489"/>
    <cellStyle name="asd 24 5 22" xfId="39808"/>
    <cellStyle name="asd 24 5 23" xfId="41477"/>
    <cellStyle name="asd 24 5 24" xfId="43118"/>
    <cellStyle name="asd 24 5 3" xfId="4734"/>
    <cellStyle name="asd 24 5 4" xfId="6183"/>
    <cellStyle name="asd 24 5 5" xfId="7634"/>
    <cellStyle name="asd 24 5 6" xfId="9544"/>
    <cellStyle name="asd 24 5 7" xfId="11140"/>
    <cellStyle name="asd 24 5 8" xfId="13820"/>
    <cellStyle name="asd 24 5 9" xfId="15722"/>
    <cellStyle name="asd 24 6" xfId="2358"/>
    <cellStyle name="asd 24 6 10" xfId="19058"/>
    <cellStyle name="asd 24 6 11" xfId="20970"/>
    <cellStyle name="asd 24 6 12" xfId="18504"/>
    <cellStyle name="asd 24 6 13" xfId="24772"/>
    <cellStyle name="asd 24 6 14" xfId="14677"/>
    <cellStyle name="asd 24 6 15" xfId="14689"/>
    <cellStyle name="asd 24 6 16" xfId="29240"/>
    <cellStyle name="asd 24 6 17" xfId="30858"/>
    <cellStyle name="asd 24 6 18" xfId="22346"/>
    <cellStyle name="asd 24 6 19" xfId="35599"/>
    <cellStyle name="asd 24 6 2" xfId="5489"/>
    <cellStyle name="asd 24 6 2 10" xfId="21739"/>
    <cellStyle name="asd 24 6 2 11" xfId="23963"/>
    <cellStyle name="asd 24 6 2 12" xfId="25541"/>
    <cellStyle name="asd 24 6 2 13" xfId="27830"/>
    <cellStyle name="asd 24 6 2 14" xfId="28694"/>
    <cellStyle name="asd 24 6 2 15" xfId="31408"/>
    <cellStyle name="asd 24 6 2 16" xfId="31864"/>
    <cellStyle name="asd 24 6 2 17" xfId="34010"/>
    <cellStyle name="asd 24 6 2 18" xfId="36368"/>
    <cellStyle name="asd 24 6 2 19" xfId="38247"/>
    <cellStyle name="asd 24 6 2 2" xfId="6938"/>
    <cellStyle name="asd 24 6 2 20" xfId="39099"/>
    <cellStyle name="asd 24 6 2 21" xfId="40780"/>
    <cellStyle name="asd 24 6 2 22" xfId="43709"/>
    <cellStyle name="asd 24 6 2 3" xfId="8392"/>
    <cellStyle name="asd 24 6 2 4" xfId="10302"/>
    <cellStyle name="asd 24 6 2 5" xfId="11923"/>
    <cellStyle name="asd 24 6 2 6" xfId="14433"/>
    <cellStyle name="asd 24 6 2 7" xfId="16339"/>
    <cellStyle name="asd 24 6 2 8" xfId="17921"/>
    <cellStyle name="asd 24 6 2 9" xfId="19827"/>
    <cellStyle name="asd 24 6 20" xfId="37478"/>
    <cellStyle name="asd 24 6 21" xfId="1783"/>
    <cellStyle name="asd 24 6 22" xfId="40080"/>
    <cellStyle name="asd 24 6 23" xfId="36943"/>
    <cellStyle name="asd 24 6 3" xfId="4724"/>
    <cellStyle name="asd 24 6 4" xfId="7623"/>
    <cellStyle name="asd 24 6 5" xfId="9533"/>
    <cellStyle name="asd 24 6 6" xfId="10952"/>
    <cellStyle name="asd 24 6 7" xfId="2952"/>
    <cellStyle name="asd 24 6 8" xfId="1874"/>
    <cellStyle name="asd 24 6 9" xfId="17152"/>
    <cellStyle name="asd 24 7" xfId="2208"/>
    <cellStyle name="asd 24 7 10" xfId="19033"/>
    <cellStyle name="asd 24 7 11" xfId="20945"/>
    <cellStyle name="asd 24 7 12" xfId="24052"/>
    <cellStyle name="asd 24 7 13" xfId="24747"/>
    <cellStyle name="asd 24 7 14" xfId="27062"/>
    <cellStyle name="asd 24 7 15" xfId="29554"/>
    <cellStyle name="asd 24 7 16" xfId="30653"/>
    <cellStyle name="asd 24 7 17" xfId="32800"/>
    <cellStyle name="asd 24 7 18" xfId="34396"/>
    <cellStyle name="asd 24 7 19" xfId="35574"/>
    <cellStyle name="asd 24 7 2" xfId="5628"/>
    <cellStyle name="asd 24 7 2 10" xfId="21878"/>
    <cellStyle name="asd 24 7 2 11" xfId="24170"/>
    <cellStyle name="asd 24 7 2 12" xfId="25680"/>
    <cellStyle name="asd 24 7 2 13" xfId="27347"/>
    <cellStyle name="asd 24 7 2 14" xfId="29624"/>
    <cellStyle name="asd 24 7 2 15" xfId="30935"/>
    <cellStyle name="asd 24 7 2 16" xfId="32820"/>
    <cellStyle name="asd 24 7 2 17" xfId="34784"/>
    <cellStyle name="asd 24 7 2 18" xfId="36507"/>
    <cellStyle name="asd 24 7 2 19" xfId="38386"/>
    <cellStyle name="asd 24 7 2 2" xfId="7077"/>
    <cellStyle name="asd 24 7 2 20" xfId="40029"/>
    <cellStyle name="asd 24 7 2 21" xfId="41693"/>
    <cellStyle name="asd 24 7 2 22" xfId="43912"/>
    <cellStyle name="asd 24 7 2 3" xfId="8531"/>
    <cellStyle name="asd 24 7 2 4" xfId="10441"/>
    <cellStyle name="asd 24 7 2 5" xfId="12130"/>
    <cellStyle name="asd 24 7 2 6" xfId="14641"/>
    <cellStyle name="asd 24 7 2 7" xfId="16547"/>
    <cellStyle name="asd 24 7 2 8" xfId="18060"/>
    <cellStyle name="asd 24 7 2 9" xfId="19966"/>
    <cellStyle name="asd 24 7 20" xfId="37453"/>
    <cellStyle name="asd 24 7 21" xfId="40009"/>
    <cellStyle name="asd 24 7 22" xfId="41673"/>
    <cellStyle name="asd 24 7 23" xfId="43796"/>
    <cellStyle name="asd 24 7 3" xfId="6147"/>
    <cellStyle name="asd 24 7 4" xfId="7598"/>
    <cellStyle name="asd 24 7 5" xfId="9508"/>
    <cellStyle name="asd 24 7 6" xfId="12011"/>
    <cellStyle name="asd 24 7 7" xfId="14522"/>
    <cellStyle name="asd 24 7 8" xfId="16428"/>
    <cellStyle name="asd 24 7 9" xfId="17127"/>
    <cellStyle name="asd 24 8" xfId="3292"/>
    <cellStyle name="asd 24 9" xfId="2657"/>
    <cellStyle name="asd 25" xfId="862"/>
    <cellStyle name="asd 25 10" xfId="2127"/>
    <cellStyle name="asd 25 11" xfId="2687"/>
    <cellStyle name="asd 25 12" xfId="2201"/>
    <cellStyle name="asd 25 13" xfId="2578"/>
    <cellStyle name="asd 25 14" xfId="2538"/>
    <cellStyle name="asd 25 15" xfId="12777"/>
    <cellStyle name="asd 25 16" xfId="1949"/>
    <cellStyle name="asd 25 17" xfId="2605"/>
    <cellStyle name="asd 25 18" xfId="10990"/>
    <cellStyle name="asd 25 19" xfId="2317"/>
    <cellStyle name="asd 25 2" xfId="3500"/>
    <cellStyle name="asd 25 2 10" xfId="13236"/>
    <cellStyle name="asd 25 2 11" xfId="15139"/>
    <cellStyle name="asd 25 2 12" xfId="16955"/>
    <cellStyle name="asd 25 2 13" xfId="18862"/>
    <cellStyle name="asd 25 2 14" xfId="20774"/>
    <cellStyle name="asd 25 2 15" xfId="22767"/>
    <cellStyle name="asd 25 2 16" xfId="24576"/>
    <cellStyle name="asd 25 2 17" xfId="26315"/>
    <cellStyle name="asd 25 2 18" xfId="29192"/>
    <cellStyle name="asd 25 2 19" xfId="29923"/>
    <cellStyle name="asd 25 2 2" xfId="3680"/>
    <cellStyle name="asd 25 2 2 10" xfId="17571"/>
    <cellStyle name="asd 25 2 2 11" xfId="19477"/>
    <cellStyle name="asd 25 2 2 12" xfId="21389"/>
    <cellStyle name="asd 25 2 2 13" xfId="22664"/>
    <cellStyle name="asd 25 2 2 14" xfId="25191"/>
    <cellStyle name="asd 25 2 2 15" xfId="27902"/>
    <cellStyle name="asd 25 2 2 16" xfId="2955"/>
    <cellStyle name="asd 25 2 2 17" xfId="31484"/>
    <cellStyle name="asd 25 2 2 18" xfId="32697"/>
    <cellStyle name="asd 25 2 2 19" xfId="35055"/>
    <cellStyle name="asd 25 2 2 2" xfId="5747"/>
    <cellStyle name="asd 25 2 2 2 10" xfId="21997"/>
    <cellStyle name="asd 25 2 2 2 11" xfId="22941"/>
    <cellStyle name="asd 25 2 2 2 12" xfId="25799"/>
    <cellStyle name="asd 25 2 2 2 13" xfId="27568"/>
    <cellStyle name="asd 25 2 2 2 14" xfId="29480"/>
    <cellStyle name="asd 25 2 2 2 15" xfId="31148"/>
    <cellStyle name="asd 25 2 2 2 16" xfId="32266"/>
    <cellStyle name="asd 25 2 2 2 17" xfId="33486"/>
    <cellStyle name="asd 25 2 2 2 18" xfId="36626"/>
    <cellStyle name="asd 25 2 2 2 19" xfId="38505"/>
    <cellStyle name="asd 25 2 2 2 2" xfId="7196"/>
    <cellStyle name="asd 25 2 2 2 20" xfId="39484"/>
    <cellStyle name="asd 25 2 2 2 21" xfId="41159"/>
    <cellStyle name="asd 25 2 2 2 22" xfId="42727"/>
    <cellStyle name="asd 25 2 2 2 3" xfId="8650"/>
    <cellStyle name="asd 25 2 2 2 4" xfId="10560"/>
    <cellStyle name="asd 25 2 2 2 5" xfId="11322"/>
    <cellStyle name="asd 25 2 2 2 6" xfId="13409"/>
    <cellStyle name="asd 25 2 2 2 7" xfId="15314"/>
    <cellStyle name="asd 25 2 2 2 8" xfId="18179"/>
    <cellStyle name="asd 25 2 2 2 9" xfId="20085"/>
    <cellStyle name="asd 25 2 2 20" xfId="36018"/>
    <cellStyle name="asd 25 2 2 21" xfId="37897"/>
    <cellStyle name="asd 25 2 2 22" xfId="39905"/>
    <cellStyle name="asd 25 2 2 23" xfId="41574"/>
    <cellStyle name="asd 25 2 2 24" xfId="42470"/>
    <cellStyle name="asd 25 2 2 3" xfId="5141"/>
    <cellStyle name="asd 25 2 2 4" xfId="6591"/>
    <cellStyle name="asd 25 2 2 5" xfId="8042"/>
    <cellStyle name="asd 25 2 2 6" xfId="9952"/>
    <cellStyle name="asd 25 2 2 7" xfId="12225"/>
    <cellStyle name="asd 25 2 2 8" xfId="13131"/>
    <cellStyle name="asd 25 2 2 9" xfId="15036"/>
    <cellStyle name="asd 25 2 20" xfId="32918"/>
    <cellStyle name="asd 25 2 21" xfId="33381"/>
    <cellStyle name="asd 25 2 22" xfId="35404"/>
    <cellStyle name="asd 25 2 23" xfId="37282"/>
    <cellStyle name="asd 25 2 24" xfId="40122"/>
    <cellStyle name="asd 25 2 25" xfId="41782"/>
    <cellStyle name="asd 25 2 26" xfId="42562"/>
    <cellStyle name="asd 25 2 3" xfId="3826"/>
    <cellStyle name="asd 25 2 3 10" xfId="19553"/>
    <cellStyle name="asd 25 2 3 11" xfId="21465"/>
    <cellStyle name="asd 25 2 3 12" xfId="2776"/>
    <cellStyle name="asd 25 2 3 13" xfId="25267"/>
    <cellStyle name="asd 25 2 3 14" xfId="15055"/>
    <cellStyle name="asd 25 2 3 15" xfId="15946"/>
    <cellStyle name="asd 25 2 3 16" xfId="3943"/>
    <cellStyle name="asd 25 2 3 17" xfId="28777"/>
    <cellStyle name="asd 25 2 3 18" xfId="3175"/>
    <cellStyle name="asd 25 2 3 19" xfId="36094"/>
    <cellStyle name="asd 25 2 3 2" xfId="5823"/>
    <cellStyle name="asd 25 2 3 2 10" xfId="22073"/>
    <cellStyle name="asd 25 2 3 2 11" xfId="22404"/>
    <cellStyle name="asd 25 2 3 2 12" xfId="25875"/>
    <cellStyle name="asd 25 2 3 2 13" xfId="27675"/>
    <cellStyle name="asd 25 2 3 2 14" xfId="28905"/>
    <cellStyle name="asd 25 2 3 2 15" xfId="31251"/>
    <cellStyle name="asd 25 2 3 2 16" xfId="32788"/>
    <cellStyle name="asd 25 2 3 2 17" xfId="34358"/>
    <cellStyle name="asd 25 2 3 2 18" xfId="36702"/>
    <cellStyle name="asd 25 2 3 2 19" xfId="38581"/>
    <cellStyle name="asd 25 2 3 2 2" xfId="7272"/>
    <cellStyle name="asd 25 2 3 2 20" xfId="39997"/>
    <cellStyle name="asd 25 2 3 2 21" xfId="41661"/>
    <cellStyle name="asd 25 2 3 2 22" xfId="42215"/>
    <cellStyle name="asd 25 2 3 2 3" xfId="8726"/>
    <cellStyle name="asd 25 2 3 2 4" xfId="10636"/>
    <cellStyle name="asd 25 2 3 2 5" xfId="10937"/>
    <cellStyle name="asd 25 2 3 2 6" xfId="12871"/>
    <cellStyle name="asd 25 2 3 2 7" xfId="14776"/>
    <cellStyle name="asd 25 2 3 2 8" xfId="18255"/>
    <cellStyle name="asd 25 2 3 2 9" xfId="20161"/>
    <cellStyle name="asd 25 2 3 20" xfId="37973"/>
    <cellStyle name="asd 25 2 3 21" xfId="2232"/>
    <cellStyle name="asd 25 2 3 22" xfId="40244"/>
    <cellStyle name="asd 25 2 3 23" xfId="33704"/>
    <cellStyle name="asd 25 2 3 3" xfId="5217"/>
    <cellStyle name="asd 25 2 3 4" xfId="8118"/>
    <cellStyle name="asd 25 2 3 5" xfId="10028"/>
    <cellStyle name="asd 25 2 3 6" xfId="12179"/>
    <cellStyle name="asd 25 2 3 7" xfId="2507"/>
    <cellStyle name="asd 25 2 3 8" xfId="2984"/>
    <cellStyle name="asd 25 2 3 9" xfId="17647"/>
    <cellStyle name="asd 25 2 4" xfId="4132"/>
    <cellStyle name="asd 25 2 4 10" xfId="19767"/>
    <cellStyle name="asd 25 2 4 11" xfId="21679"/>
    <cellStyle name="asd 25 2 4 12" xfId="23022"/>
    <cellStyle name="asd 25 2 4 13" xfId="25481"/>
    <cellStyle name="asd 25 2 4 14" xfId="27272"/>
    <cellStyle name="asd 25 2 4 15" xfId="28977"/>
    <cellStyle name="asd 25 2 4 16" xfId="30864"/>
    <cellStyle name="asd 25 2 4 17" xfId="32780"/>
    <cellStyle name="asd 25 2 4 18" xfId="33694"/>
    <cellStyle name="asd 25 2 4 19" xfId="36308"/>
    <cellStyle name="asd 25 2 4 2" xfId="6037"/>
    <cellStyle name="asd 25 2 4 2 10" xfId="22287"/>
    <cellStyle name="asd 25 2 4 2 11" xfId="22563"/>
    <cellStyle name="asd 25 2 4 2 12" xfId="26089"/>
    <cellStyle name="asd 25 2 4 2 13" xfId="26517"/>
    <cellStyle name="asd 25 2 4 2 14" xfId="29231"/>
    <cellStyle name="asd 25 2 4 2 15" xfId="30123"/>
    <cellStyle name="asd 25 2 4 2 16" xfId="31794"/>
    <cellStyle name="asd 25 2 4 2 17" xfId="34299"/>
    <cellStyle name="asd 25 2 4 2 18" xfId="36916"/>
    <cellStyle name="asd 25 2 4 2 19" xfId="38795"/>
    <cellStyle name="asd 25 2 4 2 2" xfId="7486"/>
    <cellStyle name="asd 25 2 4 2 20" xfId="39032"/>
    <cellStyle name="asd 25 2 4 2 21" xfId="40714"/>
    <cellStyle name="asd 25 2 4 2 22" xfId="42372"/>
    <cellStyle name="asd 25 2 4 2 3" xfId="8940"/>
    <cellStyle name="asd 25 2 4 2 4" xfId="10850"/>
    <cellStyle name="asd 25 2 4 2 5" xfId="11822"/>
    <cellStyle name="asd 25 2 4 2 6" xfId="13031"/>
    <cellStyle name="asd 25 2 4 2 7" xfId="14935"/>
    <cellStyle name="asd 25 2 4 2 8" xfId="18469"/>
    <cellStyle name="asd 25 2 4 2 9" xfId="20375"/>
    <cellStyle name="asd 25 2 4 20" xfId="38187"/>
    <cellStyle name="asd 25 2 4 21" xfId="39989"/>
    <cellStyle name="asd 25 2 4 22" xfId="41653"/>
    <cellStyle name="asd 25 2 4 23" xfId="42805"/>
    <cellStyle name="asd 25 2 4 3" xfId="6878"/>
    <cellStyle name="asd 25 2 4 4" xfId="8332"/>
    <cellStyle name="asd 25 2 4 5" xfId="10242"/>
    <cellStyle name="asd 25 2 4 6" xfId="12608"/>
    <cellStyle name="asd 25 2 4 7" xfId="13492"/>
    <cellStyle name="asd 25 2 4 8" xfId="15396"/>
    <cellStyle name="asd 25 2 4 9" xfId="17861"/>
    <cellStyle name="asd 25 2 5" xfId="4976"/>
    <cellStyle name="asd 25 2 5 10" xfId="21224"/>
    <cellStyle name="asd 25 2 5 11" xfId="22673"/>
    <cellStyle name="asd 25 2 5 12" xfId="25026"/>
    <cellStyle name="asd 25 2 5 13" xfId="27826"/>
    <cellStyle name="asd 25 2 5 14" xfId="28458"/>
    <cellStyle name="asd 25 2 5 15" xfId="31404"/>
    <cellStyle name="asd 25 2 5 16" xfId="33152"/>
    <cellStyle name="asd 25 2 5 17" xfId="34641"/>
    <cellStyle name="asd 25 2 5 18" xfId="35853"/>
    <cellStyle name="asd 25 2 5 19" xfId="37732"/>
    <cellStyle name="asd 25 2 5 2" xfId="6426"/>
    <cellStyle name="asd 25 2 5 20" xfId="40345"/>
    <cellStyle name="asd 25 2 5 21" xfId="42001"/>
    <cellStyle name="asd 25 2 5 22" xfId="42478"/>
    <cellStyle name="asd 25 2 5 3" xfId="7877"/>
    <cellStyle name="asd 25 2 5 4" xfId="9787"/>
    <cellStyle name="asd 25 2 5 5" xfId="12428"/>
    <cellStyle name="asd 25 2 5 6" xfId="13140"/>
    <cellStyle name="asd 25 2 5 7" xfId="15045"/>
    <cellStyle name="asd 25 2 5 8" xfId="17406"/>
    <cellStyle name="asd 25 2 5 9" xfId="19312"/>
    <cellStyle name="asd 25 2 6" xfId="4628"/>
    <cellStyle name="asd 25 2 6 10" xfId="20873"/>
    <cellStyle name="asd 25 2 6 11" xfId="23834"/>
    <cellStyle name="asd 25 2 6 12" xfId="24675"/>
    <cellStyle name="asd 25 2 6 13" xfId="27856"/>
    <cellStyle name="asd 25 2 6 14" xfId="2825"/>
    <cellStyle name="asd 25 2 6 15" xfId="31435"/>
    <cellStyle name="asd 25 2 6 16" xfId="33286"/>
    <cellStyle name="asd 25 2 6 17" xfId="33374"/>
    <cellStyle name="asd 25 2 6 18" xfId="35503"/>
    <cellStyle name="asd 25 2 6 19" xfId="37381"/>
    <cellStyle name="asd 25 2 6 2" xfId="6076"/>
    <cellStyle name="asd 25 2 6 20" xfId="40470"/>
    <cellStyle name="asd 25 2 6 21" xfId="42125"/>
    <cellStyle name="asd 25 2 6 22" xfId="43585"/>
    <cellStyle name="asd 25 2 6 3" xfId="7525"/>
    <cellStyle name="asd 25 2 6 4" xfId="9435"/>
    <cellStyle name="asd 25 2 6 5" xfId="11398"/>
    <cellStyle name="asd 25 2 6 6" xfId="14304"/>
    <cellStyle name="asd 25 2 6 7" xfId="16208"/>
    <cellStyle name="asd 25 2 6 8" xfId="17054"/>
    <cellStyle name="asd 25 2 6 9" xfId="18961"/>
    <cellStyle name="asd 25 2 7" xfId="6081"/>
    <cellStyle name="asd 25 2 8" xfId="9336"/>
    <cellStyle name="asd 25 2 9" xfId="11550"/>
    <cellStyle name="asd 25 20" xfId="2492"/>
    <cellStyle name="asd 25 21" xfId="28706"/>
    <cellStyle name="asd 25 22" xfId="35051"/>
    <cellStyle name="asd 25 23" xfId="28003"/>
    <cellStyle name="asd 25 24" xfId="33440"/>
    <cellStyle name="asd 25 25" xfId="33763"/>
    <cellStyle name="asd 25 26" xfId="34162"/>
    <cellStyle name="asd 25 27" xfId="40488"/>
    <cellStyle name="asd 25 3" xfId="3379"/>
    <cellStyle name="asd 25 3 10" xfId="13359"/>
    <cellStyle name="asd 25 3 11" xfId="15264"/>
    <cellStyle name="asd 25 3 12" xfId="16692"/>
    <cellStyle name="asd 25 3 13" xfId="18599"/>
    <cellStyle name="asd 25 3 14" xfId="20511"/>
    <cellStyle name="asd 25 3 15" xfId="22891"/>
    <cellStyle name="asd 25 3 16" xfId="24313"/>
    <cellStyle name="asd 25 3 17" xfId="27844"/>
    <cellStyle name="asd 25 3 18" xfId="2241"/>
    <cellStyle name="asd 25 3 19" xfId="31423"/>
    <cellStyle name="asd 25 3 2" xfId="3559"/>
    <cellStyle name="asd 25 3 2 10" xfId="17450"/>
    <cellStyle name="asd 25 3 2 11" xfId="19356"/>
    <cellStyle name="asd 25 3 2 12" xfId="21268"/>
    <cellStyle name="asd 25 3 2 13" xfId="23801"/>
    <cellStyle name="asd 25 3 2 14" xfId="25070"/>
    <cellStyle name="asd 25 3 2 15" xfId="27867"/>
    <cellStyle name="asd 25 3 2 16" xfId="28162"/>
    <cellStyle name="asd 25 3 2 17" xfId="31448"/>
    <cellStyle name="asd 25 3 2 18" xfId="32209"/>
    <cellStyle name="asd 25 3 2 19" xfId="34446"/>
    <cellStyle name="asd 25 3 2 2" xfId="5647"/>
    <cellStyle name="asd 25 3 2 2 10" xfId="21897"/>
    <cellStyle name="asd 25 3 2 2 11" xfId="22746"/>
    <cellStyle name="asd 25 3 2 2 12" xfId="25699"/>
    <cellStyle name="asd 25 3 2 2 13" xfId="26665"/>
    <cellStyle name="asd 25 3 2 2 14" xfId="28541"/>
    <cellStyle name="asd 25 3 2 2 15" xfId="30265"/>
    <cellStyle name="asd 25 3 2 2 16" xfId="32371"/>
    <cellStyle name="asd 25 3 2 2 17" xfId="33894"/>
    <cellStyle name="asd 25 3 2 2 18" xfId="36526"/>
    <cellStyle name="asd 25 3 2 2 19" xfId="38405"/>
    <cellStyle name="asd 25 3 2 2 2" xfId="7096"/>
    <cellStyle name="asd 25 3 2 2 20" xfId="39589"/>
    <cellStyle name="asd 25 3 2 2 21" xfId="41263"/>
    <cellStyle name="asd 25 3 2 2 22" xfId="42544"/>
    <cellStyle name="asd 25 3 2 2 3" xfId="8550"/>
    <cellStyle name="asd 25 3 2 2 4" xfId="10460"/>
    <cellStyle name="asd 25 3 2 2 5" xfId="11477"/>
    <cellStyle name="asd 25 3 2 2 6" xfId="13215"/>
    <cellStyle name="asd 25 3 2 2 7" xfId="15118"/>
    <cellStyle name="asd 25 3 2 2 8" xfId="18079"/>
    <cellStyle name="asd 25 3 2 2 9" xfId="19985"/>
    <cellStyle name="asd 25 3 2 20" xfId="35897"/>
    <cellStyle name="asd 25 3 2 21" xfId="37776"/>
    <cellStyle name="asd 25 3 2 22" xfId="39429"/>
    <cellStyle name="asd 25 3 2 23" xfId="41105"/>
    <cellStyle name="asd 25 3 2 24" xfId="43553"/>
    <cellStyle name="asd 25 3 2 3" xfId="5020"/>
    <cellStyle name="asd 25 3 2 4" xfId="6470"/>
    <cellStyle name="asd 25 3 2 5" xfId="7921"/>
    <cellStyle name="asd 25 3 2 6" xfId="9831"/>
    <cellStyle name="asd 25 3 2 7" xfId="11523"/>
    <cellStyle name="asd 25 3 2 8" xfId="14271"/>
    <cellStyle name="asd 25 3 2 9" xfId="16175"/>
    <cellStyle name="asd 25 3 20" xfId="31648"/>
    <cellStyle name="asd 25 3 21" xfId="2547"/>
    <cellStyle name="asd 25 3 22" xfId="35141"/>
    <cellStyle name="asd 25 3 23" xfId="37019"/>
    <cellStyle name="asd 25 3 24" xfId="38893"/>
    <cellStyle name="asd 25 3 25" xfId="40578"/>
    <cellStyle name="asd 25 3 26" xfId="42677"/>
    <cellStyle name="asd 25 3 3" xfId="2645"/>
    <cellStyle name="asd 25 3 3 10" xfId="19091"/>
    <cellStyle name="asd 25 3 3 11" xfId="21003"/>
    <cellStyle name="asd 25 3 3 12" xfId="2019"/>
    <cellStyle name="asd 25 3 3 13" xfId="24805"/>
    <cellStyle name="asd 25 3 3 14" xfId="26153"/>
    <cellStyle name="asd 25 3 3 15" xfId="24235"/>
    <cellStyle name="asd 25 3 3 16" xfId="29768"/>
    <cellStyle name="asd 25 3 3 17" xfId="28451"/>
    <cellStyle name="asd 25 3 3 18" xfId="10874"/>
    <cellStyle name="asd 25 3 3 19" xfId="35632"/>
    <cellStyle name="asd 25 3 3 2" xfId="4429"/>
    <cellStyle name="asd 25 3 3 2 10" xfId="20673"/>
    <cellStyle name="asd 25 3 3 2 11" xfId="22368"/>
    <cellStyle name="asd 25 3 3 2 12" xfId="24475"/>
    <cellStyle name="asd 25 3 3 2 13" xfId="27932"/>
    <cellStyle name="asd 25 3 3 2 14" xfId="28352"/>
    <cellStyle name="asd 25 3 3 2 15" xfId="31513"/>
    <cellStyle name="asd 25 3 3 2 16" xfId="32053"/>
    <cellStyle name="asd 25 3 3 2 17" xfId="33542"/>
    <cellStyle name="asd 25 3 3 2 18" xfId="35303"/>
    <cellStyle name="asd 25 3 3 2 19" xfId="37181"/>
    <cellStyle name="asd 25 3 3 2 2" xfId="5359"/>
    <cellStyle name="asd 25 3 3 2 20" xfId="39280"/>
    <cellStyle name="asd 25 3 3 2 21" xfId="40956"/>
    <cellStyle name="asd 25 3 3 2 22" xfId="42180"/>
    <cellStyle name="asd 25 3 3 2 3" xfId="6623"/>
    <cellStyle name="asd 25 3 3 2 4" xfId="9235"/>
    <cellStyle name="asd 25 3 3 2 5" xfId="2691"/>
    <cellStyle name="asd 25 3 3 2 6" xfId="12835"/>
    <cellStyle name="asd 25 3 3 2 7" xfId="14740"/>
    <cellStyle name="asd 25 3 3 2 8" xfId="16854"/>
    <cellStyle name="asd 25 3 3 2 9" xfId="18761"/>
    <cellStyle name="asd 25 3 3 20" xfId="37511"/>
    <cellStyle name="asd 25 3 3 21" xfId="3983"/>
    <cellStyle name="asd 25 3 3 22" xfId="34877"/>
    <cellStyle name="asd 25 3 3 23" xfId="33157"/>
    <cellStyle name="asd 25 3 3 3" xfId="4756"/>
    <cellStyle name="asd 25 3 3 4" xfId="7656"/>
    <cellStyle name="asd 25 3 3 5" xfId="9566"/>
    <cellStyle name="asd 25 3 3 6" xfId="11030"/>
    <cellStyle name="asd 25 3 3 7" xfId="4161"/>
    <cellStyle name="asd 25 3 3 8" xfId="2389"/>
    <cellStyle name="asd 25 3 3 9" xfId="17185"/>
    <cellStyle name="asd 25 3 4" xfId="4011"/>
    <cellStyle name="asd 25 3 4 10" xfId="19646"/>
    <cellStyle name="asd 25 3 4 11" xfId="21558"/>
    <cellStyle name="asd 25 3 4 12" xfId="23493"/>
    <cellStyle name="asd 25 3 4 13" xfId="25360"/>
    <cellStyle name="asd 25 3 4 14" xfId="27126"/>
    <cellStyle name="asd 25 3 4 15" xfId="29517"/>
    <cellStyle name="asd 25 3 4 16" xfId="30716"/>
    <cellStyle name="asd 25 3 4 17" xfId="32950"/>
    <cellStyle name="asd 25 3 4 18" xfId="34535"/>
    <cellStyle name="asd 25 3 4 19" xfId="36187"/>
    <cellStyle name="asd 25 3 4 2" xfId="5916"/>
    <cellStyle name="asd 25 3 4 2 10" xfId="22166"/>
    <cellStyle name="asd 25 3 4 2 11" xfId="24060"/>
    <cellStyle name="asd 25 3 4 2 12" xfId="25968"/>
    <cellStyle name="asd 25 3 4 2 13" xfId="26632"/>
    <cellStyle name="asd 25 3 4 2 14" xfId="28707"/>
    <cellStyle name="asd 25 3 4 2 15" xfId="30235"/>
    <cellStyle name="asd 25 3 4 2 16" xfId="32422"/>
    <cellStyle name="asd 25 3 4 2 17" xfId="34569"/>
    <cellStyle name="asd 25 3 4 2 18" xfId="36795"/>
    <cellStyle name="asd 25 3 4 2 19" xfId="38674"/>
    <cellStyle name="asd 25 3 4 2 2" xfId="7365"/>
    <cellStyle name="asd 25 3 4 2 20" xfId="39639"/>
    <cellStyle name="asd 25 3 4 2 21" xfId="41313"/>
    <cellStyle name="asd 25 3 4 2 22" xfId="43804"/>
    <cellStyle name="asd 25 3 4 2 3" xfId="8819"/>
    <cellStyle name="asd 25 3 4 2 4" xfId="10729"/>
    <cellStyle name="asd 25 3 4 2 5" xfId="12019"/>
    <cellStyle name="asd 25 3 4 2 6" xfId="14530"/>
    <cellStyle name="asd 25 3 4 2 7" xfId="16436"/>
    <cellStyle name="asd 25 3 4 2 8" xfId="18348"/>
    <cellStyle name="asd 25 3 4 2 9" xfId="20254"/>
    <cellStyle name="asd 25 3 4 20" xfId="38066"/>
    <cellStyle name="asd 25 3 4 21" xfId="40153"/>
    <cellStyle name="asd 25 3 4 22" xfId="41812"/>
    <cellStyle name="asd 25 3 4 23" xfId="43259"/>
    <cellStyle name="asd 25 3 4 3" xfId="6757"/>
    <cellStyle name="asd 25 3 4 4" xfId="8211"/>
    <cellStyle name="asd 25 3 4 5" xfId="10121"/>
    <cellStyle name="asd 25 3 4 6" xfId="12527"/>
    <cellStyle name="asd 25 3 4 7" xfId="13965"/>
    <cellStyle name="asd 25 3 4 8" xfId="15866"/>
    <cellStyle name="asd 25 3 4 9" xfId="17740"/>
    <cellStyle name="asd 25 3 5" xfId="4881"/>
    <cellStyle name="asd 25 3 5 10" xfId="21129"/>
    <cellStyle name="asd 25 3 5 11" xfId="23542"/>
    <cellStyle name="asd 25 3 5 12" xfId="24931"/>
    <cellStyle name="asd 25 3 5 13" xfId="26520"/>
    <cellStyle name="asd 25 3 5 14" xfId="29018"/>
    <cellStyle name="asd 25 3 5 15" xfId="30126"/>
    <cellStyle name="asd 25 3 5 16" xfId="33000"/>
    <cellStyle name="asd 25 3 5 17" xfId="34625"/>
    <cellStyle name="asd 25 3 5 18" xfId="35758"/>
    <cellStyle name="asd 25 3 5 19" xfId="37637"/>
    <cellStyle name="asd 25 3 5 2" xfId="6331"/>
    <cellStyle name="asd 25 3 5 20" xfId="40200"/>
    <cellStyle name="asd 25 3 5 21" xfId="41859"/>
    <cellStyle name="asd 25 3 5 22" xfId="43307"/>
    <cellStyle name="asd 25 3 5 3" xfId="7782"/>
    <cellStyle name="asd 25 3 5 4" xfId="9692"/>
    <cellStyle name="asd 25 3 5 5" xfId="10972"/>
    <cellStyle name="asd 25 3 5 6" xfId="14014"/>
    <cellStyle name="asd 25 3 5 7" xfId="15915"/>
    <cellStyle name="asd 25 3 5 8" xfId="17311"/>
    <cellStyle name="asd 25 3 5 9" xfId="19217"/>
    <cellStyle name="asd 25 3 6" xfId="4218"/>
    <cellStyle name="asd 25 3 6 10" xfId="20503"/>
    <cellStyle name="asd 25 3 6 11" xfId="23980"/>
    <cellStyle name="asd 25 3 6 12" xfId="24305"/>
    <cellStyle name="asd 25 3 6 13" xfId="26908"/>
    <cellStyle name="asd 25 3 6 14" xfId="2059"/>
    <cellStyle name="asd 25 3 6 15" xfId="30504"/>
    <cellStyle name="asd 25 3 6 16" xfId="32890"/>
    <cellStyle name="asd 25 3 6 17" xfId="35063"/>
    <cellStyle name="asd 25 3 6 18" xfId="35133"/>
    <cellStyle name="asd 25 3 6 19" xfId="37011"/>
    <cellStyle name="asd 25 3 6 2" xfId="4796"/>
    <cellStyle name="asd 25 3 6 20" xfId="40094"/>
    <cellStyle name="asd 25 3 6 21" xfId="41756"/>
    <cellStyle name="asd 25 3 6 22" xfId="43725"/>
    <cellStyle name="asd 25 3 6 3" xfId="6093"/>
    <cellStyle name="asd 25 3 6 4" xfId="9065"/>
    <cellStyle name="asd 25 3 6 5" xfId="11940"/>
    <cellStyle name="asd 25 3 6 6" xfId="14450"/>
    <cellStyle name="asd 25 3 6 7" xfId="16356"/>
    <cellStyle name="asd 25 3 6 8" xfId="16684"/>
    <cellStyle name="asd 25 3 6 9" xfId="18591"/>
    <cellStyle name="asd 25 3 7" xfId="6709"/>
    <cellStyle name="asd 25 3 8" xfId="9073"/>
    <cellStyle name="asd 25 3 9" xfId="11237"/>
    <cellStyle name="asd 25 4" xfId="3389"/>
    <cellStyle name="asd 25 4 10" xfId="15522"/>
    <cellStyle name="asd 25 4 11" xfId="16721"/>
    <cellStyle name="asd 25 4 12" xfId="18628"/>
    <cellStyle name="asd 25 4 13" xfId="20540"/>
    <cellStyle name="asd 25 4 14" xfId="23148"/>
    <cellStyle name="asd 25 4 15" xfId="24342"/>
    <cellStyle name="asd 25 4 16" xfId="26955"/>
    <cellStyle name="asd 25 4 17" xfId="28245"/>
    <cellStyle name="asd 25 4 18" xfId="30549"/>
    <cellStyle name="asd 25 4 19" xfId="33266"/>
    <cellStyle name="asd 25 4 2" xfId="3569"/>
    <cellStyle name="asd 25 4 2 10" xfId="17460"/>
    <cellStyle name="asd 25 4 2 11" xfId="19366"/>
    <cellStyle name="asd 25 4 2 12" xfId="21278"/>
    <cellStyle name="asd 25 4 2 13" xfId="22915"/>
    <cellStyle name="asd 25 4 2 14" xfId="25080"/>
    <cellStyle name="asd 25 4 2 15" xfId="27819"/>
    <cellStyle name="asd 25 4 2 16" xfId="29628"/>
    <cellStyle name="asd 25 4 2 17" xfId="31397"/>
    <cellStyle name="asd 25 4 2 18" xfId="31927"/>
    <cellStyle name="asd 25 4 2 19" xfId="35000"/>
    <cellStyle name="asd 25 4 2 2" xfId="5503"/>
    <cellStyle name="asd 25 4 2 2 10" xfId="21753"/>
    <cellStyle name="asd 25 4 2 2 11" xfId="22777"/>
    <cellStyle name="asd 25 4 2 2 12" xfId="25555"/>
    <cellStyle name="asd 25 4 2 2 13" xfId="27617"/>
    <cellStyle name="asd 25 4 2 2 14" xfId="12804"/>
    <cellStyle name="asd 25 4 2 2 15" xfId="31195"/>
    <cellStyle name="asd 25 4 2 2 16" xfId="33217"/>
    <cellStyle name="asd 25 4 2 2 17" xfId="35022"/>
    <cellStyle name="asd 25 4 2 2 18" xfId="36382"/>
    <cellStyle name="asd 25 4 2 2 19" xfId="38261"/>
    <cellStyle name="asd 25 4 2 2 2" xfId="6952"/>
    <cellStyle name="asd 25 4 2 2 20" xfId="40406"/>
    <cellStyle name="asd 25 4 2 2 21" xfId="42062"/>
    <cellStyle name="asd 25 4 2 2 22" xfId="42572"/>
    <cellStyle name="asd 25 4 2 2 3" xfId="8406"/>
    <cellStyle name="asd 25 4 2 2 4" xfId="10316"/>
    <cellStyle name="asd 25 4 2 2 5" xfId="11692"/>
    <cellStyle name="asd 25 4 2 2 6" xfId="13247"/>
    <cellStyle name="asd 25 4 2 2 7" xfId="15150"/>
    <cellStyle name="asd 25 4 2 2 8" xfId="17935"/>
    <cellStyle name="asd 25 4 2 2 9" xfId="19841"/>
    <cellStyle name="asd 25 4 2 20" xfId="35907"/>
    <cellStyle name="asd 25 4 2 21" xfId="37786"/>
    <cellStyle name="asd 25 4 2 22" xfId="39157"/>
    <cellStyle name="asd 25 4 2 23" xfId="40838"/>
    <cellStyle name="asd 25 4 2 24" xfId="42701"/>
    <cellStyle name="asd 25 4 2 3" xfId="5030"/>
    <cellStyle name="asd 25 4 2 4" xfId="6480"/>
    <cellStyle name="asd 25 4 2 5" xfId="7931"/>
    <cellStyle name="asd 25 4 2 6" xfId="9841"/>
    <cellStyle name="asd 25 4 2 7" xfId="12477"/>
    <cellStyle name="asd 25 4 2 8" xfId="13383"/>
    <cellStyle name="asd 25 4 2 9" xfId="15288"/>
    <cellStyle name="asd 25 4 20" xfId="34529"/>
    <cellStyle name="asd 25 4 21" xfId="35170"/>
    <cellStyle name="asd 25 4 22" xfId="37048"/>
    <cellStyle name="asd 25 4 23" xfId="40452"/>
    <cellStyle name="asd 25 4 24" xfId="42107"/>
    <cellStyle name="asd 25 4 25" xfId="42926"/>
    <cellStyle name="asd 25 4 3" xfId="3816"/>
    <cellStyle name="asd 25 4 3 10" xfId="19547"/>
    <cellStyle name="asd 25 4 3 11" xfId="21459"/>
    <cellStyle name="asd 25 4 3 12" xfId="23465"/>
    <cellStyle name="asd 25 4 3 13" xfId="25261"/>
    <cellStyle name="asd 25 4 3 14" xfId="26251"/>
    <cellStyle name="asd 25 4 3 15" xfId="28555"/>
    <cellStyle name="asd 25 4 3 16" xfId="29861"/>
    <cellStyle name="asd 25 4 3 17" xfId="31718"/>
    <cellStyle name="asd 25 4 3 18" xfId="34997"/>
    <cellStyle name="asd 25 4 3 19" xfId="36088"/>
    <cellStyle name="asd 25 4 3 2" xfId="5817"/>
    <cellStyle name="asd 25 4 3 2 10" xfId="22067"/>
    <cellStyle name="asd 25 4 3 2 11" xfId="24053"/>
    <cellStyle name="asd 25 4 3 2 12" xfId="25869"/>
    <cellStyle name="asd 25 4 3 2 13" xfId="26434"/>
    <cellStyle name="asd 25 4 3 2 14" xfId="28050"/>
    <cellStyle name="asd 25 4 3 2 15" xfId="30040"/>
    <cellStyle name="asd 25 4 3 2 16" xfId="32263"/>
    <cellStyle name="asd 25 4 3 2 17" xfId="34256"/>
    <cellStyle name="asd 25 4 3 2 18" xfId="36696"/>
    <cellStyle name="asd 25 4 3 2 19" xfId="38575"/>
    <cellStyle name="asd 25 4 3 2 2" xfId="7266"/>
    <cellStyle name="asd 25 4 3 2 20" xfId="39481"/>
    <cellStyle name="asd 25 4 3 2 21" xfId="41156"/>
    <cellStyle name="asd 25 4 3 2 22" xfId="43797"/>
    <cellStyle name="asd 25 4 3 2 3" xfId="8720"/>
    <cellStyle name="asd 25 4 3 2 4" xfId="10630"/>
    <cellStyle name="asd 25 4 3 2 5" xfId="12012"/>
    <cellStyle name="asd 25 4 3 2 6" xfId="14523"/>
    <cellStyle name="asd 25 4 3 2 7" xfId="16429"/>
    <cellStyle name="asd 25 4 3 2 8" xfId="18249"/>
    <cellStyle name="asd 25 4 3 2 9" xfId="20155"/>
    <cellStyle name="asd 25 4 3 20" xfId="37967"/>
    <cellStyle name="asd 25 4 3 21" xfId="38959"/>
    <cellStyle name="asd 25 4 3 22" xfId="40642"/>
    <cellStyle name="asd 25 4 3 23" xfId="43232"/>
    <cellStyle name="asd 25 4 3 3" xfId="5211"/>
    <cellStyle name="asd 25 4 3 4" xfId="8112"/>
    <cellStyle name="asd 25 4 3 5" xfId="10022"/>
    <cellStyle name="asd 25 4 3 6" xfId="12512"/>
    <cellStyle name="asd 25 4 3 7" xfId="13937"/>
    <cellStyle name="asd 25 4 3 8" xfId="15838"/>
    <cellStyle name="asd 25 4 3 9" xfId="17641"/>
    <cellStyle name="asd 25 4 4" xfId="4021"/>
    <cellStyle name="asd 25 4 4 10" xfId="19656"/>
    <cellStyle name="asd 25 4 4 11" xfId="21568"/>
    <cellStyle name="asd 25 4 4 12" xfId="22936"/>
    <cellStyle name="asd 25 4 4 13" xfId="25370"/>
    <cellStyle name="asd 25 4 4 14" xfId="26742"/>
    <cellStyle name="asd 25 4 4 15" xfId="29300"/>
    <cellStyle name="asd 25 4 4 16" xfId="30342"/>
    <cellStyle name="asd 25 4 4 17" xfId="32624"/>
    <cellStyle name="asd 25 4 4 18" xfId="34008"/>
    <cellStyle name="asd 25 4 4 19" xfId="36197"/>
    <cellStyle name="asd 25 4 4 2" xfId="5926"/>
    <cellStyle name="asd 25 4 4 2 10" xfId="22176"/>
    <cellStyle name="asd 25 4 4 2 11" xfId="23526"/>
    <cellStyle name="asd 25 4 4 2 12" xfId="25978"/>
    <cellStyle name="asd 25 4 4 2 13" xfId="26681"/>
    <cellStyle name="asd 25 4 4 2 14" xfId="29076"/>
    <cellStyle name="asd 25 4 4 2 15" xfId="30281"/>
    <cellStyle name="asd 25 4 4 2 16" xfId="31823"/>
    <cellStyle name="asd 25 4 4 2 17" xfId="33979"/>
    <cellStyle name="asd 25 4 4 2 18" xfId="36805"/>
    <cellStyle name="asd 25 4 4 2 19" xfId="38684"/>
    <cellStyle name="asd 25 4 4 2 2" xfId="7375"/>
    <cellStyle name="asd 25 4 4 2 20" xfId="39061"/>
    <cellStyle name="asd 25 4 4 2 21" xfId="40743"/>
    <cellStyle name="asd 25 4 4 2 22" xfId="43291"/>
    <cellStyle name="asd 25 4 4 2 3" xfId="8829"/>
    <cellStyle name="asd 25 4 4 2 4" xfId="10739"/>
    <cellStyle name="asd 25 4 4 2 5" xfId="10926"/>
    <cellStyle name="asd 25 4 4 2 6" xfId="13998"/>
    <cellStyle name="asd 25 4 4 2 7" xfId="15899"/>
    <cellStyle name="asd 25 4 4 2 8" xfId="18358"/>
    <cellStyle name="asd 25 4 4 2 9" xfId="20264"/>
    <cellStyle name="asd 25 4 4 20" xfId="38076"/>
    <cellStyle name="asd 25 4 4 21" xfId="39834"/>
    <cellStyle name="asd 25 4 4 22" xfId="41503"/>
    <cellStyle name="asd 25 4 4 23" xfId="42722"/>
    <cellStyle name="asd 25 4 4 3" xfId="6767"/>
    <cellStyle name="asd 25 4 4 4" xfId="8221"/>
    <cellStyle name="asd 25 4 4 5" xfId="10131"/>
    <cellStyle name="asd 25 4 4 6" xfId="11137"/>
    <cellStyle name="asd 25 4 4 7" xfId="13404"/>
    <cellStyle name="asd 25 4 4 8" xfId="15309"/>
    <cellStyle name="asd 25 4 4 9" xfId="17750"/>
    <cellStyle name="asd 25 4 5" xfId="5679"/>
    <cellStyle name="asd 25 4 5 10" xfId="21929"/>
    <cellStyle name="asd 25 4 5 11" xfId="22935"/>
    <cellStyle name="asd 25 4 5 12" xfId="25731"/>
    <cellStyle name="asd 25 4 5 13" xfId="26322"/>
    <cellStyle name="asd 25 4 5 14" xfId="28126"/>
    <cellStyle name="asd 25 4 5 15" xfId="29930"/>
    <cellStyle name="asd 25 4 5 16" xfId="33142"/>
    <cellStyle name="asd 25 4 5 17" xfId="33427"/>
    <cellStyle name="asd 25 4 5 18" xfId="36558"/>
    <cellStyle name="asd 25 4 5 19" xfId="38437"/>
    <cellStyle name="asd 25 4 5 2" xfId="7128"/>
    <cellStyle name="asd 25 4 5 20" xfId="40335"/>
    <cellStyle name="asd 25 4 5 21" xfId="41991"/>
    <cellStyle name="asd 25 4 5 22" xfId="42721"/>
    <cellStyle name="asd 25 4 5 3" xfId="8582"/>
    <cellStyle name="asd 25 4 5 4" xfId="10492"/>
    <cellStyle name="asd 25 4 5 5" xfId="12317"/>
    <cellStyle name="asd 25 4 5 6" xfId="13403"/>
    <cellStyle name="asd 25 4 5 7" xfId="15308"/>
    <cellStyle name="asd 25 4 5 8" xfId="18111"/>
    <cellStyle name="asd 25 4 5 9" xfId="20017"/>
    <cellStyle name="asd 25 4 6" xfId="4323"/>
    <cellStyle name="asd 25 4 7" xfId="9102"/>
    <cellStyle name="asd 25 4 8" xfId="10939"/>
    <cellStyle name="asd 25 4 9" xfId="13619"/>
    <cellStyle name="asd 25 5" xfId="2414"/>
    <cellStyle name="asd 25 5 10" xfId="17159"/>
    <cellStyle name="asd 25 5 11" xfId="19065"/>
    <cellStyle name="asd 25 5 12" xfId="20977"/>
    <cellStyle name="asd 25 5 13" xfId="23768"/>
    <cellStyle name="asd 25 5 14" xfId="24779"/>
    <cellStyle name="asd 25 5 15" xfId="27868"/>
    <cellStyle name="asd 25 5 16" xfId="28276"/>
    <cellStyle name="asd 25 5 17" xfId="31449"/>
    <cellStyle name="asd 25 5 18" xfId="32900"/>
    <cellStyle name="asd 25 5 19" xfId="34395"/>
    <cellStyle name="asd 25 5 2" xfId="4561"/>
    <cellStyle name="asd 25 5 2 10" xfId="20806"/>
    <cellStyle name="asd 25 5 2 11" xfId="2864"/>
    <cellStyle name="asd 25 5 2 12" xfId="24608"/>
    <cellStyle name="asd 25 5 2 13" xfId="20417"/>
    <cellStyle name="asd 25 5 2 14" xfId="3809"/>
    <cellStyle name="asd 25 5 2 15" xfId="4359"/>
    <cellStyle name="asd 25 5 2 16" xfId="1863"/>
    <cellStyle name="asd 25 5 2 17" xfId="30682"/>
    <cellStyle name="asd 25 5 2 18" xfId="35436"/>
    <cellStyle name="asd 25 5 2 19" xfId="37314"/>
    <cellStyle name="asd 25 5 2 2" xfId="4744"/>
    <cellStyle name="asd 25 5 2 20" xfId="27500"/>
    <cellStyle name="asd 25 5 2 21" xfId="1899"/>
    <cellStyle name="asd 25 5 2 22" xfId="2618"/>
    <cellStyle name="asd 25 5 2 3" xfId="6291"/>
    <cellStyle name="asd 25 5 2 4" xfId="9368"/>
    <cellStyle name="asd 25 5 2 5" xfId="12432"/>
    <cellStyle name="asd 25 5 2 6" xfId="2717"/>
    <cellStyle name="asd 25 5 2 7" xfId="8991"/>
    <cellStyle name="asd 25 5 2 8" xfId="16987"/>
    <cellStyle name="asd 25 5 2 9" xfId="18894"/>
    <cellStyle name="asd 25 5 20" xfId="35606"/>
    <cellStyle name="asd 25 5 21" xfId="37485"/>
    <cellStyle name="asd 25 5 22" xfId="40103"/>
    <cellStyle name="asd 25 5 23" xfId="41764"/>
    <cellStyle name="asd 25 5 24" xfId="43521"/>
    <cellStyle name="asd 25 5 3" xfId="4731"/>
    <cellStyle name="asd 25 5 4" xfId="6179"/>
    <cellStyle name="asd 25 5 5" xfId="7630"/>
    <cellStyle name="asd 25 5 6" xfId="9540"/>
    <cellStyle name="asd 25 5 7" xfId="12706"/>
    <cellStyle name="asd 25 5 8" xfId="14238"/>
    <cellStyle name="asd 25 5 9" xfId="16142"/>
    <cellStyle name="asd 25 6" xfId="2408"/>
    <cellStyle name="asd 25 6 10" xfId="19064"/>
    <cellStyle name="asd 25 6 11" xfId="20976"/>
    <cellStyle name="asd 25 6 12" xfId="23009"/>
    <cellStyle name="asd 25 6 13" xfId="24778"/>
    <cellStyle name="asd 25 6 14" xfId="27435"/>
    <cellStyle name="asd 25 6 15" xfId="28356"/>
    <cellStyle name="asd 25 6 16" xfId="31021"/>
    <cellStyle name="asd 25 6 17" xfId="32948"/>
    <cellStyle name="asd 25 6 18" xfId="33731"/>
    <cellStyle name="asd 25 6 19" xfId="35605"/>
    <cellStyle name="asd 25 6 2" xfId="5493"/>
    <cellStyle name="asd 25 6 2 10" xfId="21743"/>
    <cellStyle name="asd 25 6 2 11" xfId="22447"/>
    <cellStyle name="asd 25 6 2 12" xfId="25545"/>
    <cellStyle name="asd 25 6 2 13" xfId="26942"/>
    <cellStyle name="asd 25 6 2 14" xfId="28773"/>
    <cellStyle name="asd 25 6 2 15" xfId="30536"/>
    <cellStyle name="asd 25 6 2 16" xfId="32360"/>
    <cellStyle name="asd 25 6 2 17" xfId="35004"/>
    <cellStyle name="asd 25 6 2 18" xfId="36372"/>
    <cellStyle name="asd 25 6 2 19" xfId="38251"/>
    <cellStyle name="asd 25 6 2 2" xfId="6942"/>
    <cellStyle name="asd 25 6 2 20" xfId="39579"/>
    <cellStyle name="asd 25 6 2 21" xfId="41253"/>
    <cellStyle name="asd 25 6 2 22" xfId="42258"/>
    <cellStyle name="asd 25 6 2 3" xfId="8396"/>
    <cellStyle name="asd 25 6 2 4" xfId="10306"/>
    <cellStyle name="asd 25 6 2 5" xfId="10973"/>
    <cellStyle name="asd 25 6 2 6" xfId="12915"/>
    <cellStyle name="asd 25 6 2 7" xfId="14820"/>
    <cellStyle name="asd 25 6 2 8" xfId="17925"/>
    <cellStyle name="asd 25 6 2 9" xfId="19831"/>
    <cellStyle name="asd 25 6 20" xfId="37484"/>
    <cellStyle name="asd 25 6 21" xfId="40151"/>
    <cellStyle name="asd 25 6 22" xfId="41810"/>
    <cellStyle name="asd 25 6 23" xfId="42793"/>
    <cellStyle name="asd 25 6 3" xfId="4730"/>
    <cellStyle name="asd 25 6 4" xfId="7629"/>
    <cellStyle name="asd 25 6 5" xfId="9539"/>
    <cellStyle name="asd 25 6 6" xfId="12330"/>
    <cellStyle name="asd 25 6 7" xfId="13479"/>
    <cellStyle name="asd 25 6 8" xfId="15384"/>
    <cellStyle name="asd 25 6 9" xfId="17158"/>
    <cellStyle name="asd 25 7" xfId="2351"/>
    <cellStyle name="asd 25 7 10" xfId="19057"/>
    <cellStyle name="asd 25 7 11" xfId="20969"/>
    <cellStyle name="asd 25 7 12" xfId="22429"/>
    <cellStyle name="asd 25 7 13" xfId="24771"/>
    <cellStyle name="asd 25 7 14" xfId="27035"/>
    <cellStyle name="asd 25 7 15" xfId="28488"/>
    <cellStyle name="asd 25 7 16" xfId="30628"/>
    <cellStyle name="asd 25 7 17" xfId="31819"/>
    <cellStyle name="asd 25 7 18" xfId="33402"/>
    <cellStyle name="asd 25 7 19" xfId="35598"/>
    <cellStyle name="asd 25 7 2" xfId="5472"/>
    <cellStyle name="asd 25 7 2 10" xfId="21722"/>
    <cellStyle name="asd 25 7 2 11" xfId="24063"/>
    <cellStyle name="asd 25 7 2 12" xfId="25524"/>
    <cellStyle name="asd 25 7 2 13" xfId="27244"/>
    <cellStyle name="asd 25 7 2 14" xfId="28504"/>
    <cellStyle name="asd 25 7 2 15" xfId="30835"/>
    <cellStyle name="asd 25 7 2 16" xfId="32264"/>
    <cellStyle name="asd 25 7 2 17" xfId="34612"/>
    <cellStyle name="asd 25 7 2 18" xfId="36351"/>
    <cellStyle name="asd 25 7 2 19" xfId="38230"/>
    <cellStyle name="asd 25 7 2 2" xfId="6921"/>
    <cellStyle name="asd 25 7 2 20" xfId="39482"/>
    <cellStyle name="asd 25 7 2 21" xfId="41157"/>
    <cellStyle name="asd 25 7 2 22" xfId="43807"/>
    <cellStyle name="asd 25 7 2 3" xfId="8375"/>
    <cellStyle name="asd 25 7 2 4" xfId="10285"/>
    <cellStyle name="asd 25 7 2 5" xfId="12022"/>
    <cellStyle name="asd 25 7 2 6" xfId="14533"/>
    <cellStyle name="asd 25 7 2 7" xfId="16439"/>
    <cellStyle name="asd 25 7 2 8" xfId="17904"/>
    <cellStyle name="asd 25 7 2 9" xfId="19810"/>
    <cellStyle name="asd 25 7 20" xfId="37477"/>
    <cellStyle name="asd 25 7 21" xfId="39057"/>
    <cellStyle name="asd 25 7 22" xfId="40739"/>
    <cellStyle name="asd 25 7 23" xfId="42240"/>
    <cellStyle name="asd 25 7 3" xfId="6171"/>
    <cellStyle name="asd 25 7 4" xfId="7622"/>
    <cellStyle name="asd 25 7 5" xfId="9532"/>
    <cellStyle name="asd 25 7 6" xfId="6080"/>
    <cellStyle name="asd 25 7 7" xfId="12897"/>
    <cellStyle name="asd 25 7 8" xfId="14802"/>
    <cellStyle name="asd 25 7 9" xfId="17151"/>
    <cellStyle name="asd 25 8" xfId="3271"/>
    <cellStyle name="asd 25 9" xfId="2417"/>
    <cellStyle name="asd 26" xfId="870"/>
    <cellStyle name="asd 26 10" xfId="2556"/>
    <cellStyle name="asd 26 11" xfId="2245"/>
    <cellStyle name="asd 26 12" xfId="2023"/>
    <cellStyle name="asd 26 13" xfId="2729"/>
    <cellStyle name="asd 26 14" xfId="12373"/>
    <cellStyle name="asd 26 15" xfId="4189"/>
    <cellStyle name="asd 26 16" xfId="2154"/>
    <cellStyle name="asd 26 17" xfId="2426"/>
    <cellStyle name="asd 26 18" xfId="8998"/>
    <cellStyle name="asd 26 19" xfId="1853"/>
    <cellStyle name="asd 26 2" xfId="3380"/>
    <cellStyle name="asd 26 2 10" xfId="14315"/>
    <cellStyle name="asd 26 2 11" xfId="16219"/>
    <cellStyle name="asd 26 2 12" xfId="16697"/>
    <cellStyle name="asd 26 2 13" xfId="18604"/>
    <cellStyle name="asd 26 2 14" xfId="20516"/>
    <cellStyle name="asd 26 2 15" xfId="23845"/>
    <cellStyle name="asd 26 2 16" xfId="24318"/>
    <cellStyle name="asd 26 2 17" xfId="27620"/>
    <cellStyle name="asd 26 2 18" xfId="28890"/>
    <cellStyle name="asd 26 2 19" xfId="31198"/>
    <cellStyle name="asd 26 2 2" xfId="3560"/>
    <cellStyle name="asd 26 2 2 10" xfId="17451"/>
    <cellStyle name="asd 26 2 2 11" xfId="19357"/>
    <cellStyle name="asd 26 2 2 12" xfId="21269"/>
    <cellStyle name="asd 26 2 2 13" xfId="22958"/>
    <cellStyle name="asd 26 2 2 14" xfId="25071"/>
    <cellStyle name="asd 26 2 2 15" xfId="26484"/>
    <cellStyle name="asd 26 2 2 16" xfId="5433"/>
    <cellStyle name="asd 26 2 2 17" xfId="30090"/>
    <cellStyle name="asd 26 2 2 18" xfId="32859"/>
    <cellStyle name="asd 26 2 2 19" xfId="33782"/>
    <cellStyle name="asd 26 2 2 2" xfId="5519"/>
    <cellStyle name="asd 26 2 2 2 10" xfId="21769"/>
    <cellStyle name="asd 26 2 2 2 11" xfId="23782"/>
    <cellStyle name="asd 26 2 2 2 12" xfId="25571"/>
    <cellStyle name="asd 26 2 2 2 13" xfId="27071"/>
    <cellStyle name="asd 26 2 2 2 14" xfId="29191"/>
    <cellStyle name="asd 26 2 2 2 15" xfId="30662"/>
    <cellStyle name="asd 26 2 2 2 16" xfId="32073"/>
    <cellStyle name="asd 26 2 2 2 17" xfId="34275"/>
    <cellStyle name="asd 26 2 2 2 18" xfId="36398"/>
    <cellStyle name="asd 26 2 2 2 19" xfId="38277"/>
    <cellStyle name="asd 26 2 2 2 2" xfId="6968"/>
    <cellStyle name="asd 26 2 2 2 20" xfId="39298"/>
    <cellStyle name="asd 26 2 2 2 21" xfId="40974"/>
    <cellStyle name="asd 26 2 2 2 22" xfId="43535"/>
    <cellStyle name="asd 26 2 2 2 3" xfId="8422"/>
    <cellStyle name="asd 26 2 2 2 4" xfId="10332"/>
    <cellStyle name="asd 26 2 2 2 5" xfId="12622"/>
    <cellStyle name="asd 26 2 2 2 6" xfId="14252"/>
    <cellStyle name="asd 26 2 2 2 7" xfId="16156"/>
    <cellStyle name="asd 26 2 2 2 8" xfId="17951"/>
    <cellStyle name="asd 26 2 2 2 9" xfId="19857"/>
    <cellStyle name="asd 26 2 2 20" xfId="35898"/>
    <cellStyle name="asd 26 2 2 21" xfId="37777"/>
    <cellStyle name="asd 26 2 2 22" xfId="40066"/>
    <cellStyle name="asd 26 2 2 23" xfId="41730"/>
    <cellStyle name="asd 26 2 2 24" xfId="42744"/>
    <cellStyle name="asd 26 2 2 3" xfId="5021"/>
    <cellStyle name="asd 26 2 2 4" xfId="6471"/>
    <cellStyle name="asd 26 2 2 5" xfId="7922"/>
    <cellStyle name="asd 26 2 2 6" xfId="9832"/>
    <cellStyle name="asd 26 2 2 7" xfId="10997"/>
    <cellStyle name="asd 26 2 2 8" xfId="13427"/>
    <cellStyle name="asd 26 2 2 9" xfId="15332"/>
    <cellStyle name="asd 26 2 20" xfId="32511"/>
    <cellStyle name="asd 26 2 21" xfId="34002"/>
    <cellStyle name="asd 26 2 22" xfId="35146"/>
    <cellStyle name="asd 26 2 23" xfId="37024"/>
    <cellStyle name="asd 26 2 24" xfId="39726"/>
    <cellStyle name="asd 26 2 25" xfId="41398"/>
    <cellStyle name="asd 26 2 26" xfId="43596"/>
    <cellStyle name="asd 26 2 3" xfId="3923"/>
    <cellStyle name="asd 26 2 3 10" xfId="19617"/>
    <cellStyle name="asd 26 2 3 11" xfId="21529"/>
    <cellStyle name="asd 26 2 3 12" xfId="23198"/>
    <cellStyle name="asd 26 2 3 13" xfId="25331"/>
    <cellStyle name="asd 26 2 3 14" xfId="26974"/>
    <cellStyle name="asd 26 2 3 15" xfId="29354"/>
    <cellStyle name="asd 26 2 3 16" xfId="30568"/>
    <cellStyle name="asd 26 2 3 17" xfId="33062"/>
    <cellStyle name="asd 26 2 3 18" xfId="33983"/>
    <cellStyle name="asd 26 2 3 19" xfId="36158"/>
    <cellStyle name="asd 26 2 3 2" xfId="5887"/>
    <cellStyle name="asd 26 2 3 2 10" xfId="22137"/>
    <cellStyle name="asd 26 2 3 2 11" xfId="22732"/>
    <cellStyle name="asd 26 2 3 2 12" xfId="25939"/>
    <cellStyle name="asd 26 2 3 2 13" xfId="26359"/>
    <cellStyle name="asd 26 2 3 2 14" xfId="29226"/>
    <cellStyle name="asd 26 2 3 2 15" xfId="29967"/>
    <cellStyle name="asd 26 2 3 2 16" xfId="31662"/>
    <cellStyle name="asd 26 2 3 2 17" xfId="34071"/>
    <cellStyle name="asd 26 2 3 2 18" xfId="36766"/>
    <cellStyle name="asd 26 2 3 2 19" xfId="38645"/>
    <cellStyle name="asd 26 2 3 2 2" xfId="7336"/>
    <cellStyle name="asd 26 2 3 2 20" xfId="38906"/>
    <cellStyle name="asd 26 2 3 2 21" xfId="40590"/>
    <cellStyle name="asd 26 2 3 2 22" xfId="42530"/>
    <cellStyle name="asd 26 2 3 2 3" xfId="8790"/>
    <cellStyle name="asd 26 2 3 2 4" xfId="10700"/>
    <cellStyle name="asd 26 2 3 2 5" xfId="11846"/>
    <cellStyle name="asd 26 2 3 2 6" xfId="13201"/>
    <cellStyle name="asd 26 2 3 2 7" xfId="15104"/>
    <cellStyle name="asd 26 2 3 2 8" xfId="18319"/>
    <cellStyle name="asd 26 2 3 2 9" xfId="20225"/>
    <cellStyle name="asd 26 2 3 20" xfId="38037"/>
    <cellStyle name="asd 26 2 3 21" xfId="40258"/>
    <cellStyle name="asd 26 2 3 22" xfId="41916"/>
    <cellStyle name="asd 26 2 3 23" xfId="42976"/>
    <cellStyle name="asd 26 2 3 3" xfId="5281"/>
    <cellStyle name="asd 26 2 3 4" xfId="8182"/>
    <cellStyle name="asd 26 2 3 5" xfId="10092"/>
    <cellStyle name="asd 26 2 3 6" xfId="11056"/>
    <cellStyle name="asd 26 2 3 7" xfId="13670"/>
    <cellStyle name="asd 26 2 3 8" xfId="15572"/>
    <cellStyle name="asd 26 2 3 9" xfId="17711"/>
    <cellStyle name="asd 26 2 4" xfId="4012"/>
    <cellStyle name="asd 26 2 4 10" xfId="19647"/>
    <cellStyle name="asd 26 2 4 11" xfId="21559"/>
    <cellStyle name="asd 26 2 4 12" xfId="23964"/>
    <cellStyle name="asd 26 2 4 13" xfId="25361"/>
    <cellStyle name="asd 26 2 4 14" xfId="27237"/>
    <cellStyle name="asd 26 2 4 15" xfId="29721"/>
    <cellStyle name="asd 26 2 4 16" xfId="30828"/>
    <cellStyle name="asd 26 2 4 17" xfId="32725"/>
    <cellStyle name="asd 26 2 4 18" xfId="34714"/>
    <cellStyle name="asd 26 2 4 19" xfId="36188"/>
    <cellStyle name="asd 26 2 4 2" xfId="5917"/>
    <cellStyle name="asd 26 2 4 2 10" xfId="22167"/>
    <cellStyle name="asd 26 2 4 2 11" xfId="23456"/>
    <cellStyle name="asd 26 2 4 2 12" xfId="25969"/>
    <cellStyle name="asd 26 2 4 2 13" xfId="26852"/>
    <cellStyle name="asd 26 2 4 2 14" xfId="29499"/>
    <cellStyle name="asd 26 2 4 2 15" xfId="30449"/>
    <cellStyle name="asd 26 2 4 2 16" xfId="32866"/>
    <cellStyle name="asd 26 2 4 2 17" xfId="33517"/>
    <cellStyle name="asd 26 2 4 2 18" xfId="36796"/>
    <cellStyle name="asd 26 2 4 2 19" xfId="38675"/>
    <cellStyle name="asd 26 2 4 2 2" xfId="7366"/>
    <cellStyle name="asd 26 2 4 2 20" xfId="40072"/>
    <cellStyle name="asd 26 2 4 2 21" xfId="41736"/>
    <cellStyle name="asd 26 2 4 2 22" xfId="43223"/>
    <cellStyle name="asd 26 2 4 2 3" xfId="8820"/>
    <cellStyle name="asd 26 2 4 2 4" xfId="10730"/>
    <cellStyle name="asd 26 2 4 2 5" xfId="12545"/>
    <cellStyle name="asd 26 2 4 2 6" xfId="13928"/>
    <cellStyle name="asd 26 2 4 2 7" xfId="15829"/>
    <cellStyle name="asd 26 2 4 2 8" xfId="18349"/>
    <cellStyle name="asd 26 2 4 2 9" xfId="20255"/>
    <cellStyle name="asd 26 2 4 20" xfId="38067"/>
    <cellStyle name="asd 26 2 4 21" xfId="39935"/>
    <cellStyle name="asd 26 2 4 22" xfId="41601"/>
    <cellStyle name="asd 26 2 4 23" xfId="43710"/>
    <cellStyle name="asd 26 2 4 3" xfId="6758"/>
    <cellStyle name="asd 26 2 4 4" xfId="8212"/>
    <cellStyle name="asd 26 2 4 5" xfId="10122"/>
    <cellStyle name="asd 26 2 4 6" xfId="11924"/>
    <cellStyle name="asd 26 2 4 7" xfId="14434"/>
    <cellStyle name="asd 26 2 4 8" xfId="16340"/>
    <cellStyle name="asd 26 2 4 9" xfId="17741"/>
    <cellStyle name="asd 26 2 5" xfId="4882"/>
    <cellStyle name="asd 26 2 5 10" xfId="21130"/>
    <cellStyle name="asd 26 2 5 11" xfId="22410"/>
    <cellStyle name="asd 26 2 5 12" xfId="24932"/>
    <cellStyle name="asd 26 2 5 13" xfId="27284"/>
    <cellStyle name="asd 26 2 5 14" xfId="27813"/>
    <cellStyle name="asd 26 2 5 15" xfId="30876"/>
    <cellStyle name="asd 26 2 5 16" xfId="28595"/>
    <cellStyle name="asd 26 2 5 17" xfId="2789"/>
    <cellStyle name="asd 26 2 5 18" xfId="35759"/>
    <cellStyle name="asd 26 2 5 19" xfId="37638"/>
    <cellStyle name="asd 26 2 5 2" xfId="6332"/>
    <cellStyle name="asd 26 2 5 20" xfId="22354"/>
    <cellStyle name="asd 26 2 5 21" xfId="28007"/>
    <cellStyle name="asd 26 2 5 22" xfId="42221"/>
    <cellStyle name="asd 26 2 5 3" xfId="7783"/>
    <cellStyle name="asd 26 2 5 4" xfId="9693"/>
    <cellStyle name="asd 26 2 5 5" xfId="11355"/>
    <cellStyle name="asd 26 2 5 6" xfId="12877"/>
    <cellStyle name="asd 26 2 5 7" xfId="14782"/>
    <cellStyle name="asd 26 2 5 8" xfId="17312"/>
    <cellStyle name="asd 26 2 5 9" xfId="19218"/>
    <cellStyle name="asd 26 2 6" xfId="5678"/>
    <cellStyle name="asd 26 2 6 10" xfId="21928"/>
    <cellStyle name="asd 26 2 6 11" xfId="23647"/>
    <cellStyle name="asd 26 2 6 12" xfId="25730"/>
    <cellStyle name="asd 26 2 6 13" xfId="27246"/>
    <cellStyle name="asd 26 2 6 14" xfId="29589"/>
    <cellStyle name="asd 26 2 6 15" xfId="30837"/>
    <cellStyle name="asd 26 2 6 16" xfId="32670"/>
    <cellStyle name="asd 26 2 6 17" xfId="34270"/>
    <cellStyle name="asd 26 2 6 18" xfId="36557"/>
    <cellStyle name="asd 26 2 6 19" xfId="38436"/>
    <cellStyle name="asd 26 2 6 2" xfId="7127"/>
    <cellStyle name="asd 26 2 6 20" xfId="39877"/>
    <cellStyle name="asd 26 2 6 21" xfId="41546"/>
    <cellStyle name="asd 26 2 6 22" xfId="43405"/>
    <cellStyle name="asd 26 2 6 3" xfId="8581"/>
    <cellStyle name="asd 26 2 6 4" xfId="10491"/>
    <cellStyle name="asd 26 2 6 5" xfId="11499"/>
    <cellStyle name="asd 26 2 6 6" xfId="14117"/>
    <cellStyle name="asd 26 2 6 7" xfId="16020"/>
    <cellStyle name="asd 26 2 6 8" xfId="18110"/>
    <cellStyle name="asd 26 2 6 9" xfId="20016"/>
    <cellStyle name="asd 26 2 7" xfId="4226"/>
    <cellStyle name="asd 26 2 8" xfId="9078"/>
    <cellStyle name="asd 26 2 9" xfId="12697"/>
    <cellStyle name="asd 26 20" xfId="28687"/>
    <cellStyle name="asd 26 21" xfId="28340"/>
    <cellStyle name="asd 26 22" xfId="33057"/>
    <cellStyle name="asd 26 23" xfId="31641"/>
    <cellStyle name="asd 26 24" xfId="28726"/>
    <cellStyle name="asd 26 25" xfId="3202"/>
    <cellStyle name="asd 26 26" xfId="34406"/>
    <cellStyle name="asd 26 27" xfId="39505"/>
    <cellStyle name="asd 26 3" xfId="3408"/>
    <cellStyle name="asd 26 3 10" xfId="14463"/>
    <cellStyle name="asd 26 3 11" xfId="16369"/>
    <cellStyle name="asd 26 3 12" xfId="16766"/>
    <cellStyle name="asd 26 3 13" xfId="18673"/>
    <cellStyle name="asd 26 3 14" xfId="20585"/>
    <cellStyle name="asd 26 3 15" xfId="23993"/>
    <cellStyle name="asd 26 3 16" xfId="24387"/>
    <cellStyle name="asd 26 3 17" xfId="27398"/>
    <cellStyle name="asd 26 3 18" xfId="29452"/>
    <cellStyle name="asd 26 3 19" xfId="30984"/>
    <cellStyle name="asd 26 3 2" xfId="3588"/>
    <cellStyle name="asd 26 3 2 10" xfId="17479"/>
    <cellStyle name="asd 26 3 2 11" xfId="19385"/>
    <cellStyle name="asd 26 3 2 12" xfId="21297"/>
    <cellStyle name="asd 26 3 2 13" xfId="23682"/>
    <cellStyle name="asd 26 3 2 14" xfId="25099"/>
    <cellStyle name="asd 26 3 2 15" xfId="27672"/>
    <cellStyle name="asd 26 3 2 16" xfId="29331"/>
    <cellStyle name="asd 26 3 2 17" xfId="31248"/>
    <cellStyle name="asd 26 3 2 18" xfId="33058"/>
    <cellStyle name="asd 26 3 2 19" xfId="34338"/>
    <cellStyle name="asd 26 3 2 2" xfId="4552"/>
    <cellStyle name="asd 26 3 2 2 10" xfId="20797"/>
    <cellStyle name="asd 26 3 2 2 11" xfId="22549"/>
    <cellStyle name="asd 26 3 2 2 12" xfId="24599"/>
    <cellStyle name="asd 26 3 2 2 13" xfId="27571"/>
    <cellStyle name="asd 26 3 2 2 14" xfId="28871"/>
    <cellStyle name="asd 26 3 2 2 15" xfId="31150"/>
    <cellStyle name="asd 26 3 2 2 16" xfId="33136"/>
    <cellStyle name="asd 26 3 2 2 17" xfId="34559"/>
    <cellStyle name="asd 26 3 2 2 18" xfId="35427"/>
    <cellStyle name="asd 26 3 2 2 19" xfId="37305"/>
    <cellStyle name="asd 26 3 2 2 2" xfId="1791"/>
    <cellStyle name="asd 26 3 2 2 20" xfId="40330"/>
    <cellStyle name="asd 26 3 2 2 21" xfId="41986"/>
    <cellStyle name="asd 26 3 2 2 22" xfId="42358"/>
    <cellStyle name="asd 26 3 2 2 3" xfId="2748"/>
    <cellStyle name="asd 26 3 2 2 4" xfId="9359"/>
    <cellStyle name="asd 26 3 2 2 5" xfId="11648"/>
    <cellStyle name="asd 26 3 2 2 6" xfId="13017"/>
    <cellStyle name="asd 26 3 2 2 7" xfId="14921"/>
    <cellStyle name="asd 26 3 2 2 8" xfId="16978"/>
    <cellStyle name="asd 26 3 2 2 9" xfId="18885"/>
    <cellStyle name="asd 26 3 2 20" xfId="35926"/>
    <cellStyle name="asd 26 3 2 21" xfId="37805"/>
    <cellStyle name="asd 26 3 2 22" xfId="40254"/>
    <cellStyle name="asd 26 3 2 23" xfId="41912"/>
    <cellStyle name="asd 26 3 2 24" xfId="43439"/>
    <cellStyle name="asd 26 3 2 3" xfId="5049"/>
    <cellStyle name="asd 26 3 2 4" xfId="6499"/>
    <cellStyle name="asd 26 3 2 5" xfId="7950"/>
    <cellStyle name="asd 26 3 2 6" xfId="9860"/>
    <cellStyle name="asd 26 3 2 7" xfId="11747"/>
    <cellStyle name="asd 26 3 2 8" xfId="14152"/>
    <cellStyle name="asd 26 3 2 9" xfId="16056"/>
    <cellStyle name="asd 26 3 20" xfId="33227"/>
    <cellStyle name="asd 26 3 21" xfId="33822"/>
    <cellStyle name="asd 26 3 22" xfId="35215"/>
    <cellStyle name="asd 26 3 23" xfId="37093"/>
    <cellStyle name="asd 26 3 24" xfId="40416"/>
    <cellStyle name="asd 26 3 25" xfId="42072"/>
    <cellStyle name="asd 26 3 26" xfId="43737"/>
    <cellStyle name="asd 26 3 3" xfId="3835"/>
    <cellStyle name="asd 26 3 3 10" xfId="19560"/>
    <cellStyle name="asd 26 3 3 11" xfId="21472"/>
    <cellStyle name="asd 26 3 3 12" xfId="23634"/>
    <cellStyle name="asd 26 3 3 13" xfId="25274"/>
    <cellStyle name="asd 26 3 3 14" xfId="26506"/>
    <cellStyle name="asd 26 3 3 15" xfId="12646"/>
    <cellStyle name="asd 26 3 3 16" xfId="30112"/>
    <cellStyle name="asd 26 3 3 17" xfId="2695"/>
    <cellStyle name="asd 26 3 3 18" xfId="33103"/>
    <cellStyle name="asd 26 3 3 19" xfId="36101"/>
    <cellStyle name="asd 26 3 3 2" xfId="5830"/>
    <cellStyle name="asd 26 3 3 2 10" xfId="22080"/>
    <cellStyle name="asd 26 3 3 2 11" xfId="22701"/>
    <cellStyle name="asd 26 3 3 2 12" xfId="25882"/>
    <cellStyle name="asd 26 3 3 2 13" xfId="27043"/>
    <cellStyle name="asd 26 3 3 2 14" xfId="28601"/>
    <cellStyle name="asd 26 3 3 2 15" xfId="30636"/>
    <cellStyle name="asd 26 3 3 2 16" xfId="32831"/>
    <cellStyle name="asd 26 3 3 2 17" xfId="34383"/>
    <cellStyle name="asd 26 3 3 2 18" xfId="36709"/>
    <cellStyle name="asd 26 3 3 2 19" xfId="38588"/>
    <cellStyle name="asd 26 3 3 2 2" xfId="7279"/>
    <cellStyle name="asd 26 3 3 2 20" xfId="40040"/>
    <cellStyle name="asd 26 3 3 2 21" xfId="41704"/>
    <cellStyle name="asd 26 3 3 2 22" xfId="42502"/>
    <cellStyle name="asd 26 3 3 2 3" xfId="8733"/>
    <cellStyle name="asd 26 3 3 2 4" xfId="10643"/>
    <cellStyle name="asd 26 3 3 2 5" xfId="11731"/>
    <cellStyle name="asd 26 3 3 2 6" xfId="13169"/>
    <cellStyle name="asd 26 3 3 2 7" xfId="15073"/>
    <cellStyle name="asd 26 3 3 2 8" xfId="18262"/>
    <cellStyle name="asd 26 3 3 2 9" xfId="20168"/>
    <cellStyle name="asd 26 3 3 20" xfId="37980"/>
    <cellStyle name="asd 26 3 3 21" xfId="29148"/>
    <cellStyle name="asd 26 3 3 22" xfId="31766"/>
    <cellStyle name="asd 26 3 3 23" xfId="43392"/>
    <cellStyle name="asd 26 3 3 3" xfId="5224"/>
    <cellStyle name="asd 26 3 3 4" xfId="8125"/>
    <cellStyle name="asd 26 3 3 5" xfId="10035"/>
    <cellStyle name="asd 26 3 3 6" xfId="12601"/>
    <cellStyle name="asd 26 3 3 7" xfId="14104"/>
    <cellStyle name="asd 26 3 3 8" xfId="16007"/>
    <cellStyle name="asd 26 3 3 9" xfId="17654"/>
    <cellStyle name="asd 26 3 4" xfId="4040"/>
    <cellStyle name="asd 26 3 4 10" xfId="19675"/>
    <cellStyle name="asd 26 3 4 11" xfId="21587"/>
    <cellStyle name="asd 26 3 4 12" xfId="22594"/>
    <cellStyle name="asd 26 3 4 13" xfId="25389"/>
    <cellStyle name="asd 26 3 4 14" xfId="26989"/>
    <cellStyle name="asd 26 3 4 15" xfId="29453"/>
    <cellStyle name="asd 26 3 4 16" xfId="30583"/>
    <cellStyle name="asd 26 3 4 17" xfId="32649"/>
    <cellStyle name="asd 26 3 4 18" xfId="33574"/>
    <cellStyle name="asd 26 3 4 19" xfId="36216"/>
    <cellStyle name="asd 26 3 4 2" xfId="5945"/>
    <cellStyle name="asd 26 3 4 2 10" xfId="22195"/>
    <cellStyle name="asd 26 3 4 2 11" xfId="22856"/>
    <cellStyle name="asd 26 3 4 2 12" xfId="25997"/>
    <cellStyle name="asd 26 3 4 2 13" xfId="27542"/>
    <cellStyle name="asd 26 3 4 2 14" xfId="29687"/>
    <cellStyle name="asd 26 3 4 2 15" xfId="31123"/>
    <cellStyle name="asd 26 3 4 2 16" xfId="31691"/>
    <cellStyle name="asd 26 3 4 2 17" xfId="33913"/>
    <cellStyle name="asd 26 3 4 2 18" xfId="36824"/>
    <cellStyle name="asd 26 3 4 2 19" xfId="38703"/>
    <cellStyle name="asd 26 3 4 2 2" xfId="7394"/>
    <cellStyle name="asd 26 3 4 2 20" xfId="38933"/>
    <cellStyle name="asd 26 3 4 2 21" xfId="40617"/>
    <cellStyle name="asd 26 3 4 2 22" xfId="42646"/>
    <cellStyle name="asd 26 3 4 2 3" xfId="8848"/>
    <cellStyle name="asd 26 3 4 2 4" xfId="10758"/>
    <cellStyle name="asd 26 3 4 2 5" xfId="12213"/>
    <cellStyle name="asd 26 3 4 2 6" xfId="13325"/>
    <cellStyle name="asd 26 3 4 2 7" xfId="15229"/>
    <cellStyle name="asd 26 3 4 2 8" xfId="18377"/>
    <cellStyle name="asd 26 3 4 2 9" xfId="20283"/>
    <cellStyle name="asd 26 3 4 20" xfId="38095"/>
    <cellStyle name="asd 26 3 4 21" xfId="39856"/>
    <cellStyle name="asd 26 3 4 22" xfId="41525"/>
    <cellStyle name="asd 26 3 4 23" xfId="42403"/>
    <cellStyle name="asd 26 3 4 3" xfId="6786"/>
    <cellStyle name="asd 26 3 4 4" xfId="8240"/>
    <cellStyle name="asd 26 3 4 5" xfId="10150"/>
    <cellStyle name="asd 26 3 4 6" xfId="12368"/>
    <cellStyle name="asd 26 3 4 7" xfId="13062"/>
    <cellStyle name="asd 26 3 4 8" xfId="14966"/>
    <cellStyle name="asd 26 3 4 9" xfId="17769"/>
    <cellStyle name="asd 26 3 5" xfId="4903"/>
    <cellStyle name="asd 26 3 5 10" xfId="21151"/>
    <cellStyle name="asd 26 3 5 11" xfId="23050"/>
    <cellStyle name="asd 26 3 5 12" xfId="24953"/>
    <cellStyle name="asd 26 3 5 13" xfId="26485"/>
    <cellStyle name="asd 26 3 5 14" xfId="28764"/>
    <cellStyle name="asd 26 3 5 15" xfId="30091"/>
    <cellStyle name="asd 26 3 5 16" xfId="32026"/>
    <cellStyle name="asd 26 3 5 17" xfId="33854"/>
    <cellStyle name="asd 26 3 5 18" xfId="35780"/>
    <cellStyle name="asd 26 3 5 19" xfId="37659"/>
    <cellStyle name="asd 26 3 5 2" xfId="6353"/>
    <cellStyle name="asd 26 3 5 20" xfId="39256"/>
    <cellStyle name="asd 26 3 5 21" xfId="40933"/>
    <cellStyle name="asd 26 3 5 22" xfId="42833"/>
    <cellStyle name="asd 26 3 5 3" xfId="7804"/>
    <cellStyle name="asd 26 3 5 4" xfId="9714"/>
    <cellStyle name="asd 26 3 5 5" xfId="12650"/>
    <cellStyle name="asd 26 3 5 6" xfId="13521"/>
    <cellStyle name="asd 26 3 5 7" xfId="15424"/>
    <cellStyle name="asd 26 3 5 8" xfId="17333"/>
    <cellStyle name="asd 26 3 5 9" xfId="19239"/>
    <cellStyle name="asd 26 3 6" xfId="4436"/>
    <cellStyle name="asd 26 3 6 10" xfId="20681"/>
    <cellStyle name="asd 26 3 6 11" xfId="23817"/>
    <cellStyle name="asd 26 3 6 12" xfId="24483"/>
    <cellStyle name="asd 26 3 6 13" xfId="27392"/>
    <cellStyle name="asd 26 3 6 14" xfId="29526"/>
    <cellStyle name="asd 26 3 6 15" xfId="30978"/>
    <cellStyle name="asd 26 3 6 16" xfId="32049"/>
    <cellStyle name="asd 26 3 6 17" xfId="33523"/>
    <cellStyle name="asd 26 3 6 18" xfId="35311"/>
    <cellStyle name="asd 26 3 6 19" xfId="37189"/>
    <cellStyle name="asd 26 3 6 2" xfId="5447"/>
    <cellStyle name="asd 26 3 6 20" xfId="39278"/>
    <cellStyle name="asd 26 3 6 21" xfId="40954"/>
    <cellStyle name="asd 26 3 6 22" xfId="43568"/>
    <cellStyle name="asd 26 3 6 3" xfId="6155"/>
    <cellStyle name="asd 26 3 6 4" xfId="9243"/>
    <cellStyle name="asd 26 3 6 5" xfId="12651"/>
    <cellStyle name="asd 26 3 6 6" xfId="14287"/>
    <cellStyle name="asd 26 3 6 7" xfId="16191"/>
    <cellStyle name="asd 26 3 6 8" xfId="16862"/>
    <cellStyle name="asd 26 3 6 9" xfId="18769"/>
    <cellStyle name="asd 26 3 7" xfId="6222"/>
    <cellStyle name="asd 26 3 8" xfId="9147"/>
    <cellStyle name="asd 26 3 9" xfId="11952"/>
    <cellStyle name="asd 26 4" xfId="3363"/>
    <cellStyle name="asd 26 4 10" xfId="13689"/>
    <cellStyle name="asd 26 4 11" xfId="16659"/>
    <cellStyle name="asd 26 4 12" xfId="18566"/>
    <cellStyle name="asd 26 4 13" xfId="20478"/>
    <cellStyle name="asd 26 4 14" xfId="3142"/>
    <cellStyle name="asd 26 4 15" xfId="24280"/>
    <cellStyle name="asd 26 4 16" xfId="23377"/>
    <cellStyle name="asd 26 4 17" xfId="2305"/>
    <cellStyle name="asd 26 4 18" xfId="2948"/>
    <cellStyle name="asd 26 4 19" xfId="32415"/>
    <cellStyle name="asd 26 4 2" xfId="3543"/>
    <cellStyle name="asd 26 4 2 10" xfId="17434"/>
    <cellStyle name="asd 26 4 2 11" xfId="19340"/>
    <cellStyle name="asd 26 4 2 12" xfId="21252"/>
    <cellStyle name="asd 26 4 2 13" xfId="23518"/>
    <cellStyle name="asd 26 4 2 14" xfId="25054"/>
    <cellStyle name="asd 26 4 2 15" xfId="26194"/>
    <cellStyle name="asd 26 4 2 16" xfId="28644"/>
    <cellStyle name="asd 26 4 2 17" xfId="29807"/>
    <cellStyle name="asd 26 4 2 18" xfId="32162"/>
    <cellStyle name="asd 26 4 2 19" xfId="34600"/>
    <cellStyle name="asd 26 4 2 2" xfId="5473"/>
    <cellStyle name="asd 26 4 2 2 10" xfId="21723"/>
    <cellStyle name="asd 26 4 2 2 11" xfId="23459"/>
    <cellStyle name="asd 26 4 2 2 12" xfId="25525"/>
    <cellStyle name="asd 26 4 2 2 13" xfId="27744"/>
    <cellStyle name="asd 26 4 2 2 14" xfId="29262"/>
    <cellStyle name="asd 26 4 2 2 15" xfId="31322"/>
    <cellStyle name="asd 26 4 2 2 16" xfId="32630"/>
    <cellStyle name="asd 26 4 2 2 17" xfId="34476"/>
    <cellStyle name="asd 26 4 2 2 18" xfId="36352"/>
    <cellStyle name="asd 26 4 2 2 19" xfId="38231"/>
    <cellStyle name="asd 26 4 2 2 2" xfId="6922"/>
    <cellStyle name="asd 26 4 2 2 20" xfId="39839"/>
    <cellStyle name="asd 26 4 2 2 21" xfId="41508"/>
    <cellStyle name="asd 26 4 2 2 22" xfId="43226"/>
    <cellStyle name="asd 26 4 2 2 3" xfId="8376"/>
    <cellStyle name="asd 26 4 2 2 4" xfId="10286"/>
    <cellStyle name="asd 26 4 2 2 5" xfId="12596"/>
    <cellStyle name="asd 26 4 2 2 6" xfId="13931"/>
    <cellStyle name="asd 26 4 2 2 7" xfId="15832"/>
    <cellStyle name="asd 26 4 2 2 8" xfId="17905"/>
    <cellStyle name="asd 26 4 2 2 9" xfId="19811"/>
    <cellStyle name="asd 26 4 2 20" xfId="35881"/>
    <cellStyle name="asd 26 4 2 21" xfId="37760"/>
    <cellStyle name="asd 26 4 2 22" xfId="39384"/>
    <cellStyle name="asd 26 4 2 23" xfId="41060"/>
    <cellStyle name="asd 26 4 2 24" xfId="43283"/>
    <cellStyle name="asd 26 4 2 3" xfId="5004"/>
    <cellStyle name="asd 26 4 2 4" xfId="6454"/>
    <cellStyle name="asd 26 4 2 5" xfId="7905"/>
    <cellStyle name="asd 26 4 2 6" xfId="9815"/>
    <cellStyle name="asd 26 4 2 7" xfId="11181"/>
    <cellStyle name="asd 26 4 2 8" xfId="13990"/>
    <cellStyle name="asd 26 4 2 9" xfId="15891"/>
    <cellStyle name="asd 26 4 20" xfId="34912"/>
    <cellStyle name="asd 26 4 21" xfId="35108"/>
    <cellStyle name="asd 26 4 22" xfId="36986"/>
    <cellStyle name="asd 26 4 23" xfId="39632"/>
    <cellStyle name="asd 26 4 24" xfId="41306"/>
    <cellStyle name="asd 26 4 25" xfId="41751"/>
    <cellStyle name="asd 26 4 3" xfId="2117"/>
    <cellStyle name="asd 26 4 3 10" xfId="19020"/>
    <cellStyle name="asd 26 4 3 11" xfId="20932"/>
    <cellStyle name="asd 26 4 3 12" xfId="22520"/>
    <cellStyle name="asd 26 4 3 13" xfId="24734"/>
    <cellStyle name="asd 26 4 3 14" xfId="26568"/>
    <cellStyle name="asd 26 4 3 15" xfId="28056"/>
    <cellStyle name="asd 26 4 3 16" xfId="30170"/>
    <cellStyle name="asd 26 4 3 17" xfId="31971"/>
    <cellStyle name="asd 26 4 3 18" xfId="34385"/>
    <cellStyle name="asd 26 4 3 19" xfId="35561"/>
    <cellStyle name="asd 26 4 3 2" xfId="5525"/>
    <cellStyle name="asd 26 4 3 2 10" xfId="21775"/>
    <cellStyle name="asd 26 4 3 2 11" xfId="23166"/>
    <cellStyle name="asd 26 4 3 2 12" xfId="25577"/>
    <cellStyle name="asd 26 4 3 2 13" xfId="27033"/>
    <cellStyle name="asd 26 4 3 2 14" xfId="28936"/>
    <cellStyle name="asd 26 4 3 2 15" xfId="30626"/>
    <cellStyle name="asd 26 4 3 2 16" xfId="31917"/>
    <cellStyle name="asd 26 4 3 2 17" xfId="34047"/>
    <cellStyle name="asd 26 4 3 2 18" xfId="36404"/>
    <cellStyle name="asd 26 4 3 2 19" xfId="38283"/>
    <cellStyle name="asd 26 4 3 2 2" xfId="6974"/>
    <cellStyle name="asd 26 4 3 2 20" xfId="39149"/>
    <cellStyle name="asd 26 4 3 2 21" xfId="40830"/>
    <cellStyle name="asd 26 4 3 2 22" xfId="42944"/>
    <cellStyle name="asd 26 4 3 2 3" xfId="8428"/>
    <cellStyle name="asd 26 4 3 2 4" xfId="10338"/>
    <cellStyle name="asd 26 4 3 2 5" xfId="10978"/>
    <cellStyle name="asd 26 4 3 2 6" xfId="13637"/>
    <cellStyle name="asd 26 4 3 2 7" xfId="15540"/>
    <cellStyle name="asd 26 4 3 2 8" xfId="17957"/>
    <cellStyle name="asd 26 4 3 2 9" xfId="19863"/>
    <cellStyle name="asd 26 4 3 20" xfId="37440"/>
    <cellStyle name="asd 26 4 3 21" xfId="39201"/>
    <cellStyle name="asd 26 4 3 22" xfId="40882"/>
    <cellStyle name="asd 26 4 3 23" xfId="42330"/>
    <cellStyle name="asd 26 4 3 3" xfId="4687"/>
    <cellStyle name="asd 26 4 3 4" xfId="7585"/>
    <cellStyle name="asd 26 4 3 5" xfId="9495"/>
    <cellStyle name="asd 26 4 3 6" xfId="11388"/>
    <cellStyle name="asd 26 4 3 7" xfId="12988"/>
    <cellStyle name="asd 26 4 3 8" xfId="14892"/>
    <cellStyle name="asd 26 4 3 9" xfId="17114"/>
    <cellStyle name="asd 26 4 4" xfId="3995"/>
    <cellStyle name="asd 26 4 4 10" xfId="19630"/>
    <cellStyle name="asd 26 4 4 11" xfId="21542"/>
    <cellStyle name="asd 26 4 4 12" xfId="23414"/>
    <cellStyle name="asd 26 4 4 13" xfId="25344"/>
    <cellStyle name="asd 26 4 4 14" xfId="26897"/>
    <cellStyle name="asd 26 4 4 15" xfId="1895"/>
    <cellStyle name="asd 26 4 4 16" xfId="30493"/>
    <cellStyle name="asd 26 4 4 17" xfId="32906"/>
    <cellStyle name="asd 26 4 4 18" xfId="34954"/>
    <cellStyle name="asd 26 4 4 19" xfId="36171"/>
    <cellStyle name="asd 26 4 4 2" xfId="5900"/>
    <cellStyle name="asd 26 4 4 2 10" xfId="22150"/>
    <cellStyle name="asd 26 4 4 2 11" xfId="23109"/>
    <cellStyle name="asd 26 4 4 2 12" xfId="25952"/>
    <cellStyle name="asd 26 4 4 2 13" xfId="26176"/>
    <cellStyle name="asd 26 4 4 2 14" xfId="28372"/>
    <cellStyle name="asd 26 4 4 2 15" xfId="29789"/>
    <cellStyle name="asd 26 4 4 2 16" xfId="32751"/>
    <cellStyle name="asd 26 4 4 2 17" xfId="33396"/>
    <cellStyle name="asd 26 4 4 2 18" xfId="36779"/>
    <cellStyle name="asd 26 4 4 2 19" xfId="38658"/>
    <cellStyle name="asd 26 4 4 2 2" xfId="7349"/>
    <cellStyle name="asd 26 4 4 2 20" xfId="39960"/>
    <cellStyle name="asd 26 4 4 2 21" xfId="41624"/>
    <cellStyle name="asd 26 4 4 2 22" xfId="42889"/>
    <cellStyle name="asd 26 4 4 2 3" xfId="8803"/>
    <cellStyle name="asd 26 4 4 2 4" xfId="10713"/>
    <cellStyle name="asd 26 4 4 2 5" xfId="12724"/>
    <cellStyle name="asd 26 4 4 2 6" xfId="13580"/>
    <cellStyle name="asd 26 4 4 2 7" xfId="15483"/>
    <cellStyle name="asd 26 4 4 2 8" xfId="18332"/>
    <cellStyle name="asd 26 4 4 2 9" xfId="20238"/>
    <cellStyle name="asd 26 4 4 20" xfId="38050"/>
    <cellStyle name="asd 26 4 4 21" xfId="40110"/>
    <cellStyle name="asd 26 4 4 22" xfId="41770"/>
    <cellStyle name="asd 26 4 4 23" xfId="43181"/>
    <cellStyle name="asd 26 4 4 3" xfId="6741"/>
    <cellStyle name="asd 26 4 4 4" xfId="8195"/>
    <cellStyle name="asd 26 4 4 5" xfId="10105"/>
    <cellStyle name="asd 26 4 4 6" xfId="11621"/>
    <cellStyle name="asd 26 4 4 7" xfId="13886"/>
    <cellStyle name="asd 26 4 4 8" xfId="15787"/>
    <cellStyle name="asd 26 4 4 9" xfId="17724"/>
    <cellStyle name="asd 26 4 5" xfId="2161"/>
    <cellStyle name="asd 26 4 5 10" xfId="20566"/>
    <cellStyle name="asd 26 4 5 11" xfId="22768"/>
    <cellStyle name="asd 26 4 5 12" xfId="24368"/>
    <cellStyle name="asd 26 4 5 13" xfId="26415"/>
    <cellStyle name="asd 26 4 5 14" xfId="28950"/>
    <cellStyle name="asd 26 4 5 15" xfId="30022"/>
    <cellStyle name="asd 26 4 5 16" xfId="32981"/>
    <cellStyle name="asd 26 4 5 17" xfId="34522"/>
    <cellStyle name="asd 26 4 5 18" xfId="35196"/>
    <cellStyle name="asd 26 4 5 19" xfId="37074"/>
    <cellStyle name="asd 26 4 5 2" xfId="5235"/>
    <cellStyle name="asd 26 4 5 20" xfId="40182"/>
    <cellStyle name="asd 26 4 5 21" xfId="41841"/>
    <cellStyle name="asd 26 4 5 22" xfId="42563"/>
    <cellStyle name="asd 26 4 5 3" xfId="6139"/>
    <cellStyle name="asd 26 4 5 4" xfId="9128"/>
    <cellStyle name="asd 26 4 5 5" xfId="11685"/>
    <cellStyle name="asd 26 4 5 6" xfId="13237"/>
    <cellStyle name="asd 26 4 5 7" xfId="15140"/>
    <cellStyle name="asd 26 4 5 8" xfId="16747"/>
    <cellStyle name="asd 26 4 5 9" xfId="18654"/>
    <cellStyle name="asd 26 4 6" xfId="6128"/>
    <cellStyle name="asd 26 4 7" xfId="9040"/>
    <cellStyle name="asd 26 4 8" xfId="2352"/>
    <cellStyle name="asd 26 4 9" xfId="11093"/>
    <cellStyle name="asd 26 5" xfId="3249"/>
    <cellStyle name="asd 26 5 10" xfId="17282"/>
    <cellStyle name="asd 26 5 11" xfId="19188"/>
    <cellStyle name="asd 26 5 12" xfId="21100"/>
    <cellStyle name="asd 26 5 13" xfId="23230"/>
    <cellStyle name="asd 26 5 14" xfId="24902"/>
    <cellStyle name="asd 26 5 15" xfId="26199"/>
    <cellStyle name="asd 26 5 16" xfId="29057"/>
    <cellStyle name="asd 26 5 17" xfId="29812"/>
    <cellStyle name="asd 26 5 18" xfId="32531"/>
    <cellStyle name="asd 26 5 19" xfId="33525"/>
    <cellStyle name="asd 26 5 2" xfId="3274"/>
    <cellStyle name="asd 26 5 2 10" xfId="20602"/>
    <cellStyle name="asd 26 5 2 11" xfId="23594"/>
    <cellStyle name="asd 26 5 2 12" xfId="24404"/>
    <cellStyle name="asd 26 5 2 13" xfId="27007"/>
    <cellStyle name="asd 26 5 2 14" xfId="28800"/>
    <cellStyle name="asd 26 5 2 15" xfId="30600"/>
    <cellStyle name="asd 26 5 2 16" xfId="31842"/>
    <cellStyle name="asd 26 5 2 17" xfId="33770"/>
    <cellStyle name="asd 26 5 2 18" xfId="35232"/>
    <cellStyle name="asd 26 5 2 19" xfId="37110"/>
    <cellStyle name="asd 26 5 2 2" xfId="4375"/>
    <cellStyle name="asd 26 5 2 20" xfId="39079"/>
    <cellStyle name="asd 26 5 2 21" xfId="40760"/>
    <cellStyle name="asd 26 5 2 22" xfId="43353"/>
    <cellStyle name="asd 26 5 2 3" xfId="4480"/>
    <cellStyle name="asd 26 5 2 4" xfId="9164"/>
    <cellStyle name="asd 26 5 2 5" xfId="11339"/>
    <cellStyle name="asd 26 5 2 6" xfId="14064"/>
    <cellStyle name="asd 26 5 2 7" xfId="15967"/>
    <cellStyle name="asd 26 5 2 8" xfId="16783"/>
    <cellStyle name="asd 26 5 2 9" xfId="18690"/>
    <cellStyle name="asd 26 5 20" xfId="35729"/>
    <cellStyle name="asd 26 5 21" xfId="37608"/>
    <cellStyle name="asd 26 5 22" xfId="39744"/>
    <cellStyle name="asd 26 5 23" xfId="41416"/>
    <cellStyle name="asd 26 5 24" xfId="43007"/>
    <cellStyle name="asd 26 5 3" xfId="4852"/>
    <cellStyle name="asd 26 5 4" xfId="6302"/>
    <cellStyle name="asd 26 5 5" xfId="7753"/>
    <cellStyle name="asd 26 5 6" xfId="9663"/>
    <cellStyle name="asd 26 5 7" xfId="11114"/>
    <cellStyle name="asd 26 5 8" xfId="13702"/>
    <cellStyle name="asd 26 5 9" xfId="15604"/>
    <cellStyle name="asd 26 6" xfId="1801"/>
    <cellStyle name="asd 26 6 10" xfId="18968"/>
    <cellStyle name="asd 26 6 11" xfId="20880"/>
    <cellStyle name="asd 26 6 12" xfId="23599"/>
    <cellStyle name="asd 26 6 13" xfId="24682"/>
    <cellStyle name="asd 26 6 14" xfId="26328"/>
    <cellStyle name="asd 26 6 15" xfId="28072"/>
    <cellStyle name="asd 26 6 16" xfId="29936"/>
    <cellStyle name="asd 26 6 17" xfId="32274"/>
    <cellStyle name="asd 26 6 18" xfId="34213"/>
    <cellStyle name="asd 26 6 19" xfId="35509"/>
    <cellStyle name="asd 26 6 2" xfId="4381"/>
    <cellStyle name="asd 26 6 2 10" xfId="20624"/>
    <cellStyle name="asd 26 6 2 11" xfId="23067"/>
    <cellStyle name="asd 26 6 2 12" xfId="24426"/>
    <cellStyle name="asd 26 6 2 13" xfId="27058"/>
    <cellStyle name="asd 26 6 2 14" xfId="29433"/>
    <cellStyle name="asd 26 6 2 15" xfId="30650"/>
    <cellStyle name="asd 26 6 2 16" xfId="33056"/>
    <cellStyle name="asd 26 6 2 17" xfId="34388"/>
    <cellStyle name="asd 26 6 2 18" xfId="35254"/>
    <cellStyle name="asd 26 6 2 19" xfId="37132"/>
    <cellStyle name="asd 26 6 2 2" xfId="4383"/>
    <cellStyle name="asd 26 6 2 20" xfId="40253"/>
    <cellStyle name="asd 26 6 2 21" xfId="41911"/>
    <cellStyle name="asd 26 6 2 22" xfId="42850"/>
    <cellStyle name="asd 26 6 2 3" xfId="4273"/>
    <cellStyle name="asd 26 6 2 4" xfId="9186"/>
    <cellStyle name="asd 26 6 2 5" xfId="12673"/>
    <cellStyle name="asd 26 6 2 6" xfId="13538"/>
    <cellStyle name="asd 26 6 2 7" xfId="15441"/>
    <cellStyle name="asd 26 6 2 8" xfId="16805"/>
    <cellStyle name="asd 26 6 2 9" xfId="18712"/>
    <cellStyle name="asd 26 6 20" xfId="37388"/>
    <cellStyle name="asd 26 6 21" xfId="39492"/>
    <cellStyle name="asd 26 6 22" xfId="41167"/>
    <cellStyle name="asd 26 6 23" xfId="43358"/>
    <cellStyle name="asd 26 6 3" xfId="4636"/>
    <cellStyle name="asd 26 6 4" xfId="7533"/>
    <cellStyle name="asd 26 6 5" xfId="9443"/>
    <cellStyle name="asd 26 6 6" xfId="12397"/>
    <cellStyle name="asd 26 6 7" xfId="14069"/>
    <cellStyle name="asd 26 6 8" xfId="15972"/>
    <cellStyle name="asd 26 6 9" xfId="17062"/>
    <cellStyle name="asd 26 7" xfId="3344"/>
    <cellStyle name="asd 26 7 10" xfId="19201"/>
    <cellStyle name="asd 26 7 11" xfId="21113"/>
    <cellStyle name="asd 26 7 12" xfId="22905"/>
    <cellStyle name="asd 26 7 13" xfId="24915"/>
    <cellStyle name="asd 26 7 14" xfId="27092"/>
    <cellStyle name="asd 26 7 15" xfId="28870"/>
    <cellStyle name="asd 26 7 16" xfId="30683"/>
    <cellStyle name="asd 26 7 17" xfId="31865"/>
    <cellStyle name="asd 26 7 18" xfId="34970"/>
    <cellStyle name="asd 26 7 19" xfId="35742"/>
    <cellStyle name="asd 26 7 2" xfId="5470"/>
    <cellStyle name="asd 26 7 2 10" xfId="21720"/>
    <cellStyle name="asd 26 7 2 11" xfId="23827"/>
    <cellStyle name="asd 26 7 2 12" xfId="25522"/>
    <cellStyle name="asd 26 7 2 13" xfId="27432"/>
    <cellStyle name="asd 26 7 2 14" xfId="28452"/>
    <cellStyle name="asd 26 7 2 15" xfId="31018"/>
    <cellStyle name="asd 26 7 2 16" xfId="32638"/>
    <cellStyle name="asd 26 7 2 17" xfId="34420"/>
    <cellStyle name="asd 26 7 2 18" xfId="36349"/>
    <cellStyle name="asd 26 7 2 19" xfId="38228"/>
    <cellStyle name="asd 26 7 2 2" xfId="6919"/>
    <cellStyle name="asd 26 7 2 20" xfId="39845"/>
    <cellStyle name="asd 26 7 2 21" xfId="41514"/>
    <cellStyle name="asd 26 7 2 22" xfId="43578"/>
    <cellStyle name="asd 26 7 2 3" xfId="8373"/>
    <cellStyle name="asd 26 7 2 4" xfId="10283"/>
    <cellStyle name="asd 26 7 2 5" xfId="11598"/>
    <cellStyle name="asd 26 7 2 6" xfId="14297"/>
    <cellStyle name="asd 26 7 2 7" xfId="16201"/>
    <cellStyle name="asd 26 7 2 8" xfId="17902"/>
    <cellStyle name="asd 26 7 2 9" xfId="19808"/>
    <cellStyle name="asd 26 7 20" xfId="37621"/>
    <cellStyle name="asd 26 7 21" xfId="39100"/>
    <cellStyle name="asd 26 7 22" xfId="40781"/>
    <cellStyle name="asd 26 7 23" xfId="42691"/>
    <cellStyle name="asd 26 7 3" xfId="6315"/>
    <cellStyle name="asd 26 7 4" xfId="7766"/>
    <cellStyle name="asd 26 7 5" xfId="9676"/>
    <cellStyle name="asd 26 7 6" xfId="12356"/>
    <cellStyle name="asd 26 7 7" xfId="13373"/>
    <cellStyle name="asd 26 7 8" xfId="15278"/>
    <cellStyle name="asd 26 7 9" xfId="17295"/>
    <cellStyle name="asd 26 8" xfId="2638"/>
    <cellStyle name="asd 26 9" xfId="3832"/>
    <cellStyle name="asd 27" xfId="878"/>
    <cellStyle name="asd 27 10" xfId="2995"/>
    <cellStyle name="asd 27 11" xfId="12779"/>
    <cellStyle name="asd 27 12" xfId="14686"/>
    <cellStyle name="asd 27 13" xfId="11422"/>
    <cellStyle name="asd 27 14" xfId="1873"/>
    <cellStyle name="asd 27 15" xfId="2048"/>
    <cellStyle name="asd 27 16" xfId="22318"/>
    <cellStyle name="asd 27 17" xfId="18492"/>
    <cellStyle name="asd 27 18" xfId="3941"/>
    <cellStyle name="asd 27 19" xfId="2444"/>
    <cellStyle name="asd 27 2" xfId="3423"/>
    <cellStyle name="asd 27 2 10" xfId="13268"/>
    <cellStyle name="asd 27 2 11" xfId="15172"/>
    <cellStyle name="asd 27 2 12" xfId="16795"/>
    <cellStyle name="asd 27 2 13" xfId="18702"/>
    <cellStyle name="asd 27 2 14" xfId="20614"/>
    <cellStyle name="asd 27 2 15" xfId="22799"/>
    <cellStyle name="asd 27 2 16" xfId="24416"/>
    <cellStyle name="asd 27 2 17" xfId="26307"/>
    <cellStyle name="asd 27 2 18" xfId="27984"/>
    <cellStyle name="asd 27 2 19" xfId="29916"/>
    <cellStyle name="asd 27 2 2" xfId="3603"/>
    <cellStyle name="asd 27 2 2 10" xfId="17494"/>
    <cellStyle name="asd 27 2 2 11" xfId="19400"/>
    <cellStyle name="asd 27 2 2 12" xfId="21312"/>
    <cellStyle name="asd 27 2 2 13" xfId="22616"/>
    <cellStyle name="asd 27 2 2 14" xfId="25114"/>
    <cellStyle name="asd 27 2 2 15" xfId="26587"/>
    <cellStyle name="asd 27 2 2 16" xfId="29718"/>
    <cellStyle name="asd 27 2 2 17" xfId="30189"/>
    <cellStyle name="asd 27 2 2 18" xfId="33234"/>
    <cellStyle name="asd 27 2 2 19" xfId="34266"/>
    <cellStyle name="asd 27 2 2 2" xfId="4438"/>
    <cellStyle name="asd 27 2 2 2 10" xfId="20683"/>
    <cellStyle name="asd 27 2 2 2 11" xfId="23484"/>
    <cellStyle name="asd 27 2 2 2 12" xfId="24485"/>
    <cellStyle name="asd 27 2 2 2 13" xfId="27195"/>
    <cellStyle name="asd 27 2 2 2 14" xfId="28419"/>
    <cellStyle name="asd 27 2 2 2 15" xfId="30786"/>
    <cellStyle name="asd 27 2 2 2 16" xfId="32684"/>
    <cellStyle name="asd 27 2 2 2 17" xfId="34132"/>
    <cellStyle name="asd 27 2 2 2 18" xfId="35313"/>
    <cellStyle name="asd 27 2 2 2 19" xfId="37191"/>
    <cellStyle name="asd 27 2 2 2 2" xfId="5421"/>
    <cellStyle name="asd 27 2 2 2 20" xfId="39892"/>
    <cellStyle name="asd 27 2 2 2 21" xfId="41561"/>
    <cellStyle name="asd 27 2 2 2 22" xfId="43250"/>
    <cellStyle name="asd 27 2 2 2 3" xfId="6094"/>
    <cellStyle name="asd 27 2 2 2 4" xfId="9245"/>
    <cellStyle name="asd 27 2 2 2 5" xfId="12590"/>
    <cellStyle name="asd 27 2 2 2 6" xfId="13956"/>
    <cellStyle name="asd 27 2 2 2 7" xfId="15857"/>
    <cellStyle name="asd 27 2 2 2 8" xfId="16864"/>
    <cellStyle name="asd 27 2 2 2 9" xfId="18771"/>
    <cellStyle name="asd 27 2 2 20" xfId="35941"/>
    <cellStyle name="asd 27 2 2 21" xfId="37820"/>
    <cellStyle name="asd 27 2 2 22" xfId="40423"/>
    <cellStyle name="asd 27 2 2 23" xfId="42079"/>
    <cellStyle name="asd 27 2 2 24" xfId="42422"/>
    <cellStyle name="asd 27 2 2 3" xfId="5064"/>
    <cellStyle name="asd 27 2 2 4" xfId="6514"/>
    <cellStyle name="asd 27 2 2 5" xfId="7965"/>
    <cellStyle name="asd 27 2 2 6" xfId="9875"/>
    <cellStyle name="asd 27 2 2 7" xfId="11850"/>
    <cellStyle name="asd 27 2 2 8" xfId="13083"/>
    <cellStyle name="asd 27 2 2 9" xfId="14988"/>
    <cellStyle name="asd 27 2 20" xfId="31992"/>
    <cellStyle name="asd 27 2 21" xfId="2677"/>
    <cellStyle name="asd 27 2 22" xfId="35244"/>
    <cellStyle name="asd 27 2 23" xfId="37122"/>
    <cellStyle name="asd 27 2 24" xfId="39223"/>
    <cellStyle name="asd 27 2 25" xfId="40901"/>
    <cellStyle name="asd 27 2 26" xfId="42592"/>
    <cellStyle name="asd 27 2 3" xfId="3040"/>
    <cellStyle name="asd 27 2 3 10" xfId="19144"/>
    <cellStyle name="asd 27 2 3 11" xfId="21056"/>
    <cellStyle name="asd 27 2 3 12" xfId="22916"/>
    <cellStyle name="asd 27 2 3 13" xfId="24858"/>
    <cellStyle name="asd 27 2 3 14" xfId="27226"/>
    <cellStyle name="asd 27 2 3 15" xfId="29098"/>
    <cellStyle name="asd 27 2 3 16" xfId="30817"/>
    <cellStyle name="asd 27 2 3 17" xfId="32956"/>
    <cellStyle name="asd 27 2 3 18" xfId="34292"/>
    <cellStyle name="asd 27 2 3 19" xfId="35685"/>
    <cellStyle name="asd 27 2 3 2" xfId="5577"/>
    <cellStyle name="asd 27 2 3 2 10" xfId="21827"/>
    <cellStyle name="asd 27 2 3 2 11" xfId="22548"/>
    <cellStyle name="asd 27 2 3 2 12" xfId="25629"/>
    <cellStyle name="asd 27 2 3 2 13" xfId="5419"/>
    <cellStyle name="asd 27 2 3 2 14" xfId="20433"/>
    <cellStyle name="asd 27 2 3 2 15" xfId="2923"/>
    <cellStyle name="asd 27 2 3 2 16" xfId="3265"/>
    <cellStyle name="asd 27 2 3 2 17" xfId="2646"/>
    <cellStyle name="asd 27 2 3 2 18" xfId="36456"/>
    <cellStyle name="asd 27 2 3 2 19" xfId="38335"/>
    <cellStyle name="asd 27 2 3 2 2" xfId="7026"/>
    <cellStyle name="asd 27 2 3 2 20" xfId="20424"/>
    <cellStyle name="asd 27 2 3 2 21" xfId="33361"/>
    <cellStyle name="asd 27 2 3 2 22" xfId="42357"/>
    <cellStyle name="asd 27 2 3 2 3" xfId="8480"/>
    <cellStyle name="asd 27 2 3 2 4" xfId="10390"/>
    <cellStyle name="asd 27 2 3 2 5" xfId="3032"/>
    <cellStyle name="asd 27 2 3 2 6" xfId="13016"/>
    <cellStyle name="asd 27 2 3 2 7" xfId="14920"/>
    <cellStyle name="asd 27 2 3 2 8" xfId="18009"/>
    <cellStyle name="asd 27 2 3 2 9" xfId="19915"/>
    <cellStyle name="asd 27 2 3 20" xfId="37564"/>
    <cellStyle name="asd 27 2 3 21" xfId="40158"/>
    <cellStyle name="asd 27 2 3 22" xfId="41817"/>
    <cellStyle name="asd 27 2 3 23" xfId="42702"/>
    <cellStyle name="asd 27 2 3 3" xfId="4808"/>
    <cellStyle name="asd 27 2 3 4" xfId="7709"/>
    <cellStyle name="asd 27 2 3 5" xfId="9619"/>
    <cellStyle name="asd 27 2 3 6" xfId="12475"/>
    <cellStyle name="asd 27 2 3 7" xfId="13384"/>
    <cellStyle name="asd 27 2 3 8" xfId="15289"/>
    <cellStyle name="asd 27 2 3 9" xfId="17238"/>
    <cellStyle name="asd 27 2 4" xfId="4055"/>
    <cellStyle name="asd 27 2 4 10" xfId="19690"/>
    <cellStyle name="asd 27 2 4 11" xfId="21602"/>
    <cellStyle name="asd 27 2 4 12" xfId="23710"/>
    <cellStyle name="asd 27 2 4 13" xfId="25404"/>
    <cellStyle name="asd 27 2 4 14" xfId="26836"/>
    <cellStyle name="asd 27 2 4 15" xfId="28515"/>
    <cellStyle name="asd 27 2 4 16" xfId="30434"/>
    <cellStyle name="asd 27 2 4 17" xfId="31906"/>
    <cellStyle name="asd 27 2 4 18" xfId="33929"/>
    <cellStyle name="asd 27 2 4 19" xfId="36231"/>
    <cellStyle name="asd 27 2 4 2" xfId="5960"/>
    <cellStyle name="asd 27 2 4 2 10" xfId="22210"/>
    <cellStyle name="asd 27 2 4 2 11" xfId="22501"/>
    <cellStyle name="asd 27 2 4 2 12" xfId="26012"/>
    <cellStyle name="asd 27 2 4 2 13" xfId="26875"/>
    <cellStyle name="asd 27 2 4 2 14" xfId="28156"/>
    <cellStyle name="asd 27 2 4 2 15" xfId="30471"/>
    <cellStyle name="asd 27 2 4 2 16" xfId="32220"/>
    <cellStyle name="asd 27 2 4 2 17" xfId="33917"/>
    <cellStyle name="asd 27 2 4 2 18" xfId="36839"/>
    <cellStyle name="asd 27 2 4 2 19" xfId="38718"/>
    <cellStyle name="asd 27 2 4 2 2" xfId="7409"/>
    <cellStyle name="asd 27 2 4 2 20" xfId="39439"/>
    <cellStyle name="asd 27 2 4 2 21" xfId="41115"/>
    <cellStyle name="asd 27 2 4 2 22" xfId="42311"/>
    <cellStyle name="asd 27 2 4 2 3" xfId="8863"/>
    <cellStyle name="asd 27 2 4 2 4" xfId="10773"/>
    <cellStyle name="asd 27 2 4 2 5" xfId="11381"/>
    <cellStyle name="asd 27 2 4 2 6" xfId="12969"/>
    <cellStyle name="asd 27 2 4 2 7" xfId="14873"/>
    <cellStyle name="asd 27 2 4 2 8" xfId="18392"/>
    <cellStyle name="asd 27 2 4 2 9" xfId="20298"/>
    <cellStyle name="asd 27 2 4 20" xfId="38110"/>
    <cellStyle name="asd 27 2 4 21" xfId="39138"/>
    <cellStyle name="asd 27 2 4 22" xfId="40819"/>
    <cellStyle name="asd 27 2 4 23" xfId="43467"/>
    <cellStyle name="asd 27 2 4 3" xfId="6801"/>
    <cellStyle name="asd 27 2 4 4" xfId="8255"/>
    <cellStyle name="asd 27 2 4 5" xfId="10165"/>
    <cellStyle name="asd 27 2 4 6" xfId="11483"/>
    <cellStyle name="asd 27 2 4 7" xfId="14180"/>
    <cellStyle name="asd 27 2 4 8" xfId="16084"/>
    <cellStyle name="asd 27 2 4 9" xfId="17784"/>
    <cellStyle name="asd 27 2 5" xfId="4916"/>
    <cellStyle name="asd 27 2 5 10" xfId="21164"/>
    <cellStyle name="asd 27 2 5 11" xfId="23363"/>
    <cellStyle name="asd 27 2 5 12" xfId="24966"/>
    <cellStyle name="asd 27 2 5 13" xfId="26970"/>
    <cellStyle name="asd 27 2 5 14" xfId="29483"/>
    <cellStyle name="asd 27 2 5 15" xfId="30564"/>
    <cellStyle name="asd 27 2 5 16" xfId="33331"/>
    <cellStyle name="asd 27 2 5 17" xfId="18507"/>
    <cellStyle name="asd 27 2 5 18" xfId="35793"/>
    <cellStyle name="asd 27 2 5 19" xfId="37672"/>
    <cellStyle name="asd 27 2 5 2" xfId="6366"/>
    <cellStyle name="asd 27 2 5 20" xfId="40511"/>
    <cellStyle name="asd 27 2 5 21" xfId="42163"/>
    <cellStyle name="asd 27 2 5 22" xfId="43133"/>
    <cellStyle name="asd 27 2 5 3" xfId="7817"/>
    <cellStyle name="asd 27 2 5 4" xfId="9727"/>
    <cellStyle name="asd 27 2 5 5" xfId="12345"/>
    <cellStyle name="asd 27 2 5 6" xfId="13835"/>
    <cellStyle name="asd 27 2 5 7" xfId="15737"/>
    <cellStyle name="asd 27 2 5 8" xfId="17346"/>
    <cellStyle name="asd 27 2 5 9" xfId="19252"/>
    <cellStyle name="asd 27 2 6" xfId="5699"/>
    <cellStyle name="asd 27 2 6 10" xfId="21949"/>
    <cellStyle name="asd 27 2 6 11" xfId="23299"/>
    <cellStyle name="asd 27 2 6 12" xfId="25751"/>
    <cellStyle name="asd 27 2 6 13" xfId="24247"/>
    <cellStyle name="asd 27 2 6 14" xfId="2180"/>
    <cellStyle name="asd 27 2 6 15" xfId="2377"/>
    <cellStyle name="asd 27 2 6 16" xfId="22328"/>
    <cellStyle name="asd 27 2 6 17" xfId="16602"/>
    <cellStyle name="asd 27 2 6 18" xfId="36578"/>
    <cellStyle name="asd 27 2 6 19" xfId="38457"/>
    <cellStyle name="asd 27 2 6 2" xfId="7148"/>
    <cellStyle name="asd 27 2 6 20" xfId="34933"/>
    <cellStyle name="asd 27 2 6 21" xfId="29028"/>
    <cellStyle name="asd 27 2 6 22" xfId="43071"/>
    <cellStyle name="asd 27 2 6 3" xfId="8602"/>
    <cellStyle name="asd 27 2 6 4" xfId="10512"/>
    <cellStyle name="asd 27 2 6 5" xfId="11277"/>
    <cellStyle name="asd 27 2 6 6" xfId="13771"/>
    <cellStyle name="asd 27 2 6 7" xfId="15673"/>
    <cellStyle name="asd 27 2 6 8" xfId="18131"/>
    <cellStyle name="asd 27 2 6 9" xfId="20037"/>
    <cellStyle name="asd 27 2 7" xfId="6617"/>
    <cellStyle name="asd 27 2 8" xfId="9176"/>
    <cellStyle name="asd 27 2 9" xfId="10934"/>
    <cellStyle name="asd 27 20" xfId="3907"/>
    <cellStyle name="asd 27 21" xfId="1906"/>
    <cellStyle name="asd 27 22" xfId="3132"/>
    <cellStyle name="asd 27 23" xfId="24185"/>
    <cellStyle name="asd 27 24" xfId="2292"/>
    <cellStyle name="asd 27 25" xfId="24252"/>
    <cellStyle name="asd 27 26" xfId="27367"/>
    <cellStyle name="asd 27 27" xfId="42166"/>
    <cellStyle name="asd 27 3" xfId="3362"/>
    <cellStyle name="asd 27 3 10" xfId="13768"/>
    <cellStyle name="asd 27 3 11" xfId="15670"/>
    <cellStyle name="asd 27 3 12" xfId="16655"/>
    <cellStyle name="asd 27 3 13" xfId="18562"/>
    <cellStyle name="asd 27 3 14" xfId="20474"/>
    <cellStyle name="asd 27 3 15" xfId="23296"/>
    <cellStyle name="asd 27 3 16" xfId="24276"/>
    <cellStyle name="asd 27 3 17" xfId="26335"/>
    <cellStyle name="asd 27 3 18" xfId="29522"/>
    <cellStyle name="asd 27 3 19" xfId="29943"/>
    <cellStyle name="asd 27 3 2" xfId="3542"/>
    <cellStyle name="asd 27 3 2 10" xfId="17433"/>
    <cellStyle name="asd 27 3 2 11" xfId="19339"/>
    <cellStyle name="asd 27 3 2 12" xfId="21251"/>
    <cellStyle name="asd 27 3 2 13" xfId="24121"/>
    <cellStyle name="asd 27 3 2 14" xfId="25053"/>
    <cellStyle name="asd 27 3 2 15" xfId="26599"/>
    <cellStyle name="asd 27 3 2 16" xfId="28441"/>
    <cellStyle name="asd 27 3 2 17" xfId="30201"/>
    <cellStyle name="asd 27 3 2 18" xfId="32008"/>
    <cellStyle name="asd 27 3 2 19" xfId="34421"/>
    <cellStyle name="asd 27 3 2 2" xfId="5469"/>
    <cellStyle name="asd 27 3 2 2 10" xfId="21719"/>
    <cellStyle name="asd 27 3 2 2 11" xfId="22492"/>
    <cellStyle name="asd 27 3 2 2 12" xfId="25521"/>
    <cellStyle name="asd 27 3 2 2 13" xfId="27772"/>
    <cellStyle name="asd 27 3 2 2 14" xfId="2976"/>
    <cellStyle name="asd 27 3 2 2 15" xfId="31350"/>
    <cellStyle name="asd 27 3 2 2 16" xfId="32776"/>
    <cellStyle name="asd 27 3 2 2 17" xfId="34965"/>
    <cellStyle name="asd 27 3 2 2 18" xfId="36348"/>
    <cellStyle name="asd 27 3 2 2 19" xfId="38227"/>
    <cellStyle name="asd 27 3 2 2 2" xfId="6918"/>
    <cellStyle name="asd 27 3 2 2 20" xfId="39985"/>
    <cellStyle name="asd 27 3 2 2 21" xfId="41649"/>
    <cellStyle name="asd 27 3 2 2 22" xfId="42302"/>
    <cellStyle name="asd 27 3 2 2 3" xfId="8372"/>
    <cellStyle name="asd 27 3 2 2 4" xfId="10282"/>
    <cellStyle name="asd 27 3 2 2 5" xfId="12389"/>
    <cellStyle name="asd 27 3 2 2 6" xfId="12960"/>
    <cellStyle name="asd 27 3 2 2 7" xfId="14864"/>
    <cellStyle name="asd 27 3 2 2 8" xfId="17901"/>
    <cellStyle name="asd 27 3 2 2 9" xfId="19807"/>
    <cellStyle name="asd 27 3 2 20" xfId="35880"/>
    <cellStyle name="asd 27 3 2 21" xfId="37759"/>
    <cellStyle name="asd 27 3 2 22" xfId="39239"/>
    <cellStyle name="asd 27 3 2 23" xfId="40916"/>
    <cellStyle name="asd 27 3 2 24" xfId="43864"/>
    <cellStyle name="asd 27 3 2 3" xfId="5003"/>
    <cellStyle name="asd 27 3 2 4" xfId="6453"/>
    <cellStyle name="asd 27 3 2 5" xfId="7904"/>
    <cellStyle name="asd 27 3 2 6" xfId="9814"/>
    <cellStyle name="asd 27 3 2 7" xfId="12081"/>
    <cellStyle name="asd 27 3 2 8" xfId="14592"/>
    <cellStyle name="asd 27 3 2 9" xfId="16498"/>
    <cellStyle name="asd 27 3 20" xfId="31755"/>
    <cellStyle name="asd 27 3 21" xfId="33384"/>
    <cellStyle name="asd 27 3 22" xfId="35104"/>
    <cellStyle name="asd 27 3 23" xfId="36982"/>
    <cellStyle name="asd 27 3 24" xfId="38995"/>
    <cellStyle name="asd 27 3 25" xfId="40678"/>
    <cellStyle name="asd 27 3 26" xfId="43069"/>
    <cellStyle name="asd 27 3 3" xfId="3866"/>
    <cellStyle name="asd 27 3 3 10" xfId="19580"/>
    <cellStyle name="asd 27 3 3 11" xfId="21492"/>
    <cellStyle name="asd 27 3 3 12" xfId="23559"/>
    <cellStyle name="asd 27 3 3 13" xfId="25294"/>
    <cellStyle name="asd 27 3 3 14" xfId="26590"/>
    <cellStyle name="asd 27 3 3 15" xfId="28344"/>
    <cellStyle name="asd 27 3 3 16" xfId="30192"/>
    <cellStyle name="asd 27 3 3 17" xfId="32168"/>
    <cellStyle name="asd 27 3 3 18" xfId="34512"/>
    <cellStyle name="asd 27 3 3 19" xfId="36121"/>
    <cellStyle name="asd 27 3 3 2" xfId="5850"/>
    <cellStyle name="asd 27 3 3 2 10" xfId="22100"/>
    <cellStyle name="asd 27 3 3 2 11" xfId="24058"/>
    <cellStyle name="asd 27 3 3 2 12" xfId="25902"/>
    <cellStyle name="asd 27 3 3 2 13" xfId="26786"/>
    <cellStyle name="asd 27 3 3 2 14" xfId="6286"/>
    <cellStyle name="asd 27 3 3 2 15" xfId="30385"/>
    <cellStyle name="asd 27 3 3 2 16" xfId="32596"/>
    <cellStyle name="asd 27 3 3 2 17" xfId="35023"/>
    <cellStyle name="asd 27 3 3 2 18" xfId="36729"/>
    <cellStyle name="asd 27 3 3 2 19" xfId="38608"/>
    <cellStyle name="asd 27 3 3 2 2" xfId="7299"/>
    <cellStyle name="asd 27 3 3 2 20" xfId="39807"/>
    <cellStyle name="asd 27 3 3 2 21" xfId="41476"/>
    <cellStyle name="asd 27 3 3 2 22" xfId="43802"/>
    <cellStyle name="asd 27 3 3 2 3" xfId="8753"/>
    <cellStyle name="asd 27 3 3 2 4" xfId="10663"/>
    <cellStyle name="asd 27 3 3 2 5" xfId="12017"/>
    <cellStyle name="asd 27 3 3 2 6" xfId="14528"/>
    <cellStyle name="asd 27 3 3 2 7" xfId="16434"/>
    <cellStyle name="asd 27 3 3 2 8" xfId="18282"/>
    <cellStyle name="asd 27 3 3 2 9" xfId="20188"/>
    <cellStyle name="asd 27 3 3 20" xfId="38000"/>
    <cellStyle name="asd 27 3 3 21" xfId="39390"/>
    <cellStyle name="asd 27 3 3 22" xfId="41066"/>
    <cellStyle name="asd 27 3 3 23" xfId="43323"/>
    <cellStyle name="asd 27 3 3 3" xfId="5244"/>
    <cellStyle name="asd 27 3 3 4" xfId="8145"/>
    <cellStyle name="asd 27 3 3 5" xfId="10055"/>
    <cellStyle name="asd 27 3 3 6" xfId="12497"/>
    <cellStyle name="asd 27 3 3 7" xfId="14031"/>
    <cellStyle name="asd 27 3 3 8" xfId="15932"/>
    <cellStyle name="asd 27 3 3 9" xfId="17674"/>
    <cellStyle name="asd 27 3 4" xfId="3994"/>
    <cellStyle name="asd 27 3 4 10" xfId="19629"/>
    <cellStyle name="asd 27 3 4 11" xfId="21541"/>
    <cellStyle name="asd 27 3 4 12" xfId="24018"/>
    <cellStyle name="asd 27 3 4 13" xfId="25343"/>
    <cellStyle name="asd 27 3 4 14" xfId="26502"/>
    <cellStyle name="asd 27 3 4 15" xfId="29048"/>
    <cellStyle name="asd 27 3 4 16" xfId="30108"/>
    <cellStyle name="asd 27 3 4 17" xfId="32528"/>
    <cellStyle name="asd 27 3 4 18" xfId="34335"/>
    <cellStyle name="asd 27 3 4 19" xfId="36170"/>
    <cellStyle name="asd 27 3 4 2" xfId="5899"/>
    <cellStyle name="asd 27 3 4 2 10" xfId="22149"/>
    <cellStyle name="asd 27 3 4 2 11" xfId="22483"/>
    <cellStyle name="asd 27 3 4 2 12" xfId="25951"/>
    <cellStyle name="asd 27 3 4 2 13" xfId="27415"/>
    <cellStyle name="asd 27 3 4 2 14" xfId="28803"/>
    <cellStyle name="asd 27 3 4 2 15" xfId="31001"/>
    <cellStyle name="asd 27 3 4 2 16" xfId="32785"/>
    <cellStyle name="asd 27 3 4 2 17" xfId="34938"/>
    <cellStyle name="asd 27 3 4 2 18" xfId="36778"/>
    <cellStyle name="asd 27 3 4 2 19" xfId="38657"/>
    <cellStyle name="asd 27 3 4 2 2" xfId="7348"/>
    <cellStyle name="asd 27 3 4 2 20" xfId="39994"/>
    <cellStyle name="asd 27 3 4 2 21" xfId="41658"/>
    <cellStyle name="asd 27 3 4 2 22" xfId="42293"/>
    <cellStyle name="asd 27 3 4 2 3" xfId="8802"/>
    <cellStyle name="asd 27 3 4 2 4" xfId="10712"/>
    <cellStyle name="asd 27 3 4 2 5" xfId="11676"/>
    <cellStyle name="asd 27 3 4 2 6" xfId="12951"/>
    <cellStyle name="asd 27 3 4 2 7" xfId="14855"/>
    <cellStyle name="asd 27 3 4 2 8" xfId="18331"/>
    <cellStyle name="asd 27 3 4 2 9" xfId="20237"/>
    <cellStyle name="asd 27 3 4 20" xfId="38049"/>
    <cellStyle name="asd 27 3 4 21" xfId="39741"/>
    <cellStyle name="asd 27 3 4 22" xfId="41413"/>
    <cellStyle name="asd 27 3 4 23" xfId="43762"/>
    <cellStyle name="asd 27 3 4 3" xfId="6740"/>
    <cellStyle name="asd 27 3 4 4" xfId="8194"/>
    <cellStyle name="asd 27 3 4 5" xfId="10104"/>
    <cellStyle name="asd 27 3 4 6" xfId="11977"/>
    <cellStyle name="asd 27 3 4 7" xfId="14488"/>
    <cellStyle name="asd 27 3 4 8" xfId="16394"/>
    <cellStyle name="asd 27 3 4 9" xfId="17723"/>
    <cellStyle name="asd 27 3 5" xfId="4872"/>
    <cellStyle name="asd 27 3 5 10" xfId="21120"/>
    <cellStyle name="asd 27 3 5 11" xfId="23485"/>
    <cellStyle name="asd 27 3 5 12" xfId="24922"/>
    <cellStyle name="asd 27 3 5 13" xfId="27402"/>
    <cellStyle name="asd 27 3 5 14" xfId="29584"/>
    <cellStyle name="asd 27 3 5 15" xfId="30988"/>
    <cellStyle name="asd 27 3 5 16" xfId="31925"/>
    <cellStyle name="asd 27 3 5 17" xfId="33551"/>
    <cellStyle name="asd 27 3 5 18" xfId="35749"/>
    <cellStyle name="asd 27 3 5 19" xfId="37628"/>
    <cellStyle name="asd 27 3 5 2" xfId="6322"/>
    <cellStyle name="asd 27 3 5 20" xfId="39156"/>
    <cellStyle name="asd 27 3 5 21" xfId="40837"/>
    <cellStyle name="asd 27 3 5 22" xfId="43251"/>
    <cellStyle name="asd 27 3 5 3" xfId="7773"/>
    <cellStyle name="asd 27 3 5 4" xfId="9683"/>
    <cellStyle name="asd 27 3 5 5" xfId="12571"/>
    <cellStyle name="asd 27 3 5 6" xfId="13957"/>
    <cellStyle name="asd 27 3 5 7" xfId="15858"/>
    <cellStyle name="asd 27 3 5 8" xfId="17302"/>
    <cellStyle name="asd 27 3 5 9" xfId="19208"/>
    <cellStyle name="asd 27 3 6" xfId="5627"/>
    <cellStyle name="asd 27 3 6 10" xfId="21877"/>
    <cellStyle name="asd 27 3 6 11" xfId="23117"/>
    <cellStyle name="asd 27 3 6 12" xfId="25679"/>
    <cellStyle name="asd 27 3 6 13" xfId="27639"/>
    <cellStyle name="asd 27 3 6 14" xfId="28426"/>
    <cellStyle name="asd 27 3 6 15" xfId="31216"/>
    <cellStyle name="asd 27 3 6 16" xfId="31604"/>
    <cellStyle name="asd 27 3 6 17" xfId="34815"/>
    <cellStyle name="asd 27 3 6 18" xfId="36506"/>
    <cellStyle name="asd 27 3 6 19" xfId="38385"/>
    <cellStyle name="asd 27 3 6 2" xfId="7076"/>
    <cellStyle name="asd 27 3 6 20" xfId="38851"/>
    <cellStyle name="asd 27 3 6 21" xfId="40537"/>
    <cellStyle name="asd 27 3 6 22" xfId="42897"/>
    <cellStyle name="asd 27 3 6 3" xfId="8530"/>
    <cellStyle name="asd 27 3 6 4" xfId="10440"/>
    <cellStyle name="asd 27 3 6 5" xfId="12734"/>
    <cellStyle name="asd 27 3 6 6" xfId="13588"/>
    <cellStyle name="asd 27 3 6 7" xfId="15491"/>
    <cellStyle name="asd 27 3 6 8" xfId="18059"/>
    <cellStyle name="asd 27 3 6 9" xfId="19965"/>
    <cellStyle name="asd 27 3 7" xfId="4284"/>
    <cellStyle name="asd 27 3 8" xfId="9036"/>
    <cellStyle name="asd 27 3 9" xfId="11266"/>
    <cellStyle name="asd 27 4" xfId="3372"/>
    <cellStyle name="asd 27 4 10" xfId="14854"/>
    <cellStyle name="asd 27 4 11" xfId="16680"/>
    <cellStyle name="asd 27 4 12" xfId="18587"/>
    <cellStyle name="asd 27 4 13" xfId="20499"/>
    <cellStyle name="asd 27 4 14" xfId="22482"/>
    <cellStyle name="asd 27 4 15" xfId="24301"/>
    <cellStyle name="asd 27 4 16" xfId="18516"/>
    <cellStyle name="asd 27 4 17" xfId="28618"/>
    <cellStyle name="asd 27 4 18" xfId="28996"/>
    <cellStyle name="asd 27 4 19" xfId="29745"/>
    <cellStyle name="asd 27 4 2" xfId="3552"/>
    <cellStyle name="asd 27 4 2 10" xfId="17443"/>
    <cellStyle name="asd 27 4 2 11" xfId="19349"/>
    <cellStyle name="asd 27 4 2 12" xfId="21261"/>
    <cellStyle name="asd 27 4 2 13" xfId="23528"/>
    <cellStyle name="asd 27 4 2 14" xfId="25063"/>
    <cellStyle name="asd 27 4 2 15" xfId="27096"/>
    <cellStyle name="asd 27 4 2 16" xfId="29081"/>
    <cellStyle name="asd 27 4 2 17" xfId="30687"/>
    <cellStyle name="asd 27 4 2 18" xfId="31601"/>
    <cellStyle name="asd 27 4 2 19" xfId="33606"/>
    <cellStyle name="asd 27 4 2 2" xfId="4481"/>
    <cellStyle name="asd 27 4 2 2 10" xfId="20726"/>
    <cellStyle name="asd 27 4 2 2 11" xfId="23965"/>
    <cellStyle name="asd 27 4 2 2 12" xfId="24528"/>
    <cellStyle name="asd 27 4 2 2 13" xfId="27720"/>
    <cellStyle name="asd 27 4 2 2 14" xfId="28421"/>
    <cellStyle name="asd 27 4 2 2 15" xfId="31298"/>
    <cellStyle name="asd 27 4 2 2 16" xfId="32749"/>
    <cellStyle name="asd 27 4 2 2 17" xfId="34533"/>
    <cellStyle name="asd 27 4 2 2 18" xfId="35356"/>
    <cellStyle name="asd 27 4 2 2 19" xfId="37234"/>
    <cellStyle name="asd 27 4 2 2 2" xfId="4854"/>
    <cellStyle name="asd 27 4 2 2 20" xfId="39958"/>
    <cellStyle name="asd 27 4 2 2 21" xfId="41622"/>
    <cellStyle name="asd 27 4 2 2 22" xfId="43711"/>
    <cellStyle name="asd 27 4 2 2 3" xfId="6206"/>
    <cellStyle name="asd 27 4 2 2 4" xfId="9288"/>
    <cellStyle name="asd 27 4 2 2 5" xfId="11925"/>
    <cellStyle name="asd 27 4 2 2 6" xfId="14435"/>
    <cellStyle name="asd 27 4 2 2 7" xfId="16341"/>
    <cellStyle name="asd 27 4 2 2 8" xfId="16907"/>
    <cellStyle name="asd 27 4 2 2 9" xfId="18814"/>
    <cellStyle name="asd 27 4 2 20" xfId="35890"/>
    <cellStyle name="asd 27 4 2 21" xfId="37769"/>
    <cellStyle name="asd 27 4 2 22" xfId="38848"/>
    <cellStyle name="asd 27 4 2 23" xfId="40534"/>
    <cellStyle name="asd 27 4 2 24" xfId="43293"/>
    <cellStyle name="asd 27 4 2 3" xfId="5013"/>
    <cellStyle name="asd 27 4 2 4" xfId="6463"/>
    <cellStyle name="asd 27 4 2 5" xfId="7914"/>
    <cellStyle name="asd 27 4 2 6" xfId="9824"/>
    <cellStyle name="asd 27 4 2 7" xfId="12506"/>
    <cellStyle name="asd 27 4 2 8" xfId="14000"/>
    <cellStyle name="asd 27 4 2 9" xfId="15901"/>
    <cellStyle name="asd 27 4 20" xfId="16605"/>
    <cellStyle name="asd 27 4 21" xfId="35129"/>
    <cellStyle name="asd 27 4 22" xfId="37007"/>
    <cellStyle name="asd 27 4 23" xfId="34303"/>
    <cellStyle name="asd 27 4 24" xfId="3103"/>
    <cellStyle name="asd 27 4 25" xfId="42292"/>
    <cellStyle name="asd 27 4 3" xfId="3765"/>
    <cellStyle name="asd 27 4 3 10" xfId="19508"/>
    <cellStyle name="asd 27 4 3 11" xfId="21420"/>
    <cellStyle name="asd 27 4 3 12" xfId="22408"/>
    <cellStyle name="asd 27 4 3 13" xfId="25222"/>
    <cellStyle name="asd 27 4 3 14" xfId="26855"/>
    <cellStyle name="asd 27 4 3 15" xfId="28995"/>
    <cellStyle name="asd 27 4 3 16" xfId="30452"/>
    <cellStyle name="asd 27 4 3 17" xfId="32931"/>
    <cellStyle name="asd 27 4 3 18" xfId="34821"/>
    <cellStyle name="asd 27 4 3 19" xfId="36049"/>
    <cellStyle name="asd 27 4 3 2" xfId="5778"/>
    <cellStyle name="asd 27 4 3 2 10" xfId="22028"/>
    <cellStyle name="asd 27 4 3 2 11" xfId="22805"/>
    <cellStyle name="asd 27 4 3 2 12" xfId="25830"/>
    <cellStyle name="asd 27 4 3 2 13" xfId="26518"/>
    <cellStyle name="asd 27 4 3 2 14" xfId="3166"/>
    <cellStyle name="asd 27 4 3 2 15" xfId="30124"/>
    <cellStyle name="asd 27 4 3 2 16" xfId="32467"/>
    <cellStyle name="asd 27 4 3 2 17" xfId="34957"/>
    <cellStyle name="asd 27 4 3 2 18" xfId="36657"/>
    <cellStyle name="asd 27 4 3 2 19" xfId="38536"/>
    <cellStyle name="asd 27 4 3 2 2" xfId="7227"/>
    <cellStyle name="asd 27 4 3 2 20" xfId="39685"/>
    <cellStyle name="asd 27 4 3 2 21" xfId="41358"/>
    <cellStyle name="asd 27 4 3 2 22" xfId="42598"/>
    <cellStyle name="asd 27 4 3 2 3" xfId="8681"/>
    <cellStyle name="asd 27 4 3 2 4" xfId="10591"/>
    <cellStyle name="asd 27 4 3 2 5" xfId="11341"/>
    <cellStyle name="asd 27 4 3 2 6" xfId="13275"/>
    <cellStyle name="asd 27 4 3 2 7" xfId="15179"/>
    <cellStyle name="asd 27 4 3 2 8" xfId="18210"/>
    <cellStyle name="asd 27 4 3 2 9" xfId="20116"/>
    <cellStyle name="asd 27 4 3 20" xfId="37928"/>
    <cellStyle name="asd 27 4 3 21" xfId="40135"/>
    <cellStyle name="asd 27 4 3 22" xfId="41794"/>
    <cellStyle name="asd 27 4 3 23" xfId="42219"/>
    <cellStyle name="asd 27 4 3 3" xfId="5172"/>
    <cellStyle name="asd 27 4 3 4" xfId="8073"/>
    <cellStyle name="asd 27 4 3 5" xfId="9983"/>
    <cellStyle name="asd 27 4 3 6" xfId="11725"/>
    <cellStyle name="asd 27 4 3 7" xfId="12875"/>
    <cellStyle name="asd 27 4 3 8" xfId="14780"/>
    <cellStyle name="asd 27 4 3 9" xfId="17602"/>
    <cellStyle name="asd 27 4 4" xfId="4004"/>
    <cellStyle name="asd 27 4 4 10" xfId="19639"/>
    <cellStyle name="asd 27 4 4 11" xfId="21551"/>
    <cellStyle name="asd 27 4 4 12" xfId="22810"/>
    <cellStyle name="asd 27 4 4 13" xfId="25353"/>
    <cellStyle name="asd 27 4 4 14" xfId="26591"/>
    <cellStyle name="asd 27 4 4 15" xfId="29011"/>
    <cellStyle name="asd 27 4 4 16" xfId="30193"/>
    <cellStyle name="asd 27 4 4 17" xfId="31955"/>
    <cellStyle name="asd 27 4 4 18" xfId="33510"/>
    <cellStyle name="asd 27 4 4 19" xfId="36180"/>
    <cellStyle name="asd 27 4 4 2" xfId="5909"/>
    <cellStyle name="asd 27 4 4 2 10" xfId="22159"/>
    <cellStyle name="asd 27 4 4 2 11" xfId="23833"/>
    <cellStyle name="asd 27 4 4 2 12" xfId="25961"/>
    <cellStyle name="asd 27 4 4 2 13" xfId="26549"/>
    <cellStyle name="asd 27 4 4 2 14" xfId="2115"/>
    <cellStyle name="asd 27 4 4 2 15" xfId="30154"/>
    <cellStyle name="asd 27 4 4 2 16" xfId="32570"/>
    <cellStyle name="asd 27 4 4 2 17" xfId="34793"/>
    <cellStyle name="asd 27 4 4 2 18" xfId="36788"/>
    <cellStyle name="asd 27 4 4 2 19" xfId="38667"/>
    <cellStyle name="asd 27 4 4 2 2" xfId="7358"/>
    <cellStyle name="asd 27 4 4 2 20" xfId="39780"/>
    <cellStyle name="asd 27 4 4 2 21" xfId="41450"/>
    <cellStyle name="asd 27 4 4 2 22" xfId="43584"/>
    <cellStyle name="asd 27 4 4 2 3" xfId="8812"/>
    <cellStyle name="asd 27 4 4 2 4" xfId="10722"/>
    <cellStyle name="asd 27 4 4 2 5" xfId="11459"/>
    <cellStyle name="asd 27 4 4 2 6" xfId="14303"/>
    <cellStyle name="asd 27 4 4 2 7" xfId="16207"/>
    <cellStyle name="asd 27 4 4 2 8" xfId="18341"/>
    <cellStyle name="asd 27 4 4 2 9" xfId="20247"/>
    <cellStyle name="asd 27 4 4 20" xfId="38059"/>
    <cellStyle name="asd 27 4 4 21" xfId="39184"/>
    <cellStyle name="asd 27 4 4 22" xfId="40865"/>
    <cellStyle name="asd 27 4 4 23" xfId="42603"/>
    <cellStyle name="asd 27 4 4 3" xfId="6750"/>
    <cellStyle name="asd 27 4 4 4" xfId="8204"/>
    <cellStyle name="asd 27 4 4 5" xfId="10114"/>
    <cellStyle name="asd 27 4 4 6" xfId="12384"/>
    <cellStyle name="asd 27 4 4 7" xfId="13280"/>
    <cellStyle name="asd 27 4 4 8" xfId="15184"/>
    <cellStyle name="asd 27 4 4 9" xfId="17733"/>
    <cellStyle name="asd 27 4 5" xfId="5661"/>
    <cellStyle name="asd 27 4 5 10" xfId="21911"/>
    <cellStyle name="asd 27 4 5 11" xfId="24103"/>
    <cellStyle name="asd 27 4 5 12" xfId="25713"/>
    <cellStyle name="asd 27 4 5 13" xfId="26844"/>
    <cellStyle name="asd 27 4 5 14" xfId="28264"/>
    <cellStyle name="asd 27 4 5 15" xfId="30441"/>
    <cellStyle name="asd 27 4 5 16" xfId="32482"/>
    <cellStyle name="asd 27 4 5 17" xfId="34062"/>
    <cellStyle name="asd 27 4 5 18" xfId="36540"/>
    <cellStyle name="asd 27 4 5 19" xfId="38419"/>
    <cellStyle name="asd 27 4 5 2" xfId="7110"/>
    <cellStyle name="asd 27 4 5 20" xfId="39700"/>
    <cellStyle name="asd 27 4 5 21" xfId="41372"/>
    <cellStyle name="asd 27 4 5 22" xfId="43846"/>
    <cellStyle name="asd 27 4 5 3" xfId="8564"/>
    <cellStyle name="asd 27 4 5 4" xfId="10474"/>
    <cellStyle name="asd 27 4 5 5" xfId="12062"/>
    <cellStyle name="asd 27 4 5 6" xfId="14573"/>
    <cellStyle name="asd 27 4 5 7" xfId="16479"/>
    <cellStyle name="asd 27 4 5 8" xfId="18093"/>
    <cellStyle name="asd 27 4 5 9" xfId="19999"/>
    <cellStyle name="asd 27 4 6" xfId="6092"/>
    <cellStyle name="asd 27 4 7" xfId="9061"/>
    <cellStyle name="asd 27 4 8" xfId="11627"/>
    <cellStyle name="asd 27 4 9" xfId="12950"/>
    <cellStyle name="asd 27 5" xfId="2443"/>
    <cellStyle name="asd 27 5 10" xfId="17162"/>
    <cellStyle name="asd 27 5 11" xfId="19068"/>
    <cellStyle name="asd 27 5 12" xfId="20980"/>
    <cellStyle name="asd 27 5 13" xfId="23952"/>
    <cellStyle name="asd 27 5 14" xfId="24782"/>
    <cellStyle name="asd 27 5 15" xfId="26525"/>
    <cellStyle name="asd 27 5 16" xfId="28938"/>
    <cellStyle name="asd 27 5 17" xfId="30131"/>
    <cellStyle name="asd 27 5 18" xfId="32535"/>
    <cellStyle name="asd 27 5 19" xfId="34465"/>
    <cellStyle name="asd 27 5 2" xfId="4563"/>
    <cellStyle name="asd 27 5 2 10" xfId="20808"/>
    <cellStyle name="asd 27 5 2 11" xfId="22921"/>
    <cellStyle name="asd 27 5 2 12" xfId="24610"/>
    <cellStyle name="asd 27 5 2 13" xfId="26177"/>
    <cellStyle name="asd 27 5 2 14" xfId="28779"/>
    <cellStyle name="asd 27 5 2 15" xfId="29790"/>
    <cellStyle name="asd 27 5 2 16" xfId="32881"/>
    <cellStyle name="asd 27 5 2 17" xfId="34181"/>
    <cellStyle name="asd 27 5 2 18" xfId="35438"/>
    <cellStyle name="asd 27 5 2 19" xfId="37316"/>
    <cellStyle name="asd 27 5 2 2" xfId="4270"/>
    <cellStyle name="asd 27 5 2 20" xfId="40086"/>
    <cellStyle name="asd 27 5 2 21" xfId="41749"/>
    <cellStyle name="asd 27 5 2 22" xfId="42707"/>
    <cellStyle name="asd 27 5 2 3" xfId="1815"/>
    <cellStyle name="asd 27 5 2 4" xfId="9370"/>
    <cellStyle name="asd 27 5 2 5" xfId="11312"/>
    <cellStyle name="asd 27 5 2 6" xfId="13389"/>
    <cellStyle name="asd 27 5 2 7" xfId="15294"/>
    <cellStyle name="asd 27 5 2 8" xfId="16989"/>
    <cellStyle name="asd 27 5 2 9" xfId="18896"/>
    <cellStyle name="asd 27 5 20" xfId="35609"/>
    <cellStyle name="asd 27 5 21" xfId="37488"/>
    <cellStyle name="asd 27 5 22" xfId="39748"/>
    <cellStyle name="asd 27 5 23" xfId="41420"/>
    <cellStyle name="asd 27 5 24" xfId="43698"/>
    <cellStyle name="asd 27 5 3" xfId="4733"/>
    <cellStyle name="asd 27 5 4" xfId="6182"/>
    <cellStyle name="asd 27 5 5" xfId="7633"/>
    <cellStyle name="asd 27 5 6" xfId="9543"/>
    <cellStyle name="asd 27 5 7" xfId="11912"/>
    <cellStyle name="asd 27 5 8" xfId="14422"/>
    <cellStyle name="asd 27 5 9" xfId="16328"/>
    <cellStyle name="asd 27 6" xfId="2302"/>
    <cellStyle name="asd 27 6 10" xfId="19047"/>
    <cellStyle name="asd 27 6 11" xfId="20959"/>
    <cellStyle name="asd 27 6 12" xfId="23251"/>
    <cellStyle name="asd 27 6 13" xfId="24761"/>
    <cellStyle name="asd 27 6 14" xfId="27278"/>
    <cellStyle name="asd 27 6 15" xfId="29086"/>
    <cellStyle name="asd 27 6 16" xfId="30870"/>
    <cellStyle name="asd 27 6 17" xfId="32690"/>
    <cellStyle name="asd 27 6 18" xfId="34812"/>
    <cellStyle name="asd 27 6 19" xfId="35588"/>
    <cellStyle name="asd 27 6 2" xfId="4556"/>
    <cellStyle name="asd 27 6 2 10" xfId="20801"/>
    <cellStyle name="asd 27 6 2 11" xfId="23947"/>
    <cellStyle name="asd 27 6 2 12" xfId="24603"/>
    <cellStyle name="asd 27 6 2 13" xfId="26856"/>
    <cellStyle name="asd 27 6 2 14" xfId="28518"/>
    <cellStyle name="asd 27 6 2 15" xfId="30453"/>
    <cellStyle name="asd 27 6 2 16" xfId="32309"/>
    <cellStyle name="asd 27 6 2 17" xfId="33669"/>
    <cellStyle name="asd 27 6 2 18" xfId="35431"/>
    <cellStyle name="asd 27 6 2 19" xfId="37309"/>
    <cellStyle name="asd 27 6 2 2" xfId="5401"/>
    <cellStyle name="asd 27 6 2 20" xfId="39528"/>
    <cellStyle name="asd 27 6 2 21" xfId="41202"/>
    <cellStyle name="asd 27 6 2 22" xfId="43693"/>
    <cellStyle name="asd 27 6 2 3" xfId="6230"/>
    <cellStyle name="asd 27 6 2 4" xfId="9363"/>
    <cellStyle name="asd 27 6 2 5" xfId="11907"/>
    <cellStyle name="asd 27 6 2 6" xfId="14417"/>
    <cellStyle name="asd 27 6 2 7" xfId="16323"/>
    <cellStyle name="asd 27 6 2 8" xfId="16982"/>
    <cellStyle name="asd 27 6 2 9" xfId="18889"/>
    <cellStyle name="asd 27 6 20" xfId="37467"/>
    <cellStyle name="asd 27 6 21" xfId="39898"/>
    <cellStyle name="asd 27 6 22" xfId="41567"/>
    <cellStyle name="asd 27 6 23" xfId="43028"/>
    <cellStyle name="asd 27 6 3" xfId="4713"/>
    <cellStyle name="asd 27 6 4" xfId="7612"/>
    <cellStyle name="asd 27 6 5" xfId="9522"/>
    <cellStyle name="asd 27 6 6" xfId="11164"/>
    <cellStyle name="asd 27 6 7" xfId="13723"/>
    <cellStyle name="asd 27 6 8" xfId="15625"/>
    <cellStyle name="asd 27 6 9" xfId="17141"/>
    <cellStyle name="asd 27 7" xfId="3238"/>
    <cellStyle name="asd 27 7 10" xfId="19185"/>
    <cellStyle name="asd 27 7 11" xfId="21097"/>
    <cellStyle name="asd 27 7 12" xfId="23989"/>
    <cellStyle name="asd 27 7 13" xfId="24899"/>
    <cellStyle name="asd 27 7 14" xfId="27541"/>
    <cellStyle name="asd 27 7 15" xfId="28548"/>
    <cellStyle name="asd 27 7 16" xfId="31122"/>
    <cellStyle name="asd 27 7 17" xfId="32384"/>
    <cellStyle name="asd 27 7 18" xfId="34484"/>
    <cellStyle name="asd 27 7 19" xfId="35726"/>
    <cellStyle name="asd 27 7 2" xfId="2447"/>
    <cellStyle name="asd 27 7 2 10" xfId="20518"/>
    <cellStyle name="asd 27 7 2 11" xfId="23530"/>
    <cellStyle name="asd 27 7 2 12" xfId="24320"/>
    <cellStyle name="asd 27 7 2 13" xfId="22357"/>
    <cellStyle name="asd 27 7 2 14" xfId="28023"/>
    <cellStyle name="asd 27 7 2 15" xfId="28030"/>
    <cellStyle name="asd 27 7 2 16" xfId="29747"/>
    <cellStyle name="asd 27 7 2 17" xfId="33352"/>
    <cellStyle name="asd 27 7 2 18" xfId="35148"/>
    <cellStyle name="asd 27 7 2 19" xfId="37026"/>
    <cellStyle name="asd 27 7 2 2" xfId="4786"/>
    <cellStyle name="asd 27 7 2 20" xfId="33370"/>
    <cellStyle name="asd 27 7 2 21" xfId="8984"/>
    <cellStyle name="asd 27 7 2 22" xfId="43295"/>
    <cellStyle name="asd 27 7 2 3" xfId="6146"/>
    <cellStyle name="asd 27 7 2 4" xfId="9080"/>
    <cellStyle name="asd 27 7 2 5" xfId="12323"/>
    <cellStyle name="asd 27 7 2 6" xfId="14002"/>
    <cellStyle name="asd 27 7 2 7" xfId="15903"/>
    <cellStyle name="asd 27 7 2 8" xfId="16699"/>
    <cellStyle name="asd 27 7 2 9" xfId="18606"/>
    <cellStyle name="asd 27 7 20" xfId="37605"/>
    <cellStyle name="asd 27 7 21" xfId="39602"/>
    <cellStyle name="asd 27 7 22" xfId="41276"/>
    <cellStyle name="asd 27 7 23" xfId="43733"/>
    <cellStyle name="asd 27 7 3" xfId="6299"/>
    <cellStyle name="asd 27 7 4" xfId="7750"/>
    <cellStyle name="asd 27 7 5" xfId="9660"/>
    <cellStyle name="asd 27 7 6" xfId="11948"/>
    <cellStyle name="asd 27 7 7" xfId="14459"/>
    <cellStyle name="asd 27 7 8" xfId="16365"/>
    <cellStyle name="asd 27 7 9" xfId="17279"/>
    <cellStyle name="asd 27 8" xfId="1946"/>
    <cellStyle name="asd 27 9" xfId="2290"/>
    <cellStyle name="asd 28" xfId="886"/>
    <cellStyle name="asd 28 10" xfId="2312"/>
    <cellStyle name="asd 28 11" xfId="2186"/>
    <cellStyle name="asd 28 12" xfId="3138"/>
    <cellStyle name="asd 28 13" xfId="2006"/>
    <cellStyle name="asd 28 14" xfId="2753"/>
    <cellStyle name="asd 28 15" xfId="1988"/>
    <cellStyle name="asd 28 16" xfId="1905"/>
    <cellStyle name="asd 28 17" xfId="3137"/>
    <cellStyle name="asd 28 18" xfId="24206"/>
    <cellStyle name="asd 28 19" xfId="20405"/>
    <cellStyle name="asd 28 2" xfId="3491"/>
    <cellStyle name="asd 28 2 10" xfId="13615"/>
    <cellStyle name="asd 28 2 11" xfId="15518"/>
    <cellStyle name="asd 28 2 12" xfId="16934"/>
    <cellStyle name="asd 28 2 13" xfId="18841"/>
    <cellStyle name="asd 28 2 14" xfId="20753"/>
    <cellStyle name="asd 28 2 15" xfId="23144"/>
    <cellStyle name="asd 28 2 16" xfId="24555"/>
    <cellStyle name="asd 28 2 17" xfId="27238"/>
    <cellStyle name="asd 28 2 18" xfId="2111"/>
    <cellStyle name="asd 28 2 19" xfId="30829"/>
    <cellStyle name="asd 28 2 2" xfId="3671"/>
    <cellStyle name="asd 28 2 2 10" xfId="17562"/>
    <cellStyle name="asd 28 2 2 11" xfId="19468"/>
    <cellStyle name="asd 28 2 2 12" xfId="21380"/>
    <cellStyle name="asd 28 2 2 13" xfId="22466"/>
    <cellStyle name="asd 28 2 2 14" xfId="25182"/>
    <cellStyle name="asd 28 2 2 15" xfId="27924"/>
    <cellStyle name="asd 28 2 2 16" xfId="29012"/>
    <cellStyle name="asd 28 2 2 17" xfId="31506"/>
    <cellStyle name="asd 28 2 2 18" xfId="32341"/>
    <cellStyle name="asd 28 2 2 19" xfId="34685"/>
    <cellStyle name="asd 28 2 2 2" xfId="5509"/>
    <cellStyle name="asd 28 2 2 2 10" xfId="21759"/>
    <cellStyle name="asd 28 2 2 2 11" xfId="23895"/>
    <cellStyle name="asd 28 2 2 2 12" xfId="25561"/>
    <cellStyle name="asd 28 2 2 2 13" xfId="26734"/>
    <cellStyle name="asd 28 2 2 2 14" xfId="29054"/>
    <cellStyle name="asd 28 2 2 2 15" xfId="30334"/>
    <cellStyle name="asd 28 2 2 2 16" xfId="32937"/>
    <cellStyle name="asd 28 2 2 2 17" xfId="34013"/>
    <cellStyle name="asd 28 2 2 2 18" xfId="36388"/>
    <cellStyle name="asd 28 2 2 2 19" xfId="38267"/>
    <cellStyle name="asd 28 2 2 2 2" xfId="6958"/>
    <cellStyle name="asd 28 2 2 2 20" xfId="40141"/>
    <cellStyle name="asd 28 2 2 2 21" xfId="41800"/>
    <cellStyle name="asd 28 2 2 2 22" xfId="43644"/>
    <cellStyle name="asd 28 2 2 2 3" xfId="8412"/>
    <cellStyle name="asd 28 2 2 2 4" xfId="10322"/>
    <cellStyle name="asd 28 2 2 2 5" xfId="11854"/>
    <cellStyle name="asd 28 2 2 2 6" xfId="14364"/>
    <cellStyle name="asd 28 2 2 2 7" xfId="16270"/>
    <cellStyle name="asd 28 2 2 2 8" xfId="17941"/>
    <cellStyle name="asd 28 2 2 2 9" xfId="19847"/>
    <cellStyle name="asd 28 2 2 20" xfId="36009"/>
    <cellStyle name="asd 28 2 2 21" xfId="37888"/>
    <cellStyle name="asd 28 2 2 22" xfId="39560"/>
    <cellStyle name="asd 28 2 2 23" xfId="41234"/>
    <cellStyle name="asd 28 2 2 24" xfId="42277"/>
    <cellStyle name="asd 28 2 2 3" xfId="5132"/>
    <cellStyle name="asd 28 2 2 4" xfId="6582"/>
    <cellStyle name="asd 28 2 2 5" xfId="8033"/>
    <cellStyle name="asd 28 2 2 6" xfId="9943"/>
    <cellStyle name="asd 28 2 2 7" xfId="12226"/>
    <cellStyle name="asd 28 2 2 8" xfId="12934"/>
    <cellStyle name="asd 28 2 2 9" xfId="14839"/>
    <cellStyle name="asd 28 2 20" xfId="31910"/>
    <cellStyle name="asd 28 2 21" xfId="35020"/>
    <cellStyle name="asd 28 2 22" xfId="35383"/>
    <cellStyle name="asd 28 2 23" xfId="37261"/>
    <cellStyle name="asd 28 2 24" xfId="39142"/>
    <cellStyle name="asd 28 2 25" xfId="40823"/>
    <cellStyle name="asd 28 2 26" xfId="42922"/>
    <cellStyle name="asd 28 2 3" xfId="1854"/>
    <cellStyle name="asd 28 2 3 10" xfId="18979"/>
    <cellStyle name="asd 28 2 3 11" xfId="20891"/>
    <cellStyle name="asd 28 2 3 12" xfId="22957"/>
    <cellStyle name="asd 28 2 3 13" xfId="24693"/>
    <cellStyle name="asd 28 2 3 14" xfId="27383"/>
    <cellStyle name="asd 28 2 3 15" xfId="29067"/>
    <cellStyle name="asd 28 2 3 16" xfId="30969"/>
    <cellStyle name="asd 28 2 3 17" xfId="32224"/>
    <cellStyle name="asd 28 2 3 18" xfId="33868"/>
    <cellStyle name="asd 28 2 3 19" xfId="35520"/>
    <cellStyle name="asd 28 2 3 2" xfId="4896"/>
    <cellStyle name="asd 28 2 3 2 10" xfId="21144"/>
    <cellStyle name="asd 28 2 3 2 11" xfId="23581"/>
    <cellStyle name="asd 28 2 3 2 12" xfId="24946"/>
    <cellStyle name="asd 28 2 3 2 13" xfId="27229"/>
    <cellStyle name="asd 28 2 3 2 14" xfId="29082"/>
    <cellStyle name="asd 28 2 3 2 15" xfId="30820"/>
    <cellStyle name="asd 28 2 3 2 16" xfId="33158"/>
    <cellStyle name="asd 28 2 3 2 17" xfId="33698"/>
    <cellStyle name="asd 28 2 3 2 18" xfId="35773"/>
    <cellStyle name="asd 28 2 3 2 19" xfId="37652"/>
    <cellStyle name="asd 28 2 3 2 2" xfId="6346"/>
    <cellStyle name="asd 28 2 3 2 20" xfId="40350"/>
    <cellStyle name="asd 28 2 3 2 21" xfId="42006"/>
    <cellStyle name="asd 28 2 3 2 22" xfId="43343"/>
    <cellStyle name="asd 28 2 3 2 3" xfId="7797"/>
    <cellStyle name="asd 28 2 3 2 4" xfId="9707"/>
    <cellStyle name="asd 28 2 3 2 5" xfId="12561"/>
    <cellStyle name="asd 28 2 3 2 6" xfId="14053"/>
    <cellStyle name="asd 28 2 3 2 7" xfId="15954"/>
    <cellStyle name="asd 28 2 3 2 8" xfId="17326"/>
    <cellStyle name="asd 28 2 3 2 9" xfId="19232"/>
    <cellStyle name="asd 28 2 3 20" xfId="37399"/>
    <cellStyle name="asd 28 2 3 21" xfId="39443"/>
    <cellStyle name="asd 28 2 3 22" xfId="41119"/>
    <cellStyle name="asd 28 2 3 23" xfId="42743"/>
    <cellStyle name="asd 28 2 3 3" xfId="4647"/>
    <cellStyle name="asd 28 2 3 4" xfId="7544"/>
    <cellStyle name="asd 28 2 3 5" xfId="9454"/>
    <cellStyle name="asd 28 2 3 6" xfId="11300"/>
    <cellStyle name="asd 28 2 3 7" xfId="13426"/>
    <cellStyle name="asd 28 2 3 8" xfId="15331"/>
    <cellStyle name="asd 28 2 3 9" xfId="17073"/>
    <cellStyle name="asd 28 2 4" xfId="4123"/>
    <cellStyle name="asd 28 2 4 10" xfId="19758"/>
    <cellStyle name="asd 28 2 4 11" xfId="21670"/>
    <cellStyle name="asd 28 2 4 12" xfId="23810"/>
    <cellStyle name="asd 28 2 4 13" xfId="25472"/>
    <cellStyle name="asd 28 2 4 14" xfId="27877"/>
    <cellStyle name="asd 28 2 4 15" xfId="28266"/>
    <cellStyle name="asd 28 2 4 16" xfId="31458"/>
    <cellStyle name="asd 28 2 4 17" xfId="32256"/>
    <cellStyle name="asd 28 2 4 18" xfId="34233"/>
    <cellStyle name="asd 28 2 4 19" xfId="36299"/>
    <cellStyle name="asd 28 2 4 2" xfId="6028"/>
    <cellStyle name="asd 28 2 4 2 10" xfId="22278"/>
    <cellStyle name="asd 28 2 4 2 11" xfId="23795"/>
    <cellStyle name="asd 28 2 4 2 12" xfId="26080"/>
    <cellStyle name="asd 28 2 4 2 13" xfId="26784"/>
    <cellStyle name="asd 28 2 4 2 14" xfId="28401"/>
    <cellStyle name="asd 28 2 4 2 15" xfId="30383"/>
    <cellStyle name="asd 28 2 4 2 16" xfId="32722"/>
    <cellStyle name="asd 28 2 4 2 17" xfId="34798"/>
    <cellStyle name="asd 28 2 4 2 18" xfId="36907"/>
    <cellStyle name="asd 28 2 4 2 19" xfId="38786"/>
    <cellStyle name="asd 28 2 4 2 2" xfId="7477"/>
    <cellStyle name="asd 28 2 4 2 20" xfId="39932"/>
    <cellStyle name="asd 28 2 4 2 21" xfId="41598"/>
    <cellStyle name="asd 28 2 4 2 22" xfId="43548"/>
    <cellStyle name="asd 28 2 4 2 3" xfId="8931"/>
    <cellStyle name="asd 28 2 4 2 4" xfId="10841"/>
    <cellStyle name="asd 28 2 4 2 5" xfId="11837"/>
    <cellStyle name="asd 28 2 4 2 6" xfId="14265"/>
    <cellStyle name="asd 28 2 4 2 7" xfId="16169"/>
    <cellStyle name="asd 28 2 4 2 8" xfId="18460"/>
    <cellStyle name="asd 28 2 4 2 9" xfId="20366"/>
    <cellStyle name="asd 28 2 4 20" xfId="38178"/>
    <cellStyle name="asd 28 2 4 21" xfId="39474"/>
    <cellStyle name="asd 28 2 4 22" xfId="41149"/>
    <cellStyle name="asd 28 2 4 23" xfId="43562"/>
    <cellStyle name="asd 28 2 4 3" xfId="6869"/>
    <cellStyle name="asd 28 2 4 4" xfId="8323"/>
    <cellStyle name="asd 28 2 4 5" xfId="10233"/>
    <cellStyle name="asd 28 2 4 6" xfId="12618"/>
    <cellStyle name="asd 28 2 4 7" xfId="14280"/>
    <cellStyle name="asd 28 2 4 8" xfId="16184"/>
    <cellStyle name="asd 28 2 4 9" xfId="17852"/>
    <cellStyle name="asd 28 2 5" xfId="4971"/>
    <cellStyle name="asd 28 2 5 10" xfId="21219"/>
    <cellStyle name="asd 28 2 5 11" xfId="23575"/>
    <cellStyle name="asd 28 2 5 12" xfId="25021"/>
    <cellStyle name="asd 28 2 5 13" xfId="26428"/>
    <cellStyle name="asd 28 2 5 14" xfId="29376"/>
    <cellStyle name="asd 28 2 5 15" xfId="30034"/>
    <cellStyle name="asd 28 2 5 16" xfId="33109"/>
    <cellStyle name="asd 28 2 5 17" xfId="34825"/>
    <cellStyle name="asd 28 2 5 18" xfId="35848"/>
    <cellStyle name="asd 28 2 5 19" xfId="37727"/>
    <cellStyle name="asd 28 2 5 2" xfId="6421"/>
    <cellStyle name="asd 28 2 5 20" xfId="40304"/>
    <cellStyle name="asd 28 2 5 21" xfId="41960"/>
    <cellStyle name="asd 28 2 5 22" xfId="43338"/>
    <cellStyle name="asd 28 2 5 3" xfId="7872"/>
    <cellStyle name="asd 28 2 5 4" xfId="9782"/>
    <cellStyle name="asd 28 2 5 5" xfId="12549"/>
    <cellStyle name="asd 28 2 5 6" xfId="14047"/>
    <cellStyle name="asd 28 2 5 7" xfId="15948"/>
    <cellStyle name="asd 28 2 5 8" xfId="17401"/>
    <cellStyle name="asd 28 2 5 9" xfId="19307"/>
    <cellStyle name="asd 28 2 6" xfId="5672"/>
    <cellStyle name="asd 28 2 6 10" xfId="21922"/>
    <cellStyle name="asd 28 2 6 11" xfId="22689"/>
    <cellStyle name="asd 28 2 6 12" xfId="25724"/>
    <cellStyle name="asd 28 2 6 13" xfId="27333"/>
    <cellStyle name="asd 28 2 6 14" xfId="28187"/>
    <cellStyle name="asd 28 2 6 15" xfId="30922"/>
    <cellStyle name="asd 28 2 6 16" xfId="32338"/>
    <cellStyle name="asd 28 2 6 17" xfId="33892"/>
    <cellStyle name="asd 28 2 6 18" xfId="36551"/>
    <cellStyle name="asd 28 2 6 19" xfId="38430"/>
    <cellStyle name="asd 28 2 6 2" xfId="7121"/>
    <cellStyle name="asd 28 2 6 20" xfId="39557"/>
    <cellStyle name="asd 28 2 6 21" xfId="41231"/>
    <cellStyle name="asd 28 2 6 22" xfId="42492"/>
    <cellStyle name="asd 28 2 6 3" xfId="8575"/>
    <cellStyle name="asd 28 2 6 4" xfId="10485"/>
    <cellStyle name="asd 28 2 6 5" xfId="11507"/>
    <cellStyle name="asd 28 2 6 6" xfId="13156"/>
    <cellStyle name="asd 28 2 6 7" xfId="15061"/>
    <cellStyle name="asd 28 2 6 8" xfId="18104"/>
    <cellStyle name="asd 28 2 6 9" xfId="20010"/>
    <cellStyle name="asd 28 2 7" xfId="6275"/>
    <cellStyle name="asd 28 2 8" xfId="9315"/>
    <cellStyle name="asd 28 2 9" xfId="10924"/>
    <cellStyle name="asd 28 20" xfId="12284"/>
    <cellStyle name="asd 28 21" xfId="2220"/>
    <cellStyle name="asd 28 22" xfId="24204"/>
    <cellStyle name="asd 28 23" xfId="22315"/>
    <cellStyle name="asd 28 24" xfId="28286"/>
    <cellStyle name="asd 28 25" xfId="29486"/>
    <cellStyle name="asd 28 26" xfId="33848"/>
    <cellStyle name="asd 28 27" xfId="23327"/>
    <cellStyle name="asd 28 3" xfId="3518"/>
    <cellStyle name="asd 28 3 10" xfId="13300"/>
    <cellStyle name="asd 28 3 11" xfId="15205"/>
    <cellStyle name="asd 28 3 12" xfId="17026"/>
    <cellStyle name="asd 28 3 13" xfId="18933"/>
    <cellStyle name="asd 28 3 14" xfId="20845"/>
    <cellStyle name="asd 28 3 15" xfId="22831"/>
    <cellStyle name="asd 28 3 16" xfId="24647"/>
    <cellStyle name="asd 28 3 17" xfId="26480"/>
    <cellStyle name="asd 28 3 18" xfId="29569"/>
    <cellStyle name="asd 28 3 19" xfId="30086"/>
    <cellStyle name="asd 28 3 2" xfId="3698"/>
    <cellStyle name="asd 28 3 2 10" xfId="17589"/>
    <cellStyle name="asd 28 3 2 11" xfId="19495"/>
    <cellStyle name="asd 28 3 2 12" xfId="21407"/>
    <cellStyle name="asd 28 3 2 13" xfId="24112"/>
    <cellStyle name="asd 28 3 2 14" xfId="25209"/>
    <cellStyle name="asd 28 3 2 15" xfId="27883"/>
    <cellStyle name="asd 28 3 2 16" xfId="28128"/>
    <cellStyle name="asd 28 3 2 17" xfId="31464"/>
    <cellStyle name="asd 28 3 2 18" xfId="32391"/>
    <cellStyle name="asd 28 3 2 19" xfId="33994"/>
    <cellStyle name="asd 28 3 2 2" xfId="5765"/>
    <cellStyle name="asd 28 3 2 2 10" xfId="22015"/>
    <cellStyle name="asd 28 3 2 2 11" xfId="23171"/>
    <cellStyle name="asd 28 3 2 2 12" xfId="25817"/>
    <cellStyle name="asd 28 3 2 2 13" xfId="26231"/>
    <cellStyle name="asd 28 3 2 2 14" xfId="28359"/>
    <cellStyle name="asd 28 3 2 2 15" xfId="29841"/>
    <cellStyle name="asd 28 3 2 2 16" xfId="32750"/>
    <cellStyle name="asd 28 3 2 2 17" xfId="34104"/>
    <cellStyle name="asd 28 3 2 2 18" xfId="36644"/>
    <cellStyle name="asd 28 3 2 2 19" xfId="38523"/>
    <cellStyle name="asd 28 3 2 2 2" xfId="7214"/>
    <cellStyle name="asd 28 3 2 2 20" xfId="39959"/>
    <cellStyle name="asd 28 3 2 2 21" xfId="41623"/>
    <cellStyle name="asd 28 3 2 2 22" xfId="42949"/>
    <cellStyle name="asd 28 3 2 2 3" xfId="8668"/>
    <cellStyle name="asd 28 3 2 2 4" xfId="10578"/>
    <cellStyle name="asd 28 3 2 2 5" xfId="10987"/>
    <cellStyle name="asd 28 3 2 2 6" xfId="13642"/>
    <cellStyle name="asd 28 3 2 2 7" xfId="15545"/>
    <cellStyle name="asd 28 3 2 2 8" xfId="18197"/>
    <cellStyle name="asd 28 3 2 2 9" xfId="20103"/>
    <cellStyle name="asd 28 3 2 20" xfId="36036"/>
    <cellStyle name="asd 28 3 2 21" xfId="37915"/>
    <cellStyle name="asd 28 3 2 22" xfId="39608"/>
    <cellStyle name="asd 28 3 2 23" xfId="41282"/>
    <cellStyle name="asd 28 3 2 24" xfId="43855"/>
    <cellStyle name="asd 28 3 2 3" xfId="5159"/>
    <cellStyle name="asd 28 3 2 4" xfId="6609"/>
    <cellStyle name="asd 28 3 2 5" xfId="8060"/>
    <cellStyle name="asd 28 3 2 6" xfId="9970"/>
    <cellStyle name="asd 28 3 2 7" xfId="12072"/>
    <cellStyle name="asd 28 3 2 8" xfId="14583"/>
    <cellStyle name="asd 28 3 2 9" xfId="16489"/>
    <cellStyle name="asd 28 3 20" xfId="32032"/>
    <cellStyle name="asd 28 3 21" xfId="33772"/>
    <cellStyle name="asd 28 3 22" xfId="35475"/>
    <cellStyle name="asd 28 3 23" xfId="37353"/>
    <cellStyle name="asd 28 3 24" xfId="39262"/>
    <cellStyle name="asd 28 3 25" xfId="40939"/>
    <cellStyle name="asd 28 3 26" xfId="42623"/>
    <cellStyle name="asd 28 3 3" xfId="2252"/>
    <cellStyle name="asd 28 3 3 10" xfId="19041"/>
    <cellStyle name="asd 28 3 3 11" xfId="20953"/>
    <cellStyle name="asd 28 3 3 12" xfId="23096"/>
    <cellStyle name="asd 28 3 3 13" xfId="24755"/>
    <cellStyle name="asd 28 3 3 14" xfId="27251"/>
    <cellStyle name="asd 28 3 3 15" xfId="27499"/>
    <cellStyle name="asd 28 3 3 16" xfId="30842"/>
    <cellStyle name="asd 28 3 3 17" xfId="31735"/>
    <cellStyle name="asd 28 3 3 18" xfId="35056"/>
    <cellStyle name="asd 28 3 3 19" xfId="35582"/>
    <cellStyle name="asd 28 3 3 2" xfId="5490"/>
    <cellStyle name="asd 28 3 3 2 10" xfId="21740"/>
    <cellStyle name="asd 28 3 3 2 11" xfId="23359"/>
    <cellStyle name="asd 28 3 3 2 12" xfId="25542"/>
    <cellStyle name="asd 28 3 3 2 13" xfId="27253"/>
    <cellStyle name="asd 28 3 3 2 14" xfId="28942"/>
    <cellStyle name="asd 28 3 3 2 15" xfId="30844"/>
    <cellStyle name="asd 28 3 3 2 16" xfId="31685"/>
    <cellStyle name="asd 28 3 3 2 17" xfId="33495"/>
    <cellStyle name="asd 28 3 3 2 18" xfId="36369"/>
    <cellStyle name="asd 28 3 3 2 19" xfId="38248"/>
    <cellStyle name="asd 28 3 3 2 2" xfId="6939"/>
    <cellStyle name="asd 28 3 3 2 20" xfId="38927"/>
    <cellStyle name="asd 28 3 3 2 21" xfId="40611"/>
    <cellStyle name="asd 28 3 3 2 22" xfId="43129"/>
    <cellStyle name="asd 28 3 3 2 3" xfId="8393"/>
    <cellStyle name="asd 28 3 3 2 4" xfId="10303"/>
    <cellStyle name="asd 28 3 3 2 5" xfId="12214"/>
    <cellStyle name="asd 28 3 3 2 6" xfId="13831"/>
    <cellStyle name="asd 28 3 3 2 7" xfId="15733"/>
    <cellStyle name="asd 28 3 3 2 8" xfId="17922"/>
    <cellStyle name="asd 28 3 3 2 9" xfId="19828"/>
    <cellStyle name="asd 28 3 3 20" xfId="37461"/>
    <cellStyle name="asd 28 3 3 21" xfId="38976"/>
    <cellStyle name="asd 28 3 3 22" xfId="40659"/>
    <cellStyle name="asd 28 3 3 23" xfId="42877"/>
    <cellStyle name="asd 28 3 3 3" xfId="4707"/>
    <cellStyle name="asd 28 3 3 4" xfId="7606"/>
    <cellStyle name="asd 28 3 3 5" xfId="9516"/>
    <cellStyle name="asd 28 3 3 6" xfId="12708"/>
    <cellStyle name="asd 28 3 3 7" xfId="13567"/>
    <cellStyle name="asd 28 3 3 8" xfId="15470"/>
    <cellStyle name="asd 28 3 3 9" xfId="17135"/>
    <cellStyle name="asd 28 3 4" xfId="4150"/>
    <cellStyle name="asd 28 3 4 10" xfId="19785"/>
    <cellStyle name="asd 28 3 4 11" xfId="21697"/>
    <cellStyle name="asd 28 3 4 12" xfId="23620"/>
    <cellStyle name="asd 28 3 4 13" xfId="25499"/>
    <cellStyle name="asd 28 3 4 14" xfId="27610"/>
    <cellStyle name="asd 28 3 4 15" xfId="28634"/>
    <cellStyle name="asd 28 3 4 16" xfId="31188"/>
    <cellStyle name="asd 28 3 4 17" xfId="32809"/>
    <cellStyle name="asd 28 3 4 18" xfId="34386"/>
    <cellStyle name="asd 28 3 4 19" xfId="36326"/>
    <cellStyle name="asd 28 3 4 2" xfId="6055"/>
    <cellStyle name="asd 28 3 4 2 10" xfId="22305"/>
    <cellStyle name="asd 28 3 4 2 11" xfId="13160"/>
    <cellStyle name="asd 28 3 4 2 12" xfId="26107"/>
    <cellStyle name="asd 28 3 4 2 13" xfId="2981"/>
    <cellStyle name="asd 28 3 4 2 14" xfId="2394"/>
    <cellStyle name="asd 28 3 4 2 15" xfId="29140"/>
    <cellStyle name="asd 28 3 4 2 16" xfId="28326"/>
    <cellStyle name="asd 28 3 4 2 17" xfId="31385"/>
    <cellStyle name="asd 28 3 4 2 18" xfId="36934"/>
    <cellStyle name="asd 28 3 4 2 19" xfId="38813"/>
    <cellStyle name="asd 28 3 4 2 2" xfId="7504"/>
    <cellStyle name="asd 28 3 4 2 20" xfId="33341"/>
    <cellStyle name="asd 28 3 4 2 21" xfId="30677"/>
    <cellStyle name="asd 28 3 4 2 22" xfId="34433"/>
    <cellStyle name="asd 28 3 4 2 3" xfId="8958"/>
    <cellStyle name="asd 28 3 4 2 4" xfId="10868"/>
    <cellStyle name="asd 28 3 4 2 5" xfId="2380"/>
    <cellStyle name="asd 28 3 4 2 6" xfId="2996"/>
    <cellStyle name="asd 28 3 4 2 7" xfId="3959"/>
    <cellStyle name="asd 28 3 4 2 8" xfId="18487"/>
    <cellStyle name="asd 28 3 4 2 9" xfId="20393"/>
    <cellStyle name="asd 28 3 4 20" xfId="38205"/>
    <cellStyle name="asd 28 3 4 21" xfId="40018"/>
    <cellStyle name="asd 28 3 4 22" xfId="41682"/>
    <cellStyle name="asd 28 3 4 23" xfId="43378"/>
    <cellStyle name="asd 28 3 4 3" xfId="6896"/>
    <cellStyle name="asd 28 3 4 4" xfId="8350"/>
    <cellStyle name="asd 28 3 4 5" xfId="10260"/>
    <cellStyle name="asd 28 3 4 6" xfId="11581"/>
    <cellStyle name="asd 28 3 4 7" xfId="14090"/>
    <cellStyle name="asd 28 3 4 8" xfId="15993"/>
    <cellStyle name="asd 28 3 4 9" xfId="17879"/>
    <cellStyle name="asd 28 3 5" xfId="4990"/>
    <cellStyle name="asd 28 3 5 10" xfId="21238"/>
    <cellStyle name="asd 28 3 5 11" xfId="22929"/>
    <cellStyle name="asd 28 3 5 12" xfId="25040"/>
    <cellStyle name="asd 28 3 5 13" xfId="27095"/>
    <cellStyle name="asd 28 3 5 14" xfId="28869"/>
    <cellStyle name="asd 28 3 5 15" xfId="30686"/>
    <cellStyle name="asd 28 3 5 16" xfId="32501"/>
    <cellStyle name="asd 28 3 5 17" xfId="34171"/>
    <cellStyle name="asd 28 3 5 18" xfId="35867"/>
    <cellStyle name="asd 28 3 5 19" xfId="37746"/>
    <cellStyle name="asd 28 3 5 2" xfId="6440"/>
    <cellStyle name="asd 28 3 5 20" xfId="39716"/>
    <cellStyle name="asd 28 3 5 21" xfId="41388"/>
    <cellStyle name="asd 28 3 5 22" xfId="42715"/>
    <cellStyle name="asd 28 3 5 3" xfId="7891"/>
    <cellStyle name="asd 28 3 5 4" xfId="9801"/>
    <cellStyle name="asd 28 3 5 5" xfId="12246"/>
    <cellStyle name="asd 28 3 5 6" xfId="13397"/>
    <cellStyle name="asd 28 3 5 7" xfId="15302"/>
    <cellStyle name="asd 28 3 5 8" xfId="17420"/>
    <cellStyle name="asd 28 3 5 9" xfId="19326"/>
    <cellStyle name="asd 28 3 6" xfId="5712"/>
    <cellStyle name="asd 28 3 6 10" xfId="21962"/>
    <cellStyle name="asd 28 3 6 11" xfId="22912"/>
    <cellStyle name="asd 28 3 6 12" xfId="25764"/>
    <cellStyle name="asd 28 3 6 13" xfId="26233"/>
    <cellStyle name="asd 28 3 6 14" xfId="28385"/>
    <cellStyle name="asd 28 3 6 15" xfId="29843"/>
    <cellStyle name="asd 28 3 6 16" xfId="32196"/>
    <cellStyle name="asd 28 3 6 17" xfId="33526"/>
    <cellStyle name="asd 28 3 6 18" xfId="36591"/>
    <cellStyle name="asd 28 3 6 19" xfId="38470"/>
    <cellStyle name="asd 28 3 6 2" xfId="7161"/>
    <cellStyle name="asd 28 3 6 20" xfId="39418"/>
    <cellStyle name="asd 28 3 6 21" xfId="41094"/>
    <cellStyle name="asd 28 3 6 22" xfId="42698"/>
    <cellStyle name="asd 28 3 6 3" xfId="8615"/>
    <cellStyle name="asd 28 3 6 4" xfId="10525"/>
    <cellStyle name="asd 28 3 6 5" xfId="11233"/>
    <cellStyle name="asd 28 3 6 6" xfId="13380"/>
    <cellStyle name="asd 28 3 6 7" xfId="15285"/>
    <cellStyle name="asd 28 3 6 8" xfId="18144"/>
    <cellStyle name="asd 28 3 6 9" xfId="20050"/>
    <cellStyle name="asd 28 3 7" xfId="2076"/>
    <cellStyle name="asd 28 3 8" xfId="9407"/>
    <cellStyle name="asd 28 3 9" xfId="11152"/>
    <cellStyle name="asd 28 4" xfId="3482"/>
    <cellStyle name="asd 28 4 10" xfId="15773"/>
    <cellStyle name="asd 28 4 11" xfId="16917"/>
    <cellStyle name="asd 28 4 12" xfId="18824"/>
    <cellStyle name="asd 28 4 13" xfId="20736"/>
    <cellStyle name="asd 28 4 14" xfId="23400"/>
    <cellStyle name="asd 28 4 15" xfId="24538"/>
    <cellStyle name="asd 28 4 16" xfId="26687"/>
    <cellStyle name="asd 28 4 17" xfId="28068"/>
    <cellStyle name="asd 28 4 18" xfId="30287"/>
    <cellStyle name="asd 28 4 19" xfId="32505"/>
    <cellStyle name="asd 28 4 2" xfId="3662"/>
    <cellStyle name="asd 28 4 2 10" xfId="17553"/>
    <cellStyle name="asd 28 4 2 11" xfId="19459"/>
    <cellStyle name="asd 28 4 2 12" xfId="21371"/>
    <cellStyle name="asd 28 4 2 13" xfId="22402"/>
    <cellStyle name="asd 28 4 2 14" xfId="25173"/>
    <cellStyle name="asd 28 4 2 15" xfId="27730"/>
    <cellStyle name="asd 28 4 2 16" xfId="29266"/>
    <cellStyle name="asd 28 4 2 17" xfId="31308"/>
    <cellStyle name="asd 28 4 2 18" xfId="33037"/>
    <cellStyle name="asd 28 4 2 19" xfId="34244"/>
    <cellStyle name="asd 28 4 2 2" xfId="4576"/>
    <cellStyle name="asd 28 4 2 2 10" xfId="20821"/>
    <cellStyle name="asd 28 4 2 2 11" xfId="23850"/>
    <cellStyle name="asd 28 4 2 2 12" xfId="24623"/>
    <cellStyle name="asd 28 4 2 2 13" xfId="27507"/>
    <cellStyle name="asd 28 4 2 2 14" xfId="29660"/>
    <cellStyle name="asd 28 4 2 2 15" xfId="31092"/>
    <cellStyle name="asd 28 4 2 2 16" xfId="33007"/>
    <cellStyle name="asd 28 4 2 2 17" xfId="33454"/>
    <cellStyle name="asd 28 4 2 2 18" xfId="35451"/>
    <cellStyle name="asd 28 4 2 2 19" xfId="37329"/>
    <cellStyle name="asd 28 4 2 2 2" xfId="2410"/>
    <cellStyle name="asd 28 4 2 2 20" xfId="40207"/>
    <cellStyle name="asd 28 4 2 2 21" xfId="41866"/>
    <cellStyle name="asd 28 4 2 2 22" xfId="43601"/>
    <cellStyle name="asd 28 4 2 2 3" xfId="2619"/>
    <cellStyle name="asd 28 4 2 2 4" xfId="9383"/>
    <cellStyle name="asd 28 4 2 2 5" xfId="11613"/>
    <cellStyle name="asd 28 4 2 2 6" xfId="14320"/>
    <cellStyle name="asd 28 4 2 2 7" xfId="16224"/>
    <cellStyle name="asd 28 4 2 2 8" xfId="17002"/>
    <cellStyle name="asd 28 4 2 2 9" xfId="18909"/>
    <cellStyle name="asd 28 4 2 20" xfId="36000"/>
    <cellStyle name="asd 28 4 2 21" xfId="37879"/>
    <cellStyle name="asd 28 4 2 22" xfId="40236"/>
    <cellStyle name="asd 28 4 2 23" xfId="41895"/>
    <cellStyle name="asd 28 4 2 24" xfId="42213"/>
    <cellStyle name="asd 28 4 2 3" xfId="5123"/>
    <cellStyle name="asd 28 4 2 4" xfId="6573"/>
    <cellStyle name="asd 28 4 2 5" xfId="8024"/>
    <cellStyle name="asd 28 4 2 6" xfId="9934"/>
    <cellStyle name="asd 28 4 2 7" xfId="11536"/>
    <cellStyle name="asd 28 4 2 8" xfId="12869"/>
    <cellStyle name="asd 28 4 2 9" xfId="14774"/>
    <cellStyle name="asd 28 4 20" xfId="34753"/>
    <cellStyle name="asd 28 4 21" xfId="35366"/>
    <cellStyle name="asd 28 4 22" xfId="37244"/>
    <cellStyle name="asd 28 4 23" xfId="39720"/>
    <cellStyle name="asd 28 4 24" xfId="41392"/>
    <cellStyle name="asd 28 4 25" xfId="43167"/>
    <cellStyle name="asd 28 4 3" xfId="3855"/>
    <cellStyle name="asd 28 4 3 10" xfId="19576"/>
    <cellStyle name="asd 28 4 3 11" xfId="21488"/>
    <cellStyle name="asd 28 4 3 12" xfId="22715"/>
    <cellStyle name="asd 28 4 3 13" xfId="25290"/>
    <cellStyle name="asd 28 4 3 14" xfId="26541"/>
    <cellStyle name="asd 28 4 3 15" xfId="28663"/>
    <cellStyle name="asd 28 4 3 16" xfId="30147"/>
    <cellStyle name="asd 28 4 3 17" xfId="31666"/>
    <cellStyle name="asd 28 4 3 18" xfId="33749"/>
    <cellStyle name="asd 28 4 3 19" xfId="36117"/>
    <cellStyle name="asd 28 4 3 2" xfId="5846"/>
    <cellStyle name="asd 28 4 3 2 10" xfId="22096"/>
    <cellStyle name="asd 28 4 3 2 11" xfId="22956"/>
    <cellStyle name="asd 28 4 3 2 12" xfId="25898"/>
    <cellStyle name="asd 28 4 3 2 13" xfId="27972"/>
    <cellStyle name="asd 28 4 3 2 14" xfId="29564"/>
    <cellStyle name="asd 28 4 3 2 15" xfId="31552"/>
    <cellStyle name="asd 28 4 3 2 16" xfId="31049"/>
    <cellStyle name="asd 28 4 3 2 17" xfId="31470"/>
    <cellStyle name="asd 28 4 3 2 18" xfId="36725"/>
    <cellStyle name="asd 28 4 3 2 19" xfId="38604"/>
    <cellStyle name="asd 28 4 3 2 2" xfId="7295"/>
    <cellStyle name="asd 28 4 3 2 20" xfId="28964"/>
    <cellStyle name="asd 28 4 3 2 21" xfId="39909"/>
    <cellStyle name="asd 28 4 3 2 22" xfId="42742"/>
    <cellStyle name="asd 28 4 3 2 3" xfId="8749"/>
    <cellStyle name="asd 28 4 3 2 4" xfId="10659"/>
    <cellStyle name="asd 28 4 3 2 5" xfId="12174"/>
    <cellStyle name="asd 28 4 3 2 6" xfId="13425"/>
    <cellStyle name="asd 28 4 3 2 7" xfId="15330"/>
    <cellStyle name="asd 28 4 3 2 8" xfId="18278"/>
    <cellStyle name="asd 28 4 3 2 9" xfId="20184"/>
    <cellStyle name="asd 28 4 3 20" xfId="37996"/>
    <cellStyle name="asd 28 4 3 21" xfId="38910"/>
    <cellStyle name="asd 28 4 3 22" xfId="40594"/>
    <cellStyle name="asd 28 4 3 23" xfId="42515"/>
    <cellStyle name="asd 28 4 3 3" xfId="5240"/>
    <cellStyle name="asd 28 4 3 4" xfId="8141"/>
    <cellStyle name="asd 28 4 3 5" xfId="10051"/>
    <cellStyle name="asd 28 4 3 6" xfId="11191"/>
    <cellStyle name="asd 28 4 3 7" xfId="13183"/>
    <cellStyle name="asd 28 4 3 8" xfId="15087"/>
    <cellStyle name="asd 28 4 3 9" xfId="17670"/>
    <cellStyle name="asd 28 4 4" xfId="4114"/>
    <cellStyle name="asd 28 4 4 10" xfId="19749"/>
    <cellStyle name="asd 28 4 4 11" xfId="21661"/>
    <cellStyle name="asd 28 4 4 12" xfId="23280"/>
    <cellStyle name="asd 28 4 4 13" xfId="25463"/>
    <cellStyle name="asd 28 4 4 14" xfId="26263"/>
    <cellStyle name="asd 28 4 4 15" xfId="29114"/>
    <cellStyle name="asd 28 4 4 16" xfId="29873"/>
    <cellStyle name="asd 28 4 4 17" xfId="33285"/>
    <cellStyle name="asd 28 4 4 18" xfId="34094"/>
    <cellStyle name="asd 28 4 4 19" xfId="36290"/>
    <cellStyle name="asd 28 4 4 2" xfId="6019"/>
    <cellStyle name="asd 28 4 4 2 10" xfId="22269"/>
    <cellStyle name="asd 28 4 4 2 11" xfId="23703"/>
    <cellStyle name="asd 28 4 4 2 12" xfId="26071"/>
    <cellStyle name="asd 28 4 4 2 13" xfId="27283"/>
    <cellStyle name="asd 28 4 4 2 14" xfId="28464"/>
    <cellStyle name="asd 28 4 4 2 15" xfId="30875"/>
    <cellStyle name="asd 28 4 4 2 16" xfId="31771"/>
    <cellStyle name="asd 28 4 4 2 17" xfId="34669"/>
    <cellStyle name="asd 28 4 4 2 18" xfId="36898"/>
    <cellStyle name="asd 28 4 4 2 19" xfId="38777"/>
    <cellStyle name="asd 28 4 4 2 2" xfId="7468"/>
    <cellStyle name="asd 28 4 4 2 20" xfId="39010"/>
    <cellStyle name="asd 28 4 4 2 21" xfId="40692"/>
    <cellStyle name="asd 28 4 4 2 22" xfId="43460"/>
    <cellStyle name="asd 28 4 4 2 3" xfId="8922"/>
    <cellStyle name="asd 28 4 4 2 4" xfId="10832"/>
    <cellStyle name="asd 28 4 4 2 5" xfId="11778"/>
    <cellStyle name="asd 28 4 4 2 6" xfId="14173"/>
    <cellStyle name="asd 28 4 4 2 7" xfId="16077"/>
    <cellStyle name="asd 28 4 4 2 8" xfId="18451"/>
    <cellStyle name="asd 28 4 4 2 9" xfId="20357"/>
    <cellStyle name="asd 28 4 4 20" xfId="38169"/>
    <cellStyle name="asd 28 4 4 21" xfId="40469"/>
    <cellStyle name="asd 28 4 4 22" xfId="42124"/>
    <cellStyle name="asd 28 4 4 23" xfId="43056"/>
    <cellStyle name="asd 28 4 4 3" xfId="6860"/>
    <cellStyle name="asd 28 4 4 4" xfId="8314"/>
    <cellStyle name="asd 28 4 4 5" xfId="10224"/>
    <cellStyle name="asd 28 4 4 6" xfId="11223"/>
    <cellStyle name="asd 28 4 4 7" xfId="13752"/>
    <cellStyle name="asd 28 4 4 8" xfId="15654"/>
    <cellStyle name="asd 28 4 4 9" xfId="17843"/>
    <cellStyle name="asd 28 4 5" xfId="5723"/>
    <cellStyle name="asd 28 4 5 10" xfId="21973"/>
    <cellStyle name="asd 28 4 5 11" xfId="23232"/>
    <cellStyle name="asd 28 4 5 12" xfId="25775"/>
    <cellStyle name="asd 28 4 5 13" xfId="26253"/>
    <cellStyle name="asd 28 4 5 14" xfId="28975"/>
    <cellStyle name="asd 28 4 5 15" xfId="29863"/>
    <cellStyle name="asd 28 4 5 16" xfId="33028"/>
    <cellStyle name="asd 28 4 5 17" xfId="34179"/>
    <cellStyle name="asd 28 4 5 18" xfId="36602"/>
    <cellStyle name="asd 28 4 5 19" xfId="38481"/>
    <cellStyle name="asd 28 4 5 2" xfId="7172"/>
    <cellStyle name="asd 28 4 5 20" xfId="40228"/>
    <cellStyle name="asd 28 4 5 21" xfId="41887"/>
    <cellStyle name="asd 28 4 5 22" xfId="43009"/>
    <cellStyle name="asd 28 4 5 3" xfId="8626"/>
    <cellStyle name="asd 28 4 5 4" xfId="10536"/>
    <cellStyle name="asd 28 4 5 5" xfId="11116"/>
    <cellStyle name="asd 28 4 5 6" xfId="13704"/>
    <cellStyle name="asd 28 4 5 7" xfId="15606"/>
    <cellStyle name="asd 28 4 5 8" xfId="18155"/>
    <cellStyle name="asd 28 4 5 9" xfId="20061"/>
    <cellStyle name="asd 28 4 6" xfId="5320"/>
    <cellStyle name="asd 28 4 7" xfId="9298"/>
    <cellStyle name="asd 28 4 8" xfId="11255"/>
    <cellStyle name="asd 28 4 9" xfId="13872"/>
    <cellStyle name="asd 28 5" xfId="3054"/>
    <cellStyle name="asd 28 5 10" xfId="17242"/>
    <cellStyle name="asd 28 5 11" xfId="19148"/>
    <cellStyle name="asd 28 5 12" xfId="21060"/>
    <cellStyle name="asd 28 5 13" xfId="22497"/>
    <cellStyle name="asd 28 5 14" xfId="24862"/>
    <cellStyle name="asd 28 5 15" xfId="26197"/>
    <cellStyle name="asd 28 5 16" xfId="28606"/>
    <cellStyle name="asd 28 5 17" xfId="29810"/>
    <cellStyle name="asd 28 5 18" xfId="32744"/>
    <cellStyle name="asd 28 5 19" xfId="34114"/>
    <cellStyle name="asd 28 5 2" xfId="5632"/>
    <cellStyle name="asd 28 5 2 10" xfId="21882"/>
    <cellStyle name="asd 28 5 2 11" xfId="22581"/>
    <cellStyle name="asd 28 5 2 12" xfId="25684"/>
    <cellStyle name="asd 28 5 2 13" xfId="3144"/>
    <cellStyle name="asd 28 5 2 14" xfId="1952"/>
    <cellStyle name="asd 28 5 2 15" xfId="3251"/>
    <cellStyle name="asd 28 5 2 16" xfId="2728"/>
    <cellStyle name="asd 28 5 2 17" xfId="2839"/>
    <cellStyle name="asd 28 5 2 18" xfId="36511"/>
    <cellStyle name="asd 28 5 2 19" xfId="38390"/>
    <cellStyle name="asd 28 5 2 2" xfId="7081"/>
    <cellStyle name="asd 28 5 2 20" xfId="36952"/>
    <cellStyle name="asd 28 5 2 21" xfId="40409"/>
    <cellStyle name="asd 28 5 2 22" xfId="42390"/>
    <cellStyle name="asd 28 5 2 3" xfId="8535"/>
    <cellStyle name="asd 28 5 2 4" xfId="10445"/>
    <cellStyle name="asd 28 5 2 5" xfId="11844"/>
    <cellStyle name="asd 28 5 2 6" xfId="13049"/>
    <cellStyle name="asd 28 5 2 7" xfId="14953"/>
    <cellStyle name="asd 28 5 2 8" xfId="18064"/>
    <cellStyle name="asd 28 5 2 9" xfId="19970"/>
    <cellStyle name="asd 28 5 20" xfId="35689"/>
    <cellStyle name="asd 28 5 21" xfId="37568"/>
    <cellStyle name="asd 28 5 22" xfId="39952"/>
    <cellStyle name="asd 28 5 23" xfId="41617"/>
    <cellStyle name="asd 28 5 24" xfId="42307"/>
    <cellStyle name="asd 28 5 3" xfId="4812"/>
    <cellStyle name="asd 28 5 4" xfId="6262"/>
    <cellStyle name="asd 28 5 5" xfId="7713"/>
    <cellStyle name="asd 28 5 6" xfId="9623"/>
    <cellStyle name="asd 28 5 7" xfId="11653"/>
    <cellStyle name="asd 28 5 8" xfId="12965"/>
    <cellStyle name="asd 28 5 9" xfId="14869"/>
    <cellStyle name="asd 28 6" xfId="2158"/>
    <cellStyle name="asd 28 6 10" xfId="19028"/>
    <cellStyle name="asd 28 6 11" xfId="20940"/>
    <cellStyle name="asd 28 6 12" xfId="22742"/>
    <cellStyle name="asd 28 6 13" xfId="24742"/>
    <cellStyle name="asd 28 6 14" xfId="27040"/>
    <cellStyle name="asd 28 6 15" xfId="29346"/>
    <cellStyle name="asd 28 6 16" xfId="30633"/>
    <cellStyle name="asd 28 6 17" xfId="33041"/>
    <cellStyle name="asd 28 6 18" xfId="34560"/>
    <cellStyle name="asd 28 6 19" xfId="35569"/>
    <cellStyle name="asd 28 6 2" xfId="5614"/>
    <cellStyle name="asd 28 6 2 10" xfId="21864"/>
    <cellStyle name="asd 28 6 2 11" xfId="22462"/>
    <cellStyle name="asd 28 6 2 12" xfId="25666"/>
    <cellStyle name="asd 28 6 2 13" xfId="27100"/>
    <cellStyle name="asd 28 6 2 14" xfId="28243"/>
    <cellStyle name="asd 28 6 2 15" xfId="30691"/>
    <cellStyle name="asd 28 6 2 16" xfId="32915"/>
    <cellStyle name="asd 28 6 2 17" xfId="33907"/>
    <cellStyle name="asd 28 6 2 18" xfId="36493"/>
    <cellStyle name="asd 28 6 2 19" xfId="38372"/>
    <cellStyle name="asd 28 6 2 2" xfId="7063"/>
    <cellStyle name="asd 28 6 2 20" xfId="40119"/>
    <cellStyle name="asd 28 6 2 21" xfId="41779"/>
    <cellStyle name="asd 28 6 2 22" xfId="42273"/>
    <cellStyle name="asd 28 6 2 3" xfId="8517"/>
    <cellStyle name="asd 28 6 2 4" xfId="10427"/>
    <cellStyle name="asd 28 6 2 5" xfId="11558"/>
    <cellStyle name="asd 28 6 2 6" xfId="12930"/>
    <cellStyle name="asd 28 6 2 7" xfId="14835"/>
    <cellStyle name="asd 28 6 2 8" xfId="18046"/>
    <cellStyle name="asd 28 6 2 9" xfId="19952"/>
    <cellStyle name="asd 28 6 20" xfId="37448"/>
    <cellStyle name="asd 28 6 21" xfId="40240"/>
    <cellStyle name="asd 28 6 22" xfId="41899"/>
    <cellStyle name="asd 28 6 23" xfId="42540"/>
    <cellStyle name="asd 28 6 3" xfId="4694"/>
    <cellStyle name="asd 28 6 4" xfId="7593"/>
    <cellStyle name="asd 28 6 5" xfId="9503"/>
    <cellStyle name="asd 28 6 6" xfId="11529"/>
    <cellStyle name="asd 28 6 7" xfId="13211"/>
    <cellStyle name="asd 28 6 8" xfId="15114"/>
    <cellStyle name="asd 28 6 9" xfId="17122"/>
    <cellStyle name="asd 28 7" xfId="2330"/>
    <cellStyle name="asd 28 7 10" xfId="19053"/>
    <cellStyle name="asd 28 7 11" xfId="20965"/>
    <cellStyle name="asd 28 7 12" xfId="23945"/>
    <cellStyle name="asd 28 7 13" xfId="24767"/>
    <cellStyle name="asd 28 7 14" xfId="26493"/>
    <cellStyle name="asd 28 7 15" xfId="28221"/>
    <cellStyle name="asd 28 7 16" xfId="30098"/>
    <cellStyle name="asd 28 7 17" xfId="31856"/>
    <cellStyle name="asd 28 7 18" xfId="34042"/>
    <cellStyle name="asd 28 7 19" xfId="35594"/>
    <cellStyle name="asd 28 7 2" xfId="4265"/>
    <cellStyle name="asd 28 7 2 10" xfId="20464"/>
    <cellStyle name="asd 28 7 2 11" xfId="23881"/>
    <cellStyle name="asd 28 7 2 12" xfId="24266"/>
    <cellStyle name="asd 28 7 2 13" xfId="26343"/>
    <cellStyle name="asd 28 7 2 14" xfId="29246"/>
    <cellStyle name="asd 28 7 2 15" xfId="29951"/>
    <cellStyle name="asd 28 7 2 16" xfId="32350"/>
    <cellStyle name="asd 28 7 2 17" xfId="34031"/>
    <cellStyle name="asd 28 7 2 18" xfId="35094"/>
    <cellStyle name="asd 28 7 2 19" xfId="36972"/>
    <cellStyle name="asd 28 7 2 2" xfId="4307"/>
    <cellStyle name="asd 28 7 2 20" xfId="39569"/>
    <cellStyle name="asd 28 7 2 21" xfId="41243"/>
    <cellStyle name="asd 28 7 2 22" xfId="43631"/>
    <cellStyle name="asd 28 7 2 3" xfId="4192"/>
    <cellStyle name="asd 28 7 2 4" xfId="9026"/>
    <cellStyle name="asd 28 7 2 5" xfId="11832"/>
    <cellStyle name="asd 28 7 2 6" xfId="14351"/>
    <cellStyle name="asd 28 7 2 7" xfId="16256"/>
    <cellStyle name="asd 28 7 2 8" xfId="16645"/>
    <cellStyle name="asd 28 7 2 9" xfId="18552"/>
    <cellStyle name="asd 28 7 20" xfId="37473"/>
    <cellStyle name="asd 28 7 21" xfId="39091"/>
    <cellStyle name="asd 28 7 22" xfId="40772"/>
    <cellStyle name="asd 28 7 23" xfId="43691"/>
    <cellStyle name="asd 28 7 3" xfId="6167"/>
    <cellStyle name="asd 28 7 4" xfId="7618"/>
    <cellStyle name="asd 28 7 5" xfId="9528"/>
    <cellStyle name="asd 28 7 6" xfId="11905"/>
    <cellStyle name="asd 28 7 7" xfId="14415"/>
    <cellStyle name="asd 28 7 8" xfId="16321"/>
    <cellStyle name="asd 28 7 9" xfId="17147"/>
    <cellStyle name="asd 28 8" xfId="2599"/>
    <cellStyle name="asd 28 9" xfId="1958"/>
    <cellStyle name="asd 29" xfId="894"/>
    <cellStyle name="asd 29 10" xfId="2226"/>
    <cellStyle name="asd 29 11" xfId="6216"/>
    <cellStyle name="asd 29 12" xfId="4156"/>
    <cellStyle name="asd 29 13" xfId="15504"/>
    <cellStyle name="asd 29 14" xfId="14729"/>
    <cellStyle name="asd 29 15" xfId="14679"/>
    <cellStyle name="asd 29 16" xfId="1920"/>
    <cellStyle name="asd 29 17" xfId="23130"/>
    <cellStyle name="asd 29 18" xfId="26132"/>
    <cellStyle name="asd 29 19" xfId="13419"/>
    <cellStyle name="asd 29 2" xfId="3513"/>
    <cellStyle name="asd 29 2 10" xfId="13114"/>
    <cellStyle name="asd 29 2 11" xfId="15019"/>
    <cellStyle name="asd 29 2 12" xfId="17001"/>
    <cellStyle name="asd 29 2 13" xfId="18908"/>
    <cellStyle name="asd 29 2 14" xfId="20820"/>
    <cellStyle name="asd 29 2 15" xfId="22647"/>
    <cellStyle name="asd 29 2 16" xfId="24622"/>
    <cellStyle name="asd 29 2 17" xfId="2446"/>
    <cellStyle name="asd 29 2 18" xfId="15256"/>
    <cellStyle name="asd 29 2 19" xfId="1887"/>
    <cellStyle name="asd 29 2 2" xfId="3693"/>
    <cellStyle name="asd 29 2 2 10" xfId="17584"/>
    <cellStyle name="asd 29 2 2 11" xfId="19490"/>
    <cellStyle name="asd 29 2 2 12" xfId="21402"/>
    <cellStyle name="asd 29 2 2 13" xfId="22367"/>
    <cellStyle name="asd 29 2 2 14" xfId="25204"/>
    <cellStyle name="asd 29 2 2 15" xfId="26405"/>
    <cellStyle name="asd 29 2 2 16" xfId="28138"/>
    <cellStyle name="asd 29 2 2 17" xfId="30013"/>
    <cellStyle name="asd 29 2 2 18" xfId="32723"/>
    <cellStyle name="asd 29 2 2 19" xfId="34246"/>
    <cellStyle name="asd 29 2 2 2" xfId="5760"/>
    <cellStyle name="asd 29 2 2 2 10" xfId="22010"/>
    <cellStyle name="asd 29 2 2 2 11" xfId="24064"/>
    <cellStyle name="asd 29 2 2 2 12" xfId="25812"/>
    <cellStyle name="asd 29 2 2 2 13" xfId="27761"/>
    <cellStyle name="asd 29 2 2 2 14" xfId="27077"/>
    <cellStyle name="asd 29 2 2 2 15" xfId="31339"/>
    <cellStyle name="asd 29 2 2 2 16" xfId="32733"/>
    <cellStyle name="asd 29 2 2 2 17" xfId="29662"/>
    <cellStyle name="asd 29 2 2 2 18" xfId="36639"/>
    <cellStyle name="asd 29 2 2 2 19" xfId="38518"/>
    <cellStyle name="asd 29 2 2 2 2" xfId="7209"/>
    <cellStyle name="asd 29 2 2 2 20" xfId="39942"/>
    <cellStyle name="asd 29 2 2 2 21" xfId="41608"/>
    <cellStyle name="asd 29 2 2 2 22" xfId="43808"/>
    <cellStyle name="asd 29 2 2 2 3" xfId="8663"/>
    <cellStyle name="asd 29 2 2 2 4" xfId="10573"/>
    <cellStyle name="asd 29 2 2 2 5" xfId="12023"/>
    <cellStyle name="asd 29 2 2 2 6" xfId="14534"/>
    <cellStyle name="asd 29 2 2 2 7" xfId="16440"/>
    <cellStyle name="asd 29 2 2 2 8" xfId="18192"/>
    <cellStyle name="asd 29 2 2 2 9" xfId="20098"/>
    <cellStyle name="asd 29 2 2 20" xfId="36031"/>
    <cellStyle name="asd 29 2 2 21" xfId="37910"/>
    <cellStyle name="asd 29 2 2 22" xfId="39933"/>
    <cellStyle name="asd 29 2 2 23" xfId="41599"/>
    <cellStyle name="asd 29 2 2 24" xfId="42179"/>
    <cellStyle name="asd 29 2 2 3" xfId="5154"/>
    <cellStyle name="asd 29 2 2 4" xfId="6604"/>
    <cellStyle name="asd 29 2 2 5" xfId="8055"/>
    <cellStyle name="asd 29 2 2 6" xfId="9965"/>
    <cellStyle name="asd 29 2 2 7" xfId="11548"/>
    <cellStyle name="asd 29 2 2 8" xfId="12834"/>
    <cellStyle name="asd 29 2 2 9" xfId="14739"/>
    <cellStyle name="asd 29 2 20" xfId="28062"/>
    <cellStyle name="asd 29 2 21" xfId="30799"/>
    <cellStyle name="asd 29 2 22" xfId="35450"/>
    <cellStyle name="asd 29 2 23" xfId="37328"/>
    <cellStyle name="asd 29 2 24" xfId="24083"/>
    <cellStyle name="asd 29 2 25" xfId="22317"/>
    <cellStyle name="asd 29 2 26" xfId="42453"/>
    <cellStyle name="asd 29 2 3" xfId="2497"/>
    <cellStyle name="asd 29 2 3 10" xfId="19072"/>
    <cellStyle name="asd 29 2 3 11" xfId="20984"/>
    <cellStyle name="asd 29 2 3 12" xfId="22597"/>
    <cellStyle name="asd 29 2 3 13" xfId="24786"/>
    <cellStyle name="asd 29 2 3 14" xfId="26817"/>
    <cellStyle name="asd 29 2 3 15" xfId="28137"/>
    <cellStyle name="asd 29 2 3 16" xfId="30416"/>
    <cellStyle name="asd 29 2 3 17" xfId="33148"/>
    <cellStyle name="asd 29 2 3 18" xfId="34277"/>
    <cellStyle name="asd 29 2 3 19" xfId="35613"/>
    <cellStyle name="asd 29 2 3 2" xfId="5542"/>
    <cellStyle name="asd 29 2 3 2 10" xfId="21792"/>
    <cellStyle name="asd 29 2 3 2 11" xfId="22737"/>
    <cellStyle name="asd 29 2 3 2 12" xfId="25594"/>
    <cellStyle name="asd 29 2 3 2 13" xfId="27912"/>
    <cellStyle name="asd 29 2 3 2 14" xfId="29187"/>
    <cellStyle name="asd 29 2 3 2 15" xfId="31494"/>
    <cellStyle name="asd 29 2 3 2 16" xfId="32774"/>
    <cellStyle name="asd 29 2 3 2 17" xfId="33588"/>
    <cellStyle name="asd 29 2 3 2 18" xfId="36421"/>
    <cellStyle name="asd 29 2 3 2 19" xfId="38300"/>
    <cellStyle name="asd 29 2 3 2 2" xfId="6991"/>
    <cellStyle name="asd 29 2 3 2 20" xfId="39983"/>
    <cellStyle name="asd 29 2 3 2 21" xfId="41647"/>
    <cellStyle name="asd 29 2 3 2 22" xfId="42535"/>
    <cellStyle name="asd 29 2 3 2 3" xfId="8445"/>
    <cellStyle name="asd 29 2 3 2 4" xfId="10355"/>
    <cellStyle name="asd 29 2 3 2 5" xfId="11809"/>
    <cellStyle name="asd 29 2 3 2 6" xfId="13206"/>
    <cellStyle name="asd 29 2 3 2 7" xfId="15109"/>
    <cellStyle name="asd 29 2 3 2 8" xfId="17974"/>
    <cellStyle name="asd 29 2 3 2 9" xfId="19880"/>
    <cellStyle name="asd 29 2 3 20" xfId="37492"/>
    <cellStyle name="asd 29 2 3 21" xfId="40341"/>
    <cellStyle name="asd 29 2 3 22" xfId="41997"/>
    <cellStyle name="asd 29 2 3 23" xfId="42406"/>
    <cellStyle name="asd 29 2 3 3" xfId="4737"/>
    <cellStyle name="asd 29 2 3 4" xfId="7637"/>
    <cellStyle name="asd 29 2 3 5" xfId="9547"/>
    <cellStyle name="asd 29 2 3 6" xfId="12431"/>
    <cellStyle name="asd 29 2 3 7" xfId="13065"/>
    <cellStyle name="asd 29 2 3 8" xfId="14969"/>
    <cellStyle name="asd 29 2 3 9" xfId="17166"/>
    <cellStyle name="asd 29 2 4" xfId="4145"/>
    <cellStyle name="asd 29 2 4 10" xfId="19780"/>
    <cellStyle name="asd 29 2 4 11" xfId="21692"/>
    <cellStyle name="asd 29 2 4 12" xfId="22959"/>
    <cellStyle name="asd 29 2 4 13" xfId="25494"/>
    <cellStyle name="asd 29 2 4 14" xfId="26709"/>
    <cellStyle name="asd 29 2 4 15" xfId="29046"/>
    <cellStyle name="asd 29 2 4 16" xfId="30309"/>
    <cellStyle name="asd 29 2 4 17" xfId="32619"/>
    <cellStyle name="asd 29 2 4 18" xfId="34698"/>
    <cellStyle name="asd 29 2 4 19" xfId="36321"/>
    <cellStyle name="asd 29 2 4 2" xfId="6050"/>
    <cellStyle name="asd 29 2 4 2 10" xfId="22300"/>
    <cellStyle name="asd 29 2 4 2 11" xfId="2871"/>
    <cellStyle name="asd 29 2 4 2 12" xfId="26102"/>
    <cellStyle name="asd 29 2 4 2 13" xfId="4379"/>
    <cellStyle name="asd 29 2 4 2 14" xfId="29405"/>
    <cellStyle name="asd 29 2 4 2 15" xfId="11515"/>
    <cellStyle name="asd 29 2 4 2 16" xfId="31567"/>
    <cellStyle name="asd 29 2 4 2 17" xfId="28889"/>
    <cellStyle name="asd 29 2 4 2 18" xfId="36929"/>
    <cellStyle name="asd 29 2 4 2 19" xfId="38808"/>
    <cellStyle name="asd 29 2 4 2 2" xfId="7499"/>
    <cellStyle name="asd 29 2 4 2 20" xfId="38825"/>
    <cellStyle name="asd 29 2 4 2 21" xfId="40518"/>
    <cellStyle name="asd 29 2 4 2 22" xfId="3028"/>
    <cellStyle name="asd 29 2 4 2 3" xfId="8953"/>
    <cellStyle name="asd 29 2 4 2 4" xfId="10863"/>
    <cellStyle name="asd 29 2 4 2 5" xfId="2550"/>
    <cellStyle name="asd 29 2 4 2 6" xfId="8985"/>
    <cellStyle name="asd 29 2 4 2 7" xfId="12784"/>
    <cellStyle name="asd 29 2 4 2 8" xfId="18482"/>
    <cellStyle name="asd 29 2 4 2 9" xfId="20388"/>
    <cellStyle name="asd 29 2 4 20" xfId="38200"/>
    <cellStyle name="asd 29 2 4 21" xfId="39829"/>
    <cellStyle name="asd 29 2 4 22" xfId="41498"/>
    <cellStyle name="asd 29 2 4 23" xfId="42745"/>
    <cellStyle name="asd 29 2 4 3" xfId="6891"/>
    <cellStyle name="asd 29 2 4 4" xfId="8345"/>
    <cellStyle name="asd 29 2 4 5" xfId="10255"/>
    <cellStyle name="asd 29 2 4 6" xfId="11153"/>
    <cellStyle name="asd 29 2 4 7" xfId="13428"/>
    <cellStyle name="asd 29 2 4 8" xfId="15333"/>
    <cellStyle name="asd 29 2 4 9" xfId="17874"/>
    <cellStyle name="asd 29 2 5" xfId="4986"/>
    <cellStyle name="asd 29 2 5 10" xfId="21234"/>
    <cellStyle name="asd 29 2 5 11" xfId="8973"/>
    <cellStyle name="asd 29 2 5 12" xfId="25036"/>
    <cellStyle name="asd 29 2 5 13" xfId="13839"/>
    <cellStyle name="asd 29 2 5 14" xfId="2879"/>
    <cellStyle name="asd 29 2 5 15" xfId="16628"/>
    <cellStyle name="asd 29 2 5 16" xfId="29254"/>
    <cellStyle name="asd 29 2 5 17" xfId="2637"/>
    <cellStyle name="asd 29 2 5 18" xfId="35863"/>
    <cellStyle name="asd 29 2 5 19" xfId="37742"/>
    <cellStyle name="asd 29 2 5 2" xfId="6436"/>
    <cellStyle name="asd 29 2 5 20" xfId="35075"/>
    <cellStyle name="asd 29 2 5 21" xfId="2437"/>
    <cellStyle name="asd 29 2 5 22" xfId="36942"/>
    <cellStyle name="asd 29 2 5 3" xfId="7887"/>
    <cellStyle name="asd 29 2 5 4" xfId="9797"/>
    <cellStyle name="asd 29 2 5 5" xfId="12229"/>
    <cellStyle name="asd 29 2 5 6" xfId="2884"/>
    <cellStyle name="asd 29 2 5 7" xfId="8974"/>
    <cellStyle name="asd 29 2 5 8" xfId="17416"/>
    <cellStyle name="asd 29 2 5 9" xfId="19322"/>
    <cellStyle name="asd 29 2 6" xfId="5455"/>
    <cellStyle name="asd 29 2 6 10" xfId="21705"/>
    <cellStyle name="asd 29 2 6 11" xfId="23442"/>
    <cellStyle name="asd 29 2 6 12" xfId="25507"/>
    <cellStyle name="asd 29 2 6 13" xfId="27202"/>
    <cellStyle name="asd 29 2 6 14" xfId="29310"/>
    <cellStyle name="asd 29 2 6 15" xfId="30793"/>
    <cellStyle name="asd 29 2 6 16" xfId="32305"/>
    <cellStyle name="asd 29 2 6 17" xfId="34650"/>
    <cellStyle name="asd 29 2 6 18" xfId="36334"/>
    <cellStyle name="asd 29 2 6 19" xfId="38213"/>
    <cellStyle name="asd 29 2 6 2" xfId="6904"/>
    <cellStyle name="asd 29 2 6 20" xfId="39524"/>
    <cellStyle name="asd 29 2 6 21" xfId="41198"/>
    <cellStyle name="asd 29 2 6 22" xfId="43209"/>
    <cellStyle name="asd 29 2 6 3" xfId="8358"/>
    <cellStyle name="asd 29 2 6 4" xfId="10268"/>
    <cellStyle name="asd 29 2 6 5" xfId="12236"/>
    <cellStyle name="asd 29 2 6 6" xfId="13914"/>
    <cellStyle name="asd 29 2 6 7" xfId="15815"/>
    <cellStyle name="asd 29 2 6 8" xfId="17887"/>
    <cellStyle name="asd 29 2 6 9" xfId="19793"/>
    <cellStyle name="asd 29 2 7" xfId="5422"/>
    <cellStyle name="asd 29 2 8" xfId="9382"/>
    <cellStyle name="asd 29 2 9" xfId="12412"/>
    <cellStyle name="asd 29 20" xfId="29746"/>
    <cellStyle name="asd 29 21" xfId="15880"/>
    <cellStyle name="asd 29 22" xfId="3220"/>
    <cellStyle name="asd 29 23" xfId="34889"/>
    <cellStyle name="asd 29 24" xfId="29462"/>
    <cellStyle name="asd 29 25" xfId="33226"/>
    <cellStyle name="asd 29 26" xfId="39077"/>
    <cellStyle name="asd 29 27" xfId="26791"/>
    <cellStyle name="asd 29 3" xfId="3429"/>
    <cellStyle name="asd 29 3 10" xfId="14580"/>
    <cellStyle name="asd 29 3 11" xfId="16486"/>
    <cellStyle name="asd 29 3 12" xfId="16806"/>
    <cellStyle name="asd 29 3 13" xfId="18713"/>
    <cellStyle name="asd 29 3 14" xfId="20625"/>
    <cellStyle name="asd 29 3 15" xfId="24110"/>
    <cellStyle name="asd 29 3 16" xfId="24427"/>
    <cellStyle name="asd 29 3 17" xfId="26274"/>
    <cellStyle name="asd 29 3 18" xfId="9000"/>
    <cellStyle name="asd 29 3 19" xfId="29883"/>
    <cellStyle name="asd 29 3 2" xfId="3609"/>
    <cellStyle name="asd 29 3 2 10" xfId="17500"/>
    <cellStyle name="asd 29 3 2 11" xfId="19406"/>
    <cellStyle name="asd 29 3 2 12" xfId="21318"/>
    <cellStyle name="asd 29 3 2 13" xfId="23432"/>
    <cellStyle name="asd 29 3 2 14" xfId="25120"/>
    <cellStyle name="asd 29 3 2 15" xfId="27630"/>
    <cellStyle name="asd 29 3 2 16" xfId="28820"/>
    <cellStyle name="asd 29 3 2 17" xfId="31208"/>
    <cellStyle name="asd 29 3 2 18" xfId="33052"/>
    <cellStyle name="asd 29 3 2 19" xfId="33538"/>
    <cellStyle name="asd 29 3 2 2" xfId="2799"/>
    <cellStyle name="asd 29 3 2 2 10" xfId="20490"/>
    <cellStyle name="asd 29 3 2 2 11" xfId="22951"/>
    <cellStyle name="asd 29 3 2 2 12" xfId="24292"/>
    <cellStyle name="asd 29 3 2 2 13" xfId="27475"/>
    <cellStyle name="asd 29 3 2 2 14" xfId="28735"/>
    <cellStyle name="asd 29 3 2 2 15" xfId="31062"/>
    <cellStyle name="asd 29 3 2 2 16" xfId="32440"/>
    <cellStyle name="asd 29 3 2 2 17" xfId="34495"/>
    <cellStyle name="asd 29 3 2 2 18" xfId="35120"/>
    <cellStyle name="asd 29 3 2 2 19" xfId="36998"/>
    <cellStyle name="asd 29 3 2 2 2" xfId="1978"/>
    <cellStyle name="asd 29 3 2 2 20" xfId="39657"/>
    <cellStyle name="asd 29 3 2 2 21" xfId="41331"/>
    <cellStyle name="asd 29 3 2 2 22" xfId="42737"/>
    <cellStyle name="asd 29 3 2 2 3" xfId="5443"/>
    <cellStyle name="asd 29 3 2 2 4" xfId="9052"/>
    <cellStyle name="asd 29 3 2 2 5" xfId="12261"/>
    <cellStyle name="asd 29 3 2 2 6" xfId="13420"/>
    <cellStyle name="asd 29 3 2 2 7" xfId="15325"/>
    <cellStyle name="asd 29 3 2 2 8" xfId="16671"/>
    <cellStyle name="asd 29 3 2 2 9" xfId="18578"/>
    <cellStyle name="asd 29 3 2 20" xfId="35947"/>
    <cellStyle name="asd 29 3 2 21" xfId="37826"/>
    <cellStyle name="asd 29 3 2 22" xfId="40249"/>
    <cellStyle name="asd 29 3 2 23" xfId="41907"/>
    <cellStyle name="asd 29 3 2 24" xfId="43199"/>
    <cellStyle name="asd 29 3 2 3" xfId="5070"/>
    <cellStyle name="asd 29 3 2 4" xfId="6520"/>
    <cellStyle name="asd 29 3 2 5" xfId="7971"/>
    <cellStyle name="asd 29 3 2 6" xfId="9881"/>
    <cellStyle name="asd 29 3 2 7" xfId="12595"/>
    <cellStyle name="asd 29 3 2 8" xfId="13904"/>
    <cellStyle name="asd 29 3 2 9" xfId="15805"/>
    <cellStyle name="asd 29 3 20" xfId="33130"/>
    <cellStyle name="asd 29 3 21" xfId="30120"/>
    <cellStyle name="asd 29 3 22" xfId="35255"/>
    <cellStyle name="asd 29 3 23" xfId="37133"/>
    <cellStyle name="asd 29 3 24" xfId="40324"/>
    <cellStyle name="asd 29 3 25" xfId="41980"/>
    <cellStyle name="asd 29 3 26" xfId="43853"/>
    <cellStyle name="asd 29 3 3" xfId="3766"/>
    <cellStyle name="asd 29 3 3 10" xfId="19509"/>
    <cellStyle name="asd 29 3 3 11" xfId="21421"/>
    <cellStyle name="asd 29 3 3 12" xfId="23158"/>
    <cellStyle name="asd 29 3 3 13" xfId="25223"/>
    <cellStyle name="asd 29 3 3 14" xfId="26344"/>
    <cellStyle name="asd 29 3 3 15" xfId="28032"/>
    <cellStyle name="asd 29 3 3 16" xfId="29952"/>
    <cellStyle name="asd 29 3 3 17" xfId="31614"/>
    <cellStyle name="asd 29 3 3 18" xfId="34790"/>
    <cellStyle name="asd 29 3 3 19" xfId="36050"/>
    <cellStyle name="asd 29 3 3 2" xfId="5779"/>
    <cellStyle name="asd 29 3 3 2 10" xfId="22029"/>
    <cellStyle name="asd 29 3 3 2 11" xfId="22778"/>
    <cellStyle name="asd 29 3 3 2 12" xfId="25831"/>
    <cellStyle name="asd 29 3 3 2 13" xfId="26627"/>
    <cellStyle name="asd 29 3 3 2 14" xfId="29682"/>
    <cellStyle name="asd 29 3 3 2 15" xfId="30230"/>
    <cellStyle name="asd 29 3 3 2 16" xfId="33252"/>
    <cellStyle name="asd 29 3 3 2 17" xfId="34167"/>
    <cellStyle name="asd 29 3 3 2 18" xfId="36658"/>
    <cellStyle name="asd 29 3 3 2 19" xfId="38537"/>
    <cellStyle name="asd 29 3 3 2 2" xfId="7228"/>
    <cellStyle name="asd 29 3 3 2 20" xfId="40438"/>
    <cellStyle name="asd 29 3 3 2 21" xfId="42093"/>
    <cellStyle name="asd 29 3 3 2 22" xfId="42573"/>
    <cellStyle name="asd 29 3 3 2 3" xfId="8682"/>
    <cellStyle name="asd 29 3 3 2 4" xfId="10592"/>
    <cellStyle name="asd 29 3 3 2 5" xfId="11346"/>
    <cellStyle name="asd 29 3 3 2 6" xfId="13248"/>
    <cellStyle name="asd 29 3 3 2 7" xfId="15151"/>
    <cellStyle name="asd 29 3 3 2 8" xfId="18211"/>
    <cellStyle name="asd 29 3 3 2 9" xfId="20117"/>
    <cellStyle name="asd 29 3 3 20" xfId="37929"/>
    <cellStyle name="asd 29 3 3 21" xfId="38861"/>
    <cellStyle name="asd 29 3 3 22" xfId="40547"/>
    <cellStyle name="asd 29 3 3 23" xfId="42936"/>
    <cellStyle name="asd 29 3 3 3" xfId="5173"/>
    <cellStyle name="asd 29 3 3 4" xfId="8074"/>
    <cellStyle name="asd 29 3 3 5" xfId="9984"/>
    <cellStyle name="asd 29 3 3 6" xfId="10958"/>
    <cellStyle name="asd 29 3 3 7" xfId="13629"/>
    <cellStyle name="asd 29 3 3 8" xfId="15532"/>
    <cellStyle name="asd 29 3 3 9" xfId="17603"/>
    <cellStyle name="asd 29 3 4" xfId="4061"/>
    <cellStyle name="asd 29 3 4 10" xfId="19696"/>
    <cellStyle name="asd 29 3 4 11" xfId="21608"/>
    <cellStyle name="asd 29 3 4 12" xfId="22878"/>
    <cellStyle name="asd 29 3 4 13" xfId="25410"/>
    <cellStyle name="asd 29 3 4 14" xfId="26641"/>
    <cellStyle name="asd 29 3 4 15" xfId="2334"/>
    <cellStyle name="asd 29 3 4 16" xfId="30244"/>
    <cellStyle name="asd 29 3 4 17" xfId="32986"/>
    <cellStyle name="asd 29 3 4 18" xfId="34814"/>
    <cellStyle name="asd 29 3 4 19" xfId="36237"/>
    <cellStyle name="asd 29 3 4 2" xfId="5966"/>
    <cellStyle name="asd 29 3 4 2 10" xfId="22216"/>
    <cellStyle name="asd 29 3 4 2 11" xfId="23066"/>
    <cellStyle name="asd 29 3 4 2 12" xfId="26018"/>
    <cellStyle name="asd 29 3 4 2 13" xfId="27566"/>
    <cellStyle name="asd 29 3 4 2 14" xfId="28848"/>
    <cellStyle name="asd 29 3 4 2 15" xfId="31146"/>
    <cellStyle name="asd 29 3 4 2 16" xfId="31879"/>
    <cellStyle name="asd 29 3 4 2 17" xfId="34362"/>
    <cellStyle name="asd 29 3 4 2 18" xfId="36845"/>
    <cellStyle name="asd 29 3 4 2 19" xfId="38724"/>
    <cellStyle name="asd 29 3 4 2 2" xfId="7415"/>
    <cellStyle name="asd 29 3 4 2 20" xfId="39114"/>
    <cellStyle name="asd 29 3 4 2 21" xfId="40795"/>
    <cellStyle name="asd 29 3 4 2 22" xfId="42849"/>
    <cellStyle name="asd 29 3 4 2 3" xfId="8869"/>
    <cellStyle name="asd 29 3 4 2 4" xfId="10779"/>
    <cellStyle name="asd 29 3 4 2 5" xfId="12672"/>
    <cellStyle name="asd 29 3 4 2 6" xfId="13537"/>
    <cellStyle name="asd 29 3 4 2 7" xfId="15440"/>
    <cellStyle name="asd 29 3 4 2 8" xfId="18398"/>
    <cellStyle name="asd 29 3 4 2 9" xfId="20304"/>
    <cellStyle name="asd 29 3 4 20" xfId="38116"/>
    <cellStyle name="asd 29 3 4 21" xfId="40187"/>
    <cellStyle name="asd 29 3 4 22" xfId="41846"/>
    <cellStyle name="asd 29 3 4 23" xfId="42665"/>
    <cellStyle name="asd 29 3 4 3" xfId="6807"/>
    <cellStyle name="asd 29 3 4 4" xfId="8261"/>
    <cellStyle name="asd 29 3 4 5" xfId="10171"/>
    <cellStyle name="asd 29 3 4 6" xfId="12248"/>
    <cellStyle name="asd 29 3 4 7" xfId="13346"/>
    <cellStyle name="asd 29 3 4 8" xfId="15251"/>
    <cellStyle name="asd 29 3 4 9" xfId="17790"/>
    <cellStyle name="asd 29 3 5" xfId="4920"/>
    <cellStyle name="asd 29 3 5 10" xfId="21168"/>
    <cellStyle name="asd 29 3 5 11" xfId="3342"/>
    <cellStyle name="asd 29 3 5 12" xfId="24970"/>
    <cellStyle name="asd 29 3 5 13" xfId="13233"/>
    <cellStyle name="asd 29 3 5 14" xfId="29437"/>
    <cellStyle name="asd 29 3 5 15" xfId="13161"/>
    <cellStyle name="asd 29 3 5 16" xfId="10896"/>
    <cellStyle name="asd 29 3 5 17" xfId="4267"/>
    <cellStyle name="asd 29 3 5 18" xfId="35797"/>
    <cellStyle name="asd 29 3 5 19" xfId="37676"/>
    <cellStyle name="asd 29 3 5 2" xfId="6370"/>
    <cellStyle name="asd 29 3 5 20" xfId="3528"/>
    <cellStyle name="asd 29 3 5 21" xfId="34808"/>
    <cellStyle name="asd 29 3 5 22" xfId="31704"/>
    <cellStyle name="asd 29 3 5 3" xfId="7821"/>
    <cellStyle name="asd 29 3 5 4" xfId="9731"/>
    <cellStyle name="asd 29 3 5 5" xfId="12550"/>
    <cellStyle name="asd 29 3 5 6" xfId="3007"/>
    <cellStyle name="asd 29 3 5 7" xfId="12464"/>
    <cellStyle name="asd 29 3 5 8" xfId="17350"/>
    <cellStyle name="asd 29 3 5 9" xfId="19256"/>
    <cellStyle name="asd 29 3 6" xfId="5666"/>
    <cellStyle name="asd 29 3 6 10" xfId="21916"/>
    <cellStyle name="asd 29 3 6 11" xfId="23209"/>
    <cellStyle name="asd 29 3 6 12" xfId="25718"/>
    <cellStyle name="asd 29 3 6 13" xfId="27359"/>
    <cellStyle name="asd 29 3 6 14" xfId="28925"/>
    <cellStyle name="asd 29 3 6 15" xfId="30947"/>
    <cellStyle name="asd 29 3 6 16" xfId="32507"/>
    <cellStyle name="asd 29 3 6 17" xfId="33421"/>
    <cellStyle name="asd 29 3 6 18" xfId="36545"/>
    <cellStyle name="asd 29 3 6 19" xfId="38424"/>
    <cellStyle name="asd 29 3 6 2" xfId="7115"/>
    <cellStyle name="asd 29 3 6 20" xfId="39722"/>
    <cellStyle name="asd 29 3 6 21" xfId="41394"/>
    <cellStyle name="asd 29 3 6 22" xfId="42987"/>
    <cellStyle name="asd 29 3 6 3" xfId="8569"/>
    <cellStyle name="asd 29 3 6 4" xfId="10479"/>
    <cellStyle name="asd 29 3 6 5" xfId="11079"/>
    <cellStyle name="asd 29 3 6 6" xfId="13681"/>
    <cellStyle name="asd 29 3 6 7" xfId="15583"/>
    <cellStyle name="asd 29 3 6 8" xfId="18098"/>
    <cellStyle name="asd 29 3 6 9" xfId="20004"/>
    <cellStyle name="asd 29 3 7" xfId="6295"/>
    <cellStyle name="asd 29 3 8" xfId="9187"/>
    <cellStyle name="asd 29 3 9" xfId="12069"/>
    <cellStyle name="asd 29 4" xfId="3391"/>
    <cellStyle name="asd 29 4 10" xfId="16014"/>
    <cellStyle name="asd 29 4 11" xfId="16724"/>
    <cellStyle name="asd 29 4 12" xfId="18631"/>
    <cellStyle name="asd 29 4 13" xfId="20543"/>
    <cellStyle name="asd 29 4 14" xfId="23641"/>
    <cellStyle name="asd 29 4 15" xfId="24345"/>
    <cellStyle name="asd 29 4 16" xfId="27438"/>
    <cellStyle name="asd 29 4 17" xfId="2258"/>
    <cellStyle name="asd 29 4 18" xfId="31024"/>
    <cellStyle name="asd 29 4 19" xfId="31993"/>
    <cellStyle name="asd 29 4 2" xfId="3571"/>
    <cellStyle name="asd 29 4 2 10" xfId="17462"/>
    <cellStyle name="asd 29 4 2 11" xfId="19368"/>
    <cellStyle name="asd 29 4 2 12" xfId="21280"/>
    <cellStyle name="asd 29 4 2 13" xfId="23310"/>
    <cellStyle name="asd 29 4 2 14" xfId="25082"/>
    <cellStyle name="asd 29 4 2 15" xfId="27158"/>
    <cellStyle name="asd 29 4 2 16" xfId="28901"/>
    <cellStyle name="asd 29 4 2 17" xfId="30749"/>
    <cellStyle name="asd 29 4 2 18" xfId="32781"/>
    <cellStyle name="asd 29 4 2 19" xfId="34149"/>
    <cellStyle name="asd 29 4 2 2" xfId="5537"/>
    <cellStyle name="asd 29 4 2 2 10" xfId="21787"/>
    <cellStyle name="asd 29 4 2 2 11" xfId="23088"/>
    <cellStyle name="asd 29 4 2 2 12" xfId="25589"/>
    <cellStyle name="asd 29 4 2 2 13" xfId="26537"/>
    <cellStyle name="asd 29 4 2 2 14" xfId="29620"/>
    <cellStyle name="asd 29 4 2 2 15" xfId="30143"/>
    <cellStyle name="asd 29 4 2 2 16" xfId="31805"/>
    <cellStyle name="asd 29 4 2 2 17" xfId="34098"/>
    <cellStyle name="asd 29 4 2 2 18" xfId="36416"/>
    <cellStyle name="asd 29 4 2 2 19" xfId="38295"/>
    <cellStyle name="asd 29 4 2 2 2" xfId="6986"/>
    <cellStyle name="asd 29 4 2 2 20" xfId="39043"/>
    <cellStyle name="asd 29 4 2 2 21" xfId="40725"/>
    <cellStyle name="asd 29 4 2 2 22" xfId="42870"/>
    <cellStyle name="asd 29 4 2 2 3" xfId="8440"/>
    <cellStyle name="asd 29 4 2 2 4" xfId="10350"/>
    <cellStyle name="asd 29 4 2 2 5" xfId="12699"/>
    <cellStyle name="asd 29 4 2 2 6" xfId="13559"/>
    <cellStyle name="asd 29 4 2 2 7" xfId="15462"/>
    <cellStyle name="asd 29 4 2 2 8" xfId="17969"/>
    <cellStyle name="asd 29 4 2 2 9" xfId="19875"/>
    <cellStyle name="asd 29 4 2 20" xfId="35909"/>
    <cellStyle name="asd 29 4 2 21" xfId="37788"/>
    <cellStyle name="asd 29 4 2 22" xfId="39990"/>
    <cellStyle name="asd 29 4 2 23" xfId="41654"/>
    <cellStyle name="asd 29 4 2 24" xfId="43082"/>
    <cellStyle name="asd 29 4 2 3" xfId="5032"/>
    <cellStyle name="asd 29 4 2 4" xfId="6482"/>
    <cellStyle name="asd 29 4 2 5" xfId="7933"/>
    <cellStyle name="asd 29 4 2 6" xfId="9843"/>
    <cellStyle name="asd 29 4 2 7" xfId="11320"/>
    <cellStyle name="asd 29 4 2 8" xfId="13782"/>
    <cellStyle name="asd 29 4 2 9" xfId="15684"/>
    <cellStyle name="asd 29 4 20" xfId="34727"/>
    <cellStyle name="asd 29 4 21" xfId="35173"/>
    <cellStyle name="asd 29 4 22" xfId="37051"/>
    <cellStyle name="asd 29 4 23" xfId="39224"/>
    <cellStyle name="asd 29 4 24" xfId="40902"/>
    <cellStyle name="asd 29 4 25" xfId="43399"/>
    <cellStyle name="asd 29 4 3" xfId="2396"/>
    <cellStyle name="asd 29 4 3 10" xfId="19062"/>
    <cellStyle name="asd 29 4 3 11" xfId="20974"/>
    <cellStyle name="asd 29 4 3 12" xfId="22848"/>
    <cellStyle name="asd 29 4 3 13" xfId="24776"/>
    <cellStyle name="asd 29 4 3 14" xfId="27619"/>
    <cellStyle name="asd 29 4 3 15" xfId="3350"/>
    <cellStyle name="asd 29 4 3 16" xfId="31197"/>
    <cellStyle name="asd 29 4 3 17" xfId="33074"/>
    <cellStyle name="asd 29 4 3 18" xfId="33934"/>
    <cellStyle name="asd 29 4 3 19" xfId="35603"/>
    <cellStyle name="asd 29 4 3 2" xfId="5601"/>
    <cellStyle name="asd 29 4 3 2 10" xfId="21851"/>
    <cellStyle name="asd 29 4 3 2 11" xfId="22443"/>
    <cellStyle name="asd 29 4 3 2 12" xfId="25653"/>
    <cellStyle name="asd 29 4 3 2 13" xfId="27225"/>
    <cellStyle name="asd 29 4 3 2 14" xfId="29657"/>
    <cellStyle name="asd 29 4 3 2 15" xfId="30816"/>
    <cellStyle name="asd 29 4 3 2 16" xfId="32225"/>
    <cellStyle name="asd 29 4 3 2 17" xfId="34689"/>
    <cellStyle name="asd 29 4 3 2 18" xfId="36480"/>
    <cellStyle name="asd 29 4 3 2 19" xfId="38359"/>
    <cellStyle name="asd 29 4 3 2 2" xfId="7050"/>
    <cellStyle name="asd 29 4 3 2 20" xfId="39444"/>
    <cellStyle name="asd 29 4 3 2 21" xfId="41120"/>
    <cellStyle name="asd 29 4 3 2 22" xfId="42254"/>
    <cellStyle name="asd 29 4 3 2 3" xfId="8504"/>
    <cellStyle name="asd 29 4 3 2 4" xfId="10414"/>
    <cellStyle name="asd 29 4 3 2 5" xfId="11004"/>
    <cellStyle name="asd 29 4 3 2 6" xfId="12911"/>
    <cellStyle name="asd 29 4 3 2 7" xfId="14816"/>
    <cellStyle name="asd 29 4 3 2 8" xfId="18033"/>
    <cellStyle name="asd 29 4 3 2 9" xfId="19939"/>
    <cellStyle name="asd 29 4 3 20" xfId="37482"/>
    <cellStyle name="asd 29 4 3 21" xfId="40270"/>
    <cellStyle name="asd 29 4 3 22" xfId="41927"/>
    <cellStyle name="asd 29 4 3 23" xfId="42639"/>
    <cellStyle name="asd 29 4 3 3" xfId="4728"/>
    <cellStyle name="asd 29 4 3 4" xfId="7627"/>
    <cellStyle name="asd 29 4 3 5" xfId="9537"/>
    <cellStyle name="asd 29 4 3 6" xfId="12447"/>
    <cellStyle name="asd 29 4 3 7" xfId="13317"/>
    <cellStyle name="asd 29 4 3 8" xfId="15221"/>
    <cellStyle name="asd 29 4 3 9" xfId="17156"/>
    <cellStyle name="asd 29 4 4" xfId="4023"/>
    <cellStyle name="asd 29 4 4 10" xfId="19658"/>
    <cellStyle name="asd 29 4 4 11" xfId="21570"/>
    <cellStyle name="asd 29 4 4 12" xfId="22800"/>
    <cellStyle name="asd 29 4 4 13" xfId="25372"/>
    <cellStyle name="asd 29 4 4 14" xfId="26406"/>
    <cellStyle name="asd 29 4 4 15" xfId="28301"/>
    <cellStyle name="asd 29 4 4 16" xfId="30014"/>
    <cellStyle name="asd 29 4 4 17" xfId="33164"/>
    <cellStyle name="asd 29 4 4 18" xfId="33939"/>
    <cellStyle name="asd 29 4 4 19" xfId="36199"/>
    <cellStyle name="asd 29 4 4 2" xfId="5928"/>
    <cellStyle name="asd 29 4 4 2 10" xfId="22178"/>
    <cellStyle name="asd 29 4 4 2 11" xfId="22900"/>
    <cellStyle name="asd 29 4 4 2 12" xfId="25980"/>
    <cellStyle name="asd 29 4 4 2 13" xfId="27962"/>
    <cellStyle name="asd 29 4 4 2 14" xfId="1836"/>
    <cellStyle name="asd 29 4 4 2 15" xfId="31542"/>
    <cellStyle name="asd 29 4 4 2 16" xfId="4783"/>
    <cellStyle name="asd 29 4 4 2 17" xfId="18538"/>
    <cellStyle name="asd 29 4 4 2 18" xfId="36807"/>
    <cellStyle name="asd 29 4 4 2 19" xfId="38686"/>
    <cellStyle name="asd 29 4 4 2 2" xfId="7377"/>
    <cellStyle name="asd 29 4 4 2 20" xfId="29485"/>
    <cellStyle name="asd 29 4 4 2 21" xfId="30668"/>
    <cellStyle name="asd 29 4 4 2 22" xfId="42686"/>
    <cellStyle name="asd 29 4 4 2 3" xfId="8831"/>
    <cellStyle name="asd 29 4 4 2 4" xfId="10741"/>
    <cellStyle name="asd 29 4 4 2 5" xfId="12448"/>
    <cellStyle name="asd 29 4 4 2 6" xfId="13368"/>
    <cellStyle name="asd 29 4 4 2 7" xfId="15273"/>
    <cellStyle name="asd 29 4 4 2 8" xfId="18360"/>
    <cellStyle name="asd 29 4 4 2 9" xfId="20266"/>
    <cellStyle name="asd 29 4 4 20" xfId="38078"/>
    <cellStyle name="asd 29 4 4 21" xfId="40356"/>
    <cellStyle name="asd 29 4 4 22" xfId="42012"/>
    <cellStyle name="asd 29 4 4 23" xfId="42593"/>
    <cellStyle name="asd 29 4 4 3" xfId="6769"/>
    <cellStyle name="asd 29 4 4 4" xfId="8223"/>
    <cellStyle name="asd 29 4 4 5" xfId="10133"/>
    <cellStyle name="asd 29 4 4 6" xfId="12417"/>
    <cellStyle name="asd 29 4 4 7" xfId="13269"/>
    <cellStyle name="asd 29 4 4 8" xfId="15173"/>
    <cellStyle name="asd 29 4 4 9" xfId="17752"/>
    <cellStyle name="asd 29 4 5" xfId="4404"/>
    <cellStyle name="asd 29 4 5 10" xfId="20648"/>
    <cellStyle name="asd 29 4 5 11" xfId="23873"/>
    <cellStyle name="asd 29 4 5 12" xfId="24450"/>
    <cellStyle name="asd 29 4 5 13" xfId="26350"/>
    <cellStyle name="asd 29 4 5 14" xfId="28624"/>
    <cellStyle name="asd 29 4 5 15" xfId="29958"/>
    <cellStyle name="asd 29 4 5 16" xfId="31694"/>
    <cellStyle name="asd 29 4 5 17" xfId="33730"/>
    <cellStyle name="asd 29 4 5 18" xfId="35278"/>
    <cellStyle name="asd 29 4 5 19" xfId="37156"/>
    <cellStyle name="asd 29 4 5 2" xfId="4384"/>
    <cellStyle name="asd 29 4 5 20" xfId="38936"/>
    <cellStyle name="asd 29 4 5 21" xfId="40620"/>
    <cellStyle name="asd 29 4 5 22" xfId="43623"/>
    <cellStyle name="asd 29 4 5 3" xfId="5331"/>
    <cellStyle name="asd 29 4 5 4" xfId="9210"/>
    <cellStyle name="asd 29 4 5 5" xfId="12629"/>
    <cellStyle name="asd 29 4 5 6" xfId="14343"/>
    <cellStyle name="asd 29 4 5 7" xfId="16247"/>
    <cellStyle name="asd 29 4 5 8" xfId="16829"/>
    <cellStyle name="asd 29 4 5 9" xfId="18736"/>
    <cellStyle name="asd 29 4 6" xfId="6726"/>
    <cellStyle name="asd 29 4 7" xfId="9105"/>
    <cellStyle name="asd 29 4 8" xfId="11498"/>
    <cellStyle name="asd 29 4 9" xfId="14111"/>
    <cellStyle name="asd 29 5" xfId="2755"/>
    <cellStyle name="asd 29 5 10" xfId="17197"/>
    <cellStyle name="asd 29 5 11" xfId="19103"/>
    <cellStyle name="asd 29 5 12" xfId="21015"/>
    <cellStyle name="asd 29 5 13" xfId="22771"/>
    <cellStyle name="asd 29 5 14" xfId="24817"/>
    <cellStyle name="asd 29 5 15" xfId="27718"/>
    <cellStyle name="asd 29 5 16" xfId="29284"/>
    <cellStyle name="asd 29 5 17" xfId="31296"/>
    <cellStyle name="asd 29 5 18" xfId="32327"/>
    <cellStyle name="asd 29 5 19" xfId="34025"/>
    <cellStyle name="asd 29 5 2" xfId="5561"/>
    <cellStyle name="asd 29 5 2 10" xfId="21811"/>
    <cellStyle name="asd 29 5 2 11" xfId="23042"/>
    <cellStyle name="asd 29 5 2 12" xfId="25613"/>
    <cellStyle name="asd 29 5 2 13" xfId="26478"/>
    <cellStyle name="asd 29 5 2 14" xfId="29482"/>
    <cellStyle name="asd 29 5 2 15" xfId="30084"/>
    <cellStyle name="asd 29 5 2 16" xfId="32177"/>
    <cellStyle name="asd 29 5 2 17" xfId="34835"/>
    <cellStyle name="asd 29 5 2 18" xfId="36440"/>
    <cellStyle name="asd 29 5 2 19" xfId="38319"/>
    <cellStyle name="asd 29 5 2 2" xfId="7010"/>
    <cellStyle name="asd 29 5 2 20" xfId="39399"/>
    <cellStyle name="asd 29 5 2 21" xfId="41075"/>
    <cellStyle name="asd 29 5 2 22" xfId="42825"/>
    <cellStyle name="asd 29 5 2 3" xfId="8464"/>
    <cellStyle name="asd 29 5 2 4" xfId="10374"/>
    <cellStyle name="asd 29 5 2 5" xfId="12638"/>
    <cellStyle name="asd 29 5 2 6" xfId="13512"/>
    <cellStyle name="asd 29 5 2 7" xfId="15416"/>
    <cellStyle name="asd 29 5 2 8" xfId="17993"/>
    <cellStyle name="asd 29 5 2 9" xfId="19899"/>
    <cellStyle name="asd 29 5 20" xfId="35644"/>
    <cellStyle name="asd 29 5 21" xfId="37523"/>
    <cellStyle name="asd 29 5 22" xfId="39546"/>
    <cellStyle name="asd 29 5 23" xfId="41220"/>
    <cellStyle name="asd 29 5 24" xfId="42566"/>
    <cellStyle name="asd 29 5 3" xfId="4768"/>
    <cellStyle name="asd 29 5 4" xfId="6217"/>
    <cellStyle name="asd 29 5 5" xfId="7668"/>
    <cellStyle name="asd 29 5 6" xfId="9578"/>
    <cellStyle name="asd 29 5 7" xfId="11716"/>
    <cellStyle name="asd 29 5 8" xfId="13241"/>
    <cellStyle name="asd 29 5 9" xfId="15144"/>
    <cellStyle name="asd 29 6" xfId="2223"/>
    <cellStyle name="asd 29 6 10" xfId="19036"/>
    <cellStyle name="asd 29 6 11" xfId="20948"/>
    <cellStyle name="asd 29 6 12" xfId="23410"/>
    <cellStyle name="asd 29 6 13" xfId="24750"/>
    <cellStyle name="asd 29 6 14" xfId="26477"/>
    <cellStyle name="asd 29 6 15" xfId="28536"/>
    <cellStyle name="asd 29 6 16" xfId="30082"/>
    <cellStyle name="asd 29 6 17" xfId="32195"/>
    <cellStyle name="asd 29 6 18" xfId="34166"/>
    <cellStyle name="asd 29 6 19" xfId="35577"/>
    <cellStyle name="asd 29 6 2" xfId="3234"/>
    <cellStyle name="asd 29 6 2 10" xfId="20526"/>
    <cellStyle name="asd 29 6 2 11" xfId="24187"/>
    <cellStyle name="asd 29 6 2 12" xfId="24328"/>
    <cellStyle name="asd 29 6 2 13" xfId="2565"/>
    <cellStyle name="asd 29 6 2 14" xfId="3331"/>
    <cellStyle name="asd 29 6 2 15" xfId="3283"/>
    <cellStyle name="asd 29 6 2 16" xfId="16623"/>
    <cellStyle name="asd 29 6 2 17" xfId="15040"/>
    <cellStyle name="asd 29 6 2 18" xfId="35156"/>
    <cellStyle name="asd 29 6 2 19" xfId="37034"/>
    <cellStyle name="asd 29 6 2 2" xfId="4753"/>
    <cellStyle name="asd 29 6 2 20" xfId="26823"/>
    <cellStyle name="asd 29 6 2 21" xfId="15226"/>
    <cellStyle name="asd 29 6 2 22" xfId="43926"/>
    <cellStyle name="asd 29 6 2 3" xfId="6195"/>
    <cellStyle name="asd 29 6 2 4" xfId="9088"/>
    <cellStyle name="asd 29 6 2 5" xfId="12147"/>
    <cellStyle name="asd 29 6 2 6" xfId="14659"/>
    <cellStyle name="asd 29 6 2 7" xfId="16565"/>
    <cellStyle name="asd 29 6 2 8" xfId="16707"/>
    <cellStyle name="asd 29 6 2 9" xfId="18614"/>
    <cellStyle name="asd 29 6 20" xfId="37456"/>
    <cellStyle name="asd 29 6 21" xfId="39417"/>
    <cellStyle name="asd 29 6 22" xfId="41093"/>
    <cellStyle name="asd 29 6 23" xfId="43177"/>
    <cellStyle name="asd 29 6 3" xfId="4702"/>
    <cellStyle name="asd 29 6 4" xfId="7601"/>
    <cellStyle name="asd 29 6 5" xfId="9511"/>
    <cellStyle name="asd 29 6 6" xfId="12348"/>
    <cellStyle name="asd 29 6 7" xfId="13882"/>
    <cellStyle name="asd 29 6 8" xfId="15783"/>
    <cellStyle name="asd 29 6 9" xfId="17130"/>
    <cellStyle name="asd 29 7" xfId="2137"/>
    <cellStyle name="asd 29 7 10" xfId="19022"/>
    <cellStyle name="asd 29 7 11" xfId="20934"/>
    <cellStyle name="asd 29 7 12" xfId="23819"/>
    <cellStyle name="asd 29 7 13" xfId="24736"/>
    <cellStyle name="asd 29 7 14" xfId="27939"/>
    <cellStyle name="asd 29 7 15" xfId="29445"/>
    <cellStyle name="asd 29 7 16" xfId="31520"/>
    <cellStyle name="asd 29 7 17" xfId="32409"/>
    <cellStyle name="asd 29 7 18" xfId="33910"/>
    <cellStyle name="asd 29 7 19" xfId="35563"/>
    <cellStyle name="asd 29 7 2" xfId="5607"/>
    <cellStyle name="asd 29 7 2 10" xfId="21857"/>
    <cellStyle name="asd 29 7 2 11" xfId="23371"/>
    <cellStyle name="asd 29 7 2 12" xfId="25659"/>
    <cellStyle name="asd 29 7 2 13" xfId="26749"/>
    <cellStyle name="asd 29 7 2 14" xfId="28720"/>
    <cellStyle name="asd 29 7 2 15" xfId="30348"/>
    <cellStyle name="asd 29 7 2 16" xfId="32339"/>
    <cellStyle name="asd 29 7 2 17" xfId="34592"/>
    <cellStyle name="asd 29 7 2 18" xfId="36486"/>
    <cellStyle name="asd 29 7 2 19" xfId="38365"/>
    <cellStyle name="asd 29 7 2 2" xfId="7056"/>
    <cellStyle name="asd 29 7 2 20" xfId="39558"/>
    <cellStyle name="asd 29 7 2 21" xfId="41232"/>
    <cellStyle name="asd 29 7 2 22" xfId="43139"/>
    <cellStyle name="asd 29 7 2 3" xfId="8510"/>
    <cellStyle name="asd 29 7 2 4" xfId="10420"/>
    <cellStyle name="asd 29 7 2 5" xfId="11061"/>
    <cellStyle name="asd 29 7 2 6" xfId="13843"/>
    <cellStyle name="asd 29 7 2 7" xfId="15744"/>
    <cellStyle name="asd 29 7 2 8" xfId="18039"/>
    <cellStyle name="asd 29 7 2 9" xfId="19945"/>
    <cellStyle name="asd 29 7 20" xfId="37442"/>
    <cellStyle name="asd 29 7 21" xfId="39626"/>
    <cellStyle name="asd 29 7 22" xfId="41300"/>
    <cellStyle name="asd 29 7 23" xfId="43570"/>
    <cellStyle name="asd 29 7 3" xfId="6136"/>
    <cellStyle name="asd 29 7 4" xfId="7587"/>
    <cellStyle name="asd 29 7 5" xfId="9497"/>
    <cellStyle name="asd 29 7 6" xfId="11791"/>
    <cellStyle name="asd 29 7 7" xfId="14289"/>
    <cellStyle name="asd 29 7 8" xfId="16193"/>
    <cellStyle name="asd 29 7 9" xfId="17116"/>
    <cellStyle name="asd 29 8" xfId="2785"/>
    <cellStyle name="asd 29 9" xfId="2967"/>
    <cellStyle name="asd 3" xfId="691"/>
    <cellStyle name="asd 3 10" xfId="2243"/>
    <cellStyle name="asd 3 11" xfId="8972"/>
    <cellStyle name="asd 3 12" xfId="2908"/>
    <cellStyle name="asd 3 13" xfId="4200"/>
    <cellStyle name="asd 3 14" xfId="2644"/>
    <cellStyle name="asd 3 15" xfId="2999"/>
    <cellStyle name="asd 3 16" xfId="2518"/>
    <cellStyle name="asd 3 17" xfId="3087"/>
    <cellStyle name="asd 3 18" xfId="27081"/>
    <cellStyle name="asd 3 19" xfId="27661"/>
    <cellStyle name="asd 3 2" xfId="3437"/>
    <cellStyle name="asd 3 2 10" xfId="14242"/>
    <cellStyle name="asd 3 2 11" xfId="16146"/>
    <cellStyle name="asd 3 2 12" xfId="16819"/>
    <cellStyle name="asd 3 2 13" xfId="18726"/>
    <cellStyle name="asd 3 2 14" xfId="20638"/>
    <cellStyle name="asd 3 2 15" xfId="23772"/>
    <cellStyle name="asd 3 2 16" xfId="24440"/>
    <cellStyle name="asd 3 2 17" xfId="27520"/>
    <cellStyle name="asd 3 2 18" xfId="28428"/>
    <cellStyle name="asd 3 2 19" xfId="31103"/>
    <cellStyle name="asd 3 2 2" xfId="3617"/>
    <cellStyle name="asd 3 2 2 10" xfId="17508"/>
    <cellStyle name="asd 3 2 2 11" xfId="19414"/>
    <cellStyle name="asd 3 2 2 12" xfId="21326"/>
    <cellStyle name="asd 3 2 2 13" xfId="24077"/>
    <cellStyle name="asd 3 2 2 14" xfId="25128"/>
    <cellStyle name="asd 3 2 2 15" xfId="26355"/>
    <cellStyle name="asd 3 2 2 16" xfId="10877"/>
    <cellStyle name="asd 3 2 2 17" xfId="29963"/>
    <cellStyle name="asd 3 2 2 18" xfId="33001"/>
    <cellStyle name="asd 3 2 2 19" xfId="33992"/>
    <cellStyle name="asd 3 2 2 2" xfId="5566"/>
    <cellStyle name="asd 3 2 2 2 10" xfId="21816"/>
    <cellStyle name="asd 3 2 2 2 11" xfId="22582"/>
    <cellStyle name="asd 3 2 2 2 12" xfId="25618"/>
    <cellStyle name="asd 3 2 2 2 13" xfId="27416"/>
    <cellStyle name="asd 3 2 2 2 14" xfId="28804"/>
    <cellStyle name="asd 3 2 2 2 15" xfId="31002"/>
    <cellStyle name="asd 3 2 2 2 16" xfId="32085"/>
    <cellStyle name="asd 3 2 2 2 17" xfId="33442"/>
    <cellStyle name="asd 3 2 2 2 18" xfId="36445"/>
    <cellStyle name="asd 3 2 2 2 19" xfId="38324"/>
    <cellStyle name="asd 3 2 2 2 2" xfId="7015"/>
    <cellStyle name="asd 3 2 2 2 20" xfId="39309"/>
    <cellStyle name="asd 3 2 2 2 21" xfId="40985"/>
    <cellStyle name="asd 3 2 2 2 22" xfId="42391"/>
    <cellStyle name="asd 3 2 2 2 3" xfId="8469"/>
    <cellStyle name="asd 3 2 2 2 4" xfId="10379"/>
    <cellStyle name="asd 3 2 2 2 5" xfId="11749"/>
    <cellStyle name="asd 3 2 2 2 6" xfId="13050"/>
    <cellStyle name="asd 3 2 2 2 7" xfId="14954"/>
    <cellStyle name="asd 3 2 2 2 8" xfId="17998"/>
    <cellStyle name="asd 3 2 2 2 9" xfId="19904"/>
    <cellStyle name="asd 3 2 2 20" xfId="35955"/>
    <cellStyle name="asd 3 2 2 21" xfId="37834"/>
    <cellStyle name="asd 3 2 2 22" xfId="40201"/>
    <cellStyle name="asd 3 2 2 23" xfId="41860"/>
    <cellStyle name="asd 3 2 2 24" xfId="43821"/>
    <cellStyle name="asd 3 2 2 3" xfId="5078"/>
    <cellStyle name="asd 3 2 2 4" xfId="6528"/>
    <cellStyle name="asd 3 2 2 5" xfId="7979"/>
    <cellStyle name="asd 3 2 2 6" xfId="9889"/>
    <cellStyle name="asd 3 2 2 7" xfId="12036"/>
    <cellStyle name="asd 3 2 2 8" xfId="14547"/>
    <cellStyle name="asd 3 2 2 9" xfId="16453"/>
    <cellStyle name="asd 3 2 20" xfId="32854"/>
    <cellStyle name="asd 3 2 21" xfId="33591"/>
    <cellStyle name="asd 3 2 22" xfId="35268"/>
    <cellStyle name="asd 3 2 23" xfId="37146"/>
    <cellStyle name="asd 3 2 24" xfId="40061"/>
    <cellStyle name="asd 3 2 25" xfId="41725"/>
    <cellStyle name="asd 3 2 26" xfId="43525"/>
    <cellStyle name="asd 3 2 3" xfId="3783"/>
    <cellStyle name="asd 3 2 3 10" xfId="19521"/>
    <cellStyle name="asd 3 2 3 11" xfId="21433"/>
    <cellStyle name="asd 3 2 3 12" xfId="23798"/>
    <cellStyle name="asd 3 2 3 13" xfId="25235"/>
    <cellStyle name="asd 3 2 3 14" xfId="27406"/>
    <cellStyle name="asd 3 2 3 15" xfId="24248"/>
    <cellStyle name="asd 3 2 3 16" xfId="30992"/>
    <cellStyle name="asd 3 2 3 17" xfId="32240"/>
    <cellStyle name="asd 3 2 3 18" xfId="33422"/>
    <cellStyle name="asd 3 2 3 19" xfId="36062"/>
    <cellStyle name="asd 3 2 3 2" xfId="5791"/>
    <cellStyle name="asd 3 2 3 2 10" xfId="22041"/>
    <cellStyle name="asd 3 2 3 2 11" xfId="23701"/>
    <cellStyle name="asd 3 2 3 2 12" xfId="25843"/>
    <cellStyle name="asd 3 2 3 2 13" xfId="27572"/>
    <cellStyle name="asd 3 2 3 2 14" xfId="28096"/>
    <cellStyle name="asd 3 2 3 2 15" xfId="31151"/>
    <cellStyle name="asd 3 2 3 2 16" xfId="32574"/>
    <cellStyle name="asd 3 2 3 2 17" xfId="35031"/>
    <cellStyle name="asd 3 2 3 2 18" xfId="36670"/>
    <cellStyle name="asd 3 2 3 2 19" xfId="38549"/>
    <cellStyle name="asd 3 2 3 2 2" xfId="7240"/>
    <cellStyle name="asd 3 2 3 2 20" xfId="39785"/>
    <cellStyle name="asd 3 2 3 2 21" xfId="41455"/>
    <cellStyle name="asd 3 2 3 2 22" xfId="43458"/>
    <cellStyle name="asd 3 2 3 2 3" xfId="8694"/>
    <cellStyle name="asd 3 2 3 2 4" xfId="10604"/>
    <cellStyle name="asd 3 2 3 2 5" xfId="11694"/>
    <cellStyle name="asd 3 2 3 2 6" xfId="14171"/>
    <cellStyle name="asd 3 2 3 2 7" xfId="16075"/>
    <cellStyle name="asd 3 2 3 2 8" xfId="18223"/>
    <cellStyle name="asd 3 2 3 2 9" xfId="20129"/>
    <cellStyle name="asd 3 2 3 20" xfId="37941"/>
    <cellStyle name="asd 3 2 3 21" xfId="39458"/>
    <cellStyle name="asd 3 2 3 22" xfId="41133"/>
    <cellStyle name="asd 3 2 3 23" xfId="43550"/>
    <cellStyle name="asd 3 2 3 3" xfId="5185"/>
    <cellStyle name="asd 3 2 3 4" xfId="8086"/>
    <cellStyle name="asd 3 2 3 5" xfId="9996"/>
    <cellStyle name="asd 3 2 3 6" xfId="11577"/>
    <cellStyle name="asd 3 2 3 7" xfId="14268"/>
    <cellStyle name="asd 3 2 3 8" xfId="16172"/>
    <cellStyle name="asd 3 2 3 9" xfId="17615"/>
    <cellStyle name="asd 3 2 4" xfId="4069"/>
    <cellStyle name="asd 3 2 4 10" xfId="19704"/>
    <cellStyle name="asd 3 2 4 11" xfId="21616"/>
    <cellStyle name="asd 3 2 4 12" xfId="23926"/>
    <cellStyle name="asd 3 2 4 13" xfId="25418"/>
    <cellStyle name="asd 3 2 4 14" xfId="26573"/>
    <cellStyle name="asd 3 2 4 15" xfId="29022"/>
    <cellStyle name="asd 3 2 4 16" xfId="30175"/>
    <cellStyle name="asd 3 2 4 17" xfId="32047"/>
    <cellStyle name="asd 3 2 4 18" xfId="34990"/>
    <cellStyle name="asd 3 2 4 19" xfId="36245"/>
    <cellStyle name="asd 3 2 4 2" xfId="5974"/>
    <cellStyle name="asd 3 2 4 2 10" xfId="22224"/>
    <cellStyle name="asd 3 2 4 2 11" xfId="3901"/>
    <cellStyle name="asd 3 2 4 2 12" xfId="26026"/>
    <cellStyle name="asd 3 2 4 2 13" xfId="22607"/>
    <cellStyle name="asd 3 2 4 2 14" xfId="14986"/>
    <cellStyle name="asd 3 2 4 2 15" xfId="5310"/>
    <cellStyle name="asd 3 2 4 2 16" xfId="2756"/>
    <cellStyle name="asd 3 2 4 2 17" xfId="1786"/>
    <cellStyle name="asd 3 2 4 2 18" xfId="36853"/>
    <cellStyle name="asd 3 2 4 2 19" xfId="38732"/>
    <cellStyle name="asd 3 2 4 2 2" xfId="7423"/>
    <cellStyle name="asd 3 2 4 2 20" xfId="4170"/>
    <cellStyle name="asd 3 2 4 2 21" xfId="1772"/>
    <cellStyle name="asd 3 2 4 2 22" xfId="36956"/>
    <cellStyle name="asd 3 2 4 2 3" xfId="8877"/>
    <cellStyle name="asd 3 2 4 2 4" xfId="10787"/>
    <cellStyle name="asd 3 2 4 2 5" xfId="11058"/>
    <cellStyle name="asd 3 2 4 2 6" xfId="2407"/>
    <cellStyle name="asd 3 2 4 2 7" xfId="2777"/>
    <cellStyle name="asd 3 2 4 2 8" xfId="18406"/>
    <cellStyle name="asd 3 2 4 2 9" xfId="20312"/>
    <cellStyle name="asd 3 2 4 20" xfId="38124"/>
    <cellStyle name="asd 3 2 4 21" xfId="39276"/>
    <cellStyle name="asd 3 2 4 22" xfId="40952"/>
    <cellStyle name="asd 3 2 4 23" xfId="43672"/>
    <cellStyle name="asd 3 2 4 3" xfId="6815"/>
    <cellStyle name="asd 3 2 4 4" xfId="8269"/>
    <cellStyle name="asd 3 2 4 5" xfId="10179"/>
    <cellStyle name="asd 3 2 4 6" xfId="11885"/>
    <cellStyle name="asd 3 2 4 7" xfId="14395"/>
    <cellStyle name="asd 3 2 4 8" xfId="16301"/>
    <cellStyle name="asd 3 2 4 9" xfId="17798"/>
    <cellStyle name="asd 3 2 5" xfId="4926"/>
    <cellStyle name="asd 3 2 5 10" xfId="21174"/>
    <cellStyle name="asd 3 2 5 11" xfId="22876"/>
    <cellStyle name="asd 3 2 5 12" xfId="24976"/>
    <cellStyle name="asd 3 2 5 13" xfId="26730"/>
    <cellStyle name="asd 3 2 5 14" xfId="28425"/>
    <cellStyle name="asd 3 2 5 15" xfId="30330"/>
    <cellStyle name="asd 3 2 5 16" xfId="32870"/>
    <cellStyle name="asd 3 2 5 17" xfId="34399"/>
    <cellStyle name="asd 3 2 5 18" xfId="35803"/>
    <cellStyle name="asd 3 2 5 19" xfId="37682"/>
    <cellStyle name="asd 3 2 5 2" xfId="6376"/>
    <cellStyle name="asd 3 2 5 20" xfId="40076"/>
    <cellStyle name="asd 3 2 5 21" xfId="41740"/>
    <cellStyle name="asd 3 2 5 22" xfId="42663"/>
    <cellStyle name="asd 3 2 5 3" xfId="7827"/>
    <cellStyle name="asd 3 2 5 4" xfId="9737"/>
    <cellStyle name="asd 3 2 5 5" xfId="11333"/>
    <cellStyle name="asd 3 2 5 6" xfId="13344"/>
    <cellStyle name="asd 3 2 5 7" xfId="15249"/>
    <cellStyle name="asd 3 2 5 8" xfId="17356"/>
    <cellStyle name="asd 3 2 5 9" xfId="19262"/>
    <cellStyle name="asd 3 2 6" xfId="5657"/>
    <cellStyle name="asd 3 2 6 10" xfId="21907"/>
    <cellStyle name="asd 3 2 6 11" xfId="23199"/>
    <cellStyle name="asd 3 2 6 12" xfId="25709"/>
    <cellStyle name="asd 3 2 6 13" xfId="26245"/>
    <cellStyle name="asd 3 2 6 14" xfId="4180"/>
    <cellStyle name="asd 3 2 6 15" xfId="29855"/>
    <cellStyle name="asd 3 2 6 16" xfId="31610"/>
    <cellStyle name="asd 3 2 6 17" xfId="35050"/>
    <cellStyle name="asd 3 2 6 18" xfId="36536"/>
    <cellStyle name="asd 3 2 6 19" xfId="38415"/>
    <cellStyle name="asd 3 2 6 2" xfId="7106"/>
    <cellStyle name="asd 3 2 6 20" xfId="38857"/>
    <cellStyle name="asd 3 2 6 21" xfId="40543"/>
    <cellStyle name="asd 3 2 6 22" xfId="42977"/>
    <cellStyle name="asd 3 2 6 3" xfId="8560"/>
    <cellStyle name="asd 3 2 6 4" xfId="10470"/>
    <cellStyle name="asd 3 2 6 5" xfId="11059"/>
    <cellStyle name="asd 3 2 6 6" xfId="13671"/>
    <cellStyle name="asd 3 2 6 7" xfId="15573"/>
    <cellStyle name="asd 3 2 6 8" xfId="18089"/>
    <cellStyle name="asd 3 2 6 9" xfId="19995"/>
    <cellStyle name="asd 3 2 7" xfId="6618"/>
    <cellStyle name="asd 3 2 8" xfId="9200"/>
    <cellStyle name="asd 3 2 9" xfId="11718"/>
    <cellStyle name="asd 3 20" xfId="30672"/>
    <cellStyle name="asd 3 21" xfId="31618"/>
    <cellStyle name="asd 3 22" xfId="27161"/>
    <cellStyle name="asd 3 23" xfId="28392"/>
    <cellStyle name="asd 3 24" xfId="3302"/>
    <cellStyle name="asd 3 25" xfId="38865"/>
    <cellStyle name="asd 3 26" xfId="40551"/>
    <cellStyle name="asd 3 27" xfId="38830"/>
    <cellStyle name="asd 3 3" xfId="3458"/>
    <cellStyle name="asd 3 3 10" xfId="13666"/>
    <cellStyle name="asd 3 3 11" xfId="15568"/>
    <cellStyle name="asd 3 3 12" xfId="16868"/>
    <cellStyle name="asd 3 3 13" xfId="18775"/>
    <cellStyle name="asd 3 3 14" xfId="20687"/>
    <cellStyle name="asd 3 3 15" xfId="23194"/>
    <cellStyle name="asd 3 3 16" xfId="24489"/>
    <cellStyle name="asd 3 3 17" xfId="27257"/>
    <cellStyle name="asd 3 3 18" xfId="29667"/>
    <cellStyle name="asd 3 3 19" xfId="30848"/>
    <cellStyle name="asd 3 3 2" xfId="3638"/>
    <cellStyle name="asd 3 3 2 10" xfId="17529"/>
    <cellStyle name="asd 3 3 2 11" xfId="19435"/>
    <cellStyle name="asd 3 3 2 12" xfId="21347"/>
    <cellStyle name="asd 3 3 2 13" xfId="22680"/>
    <cellStyle name="asd 3 3 2 14" xfId="25149"/>
    <cellStyle name="asd 3 3 2 15" xfId="3143"/>
    <cellStyle name="asd 3 3 2 16" xfId="23718"/>
    <cellStyle name="asd 3 3 2 17" xfId="6675"/>
    <cellStyle name="asd 3 3 2 18" xfId="1857"/>
    <cellStyle name="asd 3 3 2 19" xfId="32863"/>
    <cellStyle name="asd 3 3 2 2" xfId="5467"/>
    <cellStyle name="asd 3 3 2 2 10" xfId="21717"/>
    <cellStyle name="asd 3 3 2 2 11" xfId="22703"/>
    <cellStyle name="asd 3 3 2 2 12" xfId="25519"/>
    <cellStyle name="asd 3 3 2 2 13" xfId="26346"/>
    <cellStyle name="asd 3 3 2 2 14" xfId="28077"/>
    <cellStyle name="asd 3 3 2 2 15" xfId="29954"/>
    <cellStyle name="asd 3 3 2 2 16" xfId="32940"/>
    <cellStyle name="asd 3 3 2 2 17" xfId="34875"/>
    <cellStyle name="asd 3 3 2 2 18" xfId="36346"/>
    <cellStyle name="asd 3 3 2 2 19" xfId="38225"/>
    <cellStyle name="asd 3 3 2 2 2" xfId="6916"/>
    <cellStyle name="asd 3 3 2 2 20" xfId="40143"/>
    <cellStyle name="asd 3 3 2 2 21" xfId="41802"/>
    <cellStyle name="asd 3 3 2 2 22" xfId="42504"/>
    <cellStyle name="asd 3 3 2 2 3" xfId="8370"/>
    <cellStyle name="asd 3 3 2 2 4" xfId="10280"/>
    <cellStyle name="asd 3 3 2 2 5" xfId="11764"/>
    <cellStyle name="asd 3 3 2 2 6" xfId="13171"/>
    <cellStyle name="asd 3 3 2 2 7" xfId="15075"/>
    <cellStyle name="asd 3 3 2 2 8" xfId="17899"/>
    <cellStyle name="asd 3 3 2 2 9" xfId="19805"/>
    <cellStyle name="asd 3 3 2 20" xfId="35976"/>
    <cellStyle name="asd 3 3 2 21" xfId="37855"/>
    <cellStyle name="asd 3 3 2 22" xfId="36953"/>
    <cellStyle name="asd 3 3 2 23" xfId="29158"/>
    <cellStyle name="asd 3 3 2 24" xfId="42484"/>
    <cellStyle name="asd 3 3 2 3" xfId="5099"/>
    <cellStyle name="asd 3 3 2 4" xfId="6549"/>
    <cellStyle name="asd 3 3 2 5" xfId="8000"/>
    <cellStyle name="asd 3 3 2 6" xfId="9910"/>
    <cellStyle name="asd 3 3 2 7" xfId="12232"/>
    <cellStyle name="asd 3 3 2 8" xfId="13147"/>
    <cellStyle name="asd 3 3 2 9" xfId="15052"/>
    <cellStyle name="asd 3 3 20" xfId="31800"/>
    <cellStyle name="asd 3 3 21" xfId="34915"/>
    <cellStyle name="asd 3 3 22" xfId="35317"/>
    <cellStyle name="asd 3 3 23" xfId="37195"/>
    <cellStyle name="asd 3 3 24" xfId="39038"/>
    <cellStyle name="asd 3 3 25" xfId="40720"/>
    <cellStyle name="asd 3 3 26" xfId="42972"/>
    <cellStyle name="asd 3 3 3" xfId="3886"/>
    <cellStyle name="asd 3 3 3 10" xfId="19595"/>
    <cellStyle name="asd 3 3 3 11" xfId="21507"/>
    <cellStyle name="asd 3 3 3 12" xfId="23510"/>
    <cellStyle name="asd 3 3 3 13" xfId="25309"/>
    <cellStyle name="asd 3 3 3 14" xfId="26975"/>
    <cellStyle name="asd 3 3 3 15" xfId="28789"/>
    <cellStyle name="asd 3 3 3 16" xfId="30569"/>
    <cellStyle name="asd 3 3 3 17" xfId="32500"/>
    <cellStyle name="asd 3 3 3 18" xfId="34300"/>
    <cellStyle name="asd 3 3 3 19" xfId="36136"/>
    <cellStyle name="asd 3 3 3 2" xfId="5865"/>
    <cellStyle name="asd 3 3 3 2 10" xfId="22115"/>
    <cellStyle name="asd 3 3 3 2 11" xfId="22541"/>
    <cellStyle name="asd 3 3 3 2 12" xfId="25917"/>
    <cellStyle name="asd 3 3 3 2 13" xfId="27821"/>
    <cellStyle name="asd 3 3 3 2 14" xfId="28540"/>
    <cellStyle name="asd 3 3 3 2 15" xfId="31399"/>
    <cellStyle name="asd 3 3 3 2 16" xfId="31848"/>
    <cellStyle name="asd 3 3 3 2 17" xfId="34960"/>
    <cellStyle name="asd 3 3 3 2 18" xfId="36744"/>
    <cellStyle name="asd 3 3 3 2 19" xfId="38623"/>
    <cellStyle name="asd 3 3 3 2 2" xfId="7314"/>
    <cellStyle name="asd 3 3 3 2 20" xfId="39085"/>
    <cellStyle name="asd 3 3 3 2 21" xfId="40766"/>
    <cellStyle name="asd 3 3 3 2 22" xfId="42350"/>
    <cellStyle name="asd 3 3 3 2 3" xfId="8768"/>
    <cellStyle name="asd 3 3 3 2 4" xfId="10678"/>
    <cellStyle name="asd 3 3 3 2 5" xfId="12305"/>
    <cellStyle name="asd 3 3 3 2 6" xfId="13009"/>
    <cellStyle name="asd 3 3 3 2 7" xfId="14913"/>
    <cellStyle name="asd 3 3 3 2 8" xfId="18297"/>
    <cellStyle name="asd 3 3 3 2 9" xfId="20203"/>
    <cellStyle name="asd 3 3 3 20" xfId="38015"/>
    <cellStyle name="asd 3 3 3 21" xfId="39715"/>
    <cellStyle name="asd 3 3 3 22" xfId="41387"/>
    <cellStyle name="asd 3 3 3 23" xfId="43275"/>
    <cellStyle name="asd 3 3 3 3" xfId="5259"/>
    <cellStyle name="asd 3 3 3 4" xfId="8160"/>
    <cellStyle name="asd 3 3 3 5" xfId="10070"/>
    <cellStyle name="asd 3 3 3 6" xfId="12404"/>
    <cellStyle name="asd 3 3 3 7" xfId="13982"/>
    <cellStyle name="asd 3 3 3 8" xfId="15883"/>
    <cellStyle name="asd 3 3 3 9" xfId="17689"/>
    <cellStyle name="asd 3 3 4" xfId="4090"/>
    <cellStyle name="asd 3 3 4 10" xfId="19725"/>
    <cellStyle name="asd 3 3 4 11" xfId="21637"/>
    <cellStyle name="asd 3 3 4 12" xfId="23872"/>
    <cellStyle name="asd 3 3 4 13" xfId="25439"/>
    <cellStyle name="asd 3 3 4 14" xfId="27027"/>
    <cellStyle name="asd 3 3 4 15" xfId="29556"/>
    <cellStyle name="asd 3 3 4 16" xfId="30620"/>
    <cellStyle name="asd 3 3 4 17" xfId="31687"/>
    <cellStyle name="asd 3 3 4 18" xfId="34772"/>
    <cellStyle name="asd 3 3 4 19" xfId="36266"/>
    <cellStyle name="asd 3 3 4 2" xfId="5995"/>
    <cellStyle name="asd 3 3 4 2 10" xfId="22245"/>
    <cellStyle name="asd 3 3 4 2 11" xfId="23773"/>
    <cellStyle name="asd 3 3 4 2 12" xfId="26047"/>
    <cellStyle name="asd 3 3 4 2 13" xfId="26995"/>
    <cellStyle name="asd 3 3 4 2 14" xfId="3979"/>
    <cellStyle name="asd 3 3 4 2 15" xfId="30589"/>
    <cellStyle name="asd 3 3 4 2 16" xfId="29560"/>
    <cellStyle name="asd 3 3 4 2 17" xfId="1799"/>
    <cellStyle name="asd 3 3 4 2 18" xfId="36874"/>
    <cellStyle name="asd 3 3 4 2 19" xfId="38753"/>
    <cellStyle name="asd 3 3 4 2 2" xfId="7444"/>
    <cellStyle name="asd 3 3 4 2 20" xfId="29503"/>
    <cellStyle name="asd 3 3 4 2 21" xfId="28455"/>
    <cellStyle name="asd 3 3 4 2 22" xfId="43526"/>
    <cellStyle name="asd 3 3 4 2 3" xfId="8898"/>
    <cellStyle name="asd 3 3 4 2 4" xfId="10808"/>
    <cellStyle name="asd 3 3 4 2 5" xfId="11752"/>
    <cellStyle name="asd 3 3 4 2 6" xfId="14243"/>
    <cellStyle name="asd 3 3 4 2 7" xfId="16147"/>
    <cellStyle name="asd 3 3 4 2 8" xfId="18427"/>
    <cellStyle name="asd 3 3 4 2 9" xfId="20333"/>
    <cellStyle name="asd 3 3 4 20" xfId="38145"/>
    <cellStyle name="asd 3 3 4 21" xfId="38929"/>
    <cellStyle name="asd 3 3 4 22" xfId="40613"/>
    <cellStyle name="asd 3 3 4 23" xfId="43622"/>
    <cellStyle name="asd 3 3 4 3" xfId="6836"/>
    <cellStyle name="asd 3 3 4 4" xfId="8290"/>
    <cellStyle name="asd 3 3 4 5" xfId="10200"/>
    <cellStyle name="asd 3 3 4 6" xfId="12728"/>
    <cellStyle name="asd 3 3 4 7" xfId="14342"/>
    <cellStyle name="asd 3 3 4 8" xfId="16246"/>
    <cellStyle name="asd 3 3 4 9" xfId="17819"/>
    <cellStyle name="asd 3 3 5" xfId="4944"/>
    <cellStyle name="asd 3 3 5 10" xfId="21192"/>
    <cellStyle name="asd 3 3 5 11" xfId="23721"/>
    <cellStyle name="asd 3 3 5 12" xfId="24994"/>
    <cellStyle name="asd 3 3 5 13" xfId="27306"/>
    <cellStyle name="asd 3 3 5 14" xfId="29317"/>
    <cellStyle name="asd 3 3 5 15" xfId="30896"/>
    <cellStyle name="asd 3 3 5 16" xfId="32416"/>
    <cellStyle name="asd 3 3 5 17" xfId="34361"/>
    <cellStyle name="asd 3 3 5 18" xfId="35821"/>
    <cellStyle name="asd 3 3 5 19" xfId="37700"/>
    <cellStyle name="asd 3 3 5 2" xfId="6394"/>
    <cellStyle name="asd 3 3 5 20" xfId="39633"/>
    <cellStyle name="asd 3 3 5 21" xfId="41307"/>
    <cellStyle name="asd 3 3 5 22" xfId="43477"/>
    <cellStyle name="asd 3 3 5 3" xfId="7845"/>
    <cellStyle name="asd 3 3 5 4" xfId="9755"/>
    <cellStyle name="asd 3 3 5 5" xfId="11601"/>
    <cellStyle name="asd 3 3 5 6" xfId="14191"/>
    <cellStyle name="asd 3 3 5 7" xfId="16095"/>
    <cellStyle name="asd 3 3 5 8" xfId="17374"/>
    <cellStyle name="asd 3 3 5 9" xfId="19280"/>
    <cellStyle name="asd 3 3 6" xfId="5567"/>
    <cellStyle name="asd 3 3 6 10" xfId="21817"/>
    <cellStyle name="asd 3 3 6 11" xfId="23182"/>
    <cellStyle name="asd 3 3 6 12" xfId="25619"/>
    <cellStyle name="asd 3 3 6 13" xfId="26550"/>
    <cellStyle name="asd 3 3 6 14" xfId="28940"/>
    <cellStyle name="asd 3 3 6 15" xfId="30155"/>
    <cellStyle name="asd 3 3 6 16" xfId="31873"/>
    <cellStyle name="asd 3 3 6 17" xfId="33880"/>
    <cellStyle name="asd 3 3 6 18" xfId="36446"/>
    <cellStyle name="asd 3 3 6 19" xfId="38325"/>
    <cellStyle name="asd 3 3 6 2" xfId="7016"/>
    <cellStyle name="asd 3 3 6 20" xfId="39108"/>
    <cellStyle name="asd 3 3 6 21" xfId="40789"/>
    <cellStyle name="asd 3 3 6 22" xfId="42960"/>
    <cellStyle name="asd 3 3 6 3" xfId="8470"/>
    <cellStyle name="asd 3 3 6 4" xfId="10380"/>
    <cellStyle name="asd 3 3 6 5" xfId="11015"/>
    <cellStyle name="asd 3 3 6 6" xfId="13653"/>
    <cellStyle name="asd 3 3 6 7" xfId="15556"/>
    <cellStyle name="asd 3 3 6 8" xfId="17999"/>
    <cellStyle name="asd 3 3 6 9" xfId="19905"/>
    <cellStyle name="asd 3 3 7" xfId="6622"/>
    <cellStyle name="asd 3 3 8" xfId="9249"/>
    <cellStyle name="asd 3 3 9" xfId="11043"/>
    <cellStyle name="asd 3 4" xfId="3461"/>
    <cellStyle name="asd 3 4 10" xfId="16424"/>
    <cellStyle name="asd 3 4 11" xfId="16872"/>
    <cellStyle name="asd 3 4 12" xfId="18779"/>
    <cellStyle name="asd 3 4 13" xfId="20691"/>
    <cellStyle name="asd 3 4 14" xfId="24048"/>
    <cellStyle name="asd 3 4 15" xfId="24493"/>
    <cellStyle name="asd 3 4 16" xfId="27344"/>
    <cellStyle name="asd 3 4 17" xfId="28328"/>
    <cellStyle name="asd 3 4 18" xfId="30933"/>
    <cellStyle name="asd 3 4 19" xfId="32739"/>
    <cellStyle name="asd 3 4 2" xfId="3641"/>
    <cellStyle name="asd 3 4 2 10" xfId="17532"/>
    <cellStyle name="asd 3 4 2 11" xfId="19438"/>
    <cellStyle name="asd 3 4 2 12" xfId="21350"/>
    <cellStyle name="asd 3 4 2 13" xfId="24095"/>
    <cellStyle name="asd 3 4 2 14" xfId="25152"/>
    <cellStyle name="asd 3 4 2 15" xfId="27933"/>
    <cellStyle name="asd 3 4 2 16" xfId="28605"/>
    <cellStyle name="asd 3 4 2 17" xfId="31514"/>
    <cellStyle name="asd 3 4 2 18" xfId="32973"/>
    <cellStyle name="asd 3 4 2 19" xfId="33494"/>
    <cellStyle name="asd 3 4 2 2" xfId="2973"/>
    <cellStyle name="asd 3 4 2 2 10" xfId="20530"/>
    <cellStyle name="asd 3 4 2 2 11" xfId="23901"/>
    <cellStyle name="asd 3 4 2 2 12" xfId="24332"/>
    <cellStyle name="asd 3 4 2 2 13" xfId="27708"/>
    <cellStyle name="asd 3 4 2 2 14" xfId="28979"/>
    <cellStyle name="asd 3 4 2 2 15" xfId="31284"/>
    <cellStyle name="asd 3 4 2 2 16" xfId="31998"/>
    <cellStyle name="asd 3 4 2 2 17" xfId="33618"/>
    <cellStyle name="asd 3 4 2 2 18" xfId="35160"/>
    <cellStyle name="asd 3 4 2 2 19" xfId="37038"/>
    <cellStyle name="asd 3 4 2 2 2" xfId="4568"/>
    <cellStyle name="asd 3 4 2 2 20" xfId="39229"/>
    <cellStyle name="asd 3 4 2 2 21" xfId="40906"/>
    <cellStyle name="asd 3 4 2 2 22" xfId="43648"/>
    <cellStyle name="asd 3 4 2 2 3" xfId="3185"/>
    <cellStyle name="asd 3 4 2 2 4" xfId="9092"/>
    <cellStyle name="asd 3 4 2 2 5" xfId="11860"/>
    <cellStyle name="asd 3 4 2 2 6" xfId="14369"/>
    <cellStyle name="asd 3 4 2 2 7" xfId="16276"/>
    <cellStyle name="asd 3 4 2 2 8" xfId="16711"/>
    <cellStyle name="asd 3 4 2 2 9" xfId="18618"/>
    <cellStyle name="asd 3 4 2 20" xfId="35979"/>
    <cellStyle name="asd 3 4 2 21" xfId="37858"/>
    <cellStyle name="asd 3 4 2 22" xfId="40174"/>
    <cellStyle name="asd 3 4 2 23" xfId="41833"/>
    <cellStyle name="asd 3 4 2 24" xfId="43838"/>
    <cellStyle name="asd 3 4 2 3" xfId="5102"/>
    <cellStyle name="asd 3 4 2 4" xfId="6552"/>
    <cellStyle name="asd 3 4 2 5" xfId="8003"/>
    <cellStyle name="asd 3 4 2 6" xfId="9913"/>
    <cellStyle name="asd 3 4 2 7" xfId="12054"/>
    <cellStyle name="asd 3 4 2 8" xfId="14565"/>
    <cellStyle name="asd 3 4 2 9" xfId="16471"/>
    <cellStyle name="asd 3 4 20" xfId="34704"/>
    <cellStyle name="asd 3 4 21" xfId="35321"/>
    <cellStyle name="asd 3 4 22" xfId="37199"/>
    <cellStyle name="asd 3 4 23" xfId="39947"/>
    <cellStyle name="asd 3 4 24" xfId="41613"/>
    <cellStyle name="asd 3 4 25" xfId="43792"/>
    <cellStyle name="asd 3 4 3" xfId="3913"/>
    <cellStyle name="asd 3 4 3 10" xfId="19610"/>
    <cellStyle name="asd 3 4 3 11" xfId="21522"/>
    <cellStyle name="asd 3 4 3 12" xfId="23683"/>
    <cellStyle name="asd 3 4 3 13" xfId="25324"/>
    <cellStyle name="asd 3 4 3 14" xfId="27032"/>
    <cellStyle name="asd 3 4 3 15" xfId="28059"/>
    <cellStyle name="asd 3 4 3 16" xfId="30625"/>
    <cellStyle name="asd 3 4 3 17" xfId="32130"/>
    <cellStyle name="asd 3 4 3 18" xfId="34101"/>
    <cellStyle name="asd 3 4 3 19" xfId="36151"/>
    <cellStyle name="asd 3 4 3 2" xfId="5880"/>
    <cellStyle name="asd 3 4 3 2 10" xfId="22130"/>
    <cellStyle name="asd 3 4 3 2 11" xfId="23767"/>
    <cellStyle name="asd 3 4 3 2 12" xfId="25932"/>
    <cellStyle name="asd 3 4 3 2 13" xfId="26282"/>
    <cellStyle name="asd 3 4 3 2 14" xfId="28175"/>
    <cellStyle name="asd 3 4 3 2 15" xfId="29891"/>
    <cellStyle name="asd 3 4 3 2 16" xfId="32891"/>
    <cellStyle name="asd 3 4 3 2 17" xfId="34515"/>
    <cellStyle name="asd 3 4 3 2 18" xfId="36759"/>
    <cellStyle name="asd 3 4 3 2 19" xfId="38638"/>
    <cellStyle name="asd 3 4 3 2 2" xfId="7329"/>
    <cellStyle name="asd 3 4 3 2 20" xfId="40095"/>
    <cellStyle name="asd 3 4 3 2 21" xfId="41757"/>
    <cellStyle name="asd 3 4 3 2 22" xfId="43520"/>
    <cellStyle name="asd 3 4 3 2 3" xfId="8783"/>
    <cellStyle name="asd 3 4 3 2 4" xfId="10693"/>
    <cellStyle name="asd 3 4 3 2 5" xfId="11373"/>
    <cellStyle name="asd 3 4 3 2 6" xfId="14237"/>
    <cellStyle name="asd 3 4 3 2 7" xfId="16141"/>
    <cellStyle name="asd 3 4 3 2 8" xfId="18312"/>
    <cellStyle name="asd 3 4 3 2 9" xfId="20218"/>
    <cellStyle name="asd 3 4 3 20" xfId="38030"/>
    <cellStyle name="asd 3 4 3 21" xfId="39353"/>
    <cellStyle name="asd 3 4 3 22" xfId="41029"/>
    <cellStyle name="asd 3 4 3 23" xfId="43440"/>
    <cellStyle name="asd 3 4 3 3" xfId="5274"/>
    <cellStyle name="asd 3 4 3 4" xfId="8175"/>
    <cellStyle name="asd 3 4 3 5" xfId="10085"/>
    <cellStyle name="asd 3 4 3 6" xfId="11620"/>
    <cellStyle name="asd 3 4 3 7" xfId="14153"/>
    <cellStyle name="asd 3 4 3 8" xfId="16057"/>
    <cellStyle name="asd 3 4 3 9" xfId="17704"/>
    <cellStyle name="asd 3 4 4" xfId="4093"/>
    <cellStyle name="asd 3 4 4 10" xfId="19728"/>
    <cellStyle name="asd 3 4 4 11" xfId="21640"/>
    <cellStyle name="asd 3 4 4 12" xfId="23992"/>
    <cellStyle name="asd 3 4 4 13" xfId="25442"/>
    <cellStyle name="asd 3 4 4 14" xfId="26750"/>
    <cellStyle name="asd 3 4 4 15" xfId="28683"/>
    <cellStyle name="asd 3 4 4 16" xfId="30349"/>
    <cellStyle name="asd 3 4 4 17" xfId="33329"/>
    <cellStyle name="asd 3 4 4 18" xfId="15324"/>
    <cellStyle name="asd 3 4 4 19" xfId="36269"/>
    <cellStyle name="asd 3 4 4 2" xfId="5998"/>
    <cellStyle name="asd 3 4 4 2 10" xfId="22248"/>
    <cellStyle name="asd 3 4 4 2 11" xfId="23624"/>
    <cellStyle name="asd 3 4 4 2 12" xfId="26050"/>
    <cellStyle name="asd 3 4 4 2 13" xfId="27810"/>
    <cellStyle name="asd 3 4 4 2 14" xfId="29144"/>
    <cellStyle name="asd 3 4 4 2 15" xfId="31388"/>
    <cellStyle name="asd 3 4 4 2 16" xfId="31952"/>
    <cellStyle name="asd 3 4 4 2 17" xfId="33563"/>
    <cellStyle name="asd 3 4 4 2 18" xfId="36877"/>
    <cellStyle name="asd 3 4 4 2 19" xfId="38756"/>
    <cellStyle name="asd 3 4 4 2 2" xfId="7447"/>
    <cellStyle name="asd 3 4 4 2 20" xfId="39181"/>
    <cellStyle name="asd 3 4 4 2 21" xfId="40862"/>
    <cellStyle name="asd 3 4 4 2 22" xfId="43382"/>
    <cellStyle name="asd 3 4 4 2 3" xfId="8901"/>
    <cellStyle name="asd 3 4 4 2 4" xfId="10811"/>
    <cellStyle name="asd 3 4 4 2 5" xfId="11583"/>
    <cellStyle name="asd 3 4 4 2 6" xfId="14094"/>
    <cellStyle name="asd 3 4 4 2 7" xfId="15997"/>
    <cellStyle name="asd 3 4 4 2 8" xfId="18430"/>
    <cellStyle name="asd 3 4 4 2 9" xfId="20336"/>
    <cellStyle name="asd 3 4 4 20" xfId="38148"/>
    <cellStyle name="asd 3 4 4 21" xfId="40509"/>
    <cellStyle name="asd 3 4 4 22" xfId="42161"/>
    <cellStyle name="asd 3 4 4 23" xfId="43736"/>
    <cellStyle name="asd 3 4 4 3" xfId="6839"/>
    <cellStyle name="asd 3 4 4 4" xfId="8293"/>
    <cellStyle name="asd 3 4 4 5" xfId="10203"/>
    <cellStyle name="asd 3 4 4 6" xfId="11951"/>
    <cellStyle name="asd 3 4 4 7" xfId="14462"/>
    <cellStyle name="asd 3 4 4 8" xfId="16368"/>
    <cellStyle name="asd 3 4 4 9" xfId="17822"/>
    <cellStyle name="asd 3 4 5" xfId="5706"/>
    <cellStyle name="asd 3 4 5 10" xfId="21956"/>
    <cellStyle name="asd 3 4 5 11" xfId="22803"/>
    <cellStyle name="asd 3 4 5 12" xfId="25758"/>
    <cellStyle name="asd 3 4 5 13" xfId="27462"/>
    <cellStyle name="asd 3 4 5 14" xfId="28434"/>
    <cellStyle name="asd 3 4 5 15" xfId="31048"/>
    <cellStyle name="asd 3 4 5 16" xfId="33265"/>
    <cellStyle name="asd 3 4 5 17" xfId="34297"/>
    <cellStyle name="asd 3 4 5 18" xfId="36585"/>
    <cellStyle name="asd 3 4 5 19" xfId="38464"/>
    <cellStyle name="asd 3 4 5 2" xfId="7155"/>
    <cellStyle name="asd 3 4 5 20" xfId="40451"/>
    <cellStyle name="asd 3 4 5 21" xfId="42106"/>
    <cellStyle name="asd 3 4 5 22" xfId="42596"/>
    <cellStyle name="asd 3 4 5 3" xfId="8609"/>
    <cellStyle name="asd 3 4 5 4" xfId="10519"/>
    <cellStyle name="asd 3 4 5 5" xfId="10933"/>
    <cellStyle name="asd 3 4 5 6" xfId="13273"/>
    <cellStyle name="asd 3 4 5 7" xfId="15177"/>
    <cellStyle name="asd 3 4 5 8" xfId="18138"/>
    <cellStyle name="asd 3 4 5 9" xfId="20044"/>
    <cellStyle name="asd 3 4 6" xfId="6258"/>
    <cellStyle name="asd 3 4 7" xfId="9253"/>
    <cellStyle name="asd 3 4 8" xfId="12007"/>
    <cellStyle name="asd 3 4 9" xfId="14518"/>
    <cellStyle name="asd 3 5" xfId="1889"/>
    <cellStyle name="asd 3 5 10" xfId="17077"/>
    <cellStyle name="asd 3 5 11" xfId="18983"/>
    <cellStyle name="asd 3 5 12" xfId="20895"/>
    <cellStyle name="asd 3 5 13" xfId="22609"/>
    <cellStyle name="asd 3 5 14" xfId="24697"/>
    <cellStyle name="asd 3 5 15" xfId="27803"/>
    <cellStyle name="asd 3 5 16" xfId="18498"/>
    <cellStyle name="asd 3 5 17" xfId="31380"/>
    <cellStyle name="asd 3 5 18" xfId="32187"/>
    <cellStyle name="asd 3 5 19" xfId="34781"/>
    <cellStyle name="asd 3 5 2" xfId="4423"/>
    <cellStyle name="asd 3 5 2 10" xfId="20667"/>
    <cellStyle name="asd 3 5 2 11" xfId="24039"/>
    <cellStyle name="asd 3 5 2 12" xfId="24469"/>
    <cellStyle name="asd 3 5 2 13" xfId="27337"/>
    <cellStyle name="asd 3 5 2 14" xfId="29161"/>
    <cellStyle name="asd 3 5 2 15" xfId="30926"/>
    <cellStyle name="asd 3 5 2 16" xfId="32069"/>
    <cellStyle name="asd 3 5 2 17" xfId="34049"/>
    <cellStyle name="asd 3 5 2 18" xfId="35297"/>
    <cellStyle name="asd 3 5 2 19" xfId="37175"/>
    <cellStyle name="asd 3 5 2 2" xfId="5367"/>
    <cellStyle name="asd 3 5 2 20" xfId="39295"/>
    <cellStyle name="asd 3 5 2 21" xfId="40971"/>
    <cellStyle name="asd 3 5 2 22" xfId="43783"/>
    <cellStyle name="asd 3 5 2 3" xfId="6633"/>
    <cellStyle name="asd 3 5 2 4" xfId="9229"/>
    <cellStyle name="asd 3 5 2 5" xfId="11998"/>
    <cellStyle name="asd 3 5 2 6" xfId="14509"/>
    <cellStyle name="asd 3 5 2 7" xfId="16415"/>
    <cellStyle name="asd 3 5 2 8" xfId="16848"/>
    <cellStyle name="asd 3 5 2 9" xfId="18755"/>
    <cellStyle name="asd 3 5 20" xfId="35524"/>
    <cellStyle name="asd 3 5 21" xfId="37403"/>
    <cellStyle name="asd 3 5 22" xfId="39409"/>
    <cellStyle name="asd 3 5 23" xfId="41085"/>
    <cellStyle name="asd 3 5 24" xfId="42416"/>
    <cellStyle name="asd 3 5 3" xfId="4651"/>
    <cellStyle name="asd 3 5 4" xfId="6098"/>
    <cellStyle name="asd 3 5 5" xfId="7548"/>
    <cellStyle name="asd 3 5 6" xfId="9458"/>
    <cellStyle name="asd 3 5 7" xfId="11591"/>
    <cellStyle name="asd 3 5 8" xfId="13076"/>
    <cellStyle name="asd 3 5 9" xfId="14981"/>
    <cellStyle name="asd 3 6" xfId="2861"/>
    <cellStyle name="asd 3 6 10" xfId="19120"/>
    <cellStyle name="asd 3 6 11" xfId="21032"/>
    <cellStyle name="asd 3 6 12" xfId="22949"/>
    <cellStyle name="asd 3 6 13" xfId="24834"/>
    <cellStyle name="asd 3 6 14" xfId="27231"/>
    <cellStyle name="asd 3 6 15" xfId="29021"/>
    <cellStyle name="asd 3 6 16" xfId="30822"/>
    <cellStyle name="asd 3 6 17" xfId="32261"/>
    <cellStyle name="asd 3 6 18" xfId="34410"/>
    <cellStyle name="asd 3 6 19" xfId="35661"/>
    <cellStyle name="asd 3 6 2" xfId="4372"/>
    <cellStyle name="asd 3 6 2 10" xfId="20565"/>
    <cellStyle name="asd 3 6 2 11" xfId="22612"/>
    <cellStyle name="asd 3 6 2 12" xfId="24367"/>
    <cellStyle name="asd 3 6 2 13" xfId="27057"/>
    <cellStyle name="asd 3 6 2 14" xfId="29447"/>
    <cellStyle name="asd 3 6 2 15" xfId="30649"/>
    <cellStyle name="asd 3 6 2 16" xfId="32208"/>
    <cellStyle name="asd 3 6 2 17" xfId="34996"/>
    <cellStyle name="asd 3 6 2 18" xfId="35195"/>
    <cellStyle name="asd 3 6 2 19" xfId="37073"/>
    <cellStyle name="asd 3 6 2 2" xfId="3706"/>
    <cellStyle name="asd 3 6 2 20" xfId="39428"/>
    <cellStyle name="asd 3 6 2 21" xfId="41104"/>
    <cellStyle name="asd 3 6 2 22" xfId="42419"/>
    <cellStyle name="asd 3 6 2 3" xfId="1810"/>
    <cellStyle name="asd 3 6 2 4" xfId="9127"/>
    <cellStyle name="asd 3 6 2 5" xfId="11331"/>
    <cellStyle name="asd 3 6 2 6" xfId="13079"/>
    <cellStyle name="asd 3 6 2 7" xfId="14984"/>
    <cellStyle name="asd 3 6 2 8" xfId="16746"/>
    <cellStyle name="asd 3 6 2 9" xfId="18653"/>
    <cellStyle name="asd 3 6 20" xfId="37540"/>
    <cellStyle name="asd 3 6 21" xfId="39479"/>
    <cellStyle name="asd 3 6 22" xfId="41154"/>
    <cellStyle name="asd 3 6 23" xfId="42735"/>
    <cellStyle name="asd 3 6 3" xfId="4785"/>
    <cellStyle name="asd 3 6 4" xfId="7685"/>
    <cellStyle name="asd 3 6 5" xfId="9595"/>
    <cellStyle name="asd 3 6 6" xfId="12274"/>
    <cellStyle name="asd 3 6 7" xfId="13417"/>
    <cellStyle name="asd 3 6 8" xfId="15322"/>
    <cellStyle name="asd 3 6 9" xfId="17214"/>
    <cellStyle name="asd 3 7" xfId="1820"/>
    <cellStyle name="asd 3 7 10" xfId="18972"/>
    <cellStyle name="asd 3 7 11" xfId="20884"/>
    <cellStyle name="asd 3 7 12" xfId="23309"/>
    <cellStyle name="asd 3 7 13" xfId="24686"/>
    <cellStyle name="asd 3 7 14" xfId="27750"/>
    <cellStyle name="asd 3 7 15" xfId="29479"/>
    <cellStyle name="asd 3 7 16" xfId="31328"/>
    <cellStyle name="asd 3 7 17" xfId="31608"/>
    <cellStyle name="asd 3 7 18" xfId="34767"/>
    <cellStyle name="asd 3 7 19" xfId="35513"/>
    <cellStyle name="asd 3 7 2" xfId="4378"/>
    <cellStyle name="asd 3 7 2 10" xfId="20547"/>
    <cellStyle name="asd 3 7 2 11" xfId="22490"/>
    <cellStyle name="asd 3 7 2 12" xfId="24349"/>
    <cellStyle name="asd 3 7 2 13" xfId="27898"/>
    <cellStyle name="asd 3 7 2 14" xfId="28449"/>
    <cellStyle name="asd 3 7 2 15" xfId="31480"/>
    <cellStyle name="asd 3 7 2 16" xfId="31826"/>
    <cellStyle name="asd 3 7 2 17" xfId="34840"/>
    <cellStyle name="asd 3 7 2 18" xfId="35177"/>
    <cellStyle name="asd 3 7 2 19" xfId="37055"/>
    <cellStyle name="asd 3 7 2 2" xfId="5371"/>
    <cellStyle name="asd 3 7 2 20" xfId="39064"/>
    <cellStyle name="asd 3 7 2 21" xfId="40746"/>
    <cellStyle name="asd 3 7 2 22" xfId="42300"/>
    <cellStyle name="asd 3 7 2 3" xfId="6684"/>
    <cellStyle name="asd 3 7 2 4" xfId="9109"/>
    <cellStyle name="asd 3 7 2 5" xfId="11387"/>
    <cellStyle name="asd 3 7 2 6" xfId="12958"/>
    <cellStyle name="asd 3 7 2 7" xfId="14862"/>
    <cellStyle name="asd 3 7 2 8" xfId="16728"/>
    <cellStyle name="asd 3 7 2 9" xfId="18635"/>
    <cellStyle name="asd 3 7 20" xfId="37392"/>
    <cellStyle name="asd 3 7 21" xfId="38855"/>
    <cellStyle name="asd 3 7 22" xfId="40541"/>
    <cellStyle name="asd 3 7 23" xfId="43081"/>
    <cellStyle name="asd 3 7 3" xfId="6087"/>
    <cellStyle name="asd 3 7 4" xfId="7537"/>
    <cellStyle name="asd 3 7 5" xfId="9447"/>
    <cellStyle name="asd 3 7 6" xfId="11318"/>
    <cellStyle name="asd 3 7 7" xfId="13781"/>
    <cellStyle name="asd 3 7 8" xfId="15683"/>
    <cellStyle name="asd 3 7 9" xfId="17066"/>
    <cellStyle name="asd 3 8" xfId="4221"/>
    <cellStyle name="asd 3 9" xfId="3133"/>
    <cellStyle name="asd 30" xfId="902"/>
    <cellStyle name="asd 30 10" xfId="1788"/>
    <cellStyle name="asd 30 11" xfId="2528"/>
    <cellStyle name="asd 30 12" xfId="2931"/>
    <cellStyle name="asd 30 13" xfId="12791"/>
    <cellStyle name="asd 30 14" xfId="2112"/>
    <cellStyle name="asd 30 15" xfId="2370"/>
    <cellStyle name="asd 30 16" xfId="2512"/>
    <cellStyle name="asd 30 17" xfId="2686"/>
    <cellStyle name="asd 30 18" xfId="5304"/>
    <cellStyle name="asd 30 19" xfId="3164"/>
    <cellStyle name="asd 30 2" xfId="3414"/>
    <cellStyle name="asd 30 2 10" xfId="14668"/>
    <cellStyle name="asd 30 2 11" xfId="16574"/>
    <cellStyle name="asd 30 2 12" xfId="16782"/>
    <cellStyle name="asd 30 2 13" xfId="18689"/>
    <cellStyle name="asd 30 2 14" xfId="20601"/>
    <cellStyle name="asd 30 2 15" xfId="24196"/>
    <cellStyle name="asd 30 2 16" xfId="24403"/>
    <cellStyle name="asd 30 2 17" xfId="20398"/>
    <cellStyle name="asd 30 2 18" xfId="29328"/>
    <cellStyle name="asd 30 2 19" xfId="29543"/>
    <cellStyle name="asd 30 2 2" xfId="3594"/>
    <cellStyle name="asd 30 2 2 10" xfId="17485"/>
    <cellStyle name="asd 30 2 2 11" xfId="19391"/>
    <cellStyle name="asd 30 2 2 12" xfId="21303"/>
    <cellStyle name="asd 30 2 2 13" xfId="22631"/>
    <cellStyle name="asd 30 2 2 14" xfId="25105"/>
    <cellStyle name="asd 30 2 2 15" xfId="27910"/>
    <cellStyle name="asd 30 2 2 16" xfId="29397"/>
    <cellStyle name="asd 30 2 2 17" xfId="31492"/>
    <cellStyle name="asd 30 2 2 18" xfId="33215"/>
    <cellStyle name="asd 30 2 2 19" xfId="34755"/>
    <cellStyle name="asd 30 2 2 2" xfId="4262"/>
    <cellStyle name="asd 30 2 2 2 10" xfId="20497"/>
    <cellStyle name="asd 30 2 2 2 11" xfId="23286"/>
    <cellStyle name="asd 30 2 2 2 12" xfId="24299"/>
    <cellStyle name="asd 30 2 2 2 13" xfId="27189"/>
    <cellStyle name="asd 30 2 2 2 14" xfId="13135"/>
    <cellStyle name="asd 30 2 2 2 15" xfId="30780"/>
    <cellStyle name="asd 30 2 2 2 16" xfId="33065"/>
    <cellStyle name="asd 30 2 2 2 17" xfId="34898"/>
    <cellStyle name="asd 30 2 2 2 18" xfId="35127"/>
    <cellStyle name="asd 30 2 2 2 19" xfId="37005"/>
    <cellStyle name="asd 30 2 2 2 2" xfId="5345"/>
    <cellStyle name="asd 30 2 2 2 20" xfId="40261"/>
    <cellStyle name="asd 30 2 2 2 21" xfId="41919"/>
    <cellStyle name="asd 30 2 2 2 22" xfId="43062"/>
    <cellStyle name="asd 30 2 2 2 3" xfId="6256"/>
    <cellStyle name="asd 30 2 2 2 4" xfId="9059"/>
    <cellStyle name="asd 30 2 2 2 5" xfId="11241"/>
    <cellStyle name="asd 30 2 2 2 6" xfId="13758"/>
    <cellStyle name="asd 30 2 2 2 7" xfId="15660"/>
    <cellStyle name="asd 30 2 2 2 8" xfId="16678"/>
    <cellStyle name="asd 30 2 2 2 9" xfId="18585"/>
    <cellStyle name="asd 30 2 2 20" xfId="35932"/>
    <cellStyle name="asd 30 2 2 21" xfId="37811"/>
    <cellStyle name="asd 30 2 2 22" xfId="40404"/>
    <cellStyle name="asd 30 2 2 23" xfId="42060"/>
    <cellStyle name="asd 30 2 2 24" xfId="42437"/>
    <cellStyle name="asd 30 2 2 3" xfId="5055"/>
    <cellStyle name="asd 30 2 2 4" xfId="6505"/>
    <cellStyle name="asd 30 2 2 5" xfId="7956"/>
    <cellStyle name="asd 30 2 2 6" xfId="9866"/>
    <cellStyle name="asd 30 2 2 7" xfId="11435"/>
    <cellStyle name="asd 30 2 2 8" xfId="13098"/>
    <cellStyle name="asd 30 2 2 9" xfId="15003"/>
    <cellStyle name="asd 30 2 20" xfId="28485"/>
    <cellStyle name="asd 30 2 21" xfId="29766"/>
    <cellStyle name="asd 30 2 22" xfId="35231"/>
    <cellStyle name="asd 30 2 23" xfId="37109"/>
    <cellStyle name="asd 30 2 24" xfId="34488"/>
    <cellStyle name="asd 30 2 25" xfId="30012"/>
    <cellStyle name="asd 30 2 26" xfId="43934"/>
    <cellStyle name="asd 30 2 3" xfId="3818"/>
    <cellStyle name="asd 30 2 3 10" xfId="19548"/>
    <cellStyle name="asd 30 2 3 11" xfId="21460"/>
    <cellStyle name="asd 30 2 3 12" xfId="23949"/>
    <cellStyle name="asd 30 2 3 13" xfId="25262"/>
    <cellStyle name="asd 30 2 3 14" xfId="27285"/>
    <cellStyle name="asd 30 2 3 15" xfId="28558"/>
    <cellStyle name="asd 30 2 3 16" xfId="30877"/>
    <cellStyle name="asd 30 2 3 17" xfId="32909"/>
    <cellStyle name="asd 30 2 3 18" xfId="34304"/>
    <cellStyle name="asd 30 2 3 19" xfId="36089"/>
    <cellStyle name="asd 30 2 3 2" xfId="5818"/>
    <cellStyle name="asd 30 2 3 2 10" xfId="22068"/>
    <cellStyle name="asd 30 2 3 2 11" xfId="23449"/>
    <cellStyle name="asd 30 2 3 2 12" xfId="25870"/>
    <cellStyle name="asd 30 2 3 2 13" xfId="27341"/>
    <cellStyle name="asd 30 2 3 2 14" xfId="29247"/>
    <cellStyle name="asd 30 2 3 2 15" xfId="30930"/>
    <cellStyle name="asd 30 2 3 2 16" xfId="32971"/>
    <cellStyle name="asd 30 2 3 2 17" xfId="33681"/>
    <cellStyle name="asd 30 2 3 2 18" xfId="36697"/>
    <cellStyle name="asd 30 2 3 2 19" xfId="38576"/>
    <cellStyle name="asd 30 2 3 2 2" xfId="7267"/>
    <cellStyle name="asd 30 2 3 2 20" xfId="40172"/>
    <cellStyle name="asd 30 2 3 2 21" xfId="41831"/>
    <cellStyle name="asd 30 2 3 2 22" xfId="43216"/>
    <cellStyle name="asd 30 2 3 2 3" xfId="8721"/>
    <cellStyle name="asd 30 2 3 2 4" xfId="10631"/>
    <cellStyle name="asd 30 2 3 2 5" xfId="12503"/>
    <cellStyle name="asd 30 2 3 2 6" xfId="13921"/>
    <cellStyle name="asd 30 2 3 2 7" xfId="15822"/>
    <cellStyle name="asd 30 2 3 2 8" xfId="18250"/>
    <cellStyle name="asd 30 2 3 2 9" xfId="20156"/>
    <cellStyle name="asd 30 2 3 20" xfId="37968"/>
    <cellStyle name="asd 30 2 3 21" xfId="40113"/>
    <cellStyle name="asd 30 2 3 22" xfId="41773"/>
    <cellStyle name="asd 30 2 3 23" xfId="43695"/>
    <cellStyle name="asd 30 2 3 3" xfId="5212"/>
    <cellStyle name="asd 30 2 3 4" xfId="8113"/>
    <cellStyle name="asd 30 2 3 5" xfId="10023"/>
    <cellStyle name="asd 30 2 3 6" xfId="11909"/>
    <cellStyle name="asd 30 2 3 7" xfId="14419"/>
    <cellStyle name="asd 30 2 3 8" xfId="16325"/>
    <cellStyle name="asd 30 2 3 9" xfId="17642"/>
    <cellStyle name="asd 30 2 4" xfId="4046"/>
    <cellStyle name="asd 30 2 4 10" xfId="19681"/>
    <cellStyle name="asd 30 2 4 11" xfId="21593"/>
    <cellStyle name="asd 30 2 4 12" xfId="23333"/>
    <cellStyle name="asd 30 2 4 13" xfId="25395"/>
    <cellStyle name="asd 30 2 4 14" xfId="27581"/>
    <cellStyle name="asd 30 2 4 15" xfId="29313"/>
    <cellStyle name="asd 30 2 4 16" xfId="31160"/>
    <cellStyle name="asd 30 2 4 17" xfId="32784"/>
    <cellStyle name="asd 30 2 4 18" xfId="33986"/>
    <cellStyle name="asd 30 2 4 19" xfId="36222"/>
    <cellStyle name="asd 30 2 4 2" xfId="5951"/>
    <cellStyle name="asd 30 2 4 2 10" xfId="22201"/>
    <cellStyle name="asd 30 2 4 2 11" xfId="23933"/>
    <cellStyle name="asd 30 2 4 2 12" xfId="26003"/>
    <cellStyle name="asd 30 2 4 2 13" xfId="27143"/>
    <cellStyle name="asd 30 2 4 2 14" xfId="28906"/>
    <cellStyle name="asd 30 2 4 2 15" xfId="30734"/>
    <cellStyle name="asd 30 2 4 2 16" xfId="33127"/>
    <cellStyle name="asd 30 2 4 2 17" xfId="33621"/>
    <cellStyle name="asd 30 2 4 2 18" xfId="36830"/>
    <cellStyle name="asd 30 2 4 2 19" xfId="38709"/>
    <cellStyle name="asd 30 2 4 2 2" xfId="7400"/>
    <cellStyle name="asd 30 2 4 2 20" xfId="40321"/>
    <cellStyle name="asd 30 2 4 2 21" xfId="41977"/>
    <cellStyle name="asd 30 2 4 2 22" xfId="43679"/>
    <cellStyle name="asd 30 2 4 2 3" xfId="8854"/>
    <cellStyle name="asd 30 2 4 2 4" xfId="10764"/>
    <cellStyle name="asd 30 2 4 2 5" xfId="11893"/>
    <cellStyle name="asd 30 2 4 2 6" xfId="14403"/>
    <cellStyle name="asd 30 2 4 2 7" xfId="16309"/>
    <cellStyle name="asd 30 2 4 2 8" xfId="18383"/>
    <cellStyle name="asd 30 2 4 2 9" xfId="20289"/>
    <cellStyle name="asd 30 2 4 20" xfId="38101"/>
    <cellStyle name="asd 30 2 4 21" xfId="39993"/>
    <cellStyle name="asd 30 2 4 22" xfId="41657"/>
    <cellStyle name="asd 30 2 4 23" xfId="43103"/>
    <cellStyle name="asd 30 2 4 3" xfId="6792"/>
    <cellStyle name="asd 30 2 4 4" xfId="8246"/>
    <cellStyle name="asd 30 2 4 5" xfId="10156"/>
    <cellStyle name="asd 30 2 4 6" xfId="12277"/>
    <cellStyle name="asd 30 2 4 7" xfId="13805"/>
    <cellStyle name="asd 30 2 4 8" xfId="15707"/>
    <cellStyle name="asd 30 2 4 9" xfId="17775"/>
    <cellStyle name="asd 30 2 5" xfId="4908"/>
    <cellStyle name="asd 30 2 5 10" xfId="21156"/>
    <cellStyle name="asd 30 2 5 11" xfId="23708"/>
    <cellStyle name="asd 30 2 5 12" xfId="24958"/>
    <cellStyle name="asd 30 2 5 13" xfId="26310"/>
    <cellStyle name="asd 30 2 5 14" xfId="28877"/>
    <cellStyle name="asd 30 2 5 15" xfId="29918"/>
    <cellStyle name="asd 30 2 5 16" xfId="32494"/>
    <cellStyle name="asd 30 2 5 17" xfId="33723"/>
    <cellStyle name="asd 30 2 5 18" xfId="35785"/>
    <cellStyle name="asd 30 2 5 19" xfId="37664"/>
    <cellStyle name="asd 30 2 5 2" xfId="6358"/>
    <cellStyle name="asd 30 2 5 20" xfId="39709"/>
    <cellStyle name="asd 30 2 5 21" xfId="41381"/>
    <cellStyle name="asd 30 2 5 22" xfId="43465"/>
    <cellStyle name="asd 30 2 5 3" xfId="7809"/>
    <cellStyle name="asd 30 2 5 4" xfId="9719"/>
    <cellStyle name="asd 30 2 5 5" xfId="11760"/>
    <cellStyle name="asd 30 2 5 6" xfId="14178"/>
    <cellStyle name="asd 30 2 5 7" xfId="16082"/>
    <cellStyle name="asd 30 2 5 8" xfId="17338"/>
    <cellStyle name="asd 30 2 5 9" xfId="19244"/>
    <cellStyle name="asd 30 2 6" xfId="5571"/>
    <cellStyle name="asd 30 2 6 10" xfId="21821"/>
    <cellStyle name="asd 30 2 6 11" xfId="24122"/>
    <cellStyle name="asd 30 2 6 12" xfId="25623"/>
    <cellStyle name="asd 30 2 6 13" xfId="26373"/>
    <cellStyle name="asd 30 2 6 14" xfId="28494"/>
    <cellStyle name="asd 30 2 6 15" xfId="29981"/>
    <cellStyle name="asd 30 2 6 16" xfId="33115"/>
    <cellStyle name="asd 30 2 6 17" xfId="34932"/>
    <cellStyle name="asd 30 2 6 18" xfId="36450"/>
    <cellStyle name="asd 30 2 6 19" xfId="38329"/>
    <cellStyle name="asd 30 2 6 2" xfId="7020"/>
    <cellStyle name="asd 30 2 6 20" xfId="40310"/>
    <cellStyle name="asd 30 2 6 21" xfId="41966"/>
    <cellStyle name="asd 30 2 6 22" xfId="43865"/>
    <cellStyle name="asd 30 2 6 3" xfId="8474"/>
    <cellStyle name="asd 30 2 6 4" xfId="10384"/>
    <cellStyle name="asd 30 2 6 5" xfId="12082"/>
    <cellStyle name="asd 30 2 6 6" xfId="14593"/>
    <cellStyle name="asd 30 2 6 7" xfId="16499"/>
    <cellStyle name="asd 30 2 6 8" xfId="18003"/>
    <cellStyle name="asd 30 2 6 9" xfId="19909"/>
    <cellStyle name="asd 30 2 7" xfId="6727"/>
    <cellStyle name="asd 30 2 8" xfId="9163"/>
    <cellStyle name="asd 30 2 9" xfId="12156"/>
    <cellStyle name="asd 30 20" xfId="2125"/>
    <cellStyle name="asd 30 21" xfId="29511"/>
    <cellStyle name="asd 30 22" xfId="33354"/>
    <cellStyle name="asd 30 23" xfId="10878"/>
    <cellStyle name="asd 30 24" xfId="31981"/>
    <cellStyle name="asd 30 25" xfId="14688"/>
    <cellStyle name="asd 30 26" xfId="34640"/>
    <cellStyle name="asd 30 27" xfId="39949"/>
    <cellStyle name="asd 30 3" xfId="3475"/>
    <cellStyle name="asd 30 3 10" xfId="13715"/>
    <cellStyle name="asd 30 3 11" xfId="15617"/>
    <cellStyle name="asd 30 3 12" xfId="16910"/>
    <cellStyle name="asd 30 3 13" xfId="18817"/>
    <cellStyle name="asd 30 3 14" xfId="20729"/>
    <cellStyle name="asd 30 3 15" xfId="23243"/>
    <cellStyle name="asd 30 3 16" xfId="24531"/>
    <cellStyle name="asd 30 3 17" xfId="26935"/>
    <cellStyle name="asd 30 3 18" xfId="28439"/>
    <cellStyle name="asd 30 3 19" xfId="30529"/>
    <cellStyle name="asd 30 3 2" xfId="3655"/>
    <cellStyle name="asd 30 3 2 10" xfId="17546"/>
    <cellStyle name="asd 30 3 2 11" xfId="19452"/>
    <cellStyle name="asd 30 3 2 12" xfId="21364"/>
    <cellStyle name="asd 30 3 2 13" xfId="23303"/>
    <cellStyle name="asd 30 3 2 14" xfId="25166"/>
    <cellStyle name="asd 30 3 2 15" xfId="26777"/>
    <cellStyle name="asd 30 3 2 16" xfId="28772"/>
    <cellStyle name="asd 30 3 2 17" xfId="30376"/>
    <cellStyle name="asd 30 3 2 18" xfId="32608"/>
    <cellStyle name="asd 30 3 2 19" xfId="34326"/>
    <cellStyle name="asd 30 3 2 2" xfId="5673"/>
    <cellStyle name="asd 30 3 2 2 10" xfId="21923"/>
    <cellStyle name="asd 30 3 2 2 11" xfId="22943"/>
    <cellStyle name="asd 30 3 2 2 12" xfId="25725"/>
    <cellStyle name="asd 30 3 2 2 13" xfId="27597"/>
    <cellStyle name="asd 30 3 2 2 14" xfId="2703"/>
    <cellStyle name="asd 30 3 2 2 15" xfId="31175"/>
    <cellStyle name="asd 30 3 2 2 16" xfId="31804"/>
    <cellStyle name="asd 30 3 2 2 17" xfId="34602"/>
    <cellStyle name="asd 30 3 2 2 18" xfId="36552"/>
    <cellStyle name="asd 30 3 2 2 19" xfId="38431"/>
    <cellStyle name="asd 30 3 2 2 2" xfId="7122"/>
    <cellStyle name="asd 30 3 2 2 20" xfId="39042"/>
    <cellStyle name="asd 30 3 2 2 21" xfId="40724"/>
    <cellStyle name="asd 30 3 2 2 22" xfId="42729"/>
    <cellStyle name="asd 30 3 2 2 3" xfId="8576"/>
    <cellStyle name="asd 30 3 2 2 4" xfId="10486"/>
    <cellStyle name="asd 30 3 2 2 5" xfId="11052"/>
    <cellStyle name="asd 30 3 2 2 6" xfId="13411"/>
    <cellStyle name="asd 30 3 2 2 7" xfId="15316"/>
    <cellStyle name="asd 30 3 2 2 8" xfId="18105"/>
    <cellStyle name="asd 30 3 2 2 9" xfId="20011"/>
    <cellStyle name="asd 30 3 2 20" xfId="35993"/>
    <cellStyle name="asd 30 3 2 21" xfId="37872"/>
    <cellStyle name="asd 30 3 2 22" xfId="39818"/>
    <cellStyle name="asd 30 3 2 23" xfId="41487"/>
    <cellStyle name="asd 30 3 2 24" xfId="43075"/>
    <cellStyle name="asd 30 3 2 3" xfId="5116"/>
    <cellStyle name="asd 30 3 2 4" xfId="6566"/>
    <cellStyle name="asd 30 3 2 5" xfId="8017"/>
    <cellStyle name="asd 30 3 2 6" xfId="9927"/>
    <cellStyle name="asd 30 3 2 7" xfId="11295"/>
    <cellStyle name="asd 30 3 2 8" xfId="13775"/>
    <cellStyle name="asd 30 3 2 9" xfId="15677"/>
    <cellStyle name="asd 30 3 20" xfId="32143"/>
    <cellStyle name="asd 30 3 21" xfId="35010"/>
    <cellStyle name="asd 30 3 22" xfId="35359"/>
    <cellStyle name="asd 30 3 23" xfId="37237"/>
    <cellStyle name="asd 30 3 24" xfId="39366"/>
    <cellStyle name="asd 30 3 25" xfId="41042"/>
    <cellStyle name="asd 30 3 26" xfId="43020"/>
    <cellStyle name="asd 30 3 3" xfId="1961"/>
    <cellStyle name="asd 30 3 3 10" xfId="18994"/>
    <cellStyle name="asd 30 3 3 11" xfId="20906"/>
    <cellStyle name="asd 30 3 3 12" xfId="22797"/>
    <cellStyle name="asd 30 3 3 13" xfId="24708"/>
    <cellStyle name="asd 30 3 3 14" xfId="26529"/>
    <cellStyle name="asd 30 3 3 15" xfId="28300"/>
    <cellStyle name="asd 30 3 3 16" xfId="30135"/>
    <cellStyle name="asd 30 3 3 17" xfId="31733"/>
    <cellStyle name="asd 30 3 3 18" xfId="34734"/>
    <cellStyle name="asd 30 3 3 19" xfId="35535"/>
    <cellStyle name="asd 30 3 3 2" xfId="4536"/>
    <cellStyle name="asd 30 3 3 2 10" xfId="20781"/>
    <cellStyle name="asd 30 3 3 2 11" xfId="24149"/>
    <cellStyle name="asd 30 3 3 2 12" xfId="24583"/>
    <cellStyle name="asd 30 3 3 2 13" xfId="27447"/>
    <cellStyle name="asd 30 3 3 2 14" xfId="29155"/>
    <cellStyle name="asd 30 3 3 2 15" xfId="31033"/>
    <cellStyle name="asd 30 3 3 2 16" xfId="3753"/>
    <cellStyle name="asd 30 3 3 2 17" xfId="31580"/>
    <cellStyle name="asd 30 3 3 2 18" xfId="35411"/>
    <cellStyle name="asd 30 3 3 2 19" xfId="37289"/>
    <cellStyle name="asd 30 3 3 2 2" xfId="3741"/>
    <cellStyle name="asd 30 3 3 2 20" xfId="24209"/>
    <cellStyle name="asd 30 3 3 2 21" xfId="29595"/>
    <cellStyle name="asd 30 3 3 2 22" xfId="43891"/>
    <cellStyle name="asd 30 3 3 2 3" xfId="3072"/>
    <cellStyle name="asd 30 3 3 2 4" xfId="9343"/>
    <cellStyle name="asd 30 3 3 2 5" xfId="12109"/>
    <cellStyle name="asd 30 3 3 2 6" xfId="14620"/>
    <cellStyle name="asd 30 3 3 2 7" xfId="16526"/>
    <cellStyle name="asd 30 3 3 2 8" xfId="16962"/>
    <cellStyle name="asd 30 3 3 2 9" xfId="18869"/>
    <cellStyle name="asd 30 3 3 20" xfId="37414"/>
    <cellStyle name="asd 30 3 3 21" xfId="38974"/>
    <cellStyle name="asd 30 3 3 22" xfId="40657"/>
    <cellStyle name="asd 30 3 3 23" xfId="42590"/>
    <cellStyle name="asd 30 3 3 3" xfId="4662"/>
    <cellStyle name="asd 30 3 3 4" xfId="7559"/>
    <cellStyle name="asd 30 3 3 5" xfId="9469"/>
    <cellStyle name="asd 30 3 3 6" xfId="11009"/>
    <cellStyle name="asd 30 3 3 7" xfId="13266"/>
    <cellStyle name="asd 30 3 3 8" xfId="15170"/>
    <cellStyle name="asd 30 3 3 9" xfId="17088"/>
    <cellStyle name="asd 30 3 4" xfId="4107"/>
    <cellStyle name="asd 30 3 4 10" xfId="19742"/>
    <cellStyle name="asd 30 3 4 11" xfId="21654"/>
    <cellStyle name="asd 30 3 4 12" xfId="23821"/>
    <cellStyle name="asd 30 3 4 13" xfId="25456"/>
    <cellStyle name="asd 30 3 4 14" xfId="26483"/>
    <cellStyle name="asd 30 3 4 15" xfId="28034"/>
    <cellStyle name="asd 30 3 4 16" xfId="30089"/>
    <cellStyle name="asd 30 3 4 17" xfId="32717"/>
    <cellStyle name="asd 30 3 4 18" xfId="34091"/>
    <cellStyle name="asd 30 3 4 19" xfId="36283"/>
    <cellStyle name="asd 30 3 4 2" xfId="6012"/>
    <cellStyle name="asd 30 3 4 2 10" xfId="22262"/>
    <cellStyle name="asd 30 3 4 2 11" xfId="23813"/>
    <cellStyle name="asd 30 3 4 2 12" xfId="26064"/>
    <cellStyle name="asd 30 3 4 2 13" xfId="27134"/>
    <cellStyle name="asd 30 3 4 2 14" xfId="29677"/>
    <cellStyle name="asd 30 3 4 2 15" xfId="30725"/>
    <cellStyle name="asd 30 3 4 2 16" xfId="33150"/>
    <cellStyle name="asd 30 3 4 2 17" xfId="34177"/>
    <cellStyle name="asd 30 3 4 2 18" xfId="36891"/>
    <cellStyle name="asd 30 3 4 2 19" xfId="38770"/>
    <cellStyle name="asd 30 3 4 2 2" xfId="7461"/>
    <cellStyle name="asd 30 3 4 2 20" xfId="40343"/>
    <cellStyle name="asd 30 3 4 2 21" xfId="41999"/>
    <cellStyle name="asd 30 3 4 2 22" xfId="43564"/>
    <cellStyle name="asd 30 3 4 2 3" xfId="8915"/>
    <cellStyle name="asd 30 3 4 2 4" xfId="10825"/>
    <cellStyle name="asd 30 3 4 2 5" xfId="11404"/>
    <cellStyle name="asd 30 3 4 2 6" xfId="14283"/>
    <cellStyle name="asd 30 3 4 2 7" xfId="16187"/>
    <cellStyle name="asd 30 3 4 2 8" xfId="18444"/>
    <cellStyle name="asd 30 3 4 2 9" xfId="20350"/>
    <cellStyle name="asd 30 3 4 20" xfId="38162"/>
    <cellStyle name="asd 30 3 4 21" xfId="39927"/>
    <cellStyle name="asd 30 3 4 22" xfId="41593"/>
    <cellStyle name="asd 30 3 4 23" xfId="43572"/>
    <cellStyle name="asd 30 3 4 3" xfId="6853"/>
    <cellStyle name="asd 30 3 4 4" xfId="8307"/>
    <cellStyle name="asd 30 3 4 5" xfId="10217"/>
    <cellStyle name="asd 30 3 4 6" xfId="11687"/>
    <cellStyle name="asd 30 3 4 7" xfId="14291"/>
    <cellStyle name="asd 30 3 4 8" xfId="16195"/>
    <cellStyle name="asd 30 3 4 9" xfId="17836"/>
    <cellStyle name="asd 30 3 5" xfId="4959"/>
    <cellStyle name="asd 30 3 5 10" xfId="21207"/>
    <cellStyle name="asd 30 3 5 11" xfId="22791"/>
    <cellStyle name="asd 30 3 5 12" xfId="25009"/>
    <cellStyle name="asd 30 3 5 13" xfId="27401"/>
    <cellStyle name="asd 30 3 5 14" xfId="20428"/>
    <cellStyle name="asd 30 3 5 15" xfId="30987"/>
    <cellStyle name="asd 30 3 5 16" xfId="32556"/>
    <cellStyle name="asd 30 3 5 17" xfId="34548"/>
    <cellStyle name="asd 30 3 5 18" xfId="35836"/>
    <cellStyle name="asd 30 3 5 19" xfId="37715"/>
    <cellStyle name="asd 30 3 5 2" xfId="6409"/>
    <cellStyle name="asd 30 3 5 20" xfId="39769"/>
    <cellStyle name="asd 30 3 5 21" xfId="41439"/>
    <cellStyle name="asd 30 3 5 22" xfId="42584"/>
    <cellStyle name="asd 30 3 5 3" xfId="7860"/>
    <cellStyle name="asd 30 3 5 4" xfId="9770"/>
    <cellStyle name="asd 30 3 5 5" xfId="10940"/>
    <cellStyle name="asd 30 3 5 6" xfId="13260"/>
    <cellStyle name="asd 30 3 5 7" xfId="15164"/>
    <cellStyle name="asd 30 3 5 8" xfId="17389"/>
    <cellStyle name="asd 30 3 5 9" xfId="19295"/>
    <cellStyle name="asd 30 3 6" xfId="4555"/>
    <cellStyle name="asd 30 3 6 10" xfId="20800"/>
    <cellStyle name="asd 30 3 6 11" xfId="23524"/>
    <cellStyle name="asd 30 3 6 12" xfId="24602"/>
    <cellStyle name="asd 30 3 6 13" xfId="27377"/>
    <cellStyle name="asd 30 3 6 14" xfId="29391"/>
    <cellStyle name="asd 30 3 6 15" xfId="30963"/>
    <cellStyle name="asd 30 3 6 16" xfId="32170"/>
    <cellStyle name="asd 30 3 6 17" xfId="33879"/>
    <cellStyle name="asd 30 3 6 18" xfId="35430"/>
    <cellStyle name="asd 30 3 6 19" xfId="37308"/>
    <cellStyle name="asd 30 3 6 2" xfId="4507"/>
    <cellStyle name="asd 30 3 6 20" xfId="39392"/>
    <cellStyle name="asd 30 3 6 21" xfId="41068"/>
    <cellStyle name="asd 30 3 6 22" xfId="43289"/>
    <cellStyle name="asd 30 3 6 3" xfId="3863"/>
    <cellStyle name="asd 30 3 6 4" xfId="9362"/>
    <cellStyle name="asd 30 3 6 5" xfId="12510"/>
    <cellStyle name="asd 30 3 6 6" xfId="13996"/>
    <cellStyle name="asd 30 3 6 7" xfId="15897"/>
    <cellStyle name="asd 30 3 6 8" xfId="16981"/>
    <cellStyle name="asd 30 3 6 9" xfId="18888"/>
    <cellStyle name="asd 30 3 7" xfId="6717"/>
    <cellStyle name="asd 30 3 8" xfId="9291"/>
    <cellStyle name="asd 30 3 9" xfId="11136"/>
    <cellStyle name="asd 30 4" xfId="3393"/>
    <cellStyle name="asd 30 4 10" xfId="15311"/>
    <cellStyle name="asd 30 4 11" xfId="16727"/>
    <cellStyle name="asd 30 4 12" xfId="18634"/>
    <cellStyle name="asd 30 4 13" xfId="20546"/>
    <cellStyle name="asd 30 4 14" xfId="22938"/>
    <cellStyle name="asd 30 4 15" xfId="24348"/>
    <cellStyle name="asd 30 4 16" xfId="27039"/>
    <cellStyle name="asd 30 4 17" xfId="29418"/>
    <cellStyle name="asd 30 4 18" xfId="30632"/>
    <cellStyle name="asd 30 4 19" xfId="32029"/>
    <cellStyle name="asd 30 4 2" xfId="3573"/>
    <cellStyle name="asd 30 4 2 10" xfId="17464"/>
    <cellStyle name="asd 30 4 2 11" xfId="19370"/>
    <cellStyle name="asd 30 4 2 12" xfId="21282"/>
    <cellStyle name="asd 30 4 2 13" xfId="22676"/>
    <cellStyle name="asd 30 4 2 14" xfId="25084"/>
    <cellStyle name="asd 30 4 2 15" xfId="27187"/>
    <cellStyle name="asd 30 4 2 16" xfId="2092"/>
    <cellStyle name="asd 30 4 2 17" xfId="30778"/>
    <cellStyle name="asd 30 4 2 18" xfId="32792"/>
    <cellStyle name="asd 30 4 2 19" xfId="2275"/>
    <cellStyle name="asd 30 4 2 2" xfId="4905"/>
    <cellStyle name="asd 30 4 2 2 10" xfId="21153"/>
    <cellStyle name="asd 30 4 2 2 11" xfId="23483"/>
    <cellStyle name="asd 30 4 2 2 12" xfId="24955"/>
    <cellStyle name="asd 30 4 2 2 13" xfId="27789"/>
    <cellStyle name="asd 30 4 2 2 14" xfId="28258"/>
    <cellStyle name="asd 30 4 2 2 15" xfId="31366"/>
    <cellStyle name="asd 30 4 2 2 16" xfId="31767"/>
    <cellStyle name="asd 30 4 2 2 17" xfId="34920"/>
    <cellStyle name="asd 30 4 2 2 18" xfId="35782"/>
    <cellStyle name="asd 30 4 2 2 19" xfId="37661"/>
    <cellStyle name="asd 30 4 2 2 2" xfId="6355"/>
    <cellStyle name="asd 30 4 2 2 20" xfId="39006"/>
    <cellStyle name="asd 30 4 2 2 21" xfId="40689"/>
    <cellStyle name="asd 30 4 2 2 22" xfId="43249"/>
    <cellStyle name="asd 30 4 2 2 3" xfId="7806"/>
    <cellStyle name="asd 30 4 2 2 4" xfId="9716"/>
    <cellStyle name="asd 30 4 2 2 5" xfId="12486"/>
    <cellStyle name="asd 30 4 2 2 6" xfId="13955"/>
    <cellStyle name="asd 30 4 2 2 7" xfId="15856"/>
    <cellStyle name="asd 30 4 2 2 8" xfId="17335"/>
    <cellStyle name="asd 30 4 2 2 9" xfId="19241"/>
    <cellStyle name="asd 30 4 2 20" xfId="35911"/>
    <cellStyle name="asd 30 4 2 21" xfId="37790"/>
    <cellStyle name="asd 30 4 2 22" xfId="40001"/>
    <cellStyle name="asd 30 4 2 23" xfId="41665"/>
    <cellStyle name="asd 30 4 2 24" xfId="42481"/>
    <cellStyle name="asd 30 4 2 3" xfId="5034"/>
    <cellStyle name="asd 30 4 2 4" xfId="6484"/>
    <cellStyle name="asd 30 4 2 5" xfId="7935"/>
    <cellStyle name="asd 30 4 2 6" xfId="9845"/>
    <cellStyle name="asd 30 4 2 7" xfId="11682"/>
    <cellStyle name="asd 30 4 2 8" xfId="13143"/>
    <cellStyle name="asd 30 4 2 9" xfId="15048"/>
    <cellStyle name="asd 30 4 20" xfId="33746"/>
    <cellStyle name="asd 30 4 21" xfId="35176"/>
    <cellStyle name="asd 30 4 22" xfId="37054"/>
    <cellStyle name="asd 30 4 23" xfId="39259"/>
    <cellStyle name="asd 30 4 24" xfId="40936"/>
    <cellStyle name="asd 30 4 25" xfId="42724"/>
    <cellStyle name="asd 30 4 3" xfId="3895"/>
    <cellStyle name="asd 30 4 3 10" xfId="19602"/>
    <cellStyle name="asd 30 4 3 11" xfId="21514"/>
    <cellStyle name="asd 30 4 3 12" xfId="23103"/>
    <cellStyle name="asd 30 4 3 13" xfId="25316"/>
    <cellStyle name="asd 30 4 3 14" xfId="27536"/>
    <cellStyle name="asd 30 4 3 15" xfId="2820"/>
    <cellStyle name="asd 30 4 3 16" xfId="31117"/>
    <cellStyle name="asd 30 4 3 17" xfId="33216"/>
    <cellStyle name="asd 30 4 3 18" xfId="34054"/>
    <cellStyle name="asd 30 4 3 19" xfId="36143"/>
    <cellStyle name="asd 30 4 3 2" xfId="5872"/>
    <cellStyle name="asd 30 4 3 2 10" xfId="22122"/>
    <cellStyle name="asd 30 4 3 2 11" xfId="22708"/>
    <cellStyle name="asd 30 4 3 2 12" xfId="25924"/>
    <cellStyle name="asd 30 4 3 2 13" xfId="27135"/>
    <cellStyle name="asd 30 4 3 2 14" xfId="29430"/>
    <cellStyle name="asd 30 4 3 2 15" xfId="30726"/>
    <cellStyle name="asd 30 4 3 2 16" xfId="32587"/>
    <cellStyle name="asd 30 4 3 2 17" xfId="34987"/>
    <cellStyle name="asd 30 4 3 2 18" xfId="36751"/>
    <cellStyle name="asd 30 4 3 2 19" xfId="38630"/>
    <cellStyle name="asd 30 4 3 2 2" xfId="7321"/>
    <cellStyle name="asd 30 4 3 2 20" xfId="39798"/>
    <cellStyle name="asd 30 4 3 2 21" xfId="41467"/>
    <cellStyle name="asd 30 4 3 2 22" xfId="42508"/>
    <cellStyle name="asd 30 4 3 2 3" xfId="8775"/>
    <cellStyle name="asd 30 4 3 2 4" xfId="10685"/>
    <cellStyle name="asd 30 4 3 2 5" xfId="11808"/>
    <cellStyle name="asd 30 4 3 2 6" xfId="13176"/>
    <cellStyle name="asd 30 4 3 2 7" xfId="15080"/>
    <cellStyle name="asd 30 4 3 2 8" xfId="18304"/>
    <cellStyle name="asd 30 4 3 2 9" xfId="20210"/>
    <cellStyle name="asd 30 4 3 20" xfId="38022"/>
    <cellStyle name="asd 30 4 3 21" xfId="40405"/>
    <cellStyle name="asd 30 4 3 22" xfId="42061"/>
    <cellStyle name="asd 30 4 3 23" xfId="42883"/>
    <cellStyle name="asd 30 4 3 3" xfId="5266"/>
    <cellStyle name="asd 30 4 3 4" xfId="8167"/>
    <cellStyle name="asd 30 4 3 5" xfId="10077"/>
    <cellStyle name="asd 30 4 3 6" xfId="12716"/>
    <cellStyle name="asd 30 4 3 7" xfId="13574"/>
    <cellStyle name="asd 30 4 3 8" xfId="15477"/>
    <cellStyle name="asd 30 4 3 9" xfId="17696"/>
    <cellStyle name="asd 30 4 4" xfId="4025"/>
    <cellStyle name="asd 30 4 4 10" xfId="19660"/>
    <cellStyle name="asd 30 4 4 11" xfId="21572"/>
    <cellStyle name="asd 30 4 4 12" xfId="24143"/>
    <cellStyle name="asd 30 4 4 13" xfId="25374"/>
    <cellStyle name="asd 30 4 4 14" xfId="27409"/>
    <cellStyle name="asd 30 4 4 15" xfId="28740"/>
    <cellStyle name="asd 30 4 4 16" xfId="30995"/>
    <cellStyle name="asd 30 4 4 17" xfId="33172"/>
    <cellStyle name="asd 30 4 4 18" xfId="33717"/>
    <cellStyle name="asd 30 4 4 19" xfId="36201"/>
    <cellStyle name="asd 30 4 4 2" xfId="5930"/>
    <cellStyle name="asd 30 4 4 2 10" xfId="22180"/>
    <cellStyle name="asd 30 4 4 2 11" xfId="23236"/>
    <cellStyle name="asd 30 4 4 2 12" xfId="25982"/>
    <cellStyle name="asd 30 4 4 2 13" xfId="26393"/>
    <cellStyle name="asd 30 4 4 2 14" xfId="29249"/>
    <cellStyle name="asd 30 4 4 2 15" xfId="30001"/>
    <cellStyle name="asd 30 4 4 2 16" xfId="32856"/>
    <cellStyle name="asd 30 4 4 2 17" xfId="34589"/>
    <cellStyle name="asd 30 4 4 2 18" xfId="36809"/>
    <cellStyle name="asd 30 4 4 2 19" xfId="38688"/>
    <cellStyle name="asd 30 4 4 2 2" xfId="7379"/>
    <cellStyle name="asd 30 4 4 2 20" xfId="40063"/>
    <cellStyle name="asd 30 4 4 2 21" xfId="41727"/>
    <cellStyle name="asd 30 4 4 2 22" xfId="43013"/>
    <cellStyle name="asd 30 4 4 2 3" xfId="8833"/>
    <cellStyle name="asd 30 4 4 2 4" xfId="10743"/>
    <cellStyle name="asd 30 4 4 2 5" xfId="11121"/>
    <cellStyle name="asd 30 4 4 2 6" xfId="13708"/>
    <cellStyle name="asd 30 4 4 2 7" xfId="15610"/>
    <cellStyle name="asd 30 4 4 2 8" xfId="18362"/>
    <cellStyle name="asd 30 4 4 2 9" xfId="20268"/>
    <cellStyle name="asd 30 4 4 20" xfId="38080"/>
    <cellStyle name="asd 30 4 4 21" xfId="40363"/>
    <cellStyle name="asd 30 4 4 22" xfId="42019"/>
    <cellStyle name="asd 30 4 4 23" xfId="43886"/>
    <cellStyle name="asd 30 4 4 3" xfId="6771"/>
    <cellStyle name="asd 30 4 4 4" xfId="8225"/>
    <cellStyle name="asd 30 4 4 5" xfId="10135"/>
    <cellStyle name="asd 30 4 4 6" xfId="12103"/>
    <cellStyle name="asd 30 4 4 7" xfId="14614"/>
    <cellStyle name="asd 30 4 4 8" xfId="16520"/>
    <cellStyle name="asd 30 4 4 9" xfId="17754"/>
    <cellStyle name="asd 30 4 5" xfId="5655"/>
    <cellStyle name="asd 30 4 5 10" xfId="21905"/>
    <cellStyle name="asd 30 4 5 11" xfId="23356"/>
    <cellStyle name="asd 30 4 5 12" xfId="25707"/>
    <cellStyle name="asd 30 4 5 13" xfId="27527"/>
    <cellStyle name="asd 30 4 5 14" xfId="29386"/>
    <cellStyle name="asd 30 4 5 15" xfId="31109"/>
    <cellStyle name="asd 30 4 5 16" xfId="33208"/>
    <cellStyle name="asd 30 4 5 17" xfId="35002"/>
    <cellStyle name="asd 30 4 5 18" xfId="36534"/>
    <cellStyle name="asd 30 4 5 19" xfId="38413"/>
    <cellStyle name="asd 30 4 5 2" xfId="7104"/>
    <cellStyle name="asd 30 4 5 20" xfId="40397"/>
    <cellStyle name="asd 30 4 5 21" xfId="42053"/>
    <cellStyle name="asd 30 4 5 22" xfId="43126"/>
    <cellStyle name="asd 30 4 5 3" xfId="8558"/>
    <cellStyle name="asd 30 4 5 4" xfId="10468"/>
    <cellStyle name="asd 30 4 5 5" xfId="12406"/>
    <cellStyle name="asd 30 4 5 6" xfId="13828"/>
    <cellStyle name="asd 30 4 5 7" xfId="15730"/>
    <cellStyle name="asd 30 4 5 8" xfId="18087"/>
    <cellStyle name="asd 30 4 5 9" xfId="19993"/>
    <cellStyle name="asd 30 4 6" xfId="5347"/>
    <cellStyle name="asd 30 4 7" xfId="9108"/>
    <cellStyle name="asd 30 4 8" xfId="11053"/>
    <cellStyle name="asd 30 4 9" xfId="13406"/>
    <cellStyle name="asd 30 5" xfId="3351"/>
    <cellStyle name="asd 30 5 10" xfId="17296"/>
    <cellStyle name="asd 30 5 11" xfId="19202"/>
    <cellStyle name="asd 30 5 12" xfId="21114"/>
    <cellStyle name="asd 30 5 13" xfId="23794"/>
    <cellStyle name="asd 30 5 14" xfId="24916"/>
    <cellStyle name="asd 30 5 15" xfId="27413"/>
    <cellStyle name="asd 30 5 16" xfId="29609"/>
    <cellStyle name="asd 30 5 17" xfId="30999"/>
    <cellStyle name="asd 30 5 18" xfId="31655"/>
    <cellStyle name="asd 30 5 19" xfId="34738"/>
    <cellStyle name="asd 30 5 2" xfId="4409"/>
    <cellStyle name="asd 30 5 2 10" xfId="20653"/>
    <cellStyle name="asd 30 5 2 11" xfId="22627"/>
    <cellStyle name="asd 30 5 2 12" xfId="24455"/>
    <cellStyle name="asd 30 5 2 13" xfId="26986"/>
    <cellStyle name="asd 30 5 2 14" xfId="28662"/>
    <cellStyle name="asd 30 5 2 15" xfId="30580"/>
    <cellStyle name="asd 30 5 2 16" xfId="32857"/>
    <cellStyle name="asd 30 5 2 17" xfId="33928"/>
    <cellStyle name="asd 30 5 2 18" xfId="35283"/>
    <cellStyle name="asd 30 5 2 19" xfId="37161"/>
    <cellStyle name="asd 30 5 2 2" xfId="4191"/>
    <cellStyle name="asd 30 5 2 20" xfId="40064"/>
    <cellStyle name="asd 30 5 2 21" xfId="41728"/>
    <cellStyle name="asd 30 5 2 22" xfId="42433"/>
    <cellStyle name="asd 30 5 2 3" xfId="2273"/>
    <cellStyle name="asd 30 5 2 4" xfId="9215"/>
    <cellStyle name="asd 30 5 2 5" xfId="11740"/>
    <cellStyle name="asd 30 5 2 6" xfId="13094"/>
    <cellStyle name="asd 30 5 2 7" xfId="14999"/>
    <cellStyle name="asd 30 5 2 8" xfId="16834"/>
    <cellStyle name="asd 30 5 2 9" xfId="18741"/>
    <cellStyle name="asd 30 5 20" xfId="35743"/>
    <cellStyle name="asd 30 5 21" xfId="37622"/>
    <cellStyle name="asd 30 5 22" xfId="38900"/>
    <cellStyle name="asd 30 5 23" xfId="40585"/>
    <cellStyle name="asd 30 5 24" xfId="43547"/>
    <cellStyle name="asd 30 5 3" xfId="4866"/>
    <cellStyle name="asd 30 5 4" xfId="6316"/>
    <cellStyle name="asd 30 5 5" xfId="7767"/>
    <cellStyle name="asd 30 5 6" xfId="9677"/>
    <cellStyle name="asd 30 5 7" xfId="11763"/>
    <cellStyle name="asd 30 5 8" xfId="14264"/>
    <cellStyle name="asd 30 5 9" xfId="16168"/>
    <cellStyle name="asd 30 6" xfId="2203"/>
    <cellStyle name="asd 30 6 10" xfId="19031"/>
    <cellStyle name="asd 30 6 11" xfId="20943"/>
    <cellStyle name="asd 30 6 12" xfId="23003"/>
    <cellStyle name="asd 30 6 13" xfId="24745"/>
    <cellStyle name="asd 30 6 14" xfId="26348"/>
    <cellStyle name="asd 30 6 15" xfId="28849"/>
    <cellStyle name="asd 30 6 16" xfId="29956"/>
    <cellStyle name="asd 30 6 17" xfId="32818"/>
    <cellStyle name="asd 30 6 18" xfId="34496"/>
    <cellStyle name="asd 30 6 19" xfId="35572"/>
    <cellStyle name="asd 30 6 2" xfId="5599"/>
    <cellStyle name="asd 30 6 2 10" xfId="21849"/>
    <cellStyle name="asd 30 6 2 11" xfId="23854"/>
    <cellStyle name="asd 30 6 2 12" xfId="25651"/>
    <cellStyle name="asd 30 6 2 13" xfId="26489"/>
    <cellStyle name="asd 30 6 2 14" xfId="28159"/>
    <cellStyle name="asd 30 6 2 15" xfId="30094"/>
    <cellStyle name="asd 30 6 2 16" xfId="31818"/>
    <cellStyle name="asd 30 6 2 17" xfId="34352"/>
    <cellStyle name="asd 30 6 2 18" xfId="36478"/>
    <cellStyle name="asd 30 6 2 19" xfId="38357"/>
    <cellStyle name="asd 30 6 2 2" xfId="7048"/>
    <cellStyle name="asd 30 6 2 20" xfId="39056"/>
    <cellStyle name="asd 30 6 2 21" xfId="40738"/>
    <cellStyle name="asd 30 6 2 22" xfId="43605"/>
    <cellStyle name="asd 30 6 2 3" xfId="8502"/>
    <cellStyle name="asd 30 6 2 4" xfId="10412"/>
    <cellStyle name="asd 30 6 2 5" xfId="11745"/>
    <cellStyle name="asd 30 6 2 6" xfId="14324"/>
    <cellStyle name="asd 30 6 2 7" xfId="16228"/>
    <cellStyle name="asd 30 6 2 8" xfId="18031"/>
    <cellStyle name="asd 30 6 2 9" xfId="19937"/>
    <cellStyle name="asd 30 6 20" xfId="37451"/>
    <cellStyle name="asd 30 6 21" xfId="40027"/>
    <cellStyle name="asd 30 6 22" xfId="41691"/>
    <cellStyle name="asd 30 6 23" xfId="42787"/>
    <cellStyle name="asd 30 6 3" xfId="4697"/>
    <cellStyle name="asd 30 6 4" xfId="7596"/>
    <cellStyle name="asd 30 6 5" xfId="9506"/>
    <cellStyle name="asd 30 6 6" xfId="12398"/>
    <cellStyle name="asd 30 6 7" xfId="13473"/>
    <cellStyle name="asd 30 6 8" xfId="15378"/>
    <cellStyle name="asd 30 6 9" xfId="17125"/>
    <cellStyle name="asd 30 7" xfId="3334"/>
    <cellStyle name="asd 30 7 10" xfId="19200"/>
    <cellStyle name="asd 30 7 11" xfId="21112"/>
    <cellStyle name="asd 30 7 12" xfId="22741"/>
    <cellStyle name="asd 30 7 13" xfId="24914"/>
    <cellStyle name="asd 30 7 14" xfId="26545"/>
    <cellStyle name="asd 30 7 15" xfId="28993"/>
    <cellStyle name="asd 30 7 16" xfId="30150"/>
    <cellStyle name="asd 30 7 17" xfId="31815"/>
    <cellStyle name="asd 30 7 18" xfId="34963"/>
    <cellStyle name="asd 30 7 19" xfId="35741"/>
    <cellStyle name="asd 30 7 2" xfId="5698"/>
    <cellStyle name="asd 30 7 2 10" xfId="21948"/>
    <cellStyle name="asd 30 7 2 11" xfId="23905"/>
    <cellStyle name="asd 30 7 2 12" xfId="25750"/>
    <cellStyle name="asd 30 7 2 13" xfId="26332"/>
    <cellStyle name="asd 30 7 2 14" xfId="28414"/>
    <cellStyle name="asd 30 7 2 15" xfId="29940"/>
    <cellStyle name="asd 30 7 2 16" xfId="32056"/>
    <cellStyle name="asd 30 7 2 17" xfId="33946"/>
    <cellStyle name="asd 30 7 2 18" xfId="36577"/>
    <cellStyle name="asd 30 7 2 19" xfId="38456"/>
    <cellStyle name="asd 30 7 2 2" xfId="7147"/>
    <cellStyle name="asd 30 7 2 20" xfId="39283"/>
    <cellStyle name="asd 30 7 2 21" xfId="40959"/>
    <cellStyle name="asd 30 7 2 22" xfId="43651"/>
    <cellStyle name="asd 30 7 2 3" xfId="8601"/>
    <cellStyle name="asd 30 7 2 4" xfId="10511"/>
    <cellStyle name="asd 30 7 2 5" xfId="11864"/>
    <cellStyle name="asd 30 7 2 6" xfId="14373"/>
    <cellStyle name="asd 30 7 2 7" xfId="16279"/>
    <cellStyle name="asd 30 7 2 8" xfId="18130"/>
    <cellStyle name="asd 30 7 2 9" xfId="20036"/>
    <cellStyle name="asd 30 7 20" xfId="37620"/>
    <cellStyle name="asd 30 7 21" xfId="39053"/>
    <cellStyle name="asd 30 7 22" xfId="40735"/>
    <cellStyle name="asd 30 7 23" xfId="42539"/>
    <cellStyle name="asd 30 7 3" xfId="6314"/>
    <cellStyle name="asd 30 7 4" xfId="7765"/>
    <cellStyle name="asd 30 7 5" xfId="9675"/>
    <cellStyle name="asd 30 7 6" xfId="11469"/>
    <cellStyle name="asd 30 7 7" xfId="13210"/>
    <cellStyle name="asd 30 7 8" xfId="15113"/>
    <cellStyle name="asd 30 7 9" xfId="17294"/>
    <cellStyle name="asd 30 8" xfId="3746"/>
    <cellStyle name="asd 30 9" xfId="2260"/>
    <cellStyle name="asd 31" xfId="910"/>
    <cellStyle name="asd 31 10" xfId="3524"/>
    <cellStyle name="asd 31 11" xfId="1790"/>
    <cellStyle name="asd 31 12" xfId="1844"/>
    <cellStyle name="asd 31 13" xfId="3126"/>
    <cellStyle name="asd 31 14" xfId="12750"/>
    <cellStyle name="asd 31 15" xfId="2038"/>
    <cellStyle name="asd 31 16" xfId="1998"/>
    <cellStyle name="asd 31 17" xfId="3939"/>
    <cellStyle name="asd 31 18" xfId="2390"/>
    <cellStyle name="asd 31 19" xfId="28060"/>
    <cellStyle name="asd 31 2" xfId="3409"/>
    <cellStyle name="asd 31 2 10" xfId="13861"/>
    <cellStyle name="asd 31 2 11" xfId="15762"/>
    <cellStyle name="asd 31 2 12" xfId="16767"/>
    <cellStyle name="asd 31 2 13" xfId="18674"/>
    <cellStyle name="asd 31 2 14" xfId="20586"/>
    <cellStyle name="asd 31 2 15" xfId="23389"/>
    <cellStyle name="asd 31 2 16" xfId="24388"/>
    <cellStyle name="asd 31 2 17" xfId="26423"/>
    <cellStyle name="asd 31 2 18" xfId="29236"/>
    <cellStyle name="asd 31 2 19" xfId="30029"/>
    <cellStyle name="asd 31 2 2" xfId="3589"/>
    <cellStyle name="asd 31 2 2 10" xfId="17480"/>
    <cellStyle name="asd 31 2 2 11" xfId="19386"/>
    <cellStyle name="asd 31 2 2 12" xfId="21298"/>
    <cellStyle name="asd 31 2 2 13" xfId="23180"/>
    <cellStyle name="asd 31 2 2 14" xfId="25100"/>
    <cellStyle name="asd 31 2 2 15" xfId="27698"/>
    <cellStyle name="asd 31 2 2 16" xfId="2321"/>
    <cellStyle name="asd 31 2 2 17" xfId="31272"/>
    <cellStyle name="asd 31 2 2 18" xfId="32236"/>
    <cellStyle name="asd 31 2 2 19" xfId="33740"/>
    <cellStyle name="asd 31 2 2 2" xfId="2191"/>
    <cellStyle name="asd 31 2 2 2 10" xfId="20621"/>
    <cellStyle name="asd 31 2 2 2 11" xfId="23147"/>
    <cellStyle name="asd 31 2 2 2 12" xfId="24423"/>
    <cellStyle name="asd 31 2 2 2 13" xfId="27612"/>
    <cellStyle name="asd 31 2 2 2 14" xfId="28476"/>
    <cellStyle name="asd 31 2 2 2 15" xfId="31190"/>
    <cellStyle name="asd 31 2 2 2 16" xfId="32908"/>
    <cellStyle name="asd 31 2 2 2 17" xfId="34856"/>
    <cellStyle name="asd 31 2 2 2 18" xfId="35251"/>
    <cellStyle name="asd 31 2 2 2 19" xfId="37129"/>
    <cellStyle name="asd 31 2 2 2 2" xfId="4201"/>
    <cellStyle name="asd 31 2 2 2 20" xfId="40112"/>
    <cellStyle name="asd 31 2 2 2 21" xfId="41772"/>
    <cellStyle name="asd 31 2 2 2 22" xfId="42925"/>
    <cellStyle name="asd 31 2 2 2 3" xfId="1937"/>
    <cellStyle name="asd 31 2 2 2 4" xfId="9183"/>
    <cellStyle name="asd 31 2 2 2 5" xfId="10932"/>
    <cellStyle name="asd 31 2 2 2 6" xfId="13618"/>
    <cellStyle name="asd 31 2 2 2 7" xfId="15521"/>
    <cellStyle name="asd 31 2 2 2 8" xfId="16802"/>
    <cellStyle name="asd 31 2 2 2 9" xfId="18709"/>
    <cellStyle name="asd 31 2 2 20" xfId="35927"/>
    <cellStyle name="asd 31 2 2 21" xfId="37806"/>
    <cellStyle name="asd 31 2 2 22" xfId="39455"/>
    <cellStyle name="asd 31 2 2 23" xfId="41130"/>
    <cellStyle name="asd 31 2 2 24" xfId="42958"/>
    <cellStyle name="asd 31 2 2 3" xfId="5050"/>
    <cellStyle name="asd 31 2 2 4" xfId="6500"/>
    <cellStyle name="asd 31 2 2 5" xfId="7951"/>
    <cellStyle name="asd 31 2 2 6" xfId="9861"/>
    <cellStyle name="asd 31 2 2 7" xfId="11011"/>
    <cellStyle name="asd 31 2 2 8" xfId="13651"/>
    <cellStyle name="asd 31 2 2 9" xfId="15554"/>
    <cellStyle name="asd 31 2 20" xfId="31703"/>
    <cellStyle name="asd 31 2 21" xfId="34070"/>
    <cellStyle name="asd 31 2 22" xfId="35216"/>
    <cellStyle name="asd 31 2 23" xfId="37094"/>
    <cellStyle name="asd 31 2 24" xfId="38945"/>
    <cellStyle name="asd 31 2 25" xfId="40628"/>
    <cellStyle name="asd 31 2 26" xfId="43156"/>
    <cellStyle name="asd 31 2 3" xfId="3873"/>
    <cellStyle name="asd 31 2 3 10" xfId="19584"/>
    <cellStyle name="asd 31 2 3 11" xfId="21496"/>
    <cellStyle name="asd 31 2 3 12" xfId="23269"/>
    <cellStyle name="asd 31 2 3 13" xfId="25298"/>
    <cellStyle name="asd 31 2 3 14" xfId="27703"/>
    <cellStyle name="asd 31 2 3 15" xfId="28980"/>
    <cellStyle name="asd 31 2 3 16" xfId="31277"/>
    <cellStyle name="asd 31 2 3 17" xfId="33035"/>
    <cellStyle name="asd 31 2 3 18" xfId="33909"/>
    <cellStyle name="asd 31 2 3 19" xfId="36125"/>
    <cellStyle name="asd 31 2 3 2" xfId="5854"/>
    <cellStyle name="asd 31 2 3 2 10" xfId="22104"/>
    <cellStyle name="asd 31 2 3 2 11" xfId="22444"/>
    <cellStyle name="asd 31 2 3 2 12" xfId="25906"/>
    <cellStyle name="asd 31 2 3 2 13" xfId="27763"/>
    <cellStyle name="asd 31 2 3 2 14" xfId="28547"/>
    <cellStyle name="asd 31 2 3 2 15" xfId="31341"/>
    <cellStyle name="asd 31 2 3 2 16" xfId="32593"/>
    <cellStyle name="asd 31 2 3 2 17" xfId="33537"/>
    <cellStyle name="asd 31 2 3 2 18" xfId="36733"/>
    <cellStyle name="asd 31 2 3 2 19" xfId="38612"/>
    <cellStyle name="asd 31 2 3 2 2" xfId="7303"/>
    <cellStyle name="asd 31 2 3 2 20" xfId="39804"/>
    <cellStyle name="asd 31 2 3 2 21" xfId="41473"/>
    <cellStyle name="asd 31 2 3 2 22" xfId="42255"/>
    <cellStyle name="asd 31 2 3 2 3" xfId="8757"/>
    <cellStyle name="asd 31 2 3 2 4" xfId="10667"/>
    <cellStyle name="asd 31 2 3 2 5" xfId="11732"/>
    <cellStyle name="asd 31 2 3 2 6" xfId="12912"/>
    <cellStyle name="asd 31 2 3 2 7" xfId="14817"/>
    <cellStyle name="asd 31 2 3 2 8" xfId="18286"/>
    <cellStyle name="asd 31 2 3 2 9" xfId="20192"/>
    <cellStyle name="asd 31 2 3 20" xfId="38004"/>
    <cellStyle name="asd 31 2 3 21" xfId="40234"/>
    <cellStyle name="asd 31 2 3 22" xfId="41893"/>
    <cellStyle name="asd 31 2 3 23" xfId="43045"/>
    <cellStyle name="asd 31 2 3 3" xfId="5248"/>
    <cellStyle name="asd 31 2 3 4" xfId="8149"/>
    <cellStyle name="asd 31 2 3 5" xfId="10059"/>
    <cellStyle name="asd 31 2 3 6" xfId="11204"/>
    <cellStyle name="asd 31 2 3 7" xfId="13741"/>
    <cellStyle name="asd 31 2 3 8" xfId="15643"/>
    <cellStyle name="asd 31 2 3 9" xfId="17678"/>
    <cellStyle name="asd 31 2 4" xfId="4041"/>
    <cellStyle name="asd 31 2 4 10" xfId="19676"/>
    <cellStyle name="asd 31 2 4 11" xfId="21588"/>
    <cellStyle name="asd 31 2 4 12" xfId="23806"/>
    <cellStyle name="asd 31 2 4 13" xfId="25390"/>
    <cellStyle name="asd 31 2 4 14" xfId="26994"/>
    <cellStyle name="asd 31 2 4 15" xfId="12807"/>
    <cellStyle name="asd 31 2 4 16" xfId="30588"/>
    <cellStyle name="asd 31 2 4 17" xfId="31679"/>
    <cellStyle name="asd 31 2 4 18" xfId="33391"/>
    <cellStyle name="asd 31 2 4 19" xfId="36217"/>
    <cellStyle name="asd 31 2 4 2" xfId="5946"/>
    <cellStyle name="asd 31 2 4 2 10" xfId="22196"/>
    <cellStyle name="asd 31 2 4 2 11" xfId="23652"/>
    <cellStyle name="asd 31 2 4 2 12" xfId="25998"/>
    <cellStyle name="asd 31 2 4 2 13" xfId="26215"/>
    <cellStyle name="asd 31 2 4 2 14" xfId="2101"/>
    <cellStyle name="asd 31 2 4 2 15" xfId="29826"/>
    <cellStyle name="asd 31 2 4 2 16" xfId="32102"/>
    <cellStyle name="asd 31 2 4 2 17" xfId="34943"/>
    <cellStyle name="asd 31 2 4 2 18" xfId="36825"/>
    <cellStyle name="asd 31 2 4 2 19" xfId="38704"/>
    <cellStyle name="asd 31 2 4 2 2" xfId="7395"/>
    <cellStyle name="asd 31 2 4 2 20" xfId="39326"/>
    <cellStyle name="asd 31 2 4 2 21" xfId="41002"/>
    <cellStyle name="asd 31 2 4 2 22" xfId="43410"/>
    <cellStyle name="asd 31 2 4 2 3" xfId="8849"/>
    <cellStyle name="asd 31 2 4 2 4" xfId="10759"/>
    <cellStyle name="asd 31 2 4 2 5" xfId="11564"/>
    <cellStyle name="asd 31 2 4 2 6" xfId="14122"/>
    <cellStyle name="asd 31 2 4 2 7" xfId="16025"/>
    <cellStyle name="asd 31 2 4 2 8" xfId="18378"/>
    <cellStyle name="asd 31 2 4 2 9" xfId="20284"/>
    <cellStyle name="asd 31 2 4 20" xfId="38096"/>
    <cellStyle name="asd 31 2 4 21" xfId="38922"/>
    <cellStyle name="asd 31 2 4 22" xfId="40606"/>
    <cellStyle name="asd 31 2 4 23" xfId="43558"/>
    <cellStyle name="asd 31 2 4 3" xfId="6787"/>
    <cellStyle name="asd 31 2 4 4" xfId="8241"/>
    <cellStyle name="asd 31 2 4 5" xfId="10151"/>
    <cellStyle name="asd 31 2 4 6" xfId="11642"/>
    <cellStyle name="asd 31 2 4 7" xfId="14276"/>
    <cellStyle name="asd 31 2 4 8" xfId="16180"/>
    <cellStyle name="asd 31 2 4 9" xfId="17770"/>
    <cellStyle name="asd 31 2 5" xfId="4904"/>
    <cellStyle name="asd 31 2 5 10" xfId="21152"/>
    <cellStyle name="asd 31 2 5 11" xfId="24087"/>
    <cellStyle name="asd 31 2 5 12" xfId="24954"/>
    <cellStyle name="asd 31 2 5 13" xfId="1893"/>
    <cellStyle name="asd 31 2 5 14" xfId="26139"/>
    <cellStyle name="asd 31 2 5 15" xfId="27552"/>
    <cellStyle name="asd 31 2 5 16" xfId="2293"/>
    <cellStyle name="asd 31 2 5 17" xfId="2131"/>
    <cellStyle name="asd 31 2 5 18" xfId="35781"/>
    <cellStyle name="asd 31 2 5 19" xfId="37660"/>
    <cellStyle name="asd 31 2 5 2" xfId="6354"/>
    <cellStyle name="asd 31 2 5 20" xfId="3738"/>
    <cellStyle name="asd 31 2 5 21" xfId="30643"/>
    <cellStyle name="asd 31 2 5 22" xfId="43830"/>
    <cellStyle name="asd 31 2 5 3" xfId="7805"/>
    <cellStyle name="asd 31 2 5 4" xfId="9715"/>
    <cellStyle name="asd 31 2 5 5" xfId="12046"/>
    <cellStyle name="asd 31 2 5 6" xfId="14557"/>
    <cellStyle name="asd 31 2 5 7" xfId="16463"/>
    <cellStyle name="asd 31 2 5 8" xfId="17334"/>
    <cellStyle name="asd 31 2 5 9" xfId="19240"/>
    <cellStyle name="asd 31 2 6" xfId="5534"/>
    <cellStyle name="asd 31 2 6 10" xfId="21784"/>
    <cellStyle name="asd 31 2 6 11" xfId="23237"/>
    <cellStyle name="asd 31 2 6 12" xfId="25586"/>
    <cellStyle name="asd 31 2 6 13" xfId="26713"/>
    <cellStyle name="asd 31 2 6 14" xfId="28832"/>
    <cellStyle name="asd 31 2 6 15" xfId="30313"/>
    <cellStyle name="asd 31 2 6 16" xfId="32348"/>
    <cellStyle name="asd 31 2 6 17" xfId="33420"/>
    <cellStyle name="asd 31 2 6 18" xfId="36413"/>
    <cellStyle name="asd 31 2 6 19" xfId="38292"/>
    <cellStyle name="asd 31 2 6 2" xfId="6983"/>
    <cellStyle name="asd 31 2 6 20" xfId="39567"/>
    <cellStyle name="asd 31 2 6 21" xfId="41241"/>
    <cellStyle name="asd 31 2 6 22" xfId="43014"/>
    <cellStyle name="asd 31 2 6 3" xfId="8437"/>
    <cellStyle name="asd 31 2 6 4" xfId="10347"/>
    <cellStyle name="asd 31 2 6 5" xfId="11122"/>
    <cellStyle name="asd 31 2 6 6" xfId="13709"/>
    <cellStyle name="asd 31 2 6 7" xfId="15611"/>
    <cellStyle name="asd 31 2 6 8" xfId="17966"/>
    <cellStyle name="asd 31 2 6 9" xfId="19872"/>
    <cellStyle name="asd 31 2 7" xfId="1959"/>
    <cellStyle name="asd 31 2 8" xfId="9148"/>
    <cellStyle name="asd 31 2 9" xfId="12249"/>
    <cellStyle name="asd 31 20" xfId="24233"/>
    <cellStyle name="asd 31 21" xfId="28012"/>
    <cellStyle name="asd 31 22" xfId="29506"/>
    <cellStyle name="asd 31 23" xfId="27991"/>
    <cellStyle name="asd 31 24" xfId="32832"/>
    <cellStyle name="asd 31 25" xfId="22313"/>
    <cellStyle name="asd 31 26" xfId="29744"/>
    <cellStyle name="asd 31 27" xfId="31329"/>
    <cellStyle name="asd 31 3" xfId="3470"/>
    <cellStyle name="asd 31 3 10" xfId="14354"/>
    <cellStyle name="asd 31 3 11" xfId="16259"/>
    <cellStyle name="asd 31 3 12" xfId="16891"/>
    <cellStyle name="asd 31 3 13" xfId="18798"/>
    <cellStyle name="asd 31 3 14" xfId="20710"/>
    <cellStyle name="asd 31 3 15" xfId="23884"/>
    <cellStyle name="asd 31 3 16" xfId="24512"/>
    <cellStyle name="asd 31 3 17" xfId="27969"/>
    <cellStyle name="asd 31 3 18" xfId="28633"/>
    <cellStyle name="asd 31 3 19" xfId="31549"/>
    <cellStyle name="asd 31 3 2" xfId="3650"/>
    <cellStyle name="asd 31 3 2 10" xfId="17541"/>
    <cellStyle name="asd 31 3 2 11" xfId="19447"/>
    <cellStyle name="asd 31 3 2 12" xfId="21359"/>
    <cellStyle name="asd 31 3 2 13" xfId="24195"/>
    <cellStyle name="asd 31 3 2 14" xfId="25161"/>
    <cellStyle name="asd 31 3 2 15" xfId="4293"/>
    <cellStyle name="asd 31 3 2 16" xfId="13789"/>
    <cellStyle name="asd 31 3 2 17" xfId="26149"/>
    <cellStyle name="asd 31 3 2 18" xfId="29415"/>
    <cellStyle name="asd 31 3 2 19" xfId="33335"/>
    <cellStyle name="asd 31 3 2 2" xfId="4975"/>
    <cellStyle name="asd 31 3 2 2 10" xfId="21223"/>
    <cellStyle name="asd 31 3 2 2 11" xfId="23285"/>
    <cellStyle name="asd 31 3 2 2 12" xfId="25025"/>
    <cellStyle name="asd 31 3 2 2 13" xfId="27783"/>
    <cellStyle name="asd 31 3 2 2 14" xfId="28782"/>
    <cellStyle name="asd 31 3 2 2 15" xfId="31360"/>
    <cellStyle name="asd 31 3 2 2 16" xfId="33253"/>
    <cellStyle name="asd 31 3 2 2 17" xfId="33527"/>
    <cellStyle name="asd 31 3 2 2 18" xfId="35852"/>
    <cellStyle name="asd 31 3 2 2 19" xfId="37731"/>
    <cellStyle name="asd 31 3 2 2 2" xfId="6425"/>
    <cellStyle name="asd 31 3 2 2 20" xfId="40439"/>
    <cellStyle name="asd 31 3 2 2 21" xfId="42094"/>
    <cellStyle name="asd 31 3 2 2 22" xfId="43061"/>
    <cellStyle name="asd 31 3 2 2 3" xfId="7876"/>
    <cellStyle name="asd 31 3 2 2 4" xfId="9786"/>
    <cellStyle name="asd 31 3 2 2 5" xfId="11236"/>
    <cellStyle name="asd 31 3 2 2 6" xfId="13757"/>
    <cellStyle name="asd 31 3 2 2 7" xfId="15659"/>
    <cellStyle name="asd 31 3 2 2 8" xfId="17405"/>
    <cellStyle name="asd 31 3 2 2 9" xfId="19311"/>
    <cellStyle name="asd 31 3 2 20" xfId="35988"/>
    <cellStyle name="asd 31 3 2 21" xfId="37867"/>
    <cellStyle name="asd 31 3 2 22" xfId="29150"/>
    <cellStyle name="asd 31 3 2 23" xfId="36940"/>
    <cellStyle name="asd 31 3 2 24" xfId="43933"/>
    <cellStyle name="asd 31 3 2 3" xfId="5111"/>
    <cellStyle name="asd 31 3 2 4" xfId="6561"/>
    <cellStyle name="asd 31 3 2 5" xfId="8012"/>
    <cellStyle name="asd 31 3 2 6" xfId="9922"/>
    <cellStyle name="asd 31 3 2 7" xfId="12155"/>
    <cellStyle name="asd 31 3 2 8" xfId="14667"/>
    <cellStyle name="asd 31 3 2 9" xfId="16573"/>
    <cellStyle name="asd 31 3 20" xfId="30470"/>
    <cellStyle name="asd 31 3 21" xfId="33759"/>
    <cellStyle name="asd 31 3 22" xfId="35340"/>
    <cellStyle name="asd 31 3 23" xfId="37218"/>
    <cellStyle name="asd 31 3 24" xfId="2082"/>
    <cellStyle name="asd 31 3 25" xfId="39123"/>
    <cellStyle name="asd 31 3 26" xfId="43634"/>
    <cellStyle name="asd 31 3 3" xfId="3777"/>
    <cellStyle name="asd 31 3 3 10" xfId="19516"/>
    <cellStyle name="asd 31 3 3 11" xfId="21428"/>
    <cellStyle name="asd 31 3 3 12" xfId="23393"/>
    <cellStyle name="asd 31 3 3 13" xfId="25230"/>
    <cellStyle name="asd 31 3 3 14" xfId="27715"/>
    <cellStyle name="asd 31 3 3 15" xfId="1773"/>
    <cellStyle name="asd 31 3 3 16" xfId="31292"/>
    <cellStyle name="asd 31 3 3 17" xfId="31622"/>
    <cellStyle name="asd 31 3 3 18" xfId="32033"/>
    <cellStyle name="asd 31 3 3 19" xfId="36057"/>
    <cellStyle name="asd 31 3 3 2" xfId="5786"/>
    <cellStyle name="asd 31 3 3 2 10" xfId="22036"/>
    <cellStyle name="asd 31 3 3 2 11" xfId="23955"/>
    <cellStyle name="asd 31 3 3 2 12" xfId="25838"/>
    <cellStyle name="asd 31 3 3 2 13" xfId="24189"/>
    <cellStyle name="asd 31 3 3 2 14" xfId="16627"/>
    <cellStyle name="asd 31 3 3 2 15" xfId="2557"/>
    <cellStyle name="asd 31 3 3 2 16" xfId="27060"/>
    <cellStyle name="asd 31 3 3 2 17" xfId="2481"/>
    <cellStyle name="asd 31 3 3 2 18" xfId="36665"/>
    <cellStyle name="asd 31 3 3 2 19" xfId="38544"/>
    <cellStyle name="asd 31 3 3 2 2" xfId="7235"/>
    <cellStyle name="asd 31 3 3 2 20" xfId="1911"/>
    <cellStyle name="asd 31 3 3 2 21" xfId="11343"/>
    <cellStyle name="asd 31 3 3 2 22" xfId="43701"/>
    <cellStyle name="asd 31 3 3 2 3" xfId="8689"/>
    <cellStyle name="asd 31 3 3 2 4" xfId="10599"/>
    <cellStyle name="asd 31 3 3 2 5" xfId="11915"/>
    <cellStyle name="asd 31 3 3 2 6" xfId="14425"/>
    <cellStyle name="asd 31 3 3 2 7" xfId="16331"/>
    <cellStyle name="asd 31 3 3 2 8" xfId="18218"/>
    <cellStyle name="asd 31 3 3 2 9" xfId="20124"/>
    <cellStyle name="asd 31 3 3 20" xfId="37936"/>
    <cellStyle name="asd 31 3 3 21" xfId="38869"/>
    <cellStyle name="asd 31 3 3 22" xfId="40555"/>
    <cellStyle name="asd 31 3 3 23" xfId="43160"/>
    <cellStyle name="asd 31 3 3 3" xfId="5180"/>
    <cellStyle name="asd 31 3 3 4" xfId="8081"/>
    <cellStyle name="asd 31 3 3 5" xfId="9991"/>
    <cellStyle name="asd 31 3 3 6" xfId="11209"/>
    <cellStyle name="asd 31 3 3 7" xfId="13865"/>
    <cellStyle name="asd 31 3 3 8" xfId="15766"/>
    <cellStyle name="asd 31 3 3 9" xfId="17610"/>
    <cellStyle name="asd 31 3 4" xfId="4102"/>
    <cellStyle name="asd 31 3 4 10" xfId="19737"/>
    <cellStyle name="asd 31 3 4 11" xfId="21649"/>
    <cellStyle name="asd 31 3 4 12" xfId="23640"/>
    <cellStyle name="asd 31 3 4 13" xfId="25451"/>
    <cellStyle name="asd 31 3 4 14" xfId="27151"/>
    <cellStyle name="asd 31 3 4 15" xfId="28444"/>
    <cellStyle name="asd 31 3 4 16" xfId="30742"/>
    <cellStyle name="asd 31 3 4 17" xfId="32645"/>
    <cellStyle name="asd 31 3 4 18" xfId="33465"/>
    <cellStyle name="asd 31 3 4 19" xfId="36278"/>
    <cellStyle name="asd 31 3 4 2" xfId="6007"/>
    <cellStyle name="asd 31 3 4 2 10" xfId="22257"/>
    <cellStyle name="asd 31 3 4 2 11" xfId="2652"/>
    <cellStyle name="asd 31 3 4 2 12" xfId="26059"/>
    <cellStyle name="asd 31 3 4 2 13" xfId="4246"/>
    <cellStyle name="asd 31 3 4 2 14" xfId="12740"/>
    <cellStyle name="asd 31 3 4 2 15" xfId="28416"/>
    <cellStyle name="asd 31 3 4 2 16" xfId="3258"/>
    <cellStyle name="asd 31 3 4 2 17" xfId="10883"/>
    <cellStyle name="asd 31 3 4 2 18" xfId="36886"/>
    <cellStyle name="asd 31 3 4 2 19" xfId="38765"/>
    <cellStyle name="asd 31 3 4 2 2" xfId="7456"/>
    <cellStyle name="asd 31 3 4 2 20" xfId="14367"/>
    <cellStyle name="asd 31 3 4 2 21" xfId="20443"/>
    <cellStyle name="asd 31 3 4 2 22" xfId="27981"/>
    <cellStyle name="asd 31 3 4 2 3" xfId="8910"/>
    <cellStyle name="asd 31 3 4 2 4" xfId="10820"/>
    <cellStyle name="asd 31 3 4 2 5" xfId="11057"/>
    <cellStyle name="asd 31 3 4 2 6" xfId="2959"/>
    <cellStyle name="asd 31 3 4 2 7" xfId="4851"/>
    <cellStyle name="asd 31 3 4 2 8" xfId="18439"/>
    <cellStyle name="asd 31 3 4 2 9" xfId="20345"/>
    <cellStyle name="asd 31 3 4 20" xfId="38157"/>
    <cellStyle name="asd 31 3 4 21" xfId="39852"/>
    <cellStyle name="asd 31 3 4 22" xfId="41521"/>
    <cellStyle name="asd 31 3 4 23" xfId="43398"/>
    <cellStyle name="asd 31 3 4 3" xfId="6848"/>
    <cellStyle name="asd 31 3 4 4" xfId="8302"/>
    <cellStyle name="asd 31 3 4 5" xfId="10212"/>
    <cellStyle name="asd 31 3 4 6" xfId="11421"/>
    <cellStyle name="asd 31 3 4 7" xfId="14110"/>
    <cellStyle name="asd 31 3 4 8" xfId="16013"/>
    <cellStyle name="asd 31 3 4 9" xfId="17831"/>
    <cellStyle name="asd 31 3 5" xfId="4954"/>
    <cellStyle name="asd 31 3 5 10" xfId="21202"/>
    <cellStyle name="asd 31 3 5 11" xfId="23753"/>
    <cellStyle name="asd 31 3 5 12" xfId="25004"/>
    <cellStyle name="asd 31 3 5 13" xfId="27855"/>
    <cellStyle name="asd 31 3 5 14" xfId="3964"/>
    <cellStyle name="asd 31 3 5 15" xfId="31434"/>
    <cellStyle name="asd 31 3 5 16" xfId="32304"/>
    <cellStyle name="asd 31 3 5 17" xfId="32552"/>
    <cellStyle name="asd 31 3 5 18" xfId="35831"/>
    <cellStyle name="asd 31 3 5 19" xfId="37710"/>
    <cellStyle name="asd 31 3 5 2" xfId="6404"/>
    <cellStyle name="asd 31 3 5 20" xfId="39523"/>
    <cellStyle name="asd 31 3 5 21" xfId="41197"/>
    <cellStyle name="asd 31 3 5 22" xfId="43506"/>
    <cellStyle name="asd 31 3 5 3" xfId="7855"/>
    <cellStyle name="asd 31 3 5 4" xfId="9765"/>
    <cellStyle name="asd 31 3 5 5" xfId="11446"/>
    <cellStyle name="asd 31 3 5 6" xfId="14223"/>
    <cellStyle name="asd 31 3 5 7" xfId="16127"/>
    <cellStyle name="asd 31 3 5 8" xfId="17384"/>
    <cellStyle name="asd 31 3 5 9" xfId="19290"/>
    <cellStyle name="asd 31 3 6" xfId="5643"/>
    <cellStyle name="asd 31 3 6 10" xfId="21893"/>
    <cellStyle name="asd 31 3 6 11" xfId="22511"/>
    <cellStyle name="asd 31 3 6 12" xfId="25695"/>
    <cellStyle name="asd 31 3 6 13" xfId="26746"/>
    <cellStyle name="asd 31 3 6 14" xfId="29600"/>
    <cellStyle name="asd 31 3 6 15" xfId="30345"/>
    <cellStyle name="asd 31 3 6 16" xfId="32353"/>
    <cellStyle name="asd 31 3 6 17" xfId="33615"/>
    <cellStyle name="asd 31 3 6 18" xfId="36522"/>
    <cellStyle name="asd 31 3 6 19" xfId="38401"/>
    <cellStyle name="asd 31 3 6 2" xfId="7092"/>
    <cellStyle name="asd 31 3 6 20" xfId="39572"/>
    <cellStyle name="asd 31 3 6 21" xfId="41246"/>
    <cellStyle name="asd 31 3 6 22" xfId="42321"/>
    <cellStyle name="asd 31 3 6 3" xfId="8546"/>
    <cellStyle name="asd 31 3 6 4" xfId="10456"/>
    <cellStyle name="asd 31 3 6 5" xfId="5338"/>
    <cellStyle name="asd 31 3 6 6" xfId="12979"/>
    <cellStyle name="asd 31 3 6 7" xfId="14883"/>
    <cellStyle name="asd 31 3 6 8" xfId="18075"/>
    <cellStyle name="asd 31 3 6 9" xfId="19981"/>
    <cellStyle name="asd 31 3 7" xfId="6172"/>
    <cellStyle name="asd 31 3 8" xfId="9272"/>
    <cellStyle name="asd 31 3 9" xfId="11546"/>
    <cellStyle name="asd 31 4" xfId="3431"/>
    <cellStyle name="asd 31 4 10" xfId="16223"/>
    <cellStyle name="asd 31 4 11" xfId="16808"/>
    <cellStyle name="asd 31 4 12" xfId="18715"/>
    <cellStyle name="asd 31 4 13" xfId="20627"/>
    <cellStyle name="asd 31 4 14" xfId="23849"/>
    <cellStyle name="asd 31 4 15" xfId="24429"/>
    <cellStyle name="asd 31 4 16" xfId="26507"/>
    <cellStyle name="asd 31 4 17" xfId="28909"/>
    <cellStyle name="asd 31 4 18" xfId="30113"/>
    <cellStyle name="asd 31 4 19" xfId="33018"/>
    <cellStyle name="asd 31 4 2" xfId="3611"/>
    <cellStyle name="asd 31 4 2 10" xfId="17502"/>
    <cellStyle name="asd 31 4 2 11" xfId="19408"/>
    <cellStyle name="asd 31 4 2 12" xfId="21320"/>
    <cellStyle name="asd 31 4 2 13" xfId="23428"/>
    <cellStyle name="asd 31 4 2 14" xfId="25122"/>
    <cellStyle name="asd 31 4 2 15" xfId="26325"/>
    <cellStyle name="asd 31 4 2 16" xfId="28338"/>
    <cellStyle name="asd 31 4 2 17" xfId="29933"/>
    <cellStyle name="asd 31 4 2 18" xfId="32346"/>
    <cellStyle name="asd 31 4 2 19" xfId="34722"/>
    <cellStyle name="asd 31 4 2 2" xfId="4530"/>
    <cellStyle name="asd 31 4 2 2 10" xfId="20775"/>
    <cellStyle name="asd 31 4 2 2 11" xfId="22985"/>
    <cellStyle name="asd 31 4 2 2 12" xfId="24577"/>
    <cellStyle name="asd 31 4 2 2 13" xfId="27009"/>
    <cellStyle name="asd 31 4 2 2 14" xfId="28342"/>
    <cellStyle name="asd 31 4 2 2 15" xfId="30602"/>
    <cellStyle name="asd 31 4 2 2 16" xfId="31894"/>
    <cellStyle name="asd 31 4 2 2 17" xfId="33432"/>
    <cellStyle name="asd 31 4 2 2 18" xfId="35405"/>
    <cellStyle name="asd 31 4 2 2 19" xfId="37283"/>
    <cellStyle name="asd 31 4 2 2 2" xfId="5423"/>
    <cellStyle name="asd 31 4 2 2 20" xfId="39128"/>
    <cellStyle name="asd 31 4 2 2 21" xfId="40809"/>
    <cellStyle name="asd 31 4 2 2 22" xfId="42771"/>
    <cellStyle name="asd 31 4 2 2 3" xfId="6651"/>
    <cellStyle name="asd 31 4 2 2 4" xfId="9337"/>
    <cellStyle name="asd 31 4 2 2 5" xfId="12292"/>
    <cellStyle name="asd 31 4 2 2 6" xfId="13454"/>
    <cellStyle name="asd 31 4 2 2 7" xfId="15359"/>
    <cellStyle name="asd 31 4 2 2 8" xfId="16956"/>
    <cellStyle name="asd 31 4 2 2 9" xfId="18863"/>
    <cellStyle name="asd 31 4 2 20" xfId="35949"/>
    <cellStyle name="asd 31 4 2 21" xfId="37828"/>
    <cellStyle name="asd 31 4 2 22" xfId="39565"/>
    <cellStyle name="asd 31 4 2 23" xfId="41239"/>
    <cellStyle name="asd 31 4 2 24" xfId="43195"/>
    <cellStyle name="asd 31 4 2 3" xfId="5072"/>
    <cellStyle name="asd 31 4 2 4" xfId="6522"/>
    <cellStyle name="asd 31 4 2 5" xfId="7973"/>
    <cellStyle name="asd 31 4 2 6" xfId="9883"/>
    <cellStyle name="asd 31 4 2 7" xfId="12367"/>
    <cellStyle name="asd 31 4 2 8" xfId="13900"/>
    <cellStyle name="asd 31 4 2 9" xfId="15801"/>
    <cellStyle name="asd 31 4 20" xfId="33860"/>
    <cellStyle name="asd 31 4 21" xfId="35257"/>
    <cellStyle name="asd 31 4 22" xfId="37135"/>
    <cellStyle name="asd 31 4 23" xfId="40218"/>
    <cellStyle name="asd 31 4 24" xfId="41877"/>
    <cellStyle name="asd 31 4 25" xfId="43600"/>
    <cellStyle name="asd 31 4 3" xfId="2320"/>
    <cellStyle name="asd 31 4 3 10" xfId="19051"/>
    <cellStyle name="asd 31 4 3 11" xfId="20963"/>
    <cellStyle name="asd 31 4 3 12" xfId="24065"/>
    <cellStyle name="asd 31 4 3 13" xfId="24765"/>
    <cellStyle name="asd 31 4 3 14" xfId="27168"/>
    <cellStyle name="asd 31 4 3 15" xfId="28260"/>
    <cellStyle name="asd 31 4 3 16" xfId="30760"/>
    <cellStyle name="asd 31 4 3 17" xfId="32344"/>
    <cellStyle name="asd 31 4 3 18" xfId="34621"/>
    <cellStyle name="asd 31 4 3 19" xfId="35592"/>
    <cellStyle name="asd 31 4 3 2" xfId="5693"/>
    <cellStyle name="asd 31 4 3 2 10" xfId="21943"/>
    <cellStyle name="asd 31 4 3 2 11" xfId="23132"/>
    <cellStyle name="asd 31 4 3 2 12" xfId="25745"/>
    <cellStyle name="asd 31 4 3 2 13" xfId="27490"/>
    <cellStyle name="asd 31 4 3 2 14" xfId="28208"/>
    <cellStyle name="asd 31 4 3 2 15" xfId="31076"/>
    <cellStyle name="asd 31 4 3 2 16" xfId="32405"/>
    <cellStyle name="asd 31 4 3 2 17" xfId="33836"/>
    <cellStyle name="asd 31 4 3 2 18" xfId="36572"/>
    <cellStyle name="asd 31 4 3 2 19" xfId="38451"/>
    <cellStyle name="asd 31 4 3 2 2" xfId="7142"/>
    <cellStyle name="asd 31 4 3 2 20" xfId="39622"/>
    <cellStyle name="asd 31 4 3 2 21" xfId="41296"/>
    <cellStyle name="asd 31 4 3 2 22" xfId="42910"/>
    <cellStyle name="asd 31 4 3 2 3" xfId="8596"/>
    <cellStyle name="asd 31 4 3 2 4" xfId="10506"/>
    <cellStyle name="asd 31 4 3 2 5" xfId="12756"/>
    <cellStyle name="asd 31 4 3 2 6" xfId="13603"/>
    <cellStyle name="asd 31 4 3 2 7" xfId="15506"/>
    <cellStyle name="asd 31 4 3 2 8" xfId="18125"/>
    <cellStyle name="asd 31 4 3 2 9" xfId="20031"/>
    <cellStyle name="asd 31 4 3 20" xfId="37471"/>
    <cellStyle name="asd 31 4 3 21" xfId="39563"/>
    <cellStyle name="asd 31 4 3 22" xfId="41237"/>
    <cellStyle name="asd 31 4 3 23" xfId="43809"/>
    <cellStyle name="asd 31 4 3 3" xfId="4717"/>
    <cellStyle name="asd 31 4 3 4" xfId="7616"/>
    <cellStyle name="asd 31 4 3 5" xfId="9526"/>
    <cellStyle name="asd 31 4 3 6" xfId="12024"/>
    <cellStyle name="asd 31 4 3 7" xfId="14535"/>
    <cellStyle name="asd 31 4 3 8" xfId="16441"/>
    <cellStyle name="asd 31 4 3 9" xfId="17145"/>
    <cellStyle name="asd 31 4 4" xfId="4063"/>
    <cellStyle name="asd 31 4 4 10" xfId="19698"/>
    <cellStyle name="asd 31 4 4 11" xfId="21610"/>
    <cellStyle name="asd 31 4 4 12" xfId="23181"/>
    <cellStyle name="asd 31 4 4 13" xfId="25412"/>
    <cellStyle name="asd 31 4 4 14" xfId="27104"/>
    <cellStyle name="asd 31 4 4 15" xfId="28841"/>
    <cellStyle name="asd 31 4 4 16" xfId="30695"/>
    <cellStyle name="asd 31 4 4 17" xfId="32551"/>
    <cellStyle name="asd 31 4 4 18" xfId="34532"/>
    <cellStyle name="asd 31 4 4 19" xfId="36239"/>
    <cellStyle name="asd 31 4 4 2" xfId="5968"/>
    <cellStyle name="asd 31 4 4 2 10" xfId="22218"/>
    <cellStyle name="asd 31 4 4 2 11" xfId="23505"/>
    <cellStyle name="asd 31 4 4 2 12" xfId="26020"/>
    <cellStyle name="asd 31 4 4 2 13" xfId="27850"/>
    <cellStyle name="asd 31 4 4 2 14" xfId="27294"/>
    <cellStyle name="asd 31 4 4 2 15" xfId="31429"/>
    <cellStyle name="asd 31 4 4 2 16" xfId="32111"/>
    <cellStyle name="asd 31 4 4 2 17" xfId="35052"/>
    <cellStyle name="asd 31 4 4 2 18" xfId="36847"/>
    <cellStyle name="asd 31 4 4 2 19" xfId="38726"/>
    <cellStyle name="asd 31 4 4 2 2" xfId="7417"/>
    <cellStyle name="asd 31 4 4 2 20" xfId="39335"/>
    <cellStyle name="asd 31 4 4 2 21" xfId="41011"/>
    <cellStyle name="asd 31 4 4 2 22" xfId="43271"/>
    <cellStyle name="asd 31 4 4 2 3" xfId="8871"/>
    <cellStyle name="asd 31 4 4 2 4" xfId="10781"/>
    <cellStyle name="asd 31 4 4 2 5" xfId="12580"/>
    <cellStyle name="asd 31 4 4 2 6" xfId="13977"/>
    <cellStyle name="asd 31 4 4 2 7" xfId="15878"/>
    <cellStyle name="asd 31 4 4 2 8" xfId="18400"/>
    <cellStyle name="asd 31 4 4 2 9" xfId="20306"/>
    <cellStyle name="asd 31 4 4 20" xfId="38118"/>
    <cellStyle name="asd 31 4 4 21" xfId="39764"/>
    <cellStyle name="asd 31 4 4 22" xfId="41436"/>
    <cellStyle name="asd 31 4 4 23" xfId="42959"/>
    <cellStyle name="asd 31 4 4 3" xfId="6809"/>
    <cellStyle name="asd 31 4 4 4" xfId="8263"/>
    <cellStyle name="asd 31 4 4 5" xfId="10173"/>
    <cellStyle name="asd 31 4 4 6" xfId="11013"/>
    <cellStyle name="asd 31 4 4 7" xfId="13652"/>
    <cellStyle name="asd 31 4 4 8" xfId="15555"/>
    <cellStyle name="asd 31 4 4 9" xfId="17792"/>
    <cellStyle name="asd 31 4 5" xfId="5536"/>
    <cellStyle name="asd 31 4 5 10" xfId="21786"/>
    <cellStyle name="asd 31 4 5 11" xfId="22571"/>
    <cellStyle name="asd 31 4 5 12" xfId="25588"/>
    <cellStyle name="asd 31 4 5 13" xfId="26382"/>
    <cellStyle name="asd 31 4 5 14" xfId="29298"/>
    <cellStyle name="asd 31 4 5 15" xfId="29990"/>
    <cellStyle name="asd 31 4 5 16" xfId="32503"/>
    <cellStyle name="asd 31 4 5 17" xfId="33982"/>
    <cellStyle name="asd 31 4 5 18" xfId="36415"/>
    <cellStyle name="asd 31 4 5 19" xfId="38294"/>
    <cellStyle name="asd 31 4 5 2" xfId="6985"/>
    <cellStyle name="asd 31 4 5 20" xfId="39718"/>
    <cellStyle name="asd 31 4 5 21" xfId="41390"/>
    <cellStyle name="asd 31 4 5 22" xfId="42380"/>
    <cellStyle name="asd 31 4 5 3" xfId="8439"/>
    <cellStyle name="asd 31 4 5 4" xfId="10349"/>
    <cellStyle name="asd 31 4 5 5" xfId="11655"/>
    <cellStyle name="asd 31 4 5 6" xfId="13039"/>
    <cellStyle name="asd 31 4 5 7" xfId="14943"/>
    <cellStyle name="asd 31 4 5 8" xfId="17968"/>
    <cellStyle name="asd 31 4 5 9" xfId="19874"/>
    <cellStyle name="asd 31 4 6" xfId="6692"/>
    <cellStyle name="asd 31 4 7" xfId="9189"/>
    <cellStyle name="asd 31 4 8" xfId="11407"/>
    <cellStyle name="asd 31 4 9" xfId="14319"/>
    <cellStyle name="asd 31 5" xfId="3294"/>
    <cellStyle name="asd 31 5 10" xfId="17288"/>
    <cellStyle name="asd 31 5 11" xfId="19194"/>
    <cellStyle name="asd 31 5 12" xfId="21106"/>
    <cellStyle name="asd 31 5 13" xfId="22939"/>
    <cellStyle name="asd 31 5 14" xfId="24908"/>
    <cellStyle name="asd 31 5 15" xfId="26372"/>
    <cellStyle name="asd 31 5 16" xfId="28603"/>
    <cellStyle name="asd 31 5 17" xfId="29980"/>
    <cellStyle name="asd 31 5 18" xfId="32616"/>
    <cellStyle name="asd 31 5 19" xfId="33814"/>
    <cellStyle name="asd 31 5 2" xfId="5476"/>
    <cellStyle name="asd 31 5 2 10" xfId="21726"/>
    <cellStyle name="asd 31 5 2 11" xfId="23668"/>
    <cellStyle name="asd 31 5 2 12" xfId="25528"/>
    <cellStyle name="asd 31 5 2 13" xfId="27565"/>
    <cellStyle name="asd 31 5 2 14" xfId="28166"/>
    <cellStyle name="asd 31 5 2 15" xfId="31145"/>
    <cellStyle name="asd 31 5 2 16" xfId="32470"/>
    <cellStyle name="asd 31 5 2 17" xfId="33827"/>
    <cellStyle name="asd 31 5 2 18" xfId="36355"/>
    <cellStyle name="asd 31 5 2 19" xfId="38234"/>
    <cellStyle name="asd 31 5 2 2" xfId="6925"/>
    <cellStyle name="asd 31 5 2 20" xfId="39688"/>
    <cellStyle name="asd 31 5 2 21" xfId="41361"/>
    <cellStyle name="asd 31 5 2 22" xfId="43426"/>
    <cellStyle name="asd 31 5 2 3" xfId="8379"/>
    <cellStyle name="asd 31 5 2 4" xfId="10289"/>
    <cellStyle name="asd 31 5 2 5" xfId="11737"/>
    <cellStyle name="asd 31 5 2 6" xfId="14139"/>
    <cellStyle name="asd 31 5 2 7" xfId="16042"/>
    <cellStyle name="asd 31 5 2 8" xfId="17908"/>
    <cellStyle name="asd 31 5 2 9" xfId="19814"/>
    <cellStyle name="asd 31 5 20" xfId="35735"/>
    <cellStyle name="asd 31 5 21" xfId="37614"/>
    <cellStyle name="asd 31 5 22" xfId="39826"/>
    <cellStyle name="asd 31 5 23" xfId="41495"/>
    <cellStyle name="asd 31 5 24" xfId="42725"/>
    <cellStyle name="asd 31 5 3" xfId="4858"/>
    <cellStyle name="asd 31 5 4" xfId="6308"/>
    <cellStyle name="asd 31 5 5" xfId="7759"/>
    <cellStyle name="asd 31 5 6" xfId="9669"/>
    <cellStyle name="asd 31 5 7" xfId="12211"/>
    <cellStyle name="asd 31 5 8" xfId="13407"/>
    <cellStyle name="asd 31 5 9" xfId="15312"/>
    <cellStyle name="asd 31 6" xfId="3735"/>
    <cellStyle name="asd 31 6 10" xfId="19501"/>
    <cellStyle name="asd 31 6 11" xfId="21413"/>
    <cellStyle name="asd 31 6 12" xfId="22533"/>
    <cellStyle name="asd 31 6 13" xfId="25215"/>
    <cellStyle name="asd 31 6 14" xfId="27293"/>
    <cellStyle name="asd 31 6 15" xfId="29324"/>
    <cellStyle name="asd 31 6 16" xfId="30884"/>
    <cellStyle name="asd 31 6 17" xfId="32650"/>
    <cellStyle name="asd 31 6 18" xfId="33776"/>
    <cellStyle name="asd 31 6 19" xfId="36042"/>
    <cellStyle name="asd 31 6 2" xfId="5771"/>
    <cellStyle name="asd 31 6 2 10" xfId="22021"/>
    <cellStyle name="asd 31 6 2 11" xfId="24021"/>
    <cellStyle name="asd 31 6 2 12" xfId="25823"/>
    <cellStyle name="asd 31 6 2 13" xfId="1914"/>
    <cellStyle name="asd 31 6 2 14" xfId="26558"/>
    <cellStyle name="asd 31 6 2 15" xfId="26327"/>
    <cellStyle name="asd 31 6 2 16" xfId="13270"/>
    <cellStyle name="asd 31 6 2 17" xfId="2746"/>
    <cellStyle name="asd 31 6 2 18" xfId="36650"/>
    <cellStyle name="asd 31 6 2 19" xfId="38529"/>
    <cellStyle name="asd 31 6 2 2" xfId="7220"/>
    <cellStyle name="asd 31 6 2 20" xfId="33282"/>
    <cellStyle name="asd 31 6 2 21" xfId="23317"/>
    <cellStyle name="asd 31 6 2 22" xfId="43765"/>
    <cellStyle name="asd 31 6 2 3" xfId="8674"/>
    <cellStyle name="asd 31 6 2 4" xfId="10584"/>
    <cellStyle name="asd 31 6 2 5" xfId="11980"/>
    <cellStyle name="asd 31 6 2 6" xfId="14491"/>
    <cellStyle name="asd 31 6 2 7" xfId="16397"/>
    <cellStyle name="asd 31 6 2 8" xfId="18203"/>
    <cellStyle name="asd 31 6 2 9" xfId="20109"/>
    <cellStyle name="asd 31 6 20" xfId="37921"/>
    <cellStyle name="asd 31 6 21" xfId="39857"/>
    <cellStyle name="asd 31 6 22" xfId="41526"/>
    <cellStyle name="asd 31 6 23" xfId="42342"/>
    <cellStyle name="asd 31 6 3" xfId="5165"/>
    <cellStyle name="asd 31 6 4" xfId="8066"/>
    <cellStyle name="asd 31 6 5" xfId="9976"/>
    <cellStyle name="asd 31 6 6" xfId="11593"/>
    <cellStyle name="asd 31 6 7" xfId="13001"/>
    <cellStyle name="asd 31 6 8" xfId="14905"/>
    <cellStyle name="asd 31 6 9" xfId="17595"/>
    <cellStyle name="asd 31 7" xfId="2539"/>
    <cellStyle name="asd 31 7 10" xfId="19078"/>
    <cellStyle name="asd 31 7 11" xfId="20990"/>
    <cellStyle name="asd 31 7 12" xfId="23318"/>
    <cellStyle name="asd 31 7 13" xfId="24792"/>
    <cellStyle name="asd 31 7 14" xfId="27643"/>
    <cellStyle name="asd 31 7 15" xfId="29077"/>
    <cellStyle name="asd 31 7 16" xfId="31220"/>
    <cellStyle name="asd 31 7 17" xfId="32959"/>
    <cellStyle name="asd 31 7 18" xfId="33501"/>
    <cellStyle name="asd 31 7 19" xfId="35619"/>
    <cellStyle name="asd 31 7 2" xfId="5479"/>
    <cellStyle name="asd 31 7 2 10" xfId="21729"/>
    <cellStyle name="asd 31 7 2 11" xfId="3957"/>
    <cellStyle name="asd 31 7 2 12" xfId="25531"/>
    <cellStyle name="asd 31 7 2 13" xfId="22883"/>
    <cellStyle name="asd 31 7 2 14" xfId="4630"/>
    <cellStyle name="asd 31 7 2 15" xfId="3269"/>
    <cellStyle name="asd 31 7 2 16" xfId="2806"/>
    <cellStyle name="asd 31 7 2 17" xfId="11329"/>
    <cellStyle name="asd 31 7 2 18" xfId="36358"/>
    <cellStyle name="asd 31 7 2 19" xfId="38237"/>
    <cellStyle name="asd 31 7 2 2" xfId="6928"/>
    <cellStyle name="asd 31 7 2 20" xfId="28538"/>
    <cellStyle name="asd 31 7 2 21" xfId="2138"/>
    <cellStyle name="asd 31 7 2 22" xfId="28742"/>
    <cellStyle name="asd 31 7 2 3" xfId="8382"/>
    <cellStyle name="asd 31 7 2 4" xfId="10292"/>
    <cellStyle name="asd 31 7 2 5" xfId="12183"/>
    <cellStyle name="asd 31 7 2 6" xfId="6294"/>
    <cellStyle name="asd 31 7 2 7" xfId="10907"/>
    <cellStyle name="asd 31 7 2 8" xfId="17911"/>
    <cellStyle name="asd 31 7 2 9" xfId="19817"/>
    <cellStyle name="asd 31 7 20" xfId="37498"/>
    <cellStyle name="asd 31 7 21" xfId="40161"/>
    <cellStyle name="asd 31 7 22" xfId="41820"/>
    <cellStyle name="asd 31 7 23" xfId="43089"/>
    <cellStyle name="asd 31 7 3" xfId="6192"/>
    <cellStyle name="asd 31 7 4" xfId="7643"/>
    <cellStyle name="asd 31 7 5" xfId="9553"/>
    <cellStyle name="asd 31 7 6" xfId="11169"/>
    <cellStyle name="asd 31 7 7" xfId="13790"/>
    <cellStyle name="asd 31 7 8" xfId="15692"/>
    <cellStyle name="asd 31 7 9" xfId="17172"/>
    <cellStyle name="asd 31 8" xfId="2090"/>
    <cellStyle name="asd 31 9" xfId="1929"/>
    <cellStyle name="asd 32" xfId="918"/>
    <cellStyle name="asd 32 10" xfId="2635"/>
    <cellStyle name="asd 32 11" xfId="4186"/>
    <cellStyle name="asd 32 12" xfId="10903"/>
    <cellStyle name="asd 32 13" xfId="3749"/>
    <cellStyle name="asd 32 14" xfId="11821"/>
    <cellStyle name="asd 32 15" xfId="6261"/>
    <cellStyle name="asd 32 16" xfId="14441"/>
    <cellStyle name="asd 32 17" xfId="13518"/>
    <cellStyle name="asd 32 18" xfId="14720"/>
    <cellStyle name="asd 32 19" xfId="4214"/>
    <cellStyle name="asd 32 2" xfId="3480"/>
    <cellStyle name="asd 32 2 10" xfId="13964"/>
    <cellStyle name="asd 32 2 11" xfId="15865"/>
    <cellStyle name="asd 32 2 12" xfId="16915"/>
    <cellStyle name="asd 32 2 13" xfId="18822"/>
    <cellStyle name="asd 32 2 14" xfId="20734"/>
    <cellStyle name="asd 32 2 15" xfId="23492"/>
    <cellStyle name="asd 32 2 16" xfId="24536"/>
    <cellStyle name="asd 32 2 17" xfId="27717"/>
    <cellStyle name="asd 32 2 18" xfId="29005"/>
    <cellStyle name="asd 32 2 19" xfId="31295"/>
    <cellStyle name="asd 32 2 2" xfId="3660"/>
    <cellStyle name="asd 32 2 2 10" xfId="17551"/>
    <cellStyle name="asd 32 2 2 11" xfId="19457"/>
    <cellStyle name="asd 32 2 2 12" xfId="21369"/>
    <cellStyle name="asd 32 2 2 13" xfId="23921"/>
    <cellStyle name="asd 32 2 2 14" xfId="25171"/>
    <cellStyle name="asd 32 2 2 15" xfId="27671"/>
    <cellStyle name="asd 32 2 2 16" xfId="28107"/>
    <cellStyle name="asd 32 2 2 17" xfId="31247"/>
    <cellStyle name="asd 32 2 2 18" xfId="32156"/>
    <cellStyle name="asd 32 2 2 19" xfId="33944"/>
    <cellStyle name="asd 32 2 2 2" xfId="5621"/>
    <cellStyle name="asd 32 2 2 2 10" xfId="21871"/>
    <cellStyle name="asd 32 2 2 2 11" xfId="22543"/>
    <cellStyle name="asd 32 2 2 2 12" xfId="25673"/>
    <cellStyle name="asd 32 2 2 2 13" xfId="27737"/>
    <cellStyle name="asd 32 2 2 2 14" xfId="29456"/>
    <cellStyle name="asd 32 2 2 2 15" xfId="31315"/>
    <cellStyle name="asd 32 2 2 2 16" xfId="32140"/>
    <cellStyle name="asd 32 2 2 2 17" xfId="33708"/>
    <cellStyle name="asd 32 2 2 2 18" xfId="36500"/>
    <cellStyle name="asd 32 2 2 2 19" xfId="38379"/>
    <cellStyle name="asd 32 2 2 2 2" xfId="7070"/>
    <cellStyle name="asd 32 2 2 2 20" xfId="39363"/>
    <cellStyle name="asd 32 2 2 2 21" xfId="41039"/>
    <cellStyle name="asd 32 2 2 2 22" xfId="42352"/>
    <cellStyle name="asd 32 2 2 2 3" xfId="8524"/>
    <cellStyle name="asd 32 2 2 2 4" xfId="10434"/>
    <cellStyle name="asd 32 2 2 2 5" xfId="11428"/>
    <cellStyle name="asd 32 2 2 2 6" xfId="13011"/>
    <cellStyle name="asd 32 2 2 2 7" xfId="14915"/>
    <cellStyle name="asd 32 2 2 2 8" xfId="18053"/>
    <cellStyle name="asd 32 2 2 2 9" xfId="19959"/>
    <cellStyle name="asd 32 2 2 20" xfId="35998"/>
    <cellStyle name="asd 32 2 2 21" xfId="37877"/>
    <cellStyle name="asd 32 2 2 22" xfId="39379"/>
    <cellStyle name="asd 32 2 2 23" xfId="41055"/>
    <cellStyle name="asd 32 2 2 24" xfId="43667"/>
    <cellStyle name="asd 32 2 2 3" xfId="5121"/>
    <cellStyle name="asd 32 2 2 4" xfId="6571"/>
    <cellStyle name="asd 32 2 2 5" xfId="8022"/>
    <cellStyle name="asd 32 2 2 6" xfId="9932"/>
    <cellStyle name="asd 32 2 2 7" xfId="11880"/>
    <cellStyle name="asd 32 2 2 8" xfId="14389"/>
    <cellStyle name="asd 32 2 2 9" xfId="16295"/>
    <cellStyle name="asd 32 2 20" xfId="32860"/>
    <cellStyle name="asd 32 2 21" xfId="34684"/>
    <cellStyle name="asd 32 2 22" xfId="35364"/>
    <cellStyle name="asd 32 2 23" xfId="37242"/>
    <cellStyle name="asd 32 2 24" xfId="40067"/>
    <cellStyle name="asd 32 2 25" xfId="41731"/>
    <cellStyle name="asd 32 2 26" xfId="43258"/>
    <cellStyle name="asd 32 2 3" xfId="3779"/>
    <cellStyle name="asd 32 2 3 10" xfId="19518"/>
    <cellStyle name="asd 32 2 3 11" xfId="21430"/>
    <cellStyle name="asd 32 2 3 12" xfId="23190"/>
    <cellStyle name="asd 32 2 3 13" xfId="25232"/>
    <cellStyle name="asd 32 2 3 14" xfId="26445"/>
    <cellStyle name="asd 32 2 3 15" xfId="29372"/>
    <cellStyle name="asd 32 2 3 16" xfId="30051"/>
    <cellStyle name="asd 32 2 3 17" xfId="32810"/>
    <cellStyle name="asd 32 2 3 18" xfId="33580"/>
    <cellStyle name="asd 32 2 3 19" xfId="36059"/>
    <cellStyle name="asd 32 2 3 2" xfId="5788"/>
    <cellStyle name="asd 32 2 3 2 10" xfId="22038"/>
    <cellStyle name="asd 32 2 3 2 11" xfId="22389"/>
    <cellStyle name="asd 32 2 3 2 12" xfId="25840"/>
    <cellStyle name="asd 32 2 3 2 13" xfId="2833"/>
    <cellStyle name="asd 32 2 3 2 14" xfId="29533"/>
    <cellStyle name="asd 32 2 3 2 15" xfId="28039"/>
    <cellStyle name="asd 32 2 3 2 16" xfId="29665"/>
    <cellStyle name="asd 32 2 3 2 17" xfId="31895"/>
    <cellStyle name="asd 32 2 3 2 18" xfId="36667"/>
    <cellStyle name="asd 32 2 3 2 19" xfId="38546"/>
    <cellStyle name="asd 32 2 3 2 2" xfId="7237"/>
    <cellStyle name="asd 32 2 3 2 20" xfId="30718"/>
    <cellStyle name="asd 32 2 3 2 21" xfId="35076"/>
    <cellStyle name="asd 32 2 3 2 22" xfId="42200"/>
    <cellStyle name="asd 32 2 3 2 3" xfId="8691"/>
    <cellStyle name="asd 32 2 3 2 4" xfId="10601"/>
    <cellStyle name="asd 32 2 3 2 5" xfId="11849"/>
    <cellStyle name="asd 32 2 3 2 6" xfId="12856"/>
    <cellStyle name="asd 32 2 3 2 7" xfId="14761"/>
    <cellStyle name="asd 32 2 3 2 8" xfId="18220"/>
    <cellStyle name="asd 32 2 3 2 9" xfId="20126"/>
    <cellStyle name="asd 32 2 3 20" xfId="37938"/>
    <cellStyle name="asd 32 2 3 21" xfId="40019"/>
    <cellStyle name="asd 32 2 3 22" xfId="41683"/>
    <cellStyle name="asd 32 2 3 23" xfId="42968"/>
    <cellStyle name="asd 32 2 3 3" xfId="5182"/>
    <cellStyle name="asd 32 2 3 4" xfId="8083"/>
    <cellStyle name="asd 32 2 3 5" xfId="9993"/>
    <cellStyle name="asd 32 2 3 6" xfId="11034"/>
    <cellStyle name="asd 32 2 3 7" xfId="13662"/>
    <cellStyle name="asd 32 2 3 8" xfId="15564"/>
    <cellStyle name="asd 32 2 3 9" xfId="17612"/>
    <cellStyle name="asd 32 2 4" xfId="4112"/>
    <cellStyle name="asd 32 2 4 10" xfId="19747"/>
    <cellStyle name="asd 32 2 4 11" xfId="21659"/>
    <cellStyle name="asd 32 2 4 12" xfId="22796"/>
    <cellStyle name="asd 32 2 4 13" xfId="25461"/>
    <cellStyle name="asd 32 2 4 14" xfId="26751"/>
    <cellStyle name="asd 32 2 4 15" xfId="12787"/>
    <cellStyle name="asd 32 2 4 16" xfId="30350"/>
    <cellStyle name="asd 32 2 4 17" xfId="32762"/>
    <cellStyle name="asd 32 2 4 18" xfId="33973"/>
    <cellStyle name="asd 32 2 4 19" xfId="36288"/>
    <cellStyle name="asd 32 2 4 2" xfId="6017"/>
    <cellStyle name="asd 32 2 4 2 10" xfId="22267"/>
    <cellStyle name="asd 32 2 4 2 11" xfId="24028"/>
    <cellStyle name="asd 32 2 4 2 12" xfId="26069"/>
    <cellStyle name="asd 32 2 4 2 13" xfId="26358"/>
    <cellStyle name="asd 32 2 4 2 14" xfId="28842"/>
    <cellStyle name="asd 32 2 4 2 15" xfId="29966"/>
    <cellStyle name="asd 32 2 4 2 16" xfId="32372"/>
    <cellStyle name="asd 32 2 4 2 17" xfId="33709"/>
    <cellStyle name="asd 32 2 4 2 18" xfId="36896"/>
    <cellStyle name="asd 32 2 4 2 19" xfId="38775"/>
    <cellStyle name="asd 32 2 4 2 2" xfId="7466"/>
    <cellStyle name="asd 32 2 4 2 20" xfId="39590"/>
    <cellStyle name="asd 32 2 4 2 21" xfId="41264"/>
    <cellStyle name="asd 32 2 4 2 22" xfId="43772"/>
    <cellStyle name="asd 32 2 4 2 3" xfId="8920"/>
    <cellStyle name="asd 32 2 4 2 4" xfId="10830"/>
    <cellStyle name="asd 32 2 4 2 5" xfId="11987"/>
    <cellStyle name="asd 32 2 4 2 6" xfId="14498"/>
    <cellStyle name="asd 32 2 4 2 7" xfId="16404"/>
    <cellStyle name="asd 32 2 4 2 8" xfId="18449"/>
    <cellStyle name="asd 32 2 4 2 9" xfId="20355"/>
    <cellStyle name="asd 32 2 4 20" xfId="38167"/>
    <cellStyle name="asd 32 2 4 21" xfId="39971"/>
    <cellStyle name="asd 32 2 4 22" xfId="41635"/>
    <cellStyle name="asd 32 2 4 23" xfId="42589"/>
    <cellStyle name="asd 32 2 4 3" xfId="6858"/>
    <cellStyle name="asd 32 2 4 4" xfId="8312"/>
    <cellStyle name="asd 32 2 4 5" xfId="10222"/>
    <cellStyle name="asd 32 2 4 6" xfId="12220"/>
    <cellStyle name="asd 32 2 4 7" xfId="13265"/>
    <cellStyle name="asd 32 2 4 8" xfId="15169"/>
    <cellStyle name="asd 32 2 4 9" xfId="17841"/>
    <cellStyle name="asd 32 2 5" xfId="4962"/>
    <cellStyle name="asd 32 2 5 10" xfId="21210"/>
    <cellStyle name="asd 32 2 5 11" xfId="23439"/>
    <cellStyle name="asd 32 2 5 12" xfId="25012"/>
    <cellStyle name="asd 32 2 5 13" xfId="27852"/>
    <cellStyle name="asd 32 2 5 14" xfId="29432"/>
    <cellStyle name="asd 32 2 5 15" xfId="31431"/>
    <cellStyle name="asd 32 2 5 16" xfId="32434"/>
    <cellStyle name="asd 32 2 5 17" xfId="33596"/>
    <cellStyle name="asd 32 2 5 18" xfId="35839"/>
    <cellStyle name="asd 32 2 5 19" xfId="37718"/>
    <cellStyle name="asd 32 2 5 2" xfId="6412"/>
    <cellStyle name="asd 32 2 5 20" xfId="39651"/>
    <cellStyle name="asd 32 2 5 21" xfId="41325"/>
    <cellStyle name="asd 32 2 5 22" xfId="43206"/>
    <cellStyle name="asd 32 2 5 3" xfId="7863"/>
    <cellStyle name="asd 32 2 5 4" xfId="9773"/>
    <cellStyle name="asd 32 2 5 5" xfId="12521"/>
    <cellStyle name="asd 32 2 5 6" xfId="13911"/>
    <cellStyle name="asd 32 2 5 7" xfId="15812"/>
    <cellStyle name="asd 32 2 5 8" xfId="17392"/>
    <cellStyle name="asd 32 2 5 9" xfId="19298"/>
    <cellStyle name="asd 32 2 6" xfId="4476"/>
    <cellStyle name="asd 32 2 6 10" xfId="20721"/>
    <cellStyle name="asd 32 2 6 11" xfId="22474"/>
    <cellStyle name="asd 32 2 6 12" xfId="24523"/>
    <cellStyle name="asd 32 2 6 13" xfId="26912"/>
    <cellStyle name="asd 32 2 6 14" xfId="29121"/>
    <cellStyle name="asd 32 2 6 15" xfId="30508"/>
    <cellStyle name="asd 32 2 6 16" xfId="32323"/>
    <cellStyle name="asd 32 2 6 17" xfId="33478"/>
    <cellStyle name="asd 32 2 6 18" xfId="35351"/>
    <cellStyle name="asd 32 2 6 19" xfId="37229"/>
    <cellStyle name="asd 32 2 6 2" xfId="5322"/>
    <cellStyle name="asd 32 2 6 20" xfId="39542"/>
    <cellStyle name="asd 32 2 6 21" xfId="41216"/>
    <cellStyle name="asd 32 2 6 22" xfId="42284"/>
    <cellStyle name="asd 32 2 6 3" xfId="6649"/>
    <cellStyle name="asd 32 2 6 4" xfId="9283"/>
    <cellStyle name="asd 32 2 6 5" xfId="12436"/>
    <cellStyle name="asd 32 2 6 6" xfId="12942"/>
    <cellStyle name="asd 32 2 6 7" xfId="14846"/>
    <cellStyle name="asd 32 2 6 8" xfId="16902"/>
    <cellStyle name="asd 32 2 6 9" xfId="18809"/>
    <cellStyle name="asd 32 2 7" xfId="6292"/>
    <cellStyle name="asd 32 2 8" xfId="9296"/>
    <cellStyle name="asd 32 2 9" xfId="12567"/>
    <cellStyle name="asd 32 20" xfId="2632"/>
    <cellStyle name="asd 32 21" xfId="30083"/>
    <cellStyle name="asd 32 22" xfId="14694"/>
    <cellStyle name="asd 32 23" xfId="32741"/>
    <cellStyle name="asd 32 24" xfId="33313"/>
    <cellStyle name="asd 32 25" xfId="31583"/>
    <cellStyle name="asd 32 26" xfId="40091"/>
    <cellStyle name="asd 32 27" xfId="3221"/>
    <cellStyle name="asd 32 3" xfId="3511"/>
    <cellStyle name="asd 32 3 10" xfId="13216"/>
    <cellStyle name="asd 32 3 11" xfId="15119"/>
    <cellStyle name="asd 32 3 12" xfId="16990"/>
    <cellStyle name="asd 32 3 13" xfId="18897"/>
    <cellStyle name="asd 32 3 14" xfId="20809"/>
    <cellStyle name="asd 32 3 15" xfId="22747"/>
    <cellStyle name="asd 32 3 16" xfId="24611"/>
    <cellStyle name="asd 32 3 17" xfId="26232"/>
    <cellStyle name="asd 32 3 18" xfId="29529"/>
    <cellStyle name="asd 32 3 19" xfId="29842"/>
    <cellStyle name="asd 32 3 2" xfId="3691"/>
    <cellStyle name="asd 32 3 2 10" xfId="17582"/>
    <cellStyle name="asd 32 3 2 11" xfId="19488"/>
    <cellStyle name="asd 32 3 2 12" xfId="21400"/>
    <cellStyle name="asd 32 3 2 13" xfId="23918"/>
    <cellStyle name="asd 32 3 2 14" xfId="25202"/>
    <cellStyle name="asd 32 3 2 15" xfId="27240"/>
    <cellStyle name="asd 32 3 2 16" xfId="28756"/>
    <cellStyle name="asd 32 3 2 17" xfId="30831"/>
    <cellStyle name="asd 32 3 2 18" xfId="32972"/>
    <cellStyle name="asd 32 3 2 19" xfId="33906"/>
    <cellStyle name="asd 32 3 2 2" xfId="5758"/>
    <cellStyle name="asd 32 3 2 2 10" xfId="22008"/>
    <cellStyle name="asd 32 3 2 2 11" xfId="23760"/>
    <cellStyle name="asd 32 3 2 2 12" xfId="25810"/>
    <cellStyle name="asd 32 3 2 2 13" xfId="22748"/>
    <cellStyle name="asd 32 3 2 2 14" xfId="2571"/>
    <cellStyle name="asd 32 3 2 2 15" xfId="2798"/>
    <cellStyle name="asd 32 3 2 2 16" xfId="26430"/>
    <cellStyle name="asd 32 3 2 2 17" xfId="23297"/>
    <cellStyle name="asd 32 3 2 2 18" xfId="36637"/>
    <cellStyle name="asd 32 3 2 2 19" xfId="38516"/>
    <cellStyle name="asd 32 3 2 2 2" xfId="7207"/>
    <cellStyle name="asd 32 3 2 2 20" xfId="14722"/>
    <cellStyle name="asd 32 3 2 2 21" xfId="34234"/>
    <cellStyle name="asd 32 3 2 2 22" xfId="43513"/>
    <cellStyle name="asd 32 3 2 2 3" xfId="8661"/>
    <cellStyle name="asd 32 3 2 2 4" xfId="10571"/>
    <cellStyle name="asd 32 3 2 2 5" xfId="11599"/>
    <cellStyle name="asd 32 3 2 2 6" xfId="14230"/>
    <cellStyle name="asd 32 3 2 2 7" xfId="16134"/>
    <cellStyle name="asd 32 3 2 2 8" xfId="18190"/>
    <cellStyle name="asd 32 3 2 2 9" xfId="20096"/>
    <cellStyle name="asd 32 3 2 20" xfId="36029"/>
    <cellStyle name="asd 32 3 2 21" xfId="37908"/>
    <cellStyle name="asd 32 3 2 22" xfId="40173"/>
    <cellStyle name="asd 32 3 2 23" xfId="41832"/>
    <cellStyle name="asd 32 3 2 24" xfId="43664"/>
    <cellStyle name="asd 32 3 2 3" xfId="5152"/>
    <cellStyle name="asd 32 3 2 4" xfId="6602"/>
    <cellStyle name="asd 32 3 2 5" xfId="8053"/>
    <cellStyle name="asd 32 3 2 6" xfId="9963"/>
    <cellStyle name="asd 32 3 2 7" xfId="11877"/>
    <cellStyle name="asd 32 3 2 8" xfId="14386"/>
    <cellStyle name="asd 32 3 2 9" xfId="16292"/>
    <cellStyle name="asd 32 3 20" xfId="31985"/>
    <cellStyle name="asd 32 3 21" xfId="34026"/>
    <cellStyle name="asd 32 3 22" xfId="35439"/>
    <cellStyle name="asd 32 3 23" xfId="37317"/>
    <cellStyle name="asd 32 3 24" xfId="39215"/>
    <cellStyle name="asd 32 3 25" xfId="40894"/>
    <cellStyle name="asd 32 3 26" xfId="42545"/>
    <cellStyle name="asd 32 3 3" xfId="3205"/>
    <cellStyle name="asd 32 3 3 10" xfId="19179"/>
    <cellStyle name="asd 32 3 3 11" xfId="21091"/>
    <cellStyle name="asd 32 3 3 12" xfId="23261"/>
    <cellStyle name="asd 32 3 3 13" xfId="24893"/>
    <cellStyle name="asd 32 3 3 14" xfId="26416"/>
    <cellStyle name="asd 32 3 3 15" xfId="28052"/>
    <cellStyle name="asd 32 3 3 16" xfId="30023"/>
    <cellStyle name="asd 32 3 3 17" xfId="32080"/>
    <cellStyle name="asd 32 3 3 18" xfId="34389"/>
    <cellStyle name="asd 32 3 3 19" xfId="35720"/>
    <cellStyle name="asd 32 3 3 2" xfId="4318"/>
    <cellStyle name="asd 32 3 3 2 10" xfId="20515"/>
    <cellStyle name="asd 32 3 3 2 11" xfId="23013"/>
    <cellStyle name="asd 32 3 3 2 12" xfId="24317"/>
    <cellStyle name="asd 32 3 3 2 13" xfId="27273"/>
    <cellStyle name="asd 32 3 3 2 14" xfId="4292"/>
    <cellStyle name="asd 32 3 3 2 15" xfId="30865"/>
    <cellStyle name="asd 32 3 3 2 16" xfId="32445"/>
    <cellStyle name="asd 32 3 3 2 17" xfId="33672"/>
    <cellStyle name="asd 32 3 3 2 18" xfId="35145"/>
    <cellStyle name="asd 32 3 3 2 19" xfId="37023"/>
    <cellStyle name="asd 32 3 3 2 2" xfId="5313"/>
    <cellStyle name="asd 32 3 3 2 20" xfId="39662"/>
    <cellStyle name="asd 32 3 3 2 21" xfId="41336"/>
    <cellStyle name="asd 32 3 3 2 22" xfId="42796"/>
    <cellStyle name="asd 32 3 3 2 3" xfId="6641"/>
    <cellStyle name="asd 32 3 3 2 4" xfId="9077"/>
    <cellStyle name="asd 32 3 3 2 5" xfId="12407"/>
    <cellStyle name="asd 32 3 3 2 6" xfId="13483"/>
    <cellStyle name="asd 32 3 3 2 7" xfId="15387"/>
    <cellStyle name="asd 32 3 3 2 8" xfId="16696"/>
    <cellStyle name="asd 32 3 3 2 9" xfId="18603"/>
    <cellStyle name="asd 32 3 3 20" xfId="37599"/>
    <cellStyle name="asd 32 3 3 21" xfId="39304"/>
    <cellStyle name="asd 32 3 3 22" xfId="40980"/>
    <cellStyle name="asd 32 3 3 23" xfId="43037"/>
    <cellStyle name="asd 32 3 3 3" xfId="4843"/>
    <cellStyle name="asd 32 3 3 4" xfId="7744"/>
    <cellStyle name="asd 32 3 3 5" xfId="9654"/>
    <cellStyle name="asd 32 3 3 6" xfId="11189"/>
    <cellStyle name="asd 32 3 3 7" xfId="13733"/>
    <cellStyle name="asd 32 3 3 8" xfId="15635"/>
    <cellStyle name="asd 32 3 3 9" xfId="17273"/>
    <cellStyle name="asd 32 3 4" xfId="4143"/>
    <cellStyle name="asd 32 3 4 10" xfId="19778"/>
    <cellStyle name="asd 32 3 4 11" xfId="21690"/>
    <cellStyle name="asd 32 3 4 12" xfId="23502"/>
    <cellStyle name="asd 32 3 4 13" xfId="25492"/>
    <cellStyle name="asd 32 3 4 14" xfId="27493"/>
    <cellStyle name="asd 32 3 4 15" xfId="28365"/>
    <cellStyle name="asd 32 3 4 16" xfId="31079"/>
    <cellStyle name="asd 32 3 4 17" xfId="32250"/>
    <cellStyle name="asd 32 3 4 18" xfId="33676"/>
    <cellStyle name="asd 32 3 4 19" xfId="36319"/>
    <cellStyle name="asd 32 3 4 2" xfId="6048"/>
    <cellStyle name="asd 32 3 4 2 10" xfId="22298"/>
    <cellStyle name="asd 32 3 4 2 11" xfId="1856"/>
    <cellStyle name="asd 32 3 4 2 12" xfId="26100"/>
    <cellStyle name="asd 32 3 4 2 13" xfId="26125"/>
    <cellStyle name="asd 32 3 4 2 14" xfId="27995"/>
    <cellStyle name="asd 32 3 4 2 15" xfId="29739"/>
    <cellStyle name="asd 32 3 4 2 16" xfId="3347"/>
    <cellStyle name="asd 32 3 4 2 17" xfId="26543"/>
    <cellStyle name="asd 32 3 4 2 18" xfId="36927"/>
    <cellStyle name="asd 32 3 4 2 19" xfId="38806"/>
    <cellStyle name="asd 32 3 4 2 2" xfId="7497"/>
    <cellStyle name="asd 32 3 4 2 20" xfId="30212"/>
    <cellStyle name="asd 32 3 4 2 21" xfId="34989"/>
    <cellStyle name="asd 32 3 4 2 22" xfId="32960"/>
    <cellStyle name="asd 32 3 4 2 3" xfId="8951"/>
    <cellStyle name="asd 32 3 4 2 4" xfId="10861"/>
    <cellStyle name="asd 32 3 4 2 5" xfId="8981"/>
    <cellStyle name="asd 32 3 4 2 6" xfId="10905"/>
    <cellStyle name="asd 32 3 4 2 7" xfId="2813"/>
    <cellStyle name="asd 32 3 4 2 8" xfId="18480"/>
    <cellStyle name="asd 32 3 4 2 9" xfId="20386"/>
    <cellStyle name="asd 32 3 4 20" xfId="38198"/>
    <cellStyle name="asd 32 3 4 21" xfId="39468"/>
    <cellStyle name="asd 32 3 4 22" xfId="41143"/>
    <cellStyle name="asd 32 3 4 23" xfId="43268"/>
    <cellStyle name="asd 32 3 4 3" xfId="6889"/>
    <cellStyle name="asd 32 3 4 4" xfId="8343"/>
    <cellStyle name="asd 32 3 4 5" xfId="10253"/>
    <cellStyle name="asd 32 3 4 6" xfId="12288"/>
    <cellStyle name="asd 32 3 4 7" xfId="13974"/>
    <cellStyle name="asd 32 3 4 8" xfId="15875"/>
    <cellStyle name="asd 32 3 4 9" xfId="17872"/>
    <cellStyle name="asd 32 3 5" xfId="4984"/>
    <cellStyle name="asd 32 3 5 10" xfId="21232"/>
    <cellStyle name="asd 32 3 5 11" xfId="23222"/>
    <cellStyle name="asd 32 3 5 12" xfId="25034"/>
    <cellStyle name="asd 32 3 5 13" xfId="26937"/>
    <cellStyle name="asd 32 3 5 14" xfId="2233"/>
    <cellStyle name="asd 32 3 5 15" xfId="30531"/>
    <cellStyle name="asd 32 3 5 16" xfId="33191"/>
    <cellStyle name="asd 32 3 5 17" xfId="32051"/>
    <cellStyle name="asd 32 3 5 18" xfId="35861"/>
    <cellStyle name="asd 32 3 5 19" xfId="37740"/>
    <cellStyle name="asd 32 3 5 2" xfId="6434"/>
    <cellStyle name="asd 32 3 5 20" xfId="40382"/>
    <cellStyle name="asd 32 3 5 21" xfId="42038"/>
    <cellStyle name="asd 32 3 5 22" xfId="42999"/>
    <cellStyle name="asd 32 3 5 3" xfId="7885"/>
    <cellStyle name="asd 32 3 5 4" xfId="9795"/>
    <cellStyle name="asd 32 3 5 5" xfId="11099"/>
    <cellStyle name="asd 32 3 5 6" xfId="13694"/>
    <cellStyle name="asd 32 3 5 7" xfId="15596"/>
    <cellStyle name="asd 32 3 5 8" xfId="17414"/>
    <cellStyle name="asd 32 3 5 9" xfId="19320"/>
    <cellStyle name="asd 32 3 6" xfId="4297"/>
    <cellStyle name="asd 32 3 6 10" xfId="20476"/>
    <cellStyle name="asd 32 3 6 11" xfId="2650"/>
    <cellStyle name="asd 32 3 6 12" xfId="24278"/>
    <cellStyle name="asd 32 3 6 13" xfId="3001"/>
    <cellStyle name="asd 32 3 6 14" xfId="2000"/>
    <cellStyle name="asd 32 3 6 15" xfId="2126"/>
    <cellStyle name="asd 32 3 6 16" xfId="22825"/>
    <cellStyle name="asd 32 3 6 17" xfId="2008"/>
    <cellStyle name="asd 32 3 6 18" xfId="35106"/>
    <cellStyle name="asd 32 3 6 19" xfId="36984"/>
    <cellStyle name="asd 32 3 6 2" xfId="4405"/>
    <cellStyle name="asd 32 3 6 20" xfId="2287"/>
    <cellStyle name="asd 32 3 6 21" xfId="2843"/>
    <cellStyle name="asd 32 3 6 22" xfId="28761"/>
    <cellStyle name="asd 32 3 6 3" xfId="5400"/>
    <cellStyle name="asd 32 3 6 4" xfId="9038"/>
    <cellStyle name="asd 32 3 6 5" xfId="3225"/>
    <cellStyle name="asd 32 3 6 6" xfId="4419"/>
    <cellStyle name="asd 32 3 6 7" xfId="2722"/>
    <cellStyle name="asd 32 3 6 8" xfId="16657"/>
    <cellStyle name="asd 32 3 6 9" xfId="18564"/>
    <cellStyle name="asd 32 3 7" xfId="6198"/>
    <cellStyle name="asd 32 3 8" xfId="9371"/>
    <cellStyle name="asd 32 3 9" xfId="11394"/>
    <cellStyle name="asd 32 4" xfId="3355"/>
    <cellStyle name="asd 32 4 10" xfId="15376"/>
    <cellStyle name="asd 32 4 11" xfId="16635"/>
    <cellStyle name="asd 32 4 12" xfId="18542"/>
    <cellStyle name="asd 32 4 13" xfId="20454"/>
    <cellStyle name="asd 32 4 14" xfId="23001"/>
    <cellStyle name="asd 32 4 15" xfId="24256"/>
    <cellStyle name="asd 32 4 16" xfId="27397"/>
    <cellStyle name="asd 32 4 17" xfId="29411"/>
    <cellStyle name="asd 32 4 18" xfId="30983"/>
    <cellStyle name="asd 32 4 19" xfId="32259"/>
    <cellStyle name="asd 32 4 2" xfId="3535"/>
    <cellStyle name="asd 32 4 2 10" xfId="17426"/>
    <cellStyle name="asd 32 4 2 11" xfId="19332"/>
    <cellStyle name="asd 32 4 2 12" xfId="21244"/>
    <cellStyle name="asd 32 4 2 13" xfId="23719"/>
    <cellStyle name="asd 32 4 2 14" xfId="25046"/>
    <cellStyle name="asd 32 4 2 15" xfId="26873"/>
    <cellStyle name="asd 32 4 2 16" xfId="28332"/>
    <cellStyle name="asd 32 4 2 17" xfId="30469"/>
    <cellStyle name="asd 32 4 2 18" xfId="32178"/>
    <cellStyle name="asd 32 4 2 19" xfId="34284"/>
    <cellStyle name="asd 32 4 2 2" xfId="4473"/>
    <cellStyle name="asd 32 4 2 2 10" xfId="20718"/>
    <cellStyle name="asd 32 4 2 2 11" xfId="23337"/>
    <cellStyle name="asd 32 4 2 2 12" xfId="24520"/>
    <cellStyle name="asd 32 4 2 2 13" xfId="27622"/>
    <cellStyle name="asd 32 4 2 2 14" xfId="29248"/>
    <cellStyle name="asd 32 4 2 2 15" xfId="31200"/>
    <cellStyle name="asd 32 4 2 2 16" xfId="32385"/>
    <cellStyle name="asd 32 4 2 2 17" xfId="34886"/>
    <cellStyle name="asd 32 4 2 2 18" xfId="35348"/>
    <cellStyle name="asd 32 4 2 2 19" xfId="37226"/>
    <cellStyle name="asd 32 4 2 2 2" xfId="4686"/>
    <cellStyle name="asd 32 4 2 2 20" xfId="39603"/>
    <cellStyle name="asd 32 4 2 2 21" xfId="41277"/>
    <cellStyle name="asd 32 4 2 2 22" xfId="43107"/>
    <cellStyle name="asd 32 4 2 2 3" xfId="6264"/>
    <cellStyle name="asd 32 4 2 2 4" xfId="9280"/>
    <cellStyle name="asd 32 4 2 2 5" xfId="12239"/>
    <cellStyle name="asd 32 4 2 2 6" xfId="13809"/>
    <cellStyle name="asd 32 4 2 2 7" xfId="15711"/>
    <cellStyle name="asd 32 4 2 2 8" xfId="16899"/>
    <cellStyle name="asd 32 4 2 2 9" xfId="18806"/>
    <cellStyle name="asd 32 4 2 20" xfId="35873"/>
    <cellStyle name="asd 32 4 2 21" xfId="37752"/>
    <cellStyle name="asd 32 4 2 22" xfId="39400"/>
    <cellStyle name="asd 32 4 2 23" xfId="41076"/>
    <cellStyle name="asd 32 4 2 24" xfId="43475"/>
    <cellStyle name="asd 32 4 2 3" xfId="4996"/>
    <cellStyle name="asd 32 4 2 4" xfId="6446"/>
    <cellStyle name="asd 32 4 2 5" xfId="7897"/>
    <cellStyle name="asd 32 4 2 6" xfId="9807"/>
    <cellStyle name="asd 32 4 2 7" xfId="11451"/>
    <cellStyle name="asd 32 4 2 8" xfId="14189"/>
    <cellStyle name="asd 32 4 2 9" xfId="16093"/>
    <cellStyle name="asd 32 4 20" xfId="34004"/>
    <cellStyle name="asd 32 4 21" xfId="35084"/>
    <cellStyle name="asd 32 4 22" xfId="36962"/>
    <cellStyle name="asd 32 4 23" xfId="39477"/>
    <cellStyle name="asd 32 4 24" xfId="41152"/>
    <cellStyle name="asd 32 4 25" xfId="42785"/>
    <cellStyle name="asd 32 4 3" xfId="2210"/>
    <cellStyle name="asd 32 4 3 10" xfId="19034"/>
    <cellStyle name="asd 32 4 3 11" xfId="20946"/>
    <cellStyle name="asd 32 4 3 12" xfId="23448"/>
    <cellStyle name="asd 32 4 3 13" xfId="24748"/>
    <cellStyle name="asd 32 4 3 14" xfId="27931"/>
    <cellStyle name="asd 32 4 3 15" xfId="29603"/>
    <cellStyle name="asd 32 4 3 16" xfId="31512"/>
    <cellStyle name="asd 32 4 3 17" xfId="32963"/>
    <cellStyle name="asd 32 4 3 18" xfId="34279"/>
    <cellStyle name="asd 32 4 3 19" xfId="35575"/>
    <cellStyle name="asd 32 4 3 2" xfId="5539"/>
    <cellStyle name="asd 32 4 3 2 10" xfId="21789"/>
    <cellStyle name="asd 32 4 3 2 11" xfId="23532"/>
    <cellStyle name="asd 32 4 3 2 12" xfId="25591"/>
    <cellStyle name="asd 32 4 3 2 13" xfId="26662"/>
    <cellStyle name="asd 32 4 3 2 14" xfId="29311"/>
    <cellStyle name="asd 32 4 3 2 15" xfId="30262"/>
    <cellStyle name="asd 32 4 3 2 16" xfId="33089"/>
    <cellStyle name="asd 32 4 3 2 17" xfId="33689"/>
    <cellStyle name="asd 32 4 3 2 18" xfId="36418"/>
    <cellStyle name="asd 32 4 3 2 19" xfId="38297"/>
    <cellStyle name="asd 32 4 3 2 2" xfId="6988"/>
    <cellStyle name="asd 32 4 3 2 20" xfId="40285"/>
    <cellStyle name="asd 32 4 3 2 21" xfId="41941"/>
    <cellStyle name="asd 32 4 3 2 22" xfId="43297"/>
    <cellStyle name="asd 32 4 3 2 3" xfId="8442"/>
    <cellStyle name="asd 32 4 3 2 4" xfId="10352"/>
    <cellStyle name="asd 32 4 3 2 5" xfId="12578"/>
    <cellStyle name="asd 32 4 3 2 6" xfId="14004"/>
    <cellStyle name="asd 32 4 3 2 7" xfId="15905"/>
    <cellStyle name="asd 32 4 3 2 8" xfId="17971"/>
    <cellStyle name="asd 32 4 3 2 9" xfId="19877"/>
    <cellStyle name="asd 32 4 3 20" xfId="37454"/>
    <cellStyle name="asd 32 4 3 21" xfId="40164"/>
    <cellStyle name="asd 32 4 3 22" xfId="41823"/>
    <cellStyle name="asd 32 4 3 23" xfId="43215"/>
    <cellStyle name="asd 32 4 3 3" xfId="4700"/>
    <cellStyle name="asd 32 4 3 4" xfId="7599"/>
    <cellStyle name="asd 32 4 3 5" xfId="9509"/>
    <cellStyle name="asd 32 4 3 6" xfId="12577"/>
    <cellStyle name="asd 32 4 3 7" xfId="13920"/>
    <cellStyle name="asd 32 4 3 8" xfId="15821"/>
    <cellStyle name="asd 32 4 3 9" xfId="17128"/>
    <cellStyle name="asd 32 4 4" xfId="3987"/>
    <cellStyle name="asd 32 4 4 10" xfId="19622"/>
    <cellStyle name="asd 32 4 4 11" xfId="21534"/>
    <cellStyle name="asd 32 4 4 12" xfId="23748"/>
    <cellStyle name="asd 32 4 4 13" xfId="25336"/>
    <cellStyle name="asd 32 4 4 14" xfId="27637"/>
    <cellStyle name="asd 32 4 4 15" xfId="29060"/>
    <cellStyle name="asd 32 4 4 16" xfId="31214"/>
    <cellStyle name="asd 32 4 4 17" xfId="31916"/>
    <cellStyle name="asd 32 4 4 18" xfId="33592"/>
    <cellStyle name="asd 32 4 4 19" xfId="36163"/>
    <cellStyle name="asd 32 4 4 2" xfId="5892"/>
    <cellStyle name="asd 32 4 4 2 10" xfId="22142"/>
    <cellStyle name="asd 32 4 4 2 11" xfId="24153"/>
    <cellStyle name="asd 32 4 4 2 12" xfId="25944"/>
    <cellStyle name="asd 32 4 4 2 13" xfId="26291"/>
    <cellStyle name="asd 32 4 4 2 14" xfId="29703"/>
    <cellStyle name="asd 32 4 4 2 15" xfId="29900"/>
    <cellStyle name="asd 32 4 4 2 16" xfId="32847"/>
    <cellStyle name="asd 32 4 4 2 17" xfId="35008"/>
    <cellStyle name="asd 32 4 4 2 18" xfId="36771"/>
    <cellStyle name="asd 32 4 4 2 19" xfId="38650"/>
    <cellStyle name="asd 32 4 4 2 2" xfId="7341"/>
    <cellStyle name="asd 32 4 4 2 20" xfId="40054"/>
    <cellStyle name="asd 32 4 4 2 21" xfId="41718"/>
    <cellStyle name="asd 32 4 4 2 22" xfId="43895"/>
    <cellStyle name="asd 32 4 4 2 3" xfId="8795"/>
    <cellStyle name="asd 32 4 4 2 4" xfId="10705"/>
    <cellStyle name="asd 32 4 4 2 5" xfId="12113"/>
    <cellStyle name="asd 32 4 4 2 6" xfId="14624"/>
    <cellStyle name="asd 32 4 4 2 7" xfId="16530"/>
    <cellStyle name="asd 32 4 4 2 8" xfId="18324"/>
    <cellStyle name="asd 32 4 4 2 9" xfId="20230"/>
    <cellStyle name="asd 32 4 4 20" xfId="38042"/>
    <cellStyle name="asd 32 4 4 21" xfId="39148"/>
    <cellStyle name="asd 32 4 4 22" xfId="40829"/>
    <cellStyle name="asd 32 4 4 23" xfId="43501"/>
    <cellStyle name="asd 32 4 4 3" xfId="6733"/>
    <cellStyle name="asd 32 4 4 4" xfId="8187"/>
    <cellStyle name="asd 32 4 4 5" xfId="10097"/>
    <cellStyle name="asd 32 4 4 6" xfId="11411"/>
    <cellStyle name="asd 32 4 4 7" xfId="14218"/>
    <cellStyle name="asd 32 4 4 8" xfId="16122"/>
    <cellStyle name="asd 32 4 4 9" xfId="17716"/>
    <cellStyle name="asd 32 4 5" xfId="5484"/>
    <cellStyle name="asd 32 4 5 10" xfId="21734"/>
    <cellStyle name="asd 32 4 5 11" xfId="22712"/>
    <cellStyle name="asd 32 4 5 12" xfId="25536"/>
    <cellStyle name="asd 32 4 5 13" xfId="16597"/>
    <cellStyle name="asd 32 4 5 14" xfId="26131"/>
    <cellStyle name="asd 32 4 5 15" xfId="28826"/>
    <cellStyle name="asd 32 4 5 16" xfId="29318"/>
    <cellStyle name="asd 32 4 5 17" xfId="26893"/>
    <cellStyle name="asd 32 4 5 18" xfId="36363"/>
    <cellStyle name="asd 32 4 5 19" xfId="38242"/>
    <cellStyle name="asd 32 4 5 2" xfId="6933"/>
    <cellStyle name="asd 32 4 5 20" xfId="33137"/>
    <cellStyle name="asd 32 4 5 21" xfId="34706"/>
    <cellStyle name="asd 32 4 5 22" xfId="42512"/>
    <cellStyle name="asd 32 4 5 3" xfId="8387"/>
    <cellStyle name="asd 32 4 5 4" xfId="10297"/>
    <cellStyle name="asd 32 4 5 5" xfId="11445"/>
    <cellStyle name="asd 32 4 5 6" xfId="13180"/>
    <cellStyle name="asd 32 4 5 7" xfId="15084"/>
    <cellStyle name="asd 32 4 5 8" xfId="17916"/>
    <cellStyle name="asd 32 4 5 9" xfId="19822"/>
    <cellStyle name="asd 32 4 6" xfId="6280"/>
    <cellStyle name="asd 32 4 7" xfId="9016"/>
    <cellStyle name="asd 32 4 8" xfId="12273"/>
    <cellStyle name="asd 32 4 9" xfId="13471"/>
    <cellStyle name="asd 32 5" xfId="3019"/>
    <cellStyle name="asd 32 5 10" xfId="17234"/>
    <cellStyle name="asd 32 5 11" xfId="19140"/>
    <cellStyle name="asd 32 5 12" xfId="21052"/>
    <cellStyle name="asd 32 5 13" xfId="23140"/>
    <cellStyle name="asd 32 5 14" xfId="24854"/>
    <cellStyle name="asd 32 5 15" xfId="27467"/>
    <cellStyle name="asd 32 5 16" xfId="28081"/>
    <cellStyle name="asd 32 5 17" xfId="31054"/>
    <cellStyle name="asd 32 5 18" xfId="31785"/>
    <cellStyle name="asd 32 5 19" xfId="33949"/>
    <cellStyle name="asd 32 5 2" xfId="4500"/>
    <cellStyle name="asd 32 5 2 10" xfId="20745"/>
    <cellStyle name="asd 32 5 2 11" xfId="22550"/>
    <cellStyle name="asd 32 5 2 12" xfId="24547"/>
    <cellStyle name="asd 32 5 2 13" xfId="26733"/>
    <cellStyle name="asd 32 5 2 14" xfId="26971"/>
    <cellStyle name="asd 32 5 2 15" xfId="30333"/>
    <cellStyle name="asd 32 5 2 16" xfId="16585"/>
    <cellStyle name="asd 32 5 2 17" xfId="12749"/>
    <cellStyle name="asd 32 5 2 18" xfId="35375"/>
    <cellStyle name="asd 32 5 2 19" xfId="37253"/>
    <cellStyle name="asd 32 5 2 2" xfId="5350"/>
    <cellStyle name="asd 32 5 2 20" xfId="26676"/>
    <cellStyle name="asd 32 5 2 21" xfId="4364"/>
    <cellStyle name="asd 32 5 2 22" xfId="42359"/>
    <cellStyle name="asd 32 5 2 3" xfId="6642"/>
    <cellStyle name="asd 32 5 2 4" xfId="9307"/>
    <cellStyle name="asd 32 5 2 5" xfId="11370"/>
    <cellStyle name="asd 32 5 2 6" xfId="13018"/>
    <cellStyle name="asd 32 5 2 7" xfId="14922"/>
    <cellStyle name="asd 32 5 2 8" xfId="16926"/>
    <cellStyle name="asd 32 5 2 9" xfId="18833"/>
    <cellStyle name="asd 32 5 20" xfId="35681"/>
    <cellStyle name="asd 32 5 21" xfId="37560"/>
    <cellStyle name="asd 32 5 22" xfId="39024"/>
    <cellStyle name="asd 32 5 23" xfId="40706"/>
    <cellStyle name="asd 32 5 24" xfId="42918"/>
    <cellStyle name="asd 32 5 3" xfId="4804"/>
    <cellStyle name="asd 32 5 4" xfId="6254"/>
    <cellStyle name="asd 32 5 5" xfId="7705"/>
    <cellStyle name="asd 32 5 6" xfId="9615"/>
    <cellStyle name="asd 32 5 7" xfId="12765"/>
    <cellStyle name="asd 32 5 8" xfId="13611"/>
    <cellStyle name="asd 32 5 9" xfId="15514"/>
    <cellStyle name="asd 32 6" xfId="3755"/>
    <cellStyle name="asd 32 6 10" xfId="19504"/>
    <cellStyle name="asd 32 6 11" xfId="21416"/>
    <cellStyle name="asd 32 6 12" xfId="24051"/>
    <cellStyle name="asd 32 6 13" xfId="25218"/>
    <cellStyle name="asd 32 6 14" xfId="26284"/>
    <cellStyle name="asd 32 6 15" xfId="28572"/>
    <cellStyle name="asd 32 6 16" xfId="29893"/>
    <cellStyle name="asd 32 6 17" xfId="31695"/>
    <cellStyle name="asd 32 6 18" xfId="34550"/>
    <cellStyle name="asd 32 6 19" xfId="36045"/>
    <cellStyle name="asd 32 6 2" xfId="5774"/>
    <cellStyle name="asd 32 6 2 10" xfId="22024"/>
    <cellStyle name="asd 32 6 2 11" xfId="23163"/>
    <cellStyle name="asd 32 6 2 12" xfId="25826"/>
    <cellStyle name="asd 32 6 2 13" xfId="27723"/>
    <cellStyle name="asd 32 6 2 14" xfId="28788"/>
    <cellStyle name="asd 32 6 2 15" xfId="31301"/>
    <cellStyle name="asd 32 6 2 16" xfId="33047"/>
    <cellStyle name="asd 32 6 2 17" xfId="34437"/>
    <cellStyle name="asd 32 6 2 18" xfId="36653"/>
    <cellStyle name="asd 32 6 2 19" xfId="38532"/>
    <cellStyle name="asd 32 6 2 2" xfId="7223"/>
    <cellStyle name="asd 32 6 2 20" xfId="40245"/>
    <cellStyle name="asd 32 6 2 21" xfId="41903"/>
    <cellStyle name="asd 32 6 2 22" xfId="42941"/>
    <cellStyle name="asd 32 6 2 3" xfId="8677"/>
    <cellStyle name="asd 32 6 2 4" xfId="10587"/>
    <cellStyle name="asd 32 6 2 5" xfId="10971"/>
    <cellStyle name="asd 32 6 2 6" xfId="13634"/>
    <cellStyle name="asd 32 6 2 7" xfId="15537"/>
    <cellStyle name="asd 32 6 2 8" xfId="18206"/>
    <cellStyle name="asd 32 6 2 9" xfId="20112"/>
    <cellStyle name="asd 32 6 20" xfId="37924"/>
    <cellStyle name="asd 32 6 21" xfId="38937"/>
    <cellStyle name="asd 32 6 22" xfId="40621"/>
    <cellStyle name="asd 32 6 23" xfId="43795"/>
    <cellStyle name="asd 32 6 3" xfId="5168"/>
    <cellStyle name="asd 32 6 4" xfId="8069"/>
    <cellStyle name="asd 32 6 5" xfId="9979"/>
    <cellStyle name="asd 32 6 6" xfId="12010"/>
    <cellStyle name="asd 32 6 7" xfId="14521"/>
    <cellStyle name="asd 32 6 8" xfId="16427"/>
    <cellStyle name="asd 32 6 9" xfId="17598"/>
    <cellStyle name="asd 32 7" xfId="1814"/>
    <cellStyle name="asd 32 7 10" xfId="18971"/>
    <cellStyle name="asd 32 7 11" xfId="20883"/>
    <cellStyle name="asd 32 7 12" xfId="23915"/>
    <cellStyle name="asd 32 7 13" xfId="24685"/>
    <cellStyle name="asd 32 7 14" xfId="27609"/>
    <cellStyle name="asd 32 7 15" xfId="3290"/>
    <cellStyle name="asd 32 7 16" xfId="31187"/>
    <cellStyle name="asd 32 7 17" xfId="2454"/>
    <cellStyle name="asd 32 7 18" xfId="2963"/>
    <cellStyle name="asd 32 7 19" xfId="35512"/>
    <cellStyle name="asd 32 7 2" xfId="5468"/>
    <cellStyle name="asd 32 7 2 10" xfId="21718"/>
    <cellStyle name="asd 32 7 2 11" xfId="23197"/>
    <cellStyle name="asd 32 7 2 12" xfId="25520"/>
    <cellStyle name="asd 32 7 2 13" xfId="27465"/>
    <cellStyle name="asd 32 7 2 14" xfId="29040"/>
    <cellStyle name="asd 32 7 2 15" xfId="31052"/>
    <cellStyle name="asd 32 7 2 16" xfId="33036"/>
    <cellStyle name="asd 32 7 2 17" xfId="34796"/>
    <cellStyle name="asd 32 7 2 18" xfId="36347"/>
    <cellStyle name="asd 32 7 2 19" xfId="38226"/>
    <cellStyle name="asd 32 7 2 2" xfId="6917"/>
    <cellStyle name="asd 32 7 2 20" xfId="40235"/>
    <cellStyle name="asd 32 7 2 21" xfId="41894"/>
    <cellStyle name="asd 32 7 2 22" xfId="42975"/>
    <cellStyle name="asd 32 7 2 3" xfId="8371"/>
    <cellStyle name="asd 32 7 2 4" xfId="10281"/>
    <cellStyle name="asd 32 7 2 5" xfId="11055"/>
    <cellStyle name="asd 32 7 2 6" xfId="13669"/>
    <cellStyle name="asd 32 7 2 7" xfId="15571"/>
    <cellStyle name="asd 32 7 2 8" xfId="17900"/>
    <cellStyle name="asd 32 7 2 9" xfId="19806"/>
    <cellStyle name="asd 32 7 20" xfId="37391"/>
    <cellStyle name="asd 32 7 21" xfId="31745"/>
    <cellStyle name="asd 32 7 22" xfId="39197"/>
    <cellStyle name="asd 32 7 23" xfId="43661"/>
    <cellStyle name="asd 32 7 3" xfId="6086"/>
    <cellStyle name="asd 32 7 4" xfId="7536"/>
    <cellStyle name="asd 32 7 5" xfId="9446"/>
    <cellStyle name="asd 32 7 6" xfId="11874"/>
    <cellStyle name="asd 32 7 7" xfId="14383"/>
    <cellStyle name="asd 32 7 8" xfId="16289"/>
    <cellStyle name="asd 32 7 9" xfId="17065"/>
    <cellStyle name="asd 32 8" xfId="2278"/>
    <cellStyle name="asd 32 9" xfId="2148"/>
    <cellStyle name="asd 33" xfId="925"/>
    <cellStyle name="asd 33 10" xfId="6208"/>
    <cellStyle name="asd 33 11" xfId="2307"/>
    <cellStyle name="asd 33 12" xfId="3277"/>
    <cellStyle name="asd 33 13" xfId="2139"/>
    <cellStyle name="asd 33 14" xfId="4862"/>
    <cellStyle name="asd 33 15" xfId="3722"/>
    <cellStyle name="asd 33 16" xfId="3159"/>
    <cellStyle name="asd 33 17" xfId="9011"/>
    <cellStyle name="asd 33 18" xfId="24249"/>
    <cellStyle name="asd 33 19" xfId="1973"/>
    <cellStyle name="asd 33 2" xfId="3386"/>
    <cellStyle name="asd 33 2 10" xfId="12831"/>
    <cellStyle name="asd 33 2 11" xfId="14736"/>
    <cellStyle name="asd 33 2 12" xfId="16714"/>
    <cellStyle name="asd 33 2 13" xfId="18621"/>
    <cellStyle name="asd 33 2 14" xfId="20533"/>
    <cellStyle name="asd 33 2 15" xfId="22364"/>
    <cellStyle name="asd 33 2 16" xfId="24335"/>
    <cellStyle name="asd 33 2 17" xfId="26711"/>
    <cellStyle name="asd 33 2 18" xfId="28216"/>
    <cellStyle name="asd 33 2 19" xfId="30311"/>
    <cellStyle name="asd 33 2 2" xfId="3566"/>
    <cellStyle name="asd 33 2 2 10" xfId="17457"/>
    <cellStyle name="asd 33 2 2 11" xfId="19363"/>
    <cellStyle name="asd 33 2 2 12" xfId="21275"/>
    <cellStyle name="asd 33 2 2 13" xfId="24202"/>
    <cellStyle name="asd 33 2 2 14" xfId="25077"/>
    <cellStyle name="asd 33 2 2 15" xfId="12793"/>
    <cellStyle name="asd 33 2 2 16" xfId="28272"/>
    <cellStyle name="asd 33 2 2 17" xfId="28609"/>
    <cellStyle name="asd 33 2 2 18" xfId="14692"/>
    <cellStyle name="asd 33 2 2 19" xfId="33825"/>
    <cellStyle name="asd 33 2 2 2" xfId="5727"/>
    <cellStyle name="asd 33 2 2 2 10" xfId="21977"/>
    <cellStyle name="asd 33 2 2 2 11" xfId="24120"/>
    <cellStyle name="asd 33 2 2 2 12" xfId="25779"/>
    <cellStyle name="asd 33 2 2 2 13" xfId="26292"/>
    <cellStyle name="asd 33 2 2 2 14" xfId="28692"/>
    <cellStyle name="asd 33 2 2 2 15" xfId="29901"/>
    <cellStyle name="asd 33 2 2 2 16" xfId="32429"/>
    <cellStyle name="asd 33 2 2 2 17" xfId="34135"/>
    <cellStyle name="asd 33 2 2 2 18" xfId="36606"/>
    <cellStyle name="asd 33 2 2 2 19" xfId="38485"/>
    <cellStyle name="asd 33 2 2 2 2" xfId="7176"/>
    <cellStyle name="asd 33 2 2 2 20" xfId="39646"/>
    <cellStyle name="asd 33 2 2 2 21" xfId="41320"/>
    <cellStyle name="asd 33 2 2 2 22" xfId="43863"/>
    <cellStyle name="asd 33 2 2 2 3" xfId="8630"/>
    <cellStyle name="asd 33 2 2 2 4" xfId="10540"/>
    <cellStyle name="asd 33 2 2 2 5" xfId="12080"/>
    <cellStyle name="asd 33 2 2 2 6" xfId="14591"/>
    <cellStyle name="asd 33 2 2 2 7" xfId="16497"/>
    <cellStyle name="asd 33 2 2 2 8" xfId="18159"/>
    <cellStyle name="asd 33 2 2 2 9" xfId="20065"/>
    <cellStyle name="asd 33 2 2 20" xfId="35904"/>
    <cellStyle name="asd 33 2 2 21" xfId="37783"/>
    <cellStyle name="asd 33 2 2 22" xfId="30750"/>
    <cellStyle name="asd 33 2 2 23" xfId="18963"/>
    <cellStyle name="asd 33 2 2 24" xfId="43940"/>
    <cellStyle name="asd 33 2 2 3" xfId="5027"/>
    <cellStyle name="asd 33 2 2 4" xfId="6477"/>
    <cellStyle name="asd 33 2 2 5" xfId="7928"/>
    <cellStyle name="asd 33 2 2 6" xfId="9838"/>
    <cellStyle name="asd 33 2 2 7" xfId="12162"/>
    <cellStyle name="asd 33 2 2 8" xfId="14674"/>
    <cellStyle name="asd 33 2 2 9" xfId="16580"/>
    <cellStyle name="asd 33 2 20" xfId="32189"/>
    <cellStyle name="asd 33 2 21" xfId="34520"/>
    <cellStyle name="asd 33 2 22" xfId="35163"/>
    <cellStyle name="asd 33 2 23" xfId="37041"/>
    <cellStyle name="asd 33 2 24" xfId="39411"/>
    <cellStyle name="asd 33 2 25" xfId="41087"/>
    <cellStyle name="asd 33 2 26" xfId="42176"/>
    <cellStyle name="asd 33 2 3" xfId="3798"/>
    <cellStyle name="asd 33 2 3 10" xfId="19533"/>
    <cellStyle name="asd 33 2 3 11" xfId="21445"/>
    <cellStyle name="asd 33 2 3 12" xfId="23213"/>
    <cellStyle name="asd 33 2 3 13" xfId="25247"/>
    <cellStyle name="asd 33 2 3 14" xfId="27078"/>
    <cellStyle name="asd 33 2 3 15" xfId="28290"/>
    <cellStyle name="asd 33 2 3 16" xfId="30669"/>
    <cellStyle name="asd 33 2 3 17" xfId="32740"/>
    <cellStyle name="asd 33 2 3 18" xfId="34930"/>
    <cellStyle name="asd 33 2 3 19" xfId="36074"/>
    <cellStyle name="asd 33 2 3 2" xfId="5803"/>
    <cellStyle name="asd 33 2 3 2 10" xfId="22053"/>
    <cellStyle name="asd 33 2 3 2 11" xfId="23498"/>
    <cellStyle name="asd 33 2 3 2 12" xfId="25855"/>
    <cellStyle name="asd 33 2 3 2 13" xfId="27539"/>
    <cellStyle name="asd 33 2 3 2 14" xfId="28222"/>
    <cellStyle name="asd 33 2 3 2 15" xfId="31120"/>
    <cellStyle name="asd 33 2 3 2 16" xfId="32555"/>
    <cellStyle name="asd 33 2 3 2 17" xfId="33918"/>
    <cellStyle name="asd 33 2 3 2 18" xfId="36682"/>
    <cellStyle name="asd 33 2 3 2 19" xfId="38561"/>
    <cellStyle name="asd 33 2 3 2 2" xfId="7252"/>
    <cellStyle name="asd 33 2 3 2 20" xfId="39768"/>
    <cellStyle name="asd 33 2 3 2 21" xfId="41438"/>
    <cellStyle name="asd 33 2 3 2 22" xfId="43264"/>
    <cellStyle name="asd 33 2 3 2 3" xfId="8706"/>
    <cellStyle name="asd 33 2 3 2 4" xfId="10616"/>
    <cellStyle name="asd 33 2 3 2 5" xfId="12451"/>
    <cellStyle name="asd 33 2 3 2 6" xfId="13970"/>
    <cellStyle name="asd 33 2 3 2 7" xfId="15871"/>
    <cellStyle name="asd 33 2 3 2 8" xfId="18235"/>
    <cellStyle name="asd 33 2 3 2 9" xfId="20141"/>
    <cellStyle name="asd 33 2 3 20" xfId="37953"/>
    <cellStyle name="asd 33 2 3 21" xfId="39948"/>
    <cellStyle name="asd 33 2 3 22" xfId="41614"/>
    <cellStyle name="asd 33 2 3 23" xfId="42991"/>
    <cellStyle name="asd 33 2 3 3" xfId="5197"/>
    <cellStyle name="asd 33 2 3 4" xfId="8098"/>
    <cellStyle name="asd 33 2 3 5" xfId="10008"/>
    <cellStyle name="asd 33 2 3 6" xfId="11085"/>
    <cellStyle name="asd 33 2 3 7" xfId="13685"/>
    <cellStyle name="asd 33 2 3 8" xfId="15587"/>
    <cellStyle name="asd 33 2 3 9" xfId="17627"/>
    <cellStyle name="asd 33 2 4" xfId="4018"/>
    <cellStyle name="asd 33 2 4 10" xfId="19653"/>
    <cellStyle name="asd 33 2 4 11" xfId="21565"/>
    <cellStyle name="asd 33 2 4 12" xfId="22454"/>
    <cellStyle name="asd 33 2 4 13" xfId="25367"/>
    <cellStyle name="asd 33 2 4 14" xfId="26287"/>
    <cellStyle name="asd 33 2 4 15" xfId="28480"/>
    <cellStyle name="asd 33 2 4 16" xfId="29896"/>
    <cellStyle name="asd 33 2 4 17" xfId="33259"/>
    <cellStyle name="asd 33 2 4 18" xfId="33599"/>
    <cellStyle name="asd 33 2 4 19" xfId="36194"/>
    <cellStyle name="asd 33 2 4 2" xfId="5923"/>
    <cellStyle name="asd 33 2 4 2 10" xfId="22173"/>
    <cellStyle name="asd 33 2 4 2 11" xfId="23820"/>
    <cellStyle name="asd 33 2 4 2 12" xfId="25975"/>
    <cellStyle name="asd 33 2 4 2 13" xfId="27349"/>
    <cellStyle name="asd 33 2 4 2 14" xfId="29118"/>
    <cellStyle name="asd 33 2 4 2 15" xfId="30937"/>
    <cellStyle name="asd 33 2 4 2 16" xfId="31883"/>
    <cellStyle name="asd 33 2 4 2 17" xfId="34096"/>
    <cellStyle name="asd 33 2 4 2 18" xfId="36802"/>
    <cellStyle name="asd 33 2 4 2 19" xfId="38681"/>
    <cellStyle name="asd 33 2 4 2 2" xfId="7372"/>
    <cellStyle name="asd 33 2 4 2 20" xfId="39118"/>
    <cellStyle name="asd 33 2 4 2 21" xfId="40799"/>
    <cellStyle name="asd 33 2 4 2 22" xfId="43571"/>
    <cellStyle name="asd 33 2 4 2 3" xfId="8826"/>
    <cellStyle name="asd 33 2 4 2 4" xfId="10736"/>
    <cellStyle name="asd 33 2 4 2 5" xfId="11650"/>
    <cellStyle name="asd 33 2 4 2 6" xfId="14290"/>
    <cellStyle name="asd 33 2 4 2 7" xfId="16194"/>
    <cellStyle name="asd 33 2 4 2 8" xfId="18355"/>
    <cellStyle name="asd 33 2 4 2 9" xfId="20261"/>
    <cellStyle name="asd 33 2 4 20" xfId="38073"/>
    <cellStyle name="asd 33 2 4 21" xfId="40445"/>
    <cellStyle name="asd 33 2 4 22" xfId="42100"/>
    <cellStyle name="asd 33 2 4 23" xfId="42265"/>
    <cellStyle name="asd 33 2 4 3" xfId="6764"/>
    <cellStyle name="asd 33 2 4 4" xfId="8218"/>
    <cellStyle name="asd 33 2 4 5" xfId="10128"/>
    <cellStyle name="asd 33 2 4 6" xfId="11352"/>
    <cellStyle name="asd 33 2 4 7" xfId="12922"/>
    <cellStyle name="asd 33 2 4 8" xfId="14827"/>
    <cellStyle name="asd 33 2 4 9" xfId="17747"/>
    <cellStyle name="asd 33 2 5" xfId="4887"/>
    <cellStyle name="asd 33 2 5 10" xfId="21135"/>
    <cellStyle name="asd 33 2 5 11" xfId="2863"/>
    <cellStyle name="asd 33 2 5 12" xfId="24937"/>
    <cellStyle name="asd 33 2 5 13" xfId="26156"/>
    <cellStyle name="asd 33 2 5 14" xfId="2387"/>
    <cellStyle name="asd 33 2 5 15" xfId="29770"/>
    <cellStyle name="asd 33 2 5 16" xfId="3289"/>
    <cellStyle name="asd 33 2 5 17" xfId="33603"/>
    <cellStyle name="asd 33 2 5 18" xfId="35764"/>
    <cellStyle name="asd 33 2 5 19" xfId="37643"/>
    <cellStyle name="asd 33 2 5 2" xfId="6337"/>
    <cellStyle name="asd 33 2 5 20" xfId="4174"/>
    <cellStyle name="asd 33 2 5 21" xfId="29024"/>
    <cellStyle name="asd 33 2 5 22" xfId="29260"/>
    <cellStyle name="asd 33 2 5 3" xfId="7788"/>
    <cellStyle name="asd 33 2 5 4" xfId="9698"/>
    <cellStyle name="asd 33 2 5 5" xfId="12421"/>
    <cellStyle name="asd 33 2 5 6" xfId="3106"/>
    <cellStyle name="asd 33 2 5 7" xfId="2533"/>
    <cellStyle name="asd 33 2 5 8" xfId="17317"/>
    <cellStyle name="asd 33 2 5 9" xfId="19223"/>
    <cellStyle name="asd 33 2 6" xfId="5595"/>
    <cellStyle name="asd 33 2 6 10" xfId="21845"/>
    <cellStyle name="asd 33 2 6 11" xfId="24071"/>
    <cellStyle name="asd 33 2 6 12" xfId="25647"/>
    <cellStyle name="asd 33 2 6 13" xfId="27903"/>
    <cellStyle name="asd 33 2 6 14" xfId="28955"/>
    <cellStyle name="asd 33 2 6 15" xfId="31485"/>
    <cellStyle name="asd 33 2 6 16" xfId="33110"/>
    <cellStyle name="asd 33 2 6 17" xfId="34273"/>
    <cellStyle name="asd 33 2 6 18" xfId="36474"/>
    <cellStyle name="asd 33 2 6 19" xfId="38353"/>
    <cellStyle name="asd 33 2 6 2" xfId="7044"/>
    <cellStyle name="asd 33 2 6 20" xfId="40305"/>
    <cellStyle name="asd 33 2 6 21" xfId="41961"/>
    <cellStyle name="asd 33 2 6 22" xfId="43815"/>
    <cellStyle name="asd 33 2 6 3" xfId="8498"/>
    <cellStyle name="asd 33 2 6 4" xfId="10408"/>
    <cellStyle name="asd 33 2 6 5" xfId="12030"/>
    <cellStyle name="asd 33 2 6 6" xfId="14541"/>
    <cellStyle name="asd 33 2 6 7" xfId="16447"/>
    <cellStyle name="asd 33 2 6 8" xfId="18027"/>
    <cellStyle name="asd 33 2 6 9" xfId="19933"/>
    <cellStyle name="asd 33 2 7" xfId="3731"/>
    <cellStyle name="asd 33 2 8" xfId="9095"/>
    <cellStyle name="asd 33 2 9" xfId="11586"/>
    <cellStyle name="asd 33 20" xfId="29044"/>
    <cellStyle name="asd 33 21" xfId="28776"/>
    <cellStyle name="asd 33 22" xfId="24227"/>
    <cellStyle name="asd 33 23" xfId="8963"/>
    <cellStyle name="asd 33 24" xfId="29558"/>
    <cellStyle name="asd 33 25" xfId="31568"/>
    <cellStyle name="asd 33 26" xfId="36944"/>
    <cellStyle name="asd 33 27" xfId="28198"/>
    <cellStyle name="asd 33 3" xfId="3464"/>
    <cellStyle name="asd 33 3 10" xfId="13626"/>
    <cellStyle name="asd 33 3 11" xfId="15529"/>
    <cellStyle name="asd 33 3 12" xfId="16877"/>
    <cellStyle name="asd 33 3 13" xfId="18784"/>
    <cellStyle name="asd 33 3 14" xfId="20696"/>
    <cellStyle name="asd 33 3 15" xfId="23155"/>
    <cellStyle name="asd 33 3 16" xfId="24498"/>
    <cellStyle name="asd 33 3 17" xfId="26717"/>
    <cellStyle name="asd 33 3 18" xfId="26924"/>
    <cellStyle name="asd 33 3 19" xfId="30317"/>
    <cellStyle name="asd 33 3 2" xfId="3644"/>
    <cellStyle name="asd 33 3 2 10" xfId="17535"/>
    <cellStyle name="asd 33 3 2 11" xfId="19441"/>
    <cellStyle name="asd 33 3 2 12" xfId="21353"/>
    <cellStyle name="asd 33 3 2 13" xfId="23344"/>
    <cellStyle name="asd 33 3 2 14" xfId="25155"/>
    <cellStyle name="asd 33 3 2 15" xfId="27626"/>
    <cellStyle name="asd 33 3 2 16" xfId="2519"/>
    <cellStyle name="asd 33 3 2 17" xfId="31204"/>
    <cellStyle name="asd 33 3 2 18" xfId="33321"/>
    <cellStyle name="asd 33 3 2 19" xfId="29758"/>
    <cellStyle name="asd 33 3 2 2" xfId="4613"/>
    <cellStyle name="asd 33 3 2 2 10" xfId="20858"/>
    <cellStyle name="asd 33 3 2 2 11" xfId="23974"/>
    <cellStyle name="asd 33 3 2 2 12" xfId="24660"/>
    <cellStyle name="asd 33 3 2 2 13" xfId="27757"/>
    <cellStyle name="asd 33 3 2 2 14" xfId="29716"/>
    <cellStyle name="asd 33 3 2 2 15" xfId="31336"/>
    <cellStyle name="asd 33 3 2 2 16" xfId="31646"/>
    <cellStyle name="asd 33 3 2 2 17" xfId="34159"/>
    <cellStyle name="asd 33 3 2 2 18" xfId="35488"/>
    <cellStyle name="asd 33 3 2 2 19" xfId="37366"/>
    <cellStyle name="asd 33 3 2 2 2" xfId="6061"/>
    <cellStyle name="asd 33 3 2 2 20" xfId="38891"/>
    <cellStyle name="asd 33 3 2 2 21" xfId="40576"/>
    <cellStyle name="asd 33 3 2 2 22" xfId="43719"/>
    <cellStyle name="asd 33 3 2 2 3" xfId="7510"/>
    <cellStyle name="asd 33 3 2 2 4" xfId="9420"/>
    <cellStyle name="asd 33 3 2 2 5" xfId="11934"/>
    <cellStyle name="asd 33 3 2 2 6" xfId="14444"/>
    <cellStyle name="asd 33 3 2 2 7" xfId="16350"/>
    <cellStyle name="asd 33 3 2 2 8" xfId="17039"/>
    <cellStyle name="asd 33 3 2 2 9" xfId="18946"/>
    <cellStyle name="asd 33 3 2 20" xfId="35982"/>
    <cellStyle name="asd 33 3 2 21" xfId="37861"/>
    <cellStyle name="asd 33 3 2 22" xfId="40501"/>
    <cellStyle name="asd 33 3 2 23" xfId="42153"/>
    <cellStyle name="asd 33 3 2 24" xfId="43114"/>
    <cellStyle name="asd 33 3 2 3" xfId="5105"/>
    <cellStyle name="asd 33 3 2 4" xfId="6555"/>
    <cellStyle name="asd 33 3 2 5" xfId="8006"/>
    <cellStyle name="asd 33 3 2 6" xfId="9916"/>
    <cellStyle name="asd 33 3 2 7" xfId="12267"/>
    <cellStyle name="asd 33 3 2 8" xfId="13816"/>
    <cellStyle name="asd 33 3 2 9" xfId="15718"/>
    <cellStyle name="asd 33 3 20" xfId="33322"/>
    <cellStyle name="asd 33 3 21" xfId="29801"/>
    <cellStyle name="asd 33 3 22" xfId="35326"/>
    <cellStyle name="asd 33 3 23" xfId="37204"/>
    <cellStyle name="asd 33 3 24" xfId="40502"/>
    <cellStyle name="asd 33 3 25" xfId="42154"/>
    <cellStyle name="asd 33 3 26" xfId="42933"/>
    <cellStyle name="asd 33 3 3" xfId="3847"/>
    <cellStyle name="asd 33 3 3 10" xfId="19569"/>
    <cellStyle name="asd 33 3 3 11" xfId="21481"/>
    <cellStyle name="asd 33 3 3 12" xfId="23133"/>
    <cellStyle name="asd 33 3 3 13" xfId="25283"/>
    <cellStyle name="asd 33 3 3 14" xfId="27017"/>
    <cellStyle name="asd 33 3 3 15" xfId="3255"/>
    <cellStyle name="asd 33 3 3 16" xfId="30610"/>
    <cellStyle name="asd 33 3 3 17" xfId="32342"/>
    <cellStyle name="asd 33 3 3 18" xfId="34929"/>
    <cellStyle name="asd 33 3 3 19" xfId="36110"/>
    <cellStyle name="asd 33 3 3 2" xfId="5839"/>
    <cellStyle name="asd 33 3 3 2 10" xfId="22089"/>
    <cellStyle name="asd 33 3 3 2 11" xfId="22624"/>
    <cellStyle name="asd 33 3 3 2 12" xfId="25891"/>
    <cellStyle name="asd 33 3 3 2 13" xfId="27721"/>
    <cellStyle name="asd 33 3 3 2 14" xfId="28784"/>
    <cellStyle name="asd 33 3 3 2 15" xfId="31299"/>
    <cellStyle name="asd 33 3 3 2 16" xfId="32894"/>
    <cellStyle name="asd 33 3 3 2 17" xfId="34802"/>
    <cellStyle name="asd 33 3 3 2 18" xfId="36718"/>
    <cellStyle name="asd 33 3 3 2 19" xfId="38597"/>
    <cellStyle name="asd 33 3 3 2 2" xfId="7288"/>
    <cellStyle name="asd 33 3 3 2 20" xfId="40098"/>
    <cellStyle name="asd 33 3 3 2 21" xfId="41760"/>
    <cellStyle name="asd 33 3 3 2 22" xfId="42430"/>
    <cellStyle name="asd 33 3 3 2 3" xfId="8742"/>
    <cellStyle name="asd 33 3 3 2 4" xfId="10652"/>
    <cellStyle name="asd 33 3 3 2 5" xfId="11840"/>
    <cellStyle name="asd 33 3 3 2 6" xfId="13091"/>
    <cellStyle name="asd 33 3 3 2 7" xfId="14996"/>
    <cellStyle name="asd 33 3 3 2 8" xfId="18271"/>
    <cellStyle name="asd 33 3 3 2 9" xfId="20177"/>
    <cellStyle name="asd 33 3 3 20" xfId="37989"/>
    <cellStyle name="asd 33 3 3 21" xfId="39561"/>
    <cellStyle name="asd 33 3 3 22" xfId="41235"/>
    <cellStyle name="asd 33 3 3 23" xfId="42911"/>
    <cellStyle name="asd 33 3 3 3" xfId="5233"/>
    <cellStyle name="asd 33 3 3 4" xfId="8134"/>
    <cellStyle name="asd 33 3 3 5" xfId="10044"/>
    <cellStyle name="asd 33 3 3 6" xfId="12757"/>
    <cellStyle name="asd 33 3 3 7" xfId="13604"/>
    <cellStyle name="asd 33 3 3 8" xfId="15507"/>
    <cellStyle name="asd 33 3 3 9" xfId="17663"/>
    <cellStyle name="asd 33 3 4" xfId="4096"/>
    <cellStyle name="asd 33 3 4 10" xfId="19731"/>
    <cellStyle name="asd 33 3 4 11" xfId="21643"/>
    <cellStyle name="asd 33 3 4 12" xfId="23271"/>
    <cellStyle name="asd 33 3 4 13" xfId="25445"/>
    <cellStyle name="asd 33 3 4 14" xfId="26198"/>
    <cellStyle name="asd 33 3 4 15" xfId="28477"/>
    <cellStyle name="asd 33 3 4 16" xfId="29811"/>
    <cellStyle name="asd 33 3 4 17" xfId="33094"/>
    <cellStyle name="asd 33 3 4 18" xfId="34780"/>
    <cellStyle name="asd 33 3 4 19" xfId="36272"/>
    <cellStyle name="asd 33 3 4 2" xfId="6001"/>
    <cellStyle name="asd 33 3 4 2 10" xfId="22251"/>
    <cellStyle name="asd 33 3 4 2 11" xfId="23431"/>
    <cellStyle name="asd 33 3 4 2 12" xfId="26053"/>
    <cellStyle name="asd 33 3 4 2 13" xfId="16615"/>
    <cellStyle name="asd 33 3 4 2 14" xfId="23099"/>
    <cellStyle name="asd 33 3 4 2 15" xfId="24241"/>
    <cellStyle name="asd 33 3 4 2 16" xfId="2289"/>
    <cellStyle name="asd 33 3 4 2 17" xfId="32483"/>
    <cellStyle name="asd 33 3 4 2 18" xfId="36880"/>
    <cellStyle name="asd 33 3 4 2 19" xfId="38759"/>
    <cellStyle name="asd 33 3 4 2 2" xfId="7450"/>
    <cellStyle name="asd 33 3 4 2 20" xfId="26463"/>
    <cellStyle name="asd 33 3 4 2 21" xfId="31577"/>
    <cellStyle name="asd 33 3 4 2 22" xfId="43198"/>
    <cellStyle name="asd 33 3 4 2 3" xfId="8904"/>
    <cellStyle name="asd 33 3 4 2 4" xfId="10814"/>
    <cellStyle name="asd 33 3 4 2 5" xfId="12490"/>
    <cellStyle name="asd 33 3 4 2 6" xfId="13903"/>
    <cellStyle name="asd 33 3 4 2 7" xfId="15804"/>
    <cellStyle name="asd 33 3 4 2 8" xfId="18433"/>
    <cellStyle name="asd 33 3 4 2 9" xfId="20339"/>
    <cellStyle name="asd 33 3 4 20" xfId="38151"/>
    <cellStyle name="asd 33 3 4 21" xfId="40290"/>
    <cellStyle name="asd 33 3 4 22" xfId="41946"/>
    <cellStyle name="asd 33 3 4 23" xfId="43047"/>
    <cellStyle name="asd 33 3 4 3" xfId="6842"/>
    <cellStyle name="asd 33 3 4 4" xfId="8296"/>
    <cellStyle name="asd 33 3 4 5" xfId="10206"/>
    <cellStyle name="asd 33 3 4 6" xfId="11206"/>
    <cellStyle name="asd 33 3 4 7" xfId="13743"/>
    <cellStyle name="asd 33 3 4 8" xfId="15645"/>
    <cellStyle name="asd 33 3 4 9" xfId="17825"/>
    <cellStyle name="asd 33 3 5" xfId="4949"/>
    <cellStyle name="asd 33 3 5 10" xfId="21197"/>
    <cellStyle name="asd 33 3 5 11" xfId="23416"/>
    <cellStyle name="asd 33 3 5 12" xfId="24999"/>
    <cellStyle name="asd 33 3 5 13" xfId="27336"/>
    <cellStyle name="asd 33 3 5 14" xfId="28453"/>
    <cellStyle name="asd 33 3 5 15" xfId="30925"/>
    <cellStyle name="asd 33 3 5 16" xfId="32802"/>
    <cellStyle name="asd 33 3 5 17" xfId="34294"/>
    <cellStyle name="asd 33 3 5 18" xfId="35826"/>
    <cellStyle name="asd 33 3 5 19" xfId="37705"/>
    <cellStyle name="asd 33 3 5 2" xfId="6399"/>
    <cellStyle name="asd 33 3 5 20" xfId="40011"/>
    <cellStyle name="asd 33 3 5 21" xfId="41675"/>
    <cellStyle name="asd 33 3 5 22" xfId="43183"/>
    <cellStyle name="asd 33 3 5 3" xfId="7850"/>
    <cellStyle name="asd 33 3 5 4" xfId="9760"/>
    <cellStyle name="asd 33 3 5 5" xfId="12331"/>
    <cellStyle name="asd 33 3 5 6" xfId="13888"/>
    <cellStyle name="asd 33 3 5 7" xfId="15789"/>
    <cellStyle name="asd 33 3 5 8" xfId="17379"/>
    <cellStyle name="asd 33 3 5 9" xfId="19285"/>
    <cellStyle name="asd 33 3 6" xfId="4337"/>
    <cellStyle name="asd 33 3 6 10" xfId="20505"/>
    <cellStyle name="asd 33 3 6 11" xfId="23853"/>
    <cellStyle name="asd 33 3 6 12" xfId="24307"/>
    <cellStyle name="asd 33 3 6 13" xfId="27254"/>
    <cellStyle name="asd 33 3 6 14" xfId="28741"/>
    <cellStyle name="asd 33 3 6 15" xfId="30845"/>
    <cellStyle name="asd 33 3 6 16" xfId="32003"/>
    <cellStyle name="asd 33 3 6 17" xfId="34248"/>
    <cellStyle name="asd 33 3 6 18" xfId="35135"/>
    <cellStyle name="asd 33 3 6 19" xfId="37013"/>
    <cellStyle name="asd 33 3 6 2" xfId="5430"/>
    <cellStyle name="asd 33 3 6 20" xfId="39234"/>
    <cellStyle name="asd 33 3 6 21" xfId="40911"/>
    <cellStyle name="asd 33 3 6 22" xfId="43604"/>
    <cellStyle name="asd 33 3 6 3" xfId="6704"/>
    <cellStyle name="asd 33 3 6 4" xfId="9067"/>
    <cellStyle name="asd 33 3 6 5" xfId="11774"/>
    <cellStyle name="asd 33 3 6 6" xfId="14323"/>
    <cellStyle name="asd 33 3 6 7" xfId="16227"/>
    <cellStyle name="asd 33 3 6 8" xfId="16686"/>
    <cellStyle name="asd 33 3 6 9" xfId="18593"/>
    <cellStyle name="asd 33 3 7" xfId="4770"/>
    <cellStyle name="asd 33 3 8" xfId="9258"/>
    <cellStyle name="asd 33 3 9" xfId="10953"/>
    <cellStyle name="asd 33 4" xfId="3424"/>
    <cellStyle name="asd 33 4 10" xfId="14743"/>
    <cellStyle name="asd 33 4 11" xfId="16796"/>
    <cellStyle name="asd 33 4 12" xfId="18703"/>
    <cellStyle name="asd 33 4 13" xfId="20615"/>
    <cellStyle name="asd 33 4 14" xfId="22371"/>
    <cellStyle name="asd 33 4 15" xfId="24417"/>
    <cellStyle name="asd 33 4 16" xfId="27118"/>
    <cellStyle name="asd 33 4 17" xfId="29460"/>
    <cellStyle name="asd 33 4 18" xfId="30709"/>
    <cellStyle name="asd 33 4 19" xfId="33220"/>
    <cellStyle name="asd 33 4 2" xfId="3604"/>
    <cellStyle name="asd 33 4 2 10" xfId="17495"/>
    <cellStyle name="asd 33 4 2 11" xfId="19401"/>
    <cellStyle name="asd 33 4 2 12" xfId="21313"/>
    <cellStyle name="asd 33 4 2 13" xfId="23284"/>
    <cellStyle name="asd 33 4 2 14" xfId="25115"/>
    <cellStyle name="asd 33 4 2 15" xfId="27357"/>
    <cellStyle name="asd 33 4 2 16" xfId="28897"/>
    <cellStyle name="asd 33 4 2 17" xfId="30946"/>
    <cellStyle name="asd 33 4 2 18" xfId="33192"/>
    <cellStyle name="asd 33 4 2 19" xfId="34726"/>
    <cellStyle name="asd 33 4 2 2" xfId="5694"/>
    <cellStyle name="asd 33 4 2 2 10" xfId="21944"/>
    <cellStyle name="asd 33 4 2 2 11" xfId="24191"/>
    <cellStyle name="asd 33 4 2 2 12" xfId="25746"/>
    <cellStyle name="asd 33 4 2 2 13" xfId="3145"/>
    <cellStyle name="asd 33 4 2 2 14" xfId="20404"/>
    <cellStyle name="asd 33 4 2 2 15" xfId="24205"/>
    <cellStyle name="asd 33 4 2 2 16" xfId="29740"/>
    <cellStyle name="asd 33 4 2 2 17" xfId="29509"/>
    <cellStyle name="asd 33 4 2 2 18" xfId="36573"/>
    <cellStyle name="asd 33 4 2 2 19" xfId="38452"/>
    <cellStyle name="asd 33 4 2 2 2" xfId="7143"/>
    <cellStyle name="asd 33 4 2 2 20" xfId="15956"/>
    <cellStyle name="asd 33 4 2 2 21" xfId="34620"/>
    <cellStyle name="asd 33 4 2 2 22" xfId="43929"/>
    <cellStyle name="asd 33 4 2 2 3" xfId="8597"/>
    <cellStyle name="asd 33 4 2 2 4" xfId="10507"/>
    <cellStyle name="asd 33 4 2 2 5" xfId="12151"/>
    <cellStyle name="asd 33 4 2 2 6" xfId="14663"/>
    <cellStyle name="asd 33 4 2 2 7" xfId="16569"/>
    <cellStyle name="asd 33 4 2 2 8" xfId="18126"/>
    <cellStyle name="asd 33 4 2 2 9" xfId="20032"/>
    <cellStyle name="asd 33 4 2 20" xfId="35942"/>
    <cellStyle name="asd 33 4 2 21" xfId="37821"/>
    <cellStyle name="asd 33 4 2 22" xfId="40383"/>
    <cellStyle name="asd 33 4 2 23" xfId="42039"/>
    <cellStyle name="asd 33 4 2 24" xfId="43060"/>
    <cellStyle name="asd 33 4 2 3" xfId="5065"/>
    <cellStyle name="asd 33 4 2 4" xfId="6515"/>
    <cellStyle name="asd 33 4 2 5" xfId="7966"/>
    <cellStyle name="asd 33 4 2 6" xfId="9876"/>
    <cellStyle name="asd 33 4 2 7" xfId="11234"/>
    <cellStyle name="asd 33 4 2 8" xfId="13756"/>
    <cellStyle name="asd 33 4 2 9" xfId="15658"/>
    <cellStyle name="asd 33 4 20" xfId="34018"/>
    <cellStyle name="asd 33 4 21" xfId="35245"/>
    <cellStyle name="asd 33 4 22" xfId="37123"/>
    <cellStyle name="asd 33 4 23" xfId="40410"/>
    <cellStyle name="asd 33 4 24" xfId="42066"/>
    <cellStyle name="asd 33 4 25" xfId="42183"/>
    <cellStyle name="asd 33 4 3" xfId="3885"/>
    <cellStyle name="asd 33 4 3 10" xfId="19594"/>
    <cellStyle name="asd 33 4 3 11" xfId="21506"/>
    <cellStyle name="asd 33 4 3 12" xfId="24113"/>
    <cellStyle name="asd 33 4 3 13" xfId="25308"/>
    <cellStyle name="asd 33 4 3 14" xfId="27292"/>
    <cellStyle name="asd 33 4 3 15" xfId="4213"/>
    <cellStyle name="asd 33 4 3 16" xfId="30883"/>
    <cellStyle name="asd 33 4 3 17" xfId="33211"/>
    <cellStyle name="asd 33 4 3 18" xfId="33864"/>
    <cellStyle name="asd 33 4 3 19" xfId="36135"/>
    <cellStyle name="asd 33 4 3 2" xfId="5864"/>
    <cellStyle name="asd 33 4 3 2 10" xfId="22114"/>
    <cellStyle name="asd 33 4 3 2 11" xfId="23225"/>
    <cellStyle name="asd 33 4 3 2 12" xfId="25916"/>
    <cellStyle name="asd 33 4 3 2 13" xfId="26837"/>
    <cellStyle name="asd 33 4 3 2 14" xfId="28363"/>
    <cellStyle name="asd 33 4 3 2 15" xfId="30435"/>
    <cellStyle name="asd 33 4 3 2 16" xfId="32198"/>
    <cellStyle name="asd 33 4 3 2 17" xfId="34057"/>
    <cellStyle name="asd 33 4 3 2 18" xfId="36743"/>
    <cellStyle name="asd 33 4 3 2 19" xfId="38622"/>
    <cellStyle name="asd 33 4 3 2 2" xfId="7313"/>
    <cellStyle name="asd 33 4 3 2 20" xfId="39420"/>
    <cellStyle name="asd 33 4 3 2 21" xfId="41096"/>
    <cellStyle name="asd 33 4 3 2 22" xfId="43002"/>
    <cellStyle name="asd 33 4 3 2 3" xfId="8767"/>
    <cellStyle name="asd 33 4 3 2 4" xfId="10677"/>
    <cellStyle name="asd 33 4 3 2 5" xfId="11104"/>
    <cellStyle name="asd 33 4 3 2 6" xfId="13697"/>
    <cellStyle name="asd 33 4 3 2 7" xfId="15599"/>
    <cellStyle name="asd 33 4 3 2 8" xfId="18296"/>
    <cellStyle name="asd 33 4 3 2 9" xfId="20202"/>
    <cellStyle name="asd 33 4 3 20" xfId="38014"/>
    <cellStyle name="asd 33 4 3 21" xfId="40400"/>
    <cellStyle name="asd 33 4 3 22" xfId="42056"/>
    <cellStyle name="asd 33 4 3 23" xfId="43856"/>
    <cellStyle name="asd 33 4 3 3" xfId="5258"/>
    <cellStyle name="asd 33 4 3 4" xfId="8159"/>
    <cellStyle name="asd 33 4 3 5" xfId="10069"/>
    <cellStyle name="asd 33 4 3 6" xfId="12073"/>
    <cellStyle name="asd 33 4 3 7" xfId="14584"/>
    <cellStyle name="asd 33 4 3 8" xfId="16490"/>
    <cellStyle name="asd 33 4 3 9" xfId="17688"/>
    <cellStyle name="asd 33 4 4" xfId="4056"/>
    <cellStyle name="asd 33 4 4 10" xfId="19691"/>
    <cellStyle name="asd 33 4 4 11" xfId="21603"/>
    <cellStyle name="asd 33 4 4 12" xfId="22919"/>
    <cellStyle name="asd 33 4 4 13" xfId="25405"/>
    <cellStyle name="asd 33 4 4 14" xfId="26566"/>
    <cellStyle name="asd 33 4 4 15" xfId="28088"/>
    <cellStyle name="asd 33 4 4 16" xfId="30168"/>
    <cellStyle name="asd 33 4 4 17" xfId="33082"/>
    <cellStyle name="asd 33 4 4 18" xfId="34079"/>
    <cellStyle name="asd 33 4 4 19" xfId="36232"/>
    <cellStyle name="asd 33 4 4 2" xfId="5961"/>
    <cellStyle name="asd 33 4 4 2 10" xfId="22211"/>
    <cellStyle name="asd 33 4 4 2 11" xfId="22817"/>
    <cellStyle name="asd 33 4 4 2 12" xfId="26013"/>
    <cellStyle name="asd 33 4 4 2 13" xfId="26741"/>
    <cellStyle name="asd 33 4 4 2 14" xfId="29542"/>
    <cellStyle name="asd 33 4 4 2 15" xfId="30341"/>
    <cellStyle name="asd 33 4 4 2 16" xfId="33185"/>
    <cellStyle name="asd 33 4 4 2 17" xfId="35030"/>
    <cellStyle name="asd 33 4 4 2 18" xfId="36840"/>
    <cellStyle name="asd 33 4 4 2 19" xfId="38719"/>
    <cellStyle name="asd 33 4 4 2 2" xfId="7410"/>
    <cellStyle name="asd 33 4 4 2 20" xfId="40376"/>
    <cellStyle name="asd 33 4 4 2 21" xfId="42032"/>
    <cellStyle name="asd 33 4 4 2 22" xfId="42610"/>
    <cellStyle name="asd 33 4 4 2 3" xfId="8864"/>
    <cellStyle name="asd 33 4 4 2 4" xfId="10774"/>
    <cellStyle name="asd 33 4 4 2 5" xfId="11337"/>
    <cellStyle name="asd 33 4 4 2 6" xfId="13287"/>
    <cellStyle name="asd 33 4 4 2 7" xfId="15191"/>
    <cellStyle name="asd 33 4 4 2 8" xfId="18393"/>
    <cellStyle name="asd 33 4 4 2 9" xfId="20299"/>
    <cellStyle name="asd 33 4 4 20" xfId="38111"/>
    <cellStyle name="asd 33 4 4 21" xfId="40278"/>
    <cellStyle name="asd 33 4 4 22" xfId="41934"/>
    <cellStyle name="asd 33 4 4 23" xfId="42705"/>
    <cellStyle name="asd 33 4 4 3" xfId="6802"/>
    <cellStyle name="asd 33 4 4 4" xfId="8256"/>
    <cellStyle name="asd 33 4 4 5" xfId="10166"/>
    <cellStyle name="asd 33 4 4 6" xfId="11118"/>
    <cellStyle name="asd 33 4 4 7" xfId="13387"/>
    <cellStyle name="asd 33 4 4 8" xfId="15292"/>
    <cellStyle name="asd 33 4 4 9" xfId="17785"/>
    <cellStyle name="asd 33 4 5" xfId="4414"/>
    <cellStyle name="asd 33 4 5 10" xfId="20658"/>
    <cellStyle name="asd 33 4 5 11" xfId="24139"/>
    <cellStyle name="asd 33 4 5 12" xfId="24460"/>
    <cellStyle name="asd 33 4 5 13" xfId="26768"/>
    <cellStyle name="asd 33 4 5 14" xfId="28511"/>
    <cellStyle name="asd 33 4 5 15" xfId="30367"/>
    <cellStyle name="asd 33 4 5 16" xfId="32067"/>
    <cellStyle name="asd 33 4 5 17" xfId="33411"/>
    <cellStyle name="asd 33 4 5 18" xfId="35288"/>
    <cellStyle name="asd 33 4 5 19" xfId="37166"/>
    <cellStyle name="asd 33 4 5 2" xfId="4484"/>
    <cellStyle name="asd 33 4 5 20" xfId="39293"/>
    <cellStyle name="asd 33 4 5 21" xfId="40969"/>
    <cellStyle name="asd 33 4 5 22" xfId="43882"/>
    <cellStyle name="asd 33 4 5 3" xfId="5318"/>
    <cellStyle name="asd 33 4 5 4" xfId="9220"/>
    <cellStyle name="asd 33 4 5 5" xfId="12099"/>
    <cellStyle name="asd 33 4 5 6" xfId="14610"/>
    <cellStyle name="asd 33 4 5 7" xfId="16516"/>
    <cellStyle name="asd 33 4 5 8" xfId="16839"/>
    <cellStyle name="asd 33 4 5 9" xfId="18746"/>
    <cellStyle name="asd 33 4 6" xfId="6159"/>
    <cellStyle name="asd 33 4 7" xfId="9177"/>
    <cellStyle name="asd 33 4 8" xfId="12603"/>
    <cellStyle name="asd 33 4 9" xfId="12838"/>
    <cellStyle name="asd 33 5" xfId="1883"/>
    <cellStyle name="asd 33 5 10" xfId="17075"/>
    <cellStyle name="asd 33 5 11" xfId="18981"/>
    <cellStyle name="asd 33 5 12" xfId="20893"/>
    <cellStyle name="asd 33 5 13" xfId="23204"/>
    <cellStyle name="asd 33 5 14" xfId="24695"/>
    <cellStyle name="asd 33 5 15" xfId="26664"/>
    <cellStyle name="asd 33 5 16" xfId="29261"/>
    <cellStyle name="asd 33 5 17" xfId="30264"/>
    <cellStyle name="asd 33 5 18" xfId="32772"/>
    <cellStyle name="asd 33 5 19" xfId="34105"/>
    <cellStyle name="asd 33 5 2" xfId="5690"/>
    <cellStyle name="asd 33 5 2 10" xfId="21940"/>
    <cellStyle name="asd 33 5 2 11" xfId="23187"/>
    <cellStyle name="asd 33 5 2 12" xfId="25742"/>
    <cellStyle name="asd 33 5 2 13" xfId="27784"/>
    <cellStyle name="asd 33 5 2 14" xfId="29578"/>
    <cellStyle name="asd 33 5 2 15" xfId="31361"/>
    <cellStyle name="asd 33 5 2 16" xfId="32689"/>
    <cellStyle name="asd 33 5 2 17" xfId="34434"/>
    <cellStyle name="asd 33 5 2 18" xfId="36569"/>
    <cellStyle name="asd 33 5 2 19" xfId="38448"/>
    <cellStyle name="asd 33 5 2 2" xfId="7139"/>
    <cellStyle name="asd 33 5 2 20" xfId="39897"/>
    <cellStyle name="asd 33 5 2 21" xfId="41566"/>
    <cellStyle name="asd 33 5 2 22" xfId="42965"/>
    <cellStyle name="asd 33 5 2 3" xfId="8593"/>
    <cellStyle name="asd 33 5 2 4" xfId="10503"/>
    <cellStyle name="asd 33 5 2 5" xfId="11024"/>
    <cellStyle name="asd 33 5 2 6" xfId="13658"/>
    <cellStyle name="asd 33 5 2 7" xfId="15561"/>
    <cellStyle name="asd 33 5 2 8" xfId="18122"/>
    <cellStyle name="asd 33 5 2 9" xfId="20028"/>
    <cellStyle name="asd 33 5 20" xfId="35522"/>
    <cellStyle name="asd 33 5 21" xfId="37401"/>
    <cellStyle name="asd 33 5 22" xfId="39981"/>
    <cellStyle name="asd 33 5 23" xfId="41645"/>
    <cellStyle name="asd 33 5 24" xfId="42982"/>
    <cellStyle name="asd 33 5 3" xfId="4649"/>
    <cellStyle name="asd 33 5 4" xfId="6096"/>
    <cellStyle name="asd 33 5 5" xfId="7546"/>
    <cellStyle name="asd 33 5 6" xfId="9456"/>
    <cellStyle name="asd 33 5 7" xfId="11073"/>
    <cellStyle name="asd 33 5 8" xfId="13676"/>
    <cellStyle name="asd 33 5 9" xfId="15578"/>
    <cellStyle name="asd 33 6" xfId="2764"/>
    <cellStyle name="asd 33 6 10" xfId="19106"/>
    <cellStyle name="asd 33 6 11" xfId="21018"/>
    <cellStyle name="asd 33 6 12" xfId="23657"/>
    <cellStyle name="asd 33 6 13" xfId="24820"/>
    <cellStyle name="asd 33 6 14" xfId="27749"/>
    <cellStyle name="asd 33 6 15" xfId="28153"/>
    <cellStyle name="asd 33 6 16" xfId="31327"/>
    <cellStyle name="asd 33 6 17" xfId="31636"/>
    <cellStyle name="asd 33 6 18" xfId="34782"/>
    <cellStyle name="asd 33 6 19" xfId="35647"/>
    <cellStyle name="asd 33 6 2" xfId="5593"/>
    <cellStyle name="asd 33 6 2 10" xfId="21843"/>
    <cellStyle name="asd 33 6 2 11" xfId="23660"/>
    <cellStyle name="asd 33 6 2 12" xfId="25645"/>
    <cellStyle name="asd 33 6 2 13" xfId="27083"/>
    <cellStyle name="asd 33 6 2 14" xfId="2975"/>
    <cellStyle name="asd 33 6 2 15" xfId="30674"/>
    <cellStyle name="asd 33 6 2 16" xfId="31887"/>
    <cellStyle name="asd 33 6 2 17" xfId="35001"/>
    <cellStyle name="asd 33 6 2 18" xfId="36472"/>
    <cellStyle name="asd 33 6 2 19" xfId="38351"/>
    <cellStyle name="asd 33 6 2 2" xfId="7042"/>
    <cellStyle name="asd 33 6 2 20" xfId="39122"/>
    <cellStyle name="asd 33 6 2 21" xfId="40803"/>
    <cellStyle name="asd 33 6 2 22" xfId="43418"/>
    <cellStyle name="asd 33 6 2 3" xfId="8496"/>
    <cellStyle name="asd 33 6 2 4" xfId="10406"/>
    <cellStyle name="asd 33 6 2 5" xfId="11605"/>
    <cellStyle name="asd 33 6 2 6" xfId="14130"/>
    <cellStyle name="asd 33 6 2 7" xfId="16033"/>
    <cellStyle name="asd 33 6 2 8" xfId="18025"/>
    <cellStyle name="asd 33 6 2 9" xfId="19931"/>
    <cellStyle name="asd 33 6 20" xfId="37526"/>
    <cellStyle name="asd 33 6 21" xfId="38883"/>
    <cellStyle name="asd 33 6 22" xfId="40568"/>
    <cellStyle name="asd 33 6 23" xfId="43415"/>
    <cellStyle name="asd 33 6 3" xfId="4771"/>
    <cellStyle name="asd 33 6 4" xfId="7671"/>
    <cellStyle name="asd 33 6 5" xfId="9581"/>
    <cellStyle name="asd 33 6 6" xfId="11701"/>
    <cellStyle name="asd 33 6 7" xfId="14127"/>
    <cellStyle name="asd 33 6 8" xfId="16030"/>
    <cellStyle name="asd 33 6 9" xfId="17200"/>
    <cellStyle name="asd 33 7" xfId="3322"/>
    <cellStyle name="asd 33 7 10" xfId="19197"/>
    <cellStyle name="asd 33 7 11" xfId="21109"/>
    <cellStyle name="asd 33 7 12" xfId="22634"/>
    <cellStyle name="asd 33 7 13" xfId="24911"/>
    <cellStyle name="asd 33 7 14" xfId="27153"/>
    <cellStyle name="asd 33 7 15" xfId="29031"/>
    <cellStyle name="asd 33 7 16" xfId="30744"/>
    <cellStyle name="asd 33 7 17" xfId="32530"/>
    <cellStyle name="asd 33 7 18" xfId="34165"/>
    <cellStyle name="asd 33 7 19" xfId="35738"/>
    <cellStyle name="asd 33 7 2" xfId="5649"/>
    <cellStyle name="asd 33 7 2 10" xfId="21899"/>
    <cellStyle name="asd 33 7 2 11" xfId="23621"/>
    <cellStyle name="asd 33 7 2 12" xfId="25701"/>
    <cellStyle name="asd 33 7 2 13" xfId="26826"/>
    <cellStyle name="asd 33 7 2 14" xfId="28316"/>
    <cellStyle name="asd 33 7 2 15" xfId="30424"/>
    <cellStyle name="asd 33 7 2 16" xfId="31642"/>
    <cellStyle name="asd 33 7 2 17" xfId="34424"/>
    <cellStyle name="asd 33 7 2 18" xfId="36528"/>
    <cellStyle name="asd 33 7 2 19" xfId="38407"/>
    <cellStyle name="asd 33 7 2 2" xfId="7098"/>
    <cellStyle name="asd 33 7 2 20" xfId="38887"/>
    <cellStyle name="asd 33 7 2 21" xfId="40572"/>
    <cellStyle name="asd 33 7 2 22" xfId="43379"/>
    <cellStyle name="asd 33 7 2 3" xfId="8552"/>
    <cellStyle name="asd 33 7 2 4" xfId="10462"/>
    <cellStyle name="asd 33 7 2 5" xfId="11386"/>
    <cellStyle name="asd 33 7 2 6" xfId="14091"/>
    <cellStyle name="asd 33 7 2 7" xfId="15994"/>
    <cellStyle name="asd 33 7 2 8" xfId="18081"/>
    <cellStyle name="asd 33 7 2 9" xfId="19987"/>
    <cellStyle name="asd 33 7 20" xfId="37617"/>
    <cellStyle name="asd 33 7 21" xfId="39743"/>
    <cellStyle name="asd 33 7 22" xfId="41415"/>
    <cellStyle name="asd 33 7 23" xfId="42440"/>
    <cellStyle name="asd 33 7 3" xfId="6311"/>
    <cellStyle name="asd 33 7 4" xfId="7762"/>
    <cellStyle name="asd 33 7 5" xfId="9672"/>
    <cellStyle name="asd 33 7 6" xfId="12653"/>
    <cellStyle name="asd 33 7 7" xfId="13101"/>
    <cellStyle name="asd 33 7 8" xfId="15006"/>
    <cellStyle name="asd 33 7 9" xfId="17291"/>
    <cellStyle name="asd 33 8" xfId="1834"/>
    <cellStyle name="asd 33 9" xfId="3748"/>
    <cellStyle name="asd 34" xfId="933"/>
    <cellStyle name="asd 34 10" xfId="2674"/>
    <cellStyle name="asd 34 11" xfId="2153"/>
    <cellStyle name="asd 34 12" xfId="2135"/>
    <cellStyle name="asd 34 13" xfId="2354"/>
    <cellStyle name="asd 34 14" xfId="3231"/>
    <cellStyle name="asd 34 15" xfId="4360"/>
    <cellStyle name="asd 34 16" xfId="1944"/>
    <cellStyle name="asd 34 17" xfId="1763"/>
    <cellStyle name="asd 34 18" xfId="15232"/>
    <cellStyle name="asd 34 19" xfId="2413"/>
    <cellStyle name="asd 34 2" xfId="3401"/>
    <cellStyle name="asd 34 2 10" xfId="13729"/>
    <cellStyle name="asd 34 2 11" xfId="15631"/>
    <cellStyle name="asd 34 2 12" xfId="16745"/>
    <cellStyle name="asd 34 2 13" xfId="18652"/>
    <cellStyle name="asd 34 2 14" xfId="20564"/>
    <cellStyle name="asd 34 2 15" xfId="23257"/>
    <cellStyle name="asd 34 2 16" xfId="24366"/>
    <cellStyle name="asd 34 2 17" xfId="26246"/>
    <cellStyle name="asd 34 2 18" xfId="3978"/>
    <cellStyle name="asd 34 2 19" xfId="29856"/>
    <cellStyle name="asd 34 2 2" xfId="3581"/>
    <cellStyle name="asd 34 2 2 10" xfId="17472"/>
    <cellStyle name="asd 34 2 2 11" xfId="19378"/>
    <cellStyle name="asd 34 2 2 12" xfId="21290"/>
    <cellStyle name="asd 34 2 2 13" xfId="22650"/>
    <cellStyle name="asd 34 2 2 14" xfId="25092"/>
    <cellStyle name="asd 34 2 2 15" xfId="27433"/>
    <cellStyle name="asd 34 2 2 16" xfId="1819"/>
    <cellStyle name="asd 34 2 2 17" xfId="31019"/>
    <cellStyle name="asd 34 2 2 18" xfId="31806"/>
    <cellStyle name="asd 34 2 2 19" xfId="33383"/>
    <cellStyle name="asd 34 2 2 2" xfId="4494"/>
    <cellStyle name="asd 34 2 2 2 10" xfId="20739"/>
    <cellStyle name="asd 34 2 2 2 11" xfId="22507"/>
    <cellStyle name="asd 34 2 2 2 12" xfId="24541"/>
    <cellStyle name="asd 34 2 2 2 13" xfId="26931"/>
    <cellStyle name="asd 34 2 2 2 14" xfId="28490"/>
    <cellStyle name="asd 34 2 2 2 15" xfId="30525"/>
    <cellStyle name="asd 34 2 2 2 16" xfId="32124"/>
    <cellStyle name="asd 34 2 2 2 17" xfId="33721"/>
    <cellStyle name="asd 34 2 2 2 18" xfId="35369"/>
    <cellStyle name="asd 34 2 2 2 19" xfId="37247"/>
    <cellStyle name="asd 34 2 2 2 2" xfId="5346"/>
    <cellStyle name="asd 34 2 2 2 20" xfId="39347"/>
    <cellStyle name="asd 34 2 2 2 21" xfId="41023"/>
    <cellStyle name="asd 34 2 2 2 22" xfId="42317"/>
    <cellStyle name="asd 34 2 2 2 3" xfId="6690"/>
    <cellStyle name="asd 34 2 2 2 4" xfId="9301"/>
    <cellStyle name="asd 34 2 2 2 5" xfId="2355"/>
    <cellStyle name="asd 34 2 2 2 6" xfId="12975"/>
    <cellStyle name="asd 34 2 2 2 7" xfId="14879"/>
    <cellStyle name="asd 34 2 2 2 8" xfId="16920"/>
    <cellStyle name="asd 34 2 2 2 9" xfId="18827"/>
    <cellStyle name="asd 34 2 2 20" xfId="35919"/>
    <cellStyle name="asd 34 2 2 21" xfId="37798"/>
    <cellStyle name="asd 34 2 2 22" xfId="39044"/>
    <cellStyle name="asd 34 2 2 23" xfId="40726"/>
    <cellStyle name="asd 34 2 2 24" xfId="42456"/>
    <cellStyle name="asd 34 2 2 3" xfId="5042"/>
    <cellStyle name="asd 34 2 2 4" xfId="6492"/>
    <cellStyle name="asd 34 2 2 5" xfId="7943"/>
    <cellStyle name="asd 34 2 2 6" xfId="9853"/>
    <cellStyle name="asd 34 2 2 7" xfId="12260"/>
    <cellStyle name="asd 34 2 2 8" xfId="13117"/>
    <cellStyle name="asd 34 2 2 9" xfId="15022"/>
    <cellStyle name="asd 34 2 20" xfId="27517"/>
    <cellStyle name="asd 34 2 21" xfId="3349"/>
    <cellStyle name="asd 34 2 22" xfId="35194"/>
    <cellStyle name="asd 34 2 23" xfId="37072"/>
    <cellStyle name="asd 34 2 24" xfId="34460"/>
    <cellStyle name="asd 34 2 25" xfId="28154"/>
    <cellStyle name="asd 34 2 26" xfId="43033"/>
    <cellStyle name="asd 34 2 3" xfId="3867"/>
    <cellStyle name="asd 34 2 3 10" xfId="19581"/>
    <cellStyle name="asd 34 2 3 11" xfId="21493"/>
    <cellStyle name="asd 34 2 3 12" xfId="23934"/>
    <cellStyle name="asd 34 2 3 13" xfId="25295"/>
    <cellStyle name="asd 34 2 3 14" xfId="26187"/>
    <cellStyle name="asd 34 2 3 15" xfId="28714"/>
    <cellStyle name="asd 34 2 3 16" xfId="29799"/>
    <cellStyle name="asd 34 2 3 17" xfId="28256"/>
    <cellStyle name="asd 34 2 3 18" xfId="30405"/>
    <cellStyle name="asd 34 2 3 19" xfId="36122"/>
    <cellStyle name="asd 34 2 3 2" xfId="5851"/>
    <cellStyle name="asd 34 2 3 2 10" xfId="22101"/>
    <cellStyle name="asd 34 2 3 2 11" xfId="23454"/>
    <cellStyle name="asd 34 2 3 2 12" xfId="25903"/>
    <cellStyle name="asd 34 2 3 2 13" xfId="26431"/>
    <cellStyle name="asd 34 2 3 2 14" xfId="29178"/>
    <cellStyle name="asd 34 2 3 2 15" xfId="30037"/>
    <cellStyle name="asd 34 2 3 2 16" xfId="32441"/>
    <cellStyle name="asd 34 2 3 2 17" xfId="34093"/>
    <cellStyle name="asd 34 2 3 2 18" xfId="36730"/>
    <cellStyle name="asd 34 2 3 2 19" xfId="38609"/>
    <cellStyle name="asd 34 2 3 2 2" xfId="7300"/>
    <cellStyle name="asd 34 2 3 2 20" xfId="39658"/>
    <cellStyle name="asd 34 2 3 2 21" xfId="41332"/>
    <cellStyle name="asd 34 2 3 2 22" xfId="43221"/>
    <cellStyle name="asd 34 2 3 2 3" xfId="8754"/>
    <cellStyle name="asd 34 2 3 2 4" xfId="10664"/>
    <cellStyle name="asd 34 2 3 2 5" xfId="12394"/>
    <cellStyle name="asd 34 2 3 2 6" xfId="13926"/>
    <cellStyle name="asd 34 2 3 2 7" xfId="15827"/>
    <cellStyle name="asd 34 2 3 2 8" xfId="18283"/>
    <cellStyle name="asd 34 2 3 2 9" xfId="20189"/>
    <cellStyle name="asd 34 2 3 20" xfId="38001"/>
    <cellStyle name="asd 34 2 3 21" xfId="35039"/>
    <cellStyle name="asd 34 2 3 22" xfId="39170"/>
    <cellStyle name="asd 34 2 3 23" xfId="43680"/>
    <cellStyle name="asd 34 2 3 3" xfId="5245"/>
    <cellStyle name="asd 34 2 3 4" xfId="8146"/>
    <cellStyle name="asd 34 2 3 5" xfId="10056"/>
    <cellStyle name="asd 34 2 3 6" xfId="11894"/>
    <cellStyle name="asd 34 2 3 7" xfId="14404"/>
    <cellStyle name="asd 34 2 3 8" xfId="16310"/>
    <cellStyle name="asd 34 2 3 9" xfId="17675"/>
    <cellStyle name="asd 34 2 4" xfId="4033"/>
    <cellStyle name="asd 34 2 4 10" xfId="19668"/>
    <cellStyle name="asd 34 2 4 11" xfId="21580"/>
    <cellStyle name="asd 34 2 4 12" xfId="23093"/>
    <cellStyle name="asd 34 2 4 13" xfId="25382"/>
    <cellStyle name="asd 34 2 4 14" xfId="27504"/>
    <cellStyle name="asd 34 2 4 15" xfId="28896"/>
    <cellStyle name="asd 34 2 4 16" xfId="31089"/>
    <cellStyle name="asd 34 2 4 17" xfId="32693"/>
    <cellStyle name="asd 34 2 4 18" xfId="34170"/>
    <cellStyle name="asd 34 2 4 19" xfId="36209"/>
    <cellStyle name="asd 34 2 4 2" xfId="5938"/>
    <cellStyle name="asd 34 2 4 2 10" xfId="22188"/>
    <cellStyle name="asd 34 2 4 2 11" xfId="23064"/>
    <cellStyle name="asd 34 2 4 2 12" xfId="25990"/>
    <cellStyle name="asd 34 2 4 2 13" xfId="27747"/>
    <cellStyle name="asd 34 2 4 2 14" xfId="29378"/>
    <cellStyle name="asd 34 2 4 2 15" xfId="31325"/>
    <cellStyle name="asd 34 2 4 2 16" xfId="31809"/>
    <cellStyle name="asd 34 2 4 2 17" xfId="33784"/>
    <cellStyle name="asd 34 2 4 2 18" xfId="36817"/>
    <cellStyle name="asd 34 2 4 2 19" xfId="38696"/>
    <cellStyle name="asd 34 2 4 2 2" xfId="7387"/>
    <cellStyle name="asd 34 2 4 2 20" xfId="39047"/>
    <cellStyle name="asd 34 2 4 2 21" xfId="40729"/>
    <cellStyle name="asd 34 2 4 2 22" xfId="42847"/>
    <cellStyle name="asd 34 2 4 2 3" xfId="8841"/>
    <cellStyle name="asd 34 2 4 2 4" xfId="10751"/>
    <cellStyle name="asd 34 2 4 2 5" xfId="11825"/>
    <cellStyle name="asd 34 2 4 2 6" xfId="13535"/>
    <cellStyle name="asd 34 2 4 2 7" xfId="15438"/>
    <cellStyle name="asd 34 2 4 2 8" xfId="18370"/>
    <cellStyle name="asd 34 2 4 2 9" xfId="20276"/>
    <cellStyle name="asd 34 2 4 20" xfId="38088"/>
    <cellStyle name="asd 34 2 4 21" xfId="39901"/>
    <cellStyle name="asd 34 2 4 22" xfId="41570"/>
    <cellStyle name="asd 34 2 4 23" xfId="42875"/>
    <cellStyle name="asd 34 2 4 3" xfId="6779"/>
    <cellStyle name="asd 34 2 4 4" xfId="8233"/>
    <cellStyle name="asd 34 2 4 5" xfId="10143"/>
    <cellStyle name="asd 34 2 4 6" xfId="12704"/>
    <cellStyle name="asd 34 2 4 7" xfId="13564"/>
    <cellStyle name="asd 34 2 4 8" xfId="15467"/>
    <cellStyle name="asd 34 2 4 9" xfId="17762"/>
    <cellStyle name="asd 34 2 5" xfId="4899"/>
    <cellStyle name="asd 34 2 5 10" xfId="21147"/>
    <cellStyle name="asd 34 2 5 11" xfId="23897"/>
    <cellStyle name="asd 34 2 5 12" xfId="24949"/>
    <cellStyle name="asd 34 2 5 13" xfId="26622"/>
    <cellStyle name="asd 34 2 5 14" xfId="28238"/>
    <cellStyle name="asd 34 2 5 15" xfId="30225"/>
    <cellStyle name="asd 34 2 5 16" xfId="33043"/>
    <cellStyle name="asd 34 2 5 17" xfId="33741"/>
    <cellStyle name="asd 34 2 5 18" xfId="35776"/>
    <cellStyle name="asd 34 2 5 19" xfId="37655"/>
    <cellStyle name="asd 34 2 5 2" xfId="6349"/>
    <cellStyle name="asd 34 2 5 20" xfId="40242"/>
    <cellStyle name="asd 34 2 5 21" xfId="41901"/>
    <cellStyle name="asd 34 2 5 22" xfId="43646"/>
    <cellStyle name="asd 34 2 5 3" xfId="7800"/>
    <cellStyle name="asd 34 2 5 4" xfId="9710"/>
    <cellStyle name="asd 34 2 5 5" xfId="11856"/>
    <cellStyle name="asd 34 2 5 6" xfId="14366"/>
    <cellStyle name="asd 34 2 5 7" xfId="16272"/>
    <cellStyle name="asd 34 2 5 8" xfId="17329"/>
    <cellStyle name="asd 34 2 5 9" xfId="19235"/>
    <cellStyle name="asd 34 2 6" xfId="5523"/>
    <cellStyle name="asd 34 2 6 10" xfId="21773"/>
    <cellStyle name="asd 34 2 6 11" xfId="23326"/>
    <cellStyle name="asd 34 2 6 12" xfId="25575"/>
    <cellStyle name="asd 34 2 6 13" xfId="27267"/>
    <cellStyle name="asd 34 2 6 14" xfId="29562"/>
    <cellStyle name="asd 34 2 6 15" xfId="30859"/>
    <cellStyle name="asd 34 2 6 16" xfId="32297"/>
    <cellStyle name="asd 34 2 6 17" xfId="34623"/>
    <cellStyle name="asd 34 2 6 18" xfId="36402"/>
    <cellStyle name="asd 34 2 6 19" xfId="38281"/>
    <cellStyle name="asd 34 2 6 2" xfId="6972"/>
    <cellStyle name="asd 34 2 6 20" xfId="39517"/>
    <cellStyle name="asd 34 2 6 21" xfId="41191"/>
    <cellStyle name="asd 34 2 6 22" xfId="43097"/>
    <cellStyle name="asd 34 2 6 3" xfId="8426"/>
    <cellStyle name="asd 34 2 6 4" xfId="10336"/>
    <cellStyle name="asd 34 2 6 5" xfId="11214"/>
    <cellStyle name="asd 34 2 6 6" xfId="13798"/>
    <cellStyle name="asd 34 2 6 7" xfId="15700"/>
    <cellStyle name="asd 34 2 6 8" xfId="17955"/>
    <cellStyle name="asd 34 2 6 9" xfId="19861"/>
    <cellStyle name="asd 34 2 7" xfId="4610"/>
    <cellStyle name="asd 34 2 8" xfId="9126"/>
    <cellStyle name="asd 34 2 9" xfId="11175"/>
    <cellStyle name="asd 34 20" xfId="28323"/>
    <cellStyle name="asd 34 21" xfId="18514"/>
    <cellStyle name="asd 34 22" xfId="14709"/>
    <cellStyle name="asd 34 23" xfId="33046"/>
    <cellStyle name="asd 34 24" xfId="2471"/>
    <cellStyle name="asd 34 25" xfId="34211"/>
    <cellStyle name="asd 34 26" xfId="32481"/>
    <cellStyle name="asd 34 27" xfId="33351"/>
    <cellStyle name="asd 34 3" xfId="3368"/>
    <cellStyle name="asd 34 3 10" xfId="13277"/>
    <cellStyle name="asd 34 3 11" xfId="15181"/>
    <cellStyle name="asd 34 3 12" xfId="16669"/>
    <cellStyle name="asd 34 3 13" xfId="18576"/>
    <cellStyle name="asd 34 3 14" xfId="20488"/>
    <cellStyle name="asd 34 3 15" xfId="22807"/>
    <cellStyle name="asd 34 3 16" xfId="24290"/>
    <cellStyle name="asd 34 3 17" xfId="26191"/>
    <cellStyle name="asd 34 3 18" xfId="28249"/>
    <cellStyle name="asd 34 3 19" xfId="29804"/>
    <cellStyle name="asd 34 3 2" xfId="3548"/>
    <cellStyle name="asd 34 3 2 10" xfId="17439"/>
    <cellStyle name="asd 34 3 2 11" xfId="19345"/>
    <cellStyle name="asd 34 3 2 12" xfId="21257"/>
    <cellStyle name="asd 34 3 2 13" xfId="22547"/>
    <cellStyle name="asd 34 3 2 14" xfId="25059"/>
    <cellStyle name="asd 34 3 2 15" xfId="26179"/>
    <cellStyle name="asd 34 3 2 16" xfId="27488"/>
    <cellStyle name="asd 34 3 2 17" xfId="29792"/>
    <cellStyle name="asd 34 3 2 18" xfId="33049"/>
    <cellStyle name="asd 34 3 2 19" xfId="34259"/>
    <cellStyle name="asd 34 3 2 2" xfId="4321"/>
    <cellStyle name="asd 34 3 2 2 10" xfId="20500"/>
    <cellStyle name="asd 34 3 2 2 11" xfId="23060"/>
    <cellStyle name="asd 34 3 2 2 12" xfId="24302"/>
    <cellStyle name="asd 34 3 2 2 13" xfId="27562"/>
    <cellStyle name="asd 34 3 2 2 14" xfId="28948"/>
    <cellStyle name="asd 34 3 2 2 15" xfId="31142"/>
    <cellStyle name="asd 34 3 2 2 16" xfId="33080"/>
    <cellStyle name="asd 34 3 2 2 17" xfId="33659"/>
    <cellStyle name="asd 34 3 2 2 18" xfId="35130"/>
    <cellStyle name="asd 34 3 2 2 19" xfId="37008"/>
    <cellStyle name="asd 34 3 2 2 2" xfId="4355"/>
    <cellStyle name="asd 34 3 2 2 20" xfId="40276"/>
    <cellStyle name="asd 34 3 2 2 21" xfId="41932"/>
    <cellStyle name="asd 34 3 2 2 22" xfId="42843"/>
    <cellStyle name="asd 34 3 2 2 3" xfId="5309"/>
    <cellStyle name="asd 34 3 2 2 4" xfId="9062"/>
    <cellStyle name="asd 34 3 2 2 5" xfId="12664"/>
    <cellStyle name="asd 34 3 2 2 6" xfId="13531"/>
    <cellStyle name="asd 34 3 2 2 7" xfId="15434"/>
    <cellStyle name="asd 34 3 2 2 8" xfId="16681"/>
    <cellStyle name="asd 34 3 2 2 9" xfId="18588"/>
    <cellStyle name="asd 34 3 2 20" xfId="35886"/>
    <cellStyle name="asd 34 3 2 21" xfId="37765"/>
    <cellStyle name="asd 34 3 2 22" xfId="40247"/>
    <cellStyle name="asd 34 3 2 23" xfId="41905"/>
    <cellStyle name="asd 34 3 2 24" xfId="42356"/>
    <cellStyle name="asd 34 3 2 3" xfId="5009"/>
    <cellStyle name="asd 34 3 2 4" xfId="6459"/>
    <cellStyle name="asd 34 3 2 5" xfId="7910"/>
    <cellStyle name="asd 34 3 2 6" xfId="9820"/>
    <cellStyle name="asd 34 3 2 7" xfId="12440"/>
    <cellStyle name="asd 34 3 2 8" xfId="13015"/>
    <cellStyle name="asd 34 3 2 9" xfId="14919"/>
    <cellStyle name="asd 34 3 20" xfId="31885"/>
    <cellStyle name="asd 34 3 21" xfId="34674"/>
    <cellStyle name="asd 34 3 22" xfId="35118"/>
    <cellStyle name="asd 34 3 23" xfId="36996"/>
    <cellStyle name="asd 34 3 24" xfId="39120"/>
    <cellStyle name="asd 34 3 25" xfId="40801"/>
    <cellStyle name="asd 34 3 26" xfId="42600"/>
    <cellStyle name="asd 34 3 3" xfId="3212"/>
    <cellStyle name="asd 34 3 3 10" xfId="19181"/>
    <cellStyle name="asd 34 3 3 11" xfId="21093"/>
    <cellStyle name="asd 34 3 3 12" xfId="22526"/>
    <cellStyle name="asd 34 3 3 13" xfId="24895"/>
    <cellStyle name="asd 34 3 3 14" xfId="27186"/>
    <cellStyle name="asd 34 3 3 15" xfId="28005"/>
    <cellStyle name="asd 34 3 3 16" xfId="30777"/>
    <cellStyle name="asd 34 3 3 17" xfId="14719"/>
    <cellStyle name="asd 34 3 3 18" xfId="3933"/>
    <cellStyle name="asd 34 3 3 19" xfId="35722"/>
    <cellStyle name="asd 34 3 3 2" xfId="5711"/>
    <cellStyle name="asd 34 3 3 2 10" xfId="21961"/>
    <cellStyle name="asd 34 3 3 2 11" xfId="23807"/>
    <cellStyle name="asd 34 3 3 2 12" xfId="25763"/>
    <cellStyle name="asd 34 3 3 2 13" xfId="26293"/>
    <cellStyle name="asd 34 3 3 2 14" xfId="28191"/>
    <cellStyle name="asd 34 3 3 2 15" xfId="29902"/>
    <cellStyle name="asd 34 3 3 2 16" xfId="31778"/>
    <cellStyle name="asd 34 3 3 2 17" xfId="33942"/>
    <cellStyle name="asd 34 3 3 2 18" xfId="36590"/>
    <cellStyle name="asd 34 3 3 2 19" xfId="38469"/>
    <cellStyle name="asd 34 3 3 2 2" xfId="7160"/>
    <cellStyle name="asd 34 3 3 2 20" xfId="39017"/>
    <cellStyle name="asd 34 3 3 2 21" xfId="40699"/>
    <cellStyle name="asd 34 3 3 2 22" xfId="43559"/>
    <cellStyle name="asd 34 3 3 2 3" xfId="8614"/>
    <cellStyle name="asd 34 3 3 2 4" xfId="10524"/>
    <cellStyle name="asd 34 3 3 2 5" xfId="11476"/>
    <cellStyle name="asd 34 3 3 2 6" xfId="14277"/>
    <cellStyle name="asd 34 3 3 2 7" xfId="16181"/>
    <cellStyle name="asd 34 3 3 2 8" xfId="18143"/>
    <cellStyle name="asd 34 3 3 2 9" xfId="20049"/>
    <cellStyle name="asd 34 3 3 20" xfId="37601"/>
    <cellStyle name="asd 34 3 3 21" xfId="33795"/>
    <cellStyle name="asd 34 3 3 22" xfId="35071"/>
    <cellStyle name="asd 34 3 3 23" xfId="42336"/>
    <cellStyle name="asd 34 3 3 3" xfId="4845"/>
    <cellStyle name="asd 34 3 3 4" xfId="7746"/>
    <cellStyle name="asd 34 3 3 5" xfId="9656"/>
    <cellStyle name="asd 34 3 3 6" xfId="11646"/>
    <cellStyle name="asd 34 3 3 7" xfId="12994"/>
    <cellStyle name="asd 34 3 3 8" xfId="14898"/>
    <cellStyle name="asd 34 3 3 9" xfId="17275"/>
    <cellStyle name="asd 34 3 4" xfId="4000"/>
    <cellStyle name="asd 34 3 4 10" xfId="19635"/>
    <cellStyle name="asd 34 3 4 11" xfId="21547"/>
    <cellStyle name="asd 34 3 4 12" xfId="23108"/>
    <cellStyle name="asd 34 3 4 13" xfId="25349"/>
    <cellStyle name="asd 34 3 4 14" xfId="26585"/>
    <cellStyle name="asd 34 3 4 15" xfId="29414"/>
    <cellStyle name="asd 34 3 4 16" xfId="30187"/>
    <cellStyle name="asd 34 3 4 17" xfId="32779"/>
    <cellStyle name="asd 34 3 4 18" xfId="34305"/>
    <cellStyle name="asd 34 3 4 19" xfId="36176"/>
    <cellStyle name="asd 34 3 4 2" xfId="5905"/>
    <cellStyle name="asd 34 3 4 2 10" xfId="22155"/>
    <cellStyle name="asd 34 3 4 2 11" xfId="22487"/>
    <cellStyle name="asd 34 3 4 2 12" xfId="25957"/>
    <cellStyle name="asd 34 3 4 2 13" xfId="26261"/>
    <cellStyle name="asd 34 3 4 2 14" xfId="28983"/>
    <cellStyle name="asd 34 3 4 2 15" xfId="29871"/>
    <cellStyle name="asd 34 3 4 2 16" xfId="32798"/>
    <cellStyle name="asd 34 3 4 2 17" xfId="34721"/>
    <cellStyle name="asd 34 3 4 2 18" xfId="36784"/>
    <cellStyle name="asd 34 3 4 2 19" xfId="38663"/>
    <cellStyle name="asd 34 3 4 2 2" xfId="7354"/>
    <cellStyle name="asd 34 3 4 2 20" xfId="40007"/>
    <cellStyle name="asd 34 3 4 2 21" xfId="41671"/>
    <cellStyle name="asd 34 3 4 2 22" xfId="42297"/>
    <cellStyle name="asd 34 3 4 2 3" xfId="8808"/>
    <cellStyle name="asd 34 3 4 2 4" xfId="10718"/>
    <cellStyle name="asd 34 3 4 2 5" xfId="11834"/>
    <cellStyle name="asd 34 3 4 2 6" xfId="12955"/>
    <cellStyle name="asd 34 3 4 2 7" xfId="14859"/>
    <cellStyle name="asd 34 3 4 2 8" xfId="18337"/>
    <cellStyle name="asd 34 3 4 2 9" xfId="20243"/>
    <cellStyle name="asd 34 3 4 20" xfId="38055"/>
    <cellStyle name="asd 34 3 4 21" xfId="39988"/>
    <cellStyle name="asd 34 3 4 22" xfId="41652"/>
    <cellStyle name="asd 34 3 4 23" xfId="42888"/>
    <cellStyle name="asd 34 3 4 3" xfId="6746"/>
    <cellStyle name="asd 34 3 4 4" xfId="8200"/>
    <cellStyle name="asd 34 3 4 5" xfId="10110"/>
    <cellStyle name="asd 34 3 4 6" xfId="12721"/>
    <cellStyle name="asd 34 3 4 7" xfId="13579"/>
    <cellStyle name="asd 34 3 4 8" xfId="15482"/>
    <cellStyle name="asd 34 3 4 9" xfId="17729"/>
    <cellStyle name="asd 34 3 5" xfId="4876"/>
    <cellStyle name="asd 34 3 5 10" xfId="21124"/>
    <cellStyle name="asd 34 3 5 11" xfId="23195"/>
    <cellStyle name="asd 34 3 5 12" xfId="24926"/>
    <cellStyle name="asd 34 3 5 13" xfId="27807"/>
    <cellStyle name="asd 34 3 5 14" xfId="29320"/>
    <cellStyle name="asd 34 3 5 15" xfId="31384"/>
    <cellStyle name="asd 34 3 5 16" xfId="33304"/>
    <cellStyle name="asd 34 3 5 17" xfId="34308"/>
    <cellStyle name="asd 34 3 5 18" xfId="35753"/>
    <cellStyle name="asd 34 3 5 19" xfId="37632"/>
    <cellStyle name="asd 34 3 5 2" xfId="6326"/>
    <cellStyle name="asd 34 3 5 20" xfId="40486"/>
    <cellStyle name="asd 34 3 5 21" xfId="42140"/>
    <cellStyle name="asd 34 3 5 22" xfId="42973"/>
    <cellStyle name="asd 34 3 5 3" xfId="7777"/>
    <cellStyle name="asd 34 3 5 4" xfId="9687"/>
    <cellStyle name="asd 34 3 5 5" xfId="11044"/>
    <cellStyle name="asd 34 3 5 6" xfId="13667"/>
    <cellStyle name="asd 34 3 5 7" xfId="15569"/>
    <cellStyle name="asd 34 3 5 8" xfId="17306"/>
    <cellStyle name="asd 34 3 5 9" xfId="19212"/>
    <cellStyle name="asd 34 3 6" xfId="4877"/>
    <cellStyle name="asd 34 3 6 10" xfId="21125"/>
    <cellStyle name="asd 34 3 6 11" xfId="22481"/>
    <cellStyle name="asd 34 3 6 12" xfId="24927"/>
    <cellStyle name="asd 34 3 6 13" xfId="26453"/>
    <cellStyle name="asd 34 3 6 14" xfId="28865"/>
    <cellStyle name="asd 34 3 6 15" xfId="30059"/>
    <cellStyle name="asd 34 3 6 16" xfId="32571"/>
    <cellStyle name="asd 34 3 6 17" xfId="34239"/>
    <cellStyle name="asd 34 3 6 18" xfId="35754"/>
    <cellStyle name="asd 34 3 6 19" xfId="37633"/>
    <cellStyle name="asd 34 3 6 2" xfId="6327"/>
    <cellStyle name="asd 34 3 6 20" xfId="39781"/>
    <cellStyle name="asd 34 3 6 21" xfId="41451"/>
    <cellStyle name="asd 34 3 6 22" xfId="42291"/>
    <cellStyle name="asd 34 3 6 3" xfId="7778"/>
    <cellStyle name="asd 34 3 6 4" xfId="9688"/>
    <cellStyle name="asd 34 3 6 5" xfId="11321"/>
    <cellStyle name="asd 34 3 6 6" xfId="12949"/>
    <cellStyle name="asd 34 3 6 7" xfId="14853"/>
    <cellStyle name="asd 34 3 6 8" xfId="17307"/>
    <cellStyle name="asd 34 3 6 9" xfId="19213"/>
    <cellStyle name="asd 34 3 7" xfId="4833"/>
    <cellStyle name="asd 34 3 8" xfId="9050"/>
    <cellStyle name="asd 34 3 9" xfId="10928"/>
    <cellStyle name="asd 34 4" xfId="3430"/>
    <cellStyle name="asd 34 4 10" xfId="15879"/>
    <cellStyle name="asd 34 4 11" xfId="16807"/>
    <cellStyle name="asd 34 4 12" xfId="18714"/>
    <cellStyle name="asd 34 4 13" xfId="20626"/>
    <cellStyle name="asd 34 4 14" xfId="23506"/>
    <cellStyle name="asd 34 4 15" xfId="24428"/>
    <cellStyle name="asd 34 4 16" xfId="27258"/>
    <cellStyle name="asd 34 4 17" xfId="28552"/>
    <cellStyle name="asd 34 4 18" xfId="30849"/>
    <cellStyle name="asd 34 4 19" xfId="32014"/>
    <cellStyle name="asd 34 4 2" xfId="3610"/>
    <cellStyle name="asd 34 4 2 10" xfId="17501"/>
    <cellStyle name="asd 34 4 2 11" xfId="19407"/>
    <cellStyle name="asd 34 4 2 12" xfId="21319"/>
    <cellStyle name="asd 34 4 2 13" xfId="24032"/>
    <cellStyle name="asd 34 4 2 14" xfId="25121"/>
    <cellStyle name="asd 34 4 2 15" xfId="27183"/>
    <cellStyle name="asd 34 4 2 16" xfId="29306"/>
    <cellStyle name="asd 34 4 2 17" xfId="30774"/>
    <cellStyle name="asd 34 4 2 18" xfId="32923"/>
    <cellStyle name="asd 34 4 2 19" xfId="33545"/>
    <cellStyle name="asd 34 4 2 2" xfId="4367"/>
    <cellStyle name="asd 34 4 2 2 10" xfId="20504"/>
    <cellStyle name="asd 34 4 2 2 11" xfId="23376"/>
    <cellStyle name="asd 34 4 2 2 12" xfId="24306"/>
    <cellStyle name="asd 34 4 2 2 13" xfId="26643"/>
    <cellStyle name="asd 34 4 2 2 14" xfId="28989"/>
    <cellStyle name="asd 34 4 2 2 15" xfId="30246"/>
    <cellStyle name="asd 34 4 2 2 16" xfId="32629"/>
    <cellStyle name="asd 34 4 2 2 17" xfId="35027"/>
    <cellStyle name="asd 34 4 2 2 18" xfId="35134"/>
    <cellStyle name="asd 34 4 2 2 19" xfId="37012"/>
    <cellStyle name="asd 34 4 2 2 2" xfId="2202"/>
    <cellStyle name="asd 34 4 2 2 20" xfId="39838"/>
    <cellStyle name="asd 34 4 2 2 21" xfId="41507"/>
    <cellStyle name="asd 34 4 2 2 22" xfId="43144"/>
    <cellStyle name="asd 34 4 2 2 3" xfId="3940"/>
    <cellStyle name="asd 34 4 2 2 4" xfId="9066"/>
    <cellStyle name="asd 34 4 2 2 5" xfId="12415"/>
    <cellStyle name="asd 34 4 2 2 6" xfId="13848"/>
    <cellStyle name="asd 34 4 2 2 7" xfId="15749"/>
    <cellStyle name="asd 34 4 2 2 8" xfId="16685"/>
    <cellStyle name="asd 34 4 2 2 9" xfId="18592"/>
    <cellStyle name="asd 34 4 2 20" xfId="35948"/>
    <cellStyle name="asd 34 4 2 21" xfId="37827"/>
    <cellStyle name="asd 34 4 2 22" xfId="40127"/>
    <cellStyle name="asd 34 4 2 23" xfId="41786"/>
    <cellStyle name="asd 34 4 2 24" xfId="43776"/>
    <cellStyle name="asd 34 4 2 3" xfId="5071"/>
    <cellStyle name="asd 34 4 2 4" xfId="6521"/>
    <cellStyle name="asd 34 4 2 5" xfId="7972"/>
    <cellStyle name="asd 34 4 2 6" xfId="9882"/>
    <cellStyle name="asd 34 4 2 7" xfId="11991"/>
    <cellStyle name="asd 34 4 2 8" xfId="14502"/>
    <cellStyle name="asd 34 4 2 9" xfId="16408"/>
    <cellStyle name="asd 34 4 20" xfId="33607"/>
    <cellStyle name="asd 34 4 21" xfId="35256"/>
    <cellStyle name="asd 34 4 22" xfId="37134"/>
    <cellStyle name="asd 34 4 23" xfId="39245"/>
    <cellStyle name="asd 34 4 24" xfId="40922"/>
    <cellStyle name="asd 34 4 25" xfId="43272"/>
    <cellStyle name="asd 34 4 3" xfId="3827"/>
    <cellStyle name="asd 34 4 3 10" xfId="19554"/>
    <cellStyle name="asd 34 4 3 11" xfId="21466"/>
    <cellStyle name="asd 34 4 3 12" xfId="23618"/>
    <cellStyle name="asd 34 4 3 13" xfId="25268"/>
    <cellStyle name="asd 34 4 3 14" xfId="26992"/>
    <cellStyle name="asd 34 4 3 15" xfId="28319"/>
    <cellStyle name="asd 34 4 3 16" xfId="30586"/>
    <cellStyle name="asd 34 4 3 17" xfId="32842"/>
    <cellStyle name="asd 34 4 3 18" xfId="34779"/>
    <cellStyle name="asd 34 4 3 19" xfId="36095"/>
    <cellStyle name="asd 34 4 3 2" xfId="5824"/>
    <cellStyle name="asd 34 4 3 2 10" xfId="22074"/>
    <cellStyle name="asd 34 4 3 2 11" xfId="22375"/>
    <cellStyle name="asd 34 4 3 2 12" xfId="25876"/>
    <cellStyle name="asd 34 4 3 2 13" xfId="27658"/>
    <cellStyle name="asd 34 4 3 2 14" xfId="29523"/>
    <cellStyle name="asd 34 4 3 2 15" xfId="31235"/>
    <cellStyle name="asd 34 4 3 2 16" xfId="32282"/>
    <cellStyle name="asd 34 4 3 2 17" xfId="33750"/>
    <cellStyle name="asd 34 4 3 2 18" xfId="36703"/>
    <cellStyle name="asd 34 4 3 2 19" xfId="38582"/>
    <cellStyle name="asd 34 4 3 2 2" xfId="7273"/>
    <cellStyle name="asd 34 4 3 2 20" xfId="39501"/>
    <cellStyle name="asd 34 4 3 2 21" xfId="41176"/>
    <cellStyle name="asd 34 4 3 2 22" xfId="42186"/>
    <cellStyle name="asd 34 4 3 2 3" xfId="8727"/>
    <cellStyle name="asd 34 4 3 2 4" xfId="10637"/>
    <cellStyle name="asd 34 4 3 2 5" xfId="11595"/>
    <cellStyle name="asd 34 4 3 2 6" xfId="12842"/>
    <cellStyle name="asd 34 4 3 2 7" xfId="14747"/>
    <cellStyle name="asd 34 4 3 2 8" xfId="18256"/>
    <cellStyle name="asd 34 4 3 2 9" xfId="20162"/>
    <cellStyle name="asd 34 4 3 20" xfId="37974"/>
    <cellStyle name="asd 34 4 3 21" xfId="40049"/>
    <cellStyle name="asd 34 4 3 22" xfId="41713"/>
    <cellStyle name="asd 34 4 3 23" xfId="43376"/>
    <cellStyle name="asd 34 4 3 3" xfId="5218"/>
    <cellStyle name="asd 34 4 3 4" xfId="8119"/>
    <cellStyle name="asd 34 4 3 5" xfId="10029"/>
    <cellStyle name="asd 34 4 3 6" xfId="11351"/>
    <cellStyle name="asd 34 4 3 7" xfId="14088"/>
    <cellStyle name="asd 34 4 3 8" xfId="15991"/>
    <cellStyle name="asd 34 4 3 9" xfId="17648"/>
    <cellStyle name="asd 34 4 4" xfId="4062"/>
    <cellStyle name="asd 34 4 4 10" xfId="19697"/>
    <cellStyle name="asd 34 4 4 11" xfId="21609"/>
    <cellStyle name="asd 34 4 4 12" xfId="23686"/>
    <cellStyle name="asd 34 4 4 13" xfId="25411"/>
    <cellStyle name="asd 34 4 4 14" xfId="26882"/>
    <cellStyle name="asd 34 4 4 15" xfId="28247"/>
    <cellStyle name="asd 34 4 4 16" xfId="30479"/>
    <cellStyle name="asd 34 4 4 17" xfId="31963"/>
    <cellStyle name="asd 34 4 4 18" xfId="33579"/>
    <cellStyle name="asd 34 4 4 19" xfId="36238"/>
    <cellStyle name="asd 34 4 4 2" xfId="5967"/>
    <cellStyle name="asd 34 4 4 2 10" xfId="22217"/>
    <cellStyle name="asd 34 4 4 2 11" xfId="24109"/>
    <cellStyle name="asd 34 4 4 2 12" xfId="26019"/>
    <cellStyle name="asd 34 4 4 2 13" xfId="26987"/>
    <cellStyle name="asd 34 4 4 2 14" xfId="26205"/>
    <cellStyle name="asd 34 4 4 2 15" xfId="30581"/>
    <cellStyle name="asd 34 4 4 2 16" xfId="32248"/>
    <cellStyle name="asd 34 4 4 2 17" xfId="34563"/>
    <cellStyle name="asd 34 4 4 2 18" xfId="36846"/>
    <cellStyle name="asd 34 4 4 2 19" xfId="38725"/>
    <cellStyle name="asd 34 4 4 2 2" xfId="7416"/>
    <cellStyle name="asd 34 4 4 2 20" xfId="39466"/>
    <cellStyle name="asd 34 4 4 2 21" xfId="41141"/>
    <cellStyle name="asd 34 4 4 2 22" xfId="43852"/>
    <cellStyle name="asd 34 4 4 2 3" xfId="8870"/>
    <cellStyle name="asd 34 4 4 2 4" xfId="10780"/>
    <cellStyle name="asd 34 4 4 2 5" xfId="12068"/>
    <cellStyle name="asd 34 4 4 2 6" xfId="14579"/>
    <cellStyle name="asd 34 4 4 2 7" xfId="16485"/>
    <cellStyle name="asd 34 4 4 2 8" xfId="18399"/>
    <cellStyle name="asd 34 4 4 2 9" xfId="20305"/>
    <cellStyle name="asd 34 4 4 20" xfId="38117"/>
    <cellStyle name="asd 34 4 4 21" xfId="39192"/>
    <cellStyle name="asd 34 4 4 22" xfId="40873"/>
    <cellStyle name="asd 34 4 4 23" xfId="43443"/>
    <cellStyle name="asd 34 4 4 3" xfId="6808"/>
    <cellStyle name="asd 34 4 4 4" xfId="8262"/>
    <cellStyle name="asd 34 4 4 5" xfId="10172"/>
    <cellStyle name="asd 34 4 4 6" xfId="11748"/>
    <cellStyle name="asd 34 4 4 7" xfId="14156"/>
    <cellStyle name="asd 34 4 4 8" xfId="16060"/>
    <cellStyle name="asd 34 4 4 9" xfId="17791"/>
    <cellStyle name="asd 34 4 5" xfId="5613"/>
    <cellStyle name="asd 34 4 5 10" xfId="21863"/>
    <cellStyle name="asd 34 4 5 11" xfId="22944"/>
    <cellStyle name="asd 34 4 5 12" xfId="25665"/>
    <cellStyle name="asd 34 4 5 13" xfId="26764"/>
    <cellStyle name="asd 34 4 5 14" xfId="29197"/>
    <cellStyle name="asd 34 4 5 15" xfId="30363"/>
    <cellStyle name="asd 34 4 5 16" xfId="32437"/>
    <cellStyle name="asd 34 4 5 17" xfId="33905"/>
    <cellStyle name="asd 34 4 5 18" xfId="36492"/>
    <cellStyle name="asd 34 4 5 19" xfId="38371"/>
    <cellStyle name="asd 34 4 5 2" xfId="7062"/>
    <cellStyle name="asd 34 4 5 20" xfId="39654"/>
    <cellStyle name="asd 34 4 5 21" xfId="41328"/>
    <cellStyle name="asd 34 4 5 22" xfId="42730"/>
    <cellStyle name="asd 34 4 5 3" xfId="8516"/>
    <cellStyle name="asd 34 4 5 4" xfId="10426"/>
    <cellStyle name="asd 34 4 5 5" xfId="11025"/>
    <cellStyle name="asd 34 4 5 6" xfId="13412"/>
    <cellStyle name="asd 34 4 5 7" xfId="15317"/>
    <cellStyle name="asd 34 4 5 8" xfId="18045"/>
    <cellStyle name="asd 34 4 5 9" xfId="19951"/>
    <cellStyle name="asd 34 4 6" xfId="3980"/>
    <cellStyle name="asd 34 4 7" xfId="9188"/>
    <cellStyle name="asd 34 4 8" xfId="12411"/>
    <cellStyle name="asd 34 4 9" xfId="13978"/>
    <cellStyle name="asd 34 5" xfId="2391"/>
    <cellStyle name="asd 34 5 10" xfId="17155"/>
    <cellStyle name="asd 34 5 11" xfId="19061"/>
    <cellStyle name="asd 34 5 12" xfId="20973"/>
    <cellStyle name="asd 34 5 13" xfId="22667"/>
    <cellStyle name="asd 34 5 14" xfId="24775"/>
    <cellStyle name="asd 34 5 15" xfId="27169"/>
    <cellStyle name="asd 34 5 16" xfId="29612"/>
    <cellStyle name="asd 34 5 17" xfId="30761"/>
    <cellStyle name="asd 34 5 18" xfId="31596"/>
    <cellStyle name="asd 34 5 19" xfId="33961"/>
    <cellStyle name="asd 34 5 2" xfId="4588"/>
    <cellStyle name="asd 34 5 2 10" xfId="20833"/>
    <cellStyle name="asd 34 5 2 11" xfId="23535"/>
    <cellStyle name="asd 34 5 2 12" xfId="24635"/>
    <cellStyle name="asd 34 5 2 13" xfId="27564"/>
    <cellStyle name="asd 34 5 2 14" xfId="4217"/>
    <cellStyle name="asd 34 5 2 15" xfId="31144"/>
    <cellStyle name="asd 34 5 2 16" xfId="31807"/>
    <cellStyle name="asd 34 5 2 17" xfId="28492"/>
    <cellStyle name="asd 34 5 2 18" xfId="35463"/>
    <cellStyle name="asd 34 5 2 19" xfId="37341"/>
    <cellStyle name="asd 34 5 2 2" xfId="5411"/>
    <cellStyle name="asd 34 5 2 20" xfId="39045"/>
    <cellStyle name="asd 34 5 2 21" xfId="40727"/>
    <cellStyle name="asd 34 5 2 22" xfId="43300"/>
    <cellStyle name="asd 34 5 2 3" xfId="6674"/>
    <cellStyle name="asd 34 5 2 4" xfId="9395"/>
    <cellStyle name="asd 34 5 2 5" xfId="12524"/>
    <cellStyle name="asd 34 5 2 6" xfId="14007"/>
    <cellStyle name="asd 34 5 2 7" xfId="15908"/>
    <cellStyle name="asd 34 5 2 8" xfId="17014"/>
    <cellStyle name="asd 34 5 2 9" xfId="18921"/>
    <cellStyle name="asd 34 5 20" xfId="35602"/>
    <cellStyle name="asd 34 5 21" xfId="37481"/>
    <cellStyle name="asd 34 5 22" xfId="38843"/>
    <cellStyle name="asd 34 5 23" xfId="40529"/>
    <cellStyle name="asd 34 5 24" xfId="42473"/>
    <cellStyle name="asd 34 5 3" xfId="4727"/>
    <cellStyle name="asd 34 5 4" xfId="6175"/>
    <cellStyle name="asd 34 5 5" xfId="7626"/>
    <cellStyle name="asd 34 5 6" xfId="9536"/>
    <cellStyle name="asd 34 5 7" xfId="11412"/>
    <cellStyle name="asd 34 5 8" xfId="13134"/>
    <cellStyle name="asd 34 5 9" xfId="15039"/>
    <cellStyle name="asd 34 6" xfId="3156"/>
    <cellStyle name="asd 34 6 10" xfId="19168"/>
    <cellStyle name="asd 34 6 11" xfId="21080"/>
    <cellStyle name="asd 34 6 12" xfId="23427"/>
    <cellStyle name="asd 34 6 13" xfId="24882"/>
    <cellStyle name="asd 34 6 14" xfId="27184"/>
    <cellStyle name="asd 34 6 15" xfId="29323"/>
    <cellStyle name="asd 34 6 16" xfId="30775"/>
    <cellStyle name="asd 34 6 17" xfId="32462"/>
    <cellStyle name="asd 34 6 18" xfId="34806"/>
    <cellStyle name="asd 34 6 19" xfId="35709"/>
    <cellStyle name="asd 34 6 2" xfId="4268"/>
    <cellStyle name="asd 34 6 2 10" xfId="20459"/>
    <cellStyle name="asd 34 6 2 11" xfId="22608"/>
    <cellStyle name="asd 34 6 2 12" xfId="24261"/>
    <cellStyle name="asd 34 6 2 13" xfId="27339"/>
    <cellStyle name="asd 34 6 2 14" xfId="29599"/>
    <cellStyle name="asd 34 6 2 15" xfId="30928"/>
    <cellStyle name="asd 34 6 2 16" xfId="32497"/>
    <cellStyle name="asd 34 6 2 17" xfId="34986"/>
    <cellStyle name="asd 34 6 2 18" xfId="35089"/>
    <cellStyle name="asd 34 6 2 19" xfId="36967"/>
    <cellStyle name="asd 34 6 2 2" xfId="5343"/>
    <cellStyle name="asd 34 6 2 20" xfId="39712"/>
    <cellStyle name="asd 34 6 2 21" xfId="41384"/>
    <cellStyle name="asd 34 6 2 22" xfId="42415"/>
    <cellStyle name="asd 34 6 2 3" xfId="6699"/>
    <cellStyle name="asd 34 6 2 4" xfId="9021"/>
    <cellStyle name="asd 34 6 2 5" xfId="12722"/>
    <cellStyle name="asd 34 6 2 6" xfId="13075"/>
    <cellStyle name="asd 34 6 2 7" xfId="14980"/>
    <cellStyle name="asd 34 6 2 8" xfId="16640"/>
    <cellStyle name="asd 34 6 2 9" xfId="18547"/>
    <cellStyle name="asd 34 6 20" xfId="37588"/>
    <cellStyle name="asd 34 6 21" xfId="39680"/>
    <cellStyle name="asd 34 6 22" xfId="41353"/>
    <cellStyle name="asd 34 6 23" xfId="43194"/>
    <cellStyle name="asd 34 6 3" xfId="4832"/>
    <cellStyle name="asd 34 6 4" xfId="7733"/>
    <cellStyle name="asd 34 6 5" xfId="9643"/>
    <cellStyle name="asd 34 6 6" xfId="10984"/>
    <cellStyle name="asd 34 6 7" xfId="13899"/>
    <cellStyle name="asd 34 6 8" xfId="15800"/>
    <cellStyle name="asd 34 6 9" xfId="17262"/>
    <cellStyle name="asd 34 7" xfId="3724"/>
    <cellStyle name="asd 34 7 10" xfId="19500"/>
    <cellStyle name="asd 34 7 11" xfId="21412"/>
    <cellStyle name="asd 34 7 12" xfId="23219"/>
    <cellStyle name="asd 34 7 13" xfId="25214"/>
    <cellStyle name="asd 34 7 14" xfId="27809"/>
    <cellStyle name="asd 34 7 15" xfId="29373"/>
    <cellStyle name="asd 34 7 16" xfId="31387"/>
    <cellStyle name="asd 34 7 17" xfId="32577"/>
    <cellStyle name="asd 34 7 18" xfId="34667"/>
    <cellStyle name="asd 34 7 19" xfId="36041"/>
    <cellStyle name="asd 34 7 2" xfId="5770"/>
    <cellStyle name="asd 34 7 2 10" xfId="22020"/>
    <cellStyle name="asd 34 7 2 11" xfId="23452"/>
    <cellStyle name="asd 34 7 2 12" xfId="25822"/>
    <cellStyle name="asd 34 7 2 13" xfId="27605"/>
    <cellStyle name="asd 34 7 2 14" xfId="28241"/>
    <cellStyle name="asd 34 7 2 15" xfId="31183"/>
    <cellStyle name="asd 34 7 2 16" xfId="32153"/>
    <cellStyle name="asd 34 7 2 17" xfId="34708"/>
    <cellStyle name="asd 34 7 2 18" xfId="36649"/>
    <cellStyle name="asd 34 7 2 19" xfId="38528"/>
    <cellStyle name="asd 34 7 2 2" xfId="7219"/>
    <cellStyle name="asd 34 7 2 20" xfId="39376"/>
    <cellStyle name="asd 34 7 2 21" xfId="41052"/>
    <cellStyle name="asd 34 7 2 22" xfId="43219"/>
    <cellStyle name="asd 34 7 2 3" xfId="8673"/>
    <cellStyle name="asd 34 7 2 4" xfId="10583"/>
    <cellStyle name="asd 34 7 2 5" xfId="12584"/>
    <cellStyle name="asd 34 7 2 6" xfId="13924"/>
    <cellStyle name="asd 34 7 2 7" xfId="15825"/>
    <cellStyle name="asd 34 7 2 8" xfId="18202"/>
    <cellStyle name="asd 34 7 2 9" xfId="20108"/>
    <cellStyle name="asd 34 7 20" xfId="37920"/>
    <cellStyle name="asd 34 7 21" xfId="39787"/>
    <cellStyle name="asd 34 7 22" xfId="41457"/>
    <cellStyle name="asd 34 7 23" xfId="42996"/>
    <cellStyle name="asd 34 7 3" xfId="6614"/>
    <cellStyle name="asd 34 7 4" xfId="8065"/>
    <cellStyle name="asd 34 7 5" xfId="9975"/>
    <cellStyle name="asd 34 7 6" xfId="11096"/>
    <cellStyle name="asd 34 7 7" xfId="13691"/>
    <cellStyle name="asd 34 7 8" xfId="15593"/>
    <cellStyle name="asd 34 7 9" xfId="17594"/>
    <cellStyle name="asd 34 8" xfId="4279"/>
    <cellStyle name="asd 34 9" xfId="3279"/>
    <cellStyle name="asd 35" xfId="941"/>
    <cellStyle name="asd 35 10" xfId="2625"/>
    <cellStyle name="asd 35 11" xfId="2592"/>
    <cellStyle name="asd 35 12" xfId="12817"/>
    <cellStyle name="asd 35 13" xfId="11261"/>
    <cellStyle name="asd 35 14" xfId="16625"/>
    <cellStyle name="asd 35 15" xfId="18534"/>
    <cellStyle name="asd 35 16" xfId="14133"/>
    <cellStyle name="asd 35 17" xfId="11364"/>
    <cellStyle name="asd 35 18" xfId="23000"/>
    <cellStyle name="asd 35 19" xfId="10919"/>
    <cellStyle name="asd 35 2" xfId="3479"/>
    <cellStyle name="asd 35 2 10" xfId="14566"/>
    <cellStyle name="asd 35 2 11" xfId="16472"/>
    <cellStyle name="asd 35 2 12" xfId="16914"/>
    <cellStyle name="asd 35 2 13" xfId="18821"/>
    <cellStyle name="asd 35 2 14" xfId="20733"/>
    <cellStyle name="asd 35 2 15" xfId="24096"/>
    <cellStyle name="asd 35 2 16" xfId="24535"/>
    <cellStyle name="asd 35 2 17" xfId="27343"/>
    <cellStyle name="asd 35 2 18" xfId="28903"/>
    <cellStyle name="asd 35 2 19" xfId="30932"/>
    <cellStyle name="asd 35 2 2" xfId="3659"/>
    <cellStyle name="asd 35 2 2 10" xfId="17550"/>
    <cellStyle name="asd 35 2 2 11" xfId="19456"/>
    <cellStyle name="asd 35 2 2 12" xfId="21368"/>
    <cellStyle name="asd 35 2 2 13" xfId="22966"/>
    <cellStyle name="asd 35 2 2 14" xfId="25170"/>
    <cellStyle name="asd 35 2 2 15" xfId="27316"/>
    <cellStyle name="asd 35 2 2 16" xfId="2027"/>
    <cellStyle name="asd 35 2 2 17" xfId="30906"/>
    <cellStyle name="asd 35 2 2 18" xfId="31945"/>
    <cellStyle name="asd 35 2 2 19" xfId="33641"/>
    <cellStyle name="asd 35 2 2 2" xfId="4388"/>
    <cellStyle name="asd 35 2 2 2 10" xfId="20631"/>
    <cellStyle name="asd 35 2 2 2 11" xfId="22529"/>
    <cellStyle name="asd 35 2 2 2 12" xfId="24433"/>
    <cellStyle name="asd 35 2 2 2 13" xfId="26167"/>
    <cellStyle name="asd 35 2 2 2 14" xfId="28951"/>
    <cellStyle name="asd 35 2 2 2 15" xfId="29781"/>
    <cellStyle name="asd 35 2 2 2 16" xfId="32726"/>
    <cellStyle name="asd 35 2 2 2 17" xfId="34072"/>
    <cellStyle name="asd 35 2 2 2 18" xfId="35261"/>
    <cellStyle name="asd 35 2 2 2 19" xfId="37139"/>
    <cellStyle name="asd 35 2 2 2 2" xfId="5354"/>
    <cellStyle name="asd 35 2 2 2 20" xfId="39936"/>
    <cellStyle name="asd 35 2 2 2 21" xfId="41602"/>
    <cellStyle name="asd 35 2 2 2 22" xfId="42339"/>
    <cellStyle name="asd 35 2 2 2 3" xfId="6705"/>
    <cellStyle name="asd 35 2 2 2 4" xfId="9193"/>
    <cellStyle name="asd 35 2 2 2 5" xfId="11304"/>
    <cellStyle name="asd 35 2 2 2 6" xfId="12997"/>
    <cellStyle name="asd 35 2 2 2 7" xfId="14901"/>
    <cellStyle name="asd 35 2 2 2 8" xfId="16812"/>
    <cellStyle name="asd 35 2 2 2 9" xfId="18719"/>
    <cellStyle name="asd 35 2 2 20" xfId="35997"/>
    <cellStyle name="asd 35 2 2 21" xfId="37876"/>
    <cellStyle name="asd 35 2 2 22" xfId="39175"/>
    <cellStyle name="asd 35 2 2 23" xfId="40856"/>
    <cellStyle name="asd 35 2 2 24" xfId="42752"/>
    <cellStyle name="asd 35 2 2 3" xfId="5120"/>
    <cellStyle name="asd 35 2 2 4" xfId="6570"/>
    <cellStyle name="asd 35 2 2 5" xfId="8021"/>
    <cellStyle name="asd 35 2 2 6" xfId="9931"/>
    <cellStyle name="asd 35 2 2 7" xfId="12482"/>
    <cellStyle name="asd 35 2 2 8" xfId="13435"/>
    <cellStyle name="asd 35 2 2 9" xfId="15340"/>
    <cellStyle name="asd 35 2 20" xfId="33305"/>
    <cellStyle name="asd 35 2 21" xfId="34690"/>
    <cellStyle name="asd 35 2 22" xfId="35363"/>
    <cellStyle name="asd 35 2 23" xfId="37241"/>
    <cellStyle name="asd 35 2 24" xfId="40487"/>
    <cellStyle name="asd 35 2 25" xfId="42141"/>
    <cellStyle name="asd 35 2 26" xfId="43839"/>
    <cellStyle name="asd 35 2 3" xfId="2464"/>
    <cellStyle name="asd 35 2 3 10" xfId="19070"/>
    <cellStyle name="asd 35 2 3 11" xfId="20982"/>
    <cellStyle name="asd 35 2 3 12" xfId="22577"/>
    <cellStyle name="asd 35 2 3 13" xfId="24784"/>
    <cellStyle name="asd 35 2 3 14" xfId="27160"/>
    <cellStyle name="asd 35 2 3 15" xfId="29467"/>
    <cellStyle name="asd 35 2 3 16" xfId="30751"/>
    <cellStyle name="asd 35 2 3 17" xfId="33068"/>
    <cellStyle name="asd 35 2 3 18" xfId="34115"/>
    <cellStyle name="asd 35 2 3 19" xfId="35611"/>
    <cellStyle name="asd 35 2 3 2" xfId="3272"/>
    <cellStyle name="asd 35 2 3 2 10" xfId="20598"/>
    <cellStyle name="asd 35 2 3 2 11" xfId="2265"/>
    <cellStyle name="asd 35 2 3 2 12" xfId="24400"/>
    <cellStyle name="asd 35 2 3 2 13" xfId="3262"/>
    <cellStyle name="asd 35 2 3 2 14" xfId="2782"/>
    <cellStyle name="asd 35 2 3 2 15" xfId="1869"/>
    <cellStyle name="asd 35 2 3 2 16" xfId="28336"/>
    <cellStyle name="asd 35 2 3 2 17" xfId="32951"/>
    <cellStyle name="asd 35 2 3 2 18" xfId="35228"/>
    <cellStyle name="asd 35 2 3 2 19" xfId="37106"/>
    <cellStyle name="asd 35 2 3 2 2" xfId="4672"/>
    <cellStyle name="asd 35 2 3 2 20" xfId="29735"/>
    <cellStyle name="asd 35 2 3 2 21" xfId="3715"/>
    <cellStyle name="asd 35 2 3 2 22" xfId="2977"/>
    <cellStyle name="asd 35 2 3 2 3" xfId="6169"/>
    <cellStyle name="asd 35 2 3 2 4" xfId="9160"/>
    <cellStyle name="asd 35 2 3 2 5" xfId="12403"/>
    <cellStyle name="asd 35 2 3 2 6" xfId="2345"/>
    <cellStyle name="asd 35 2 3 2 7" xfId="4281"/>
    <cellStyle name="asd 35 2 3 2 8" xfId="16779"/>
    <cellStyle name="asd 35 2 3 2 9" xfId="18686"/>
    <cellStyle name="asd 35 2 3 20" xfId="37490"/>
    <cellStyle name="asd 35 2 3 21" xfId="40264"/>
    <cellStyle name="asd 35 2 3 22" xfId="41922"/>
    <cellStyle name="asd 35 2 3 23" xfId="42386"/>
    <cellStyle name="asd 35 2 3 3" xfId="4735"/>
    <cellStyle name="asd 35 2 3 4" xfId="7635"/>
    <cellStyle name="asd 35 2 3 5" xfId="9545"/>
    <cellStyle name="asd 35 2 3 6" xfId="11816"/>
    <cellStyle name="asd 35 2 3 7" xfId="13045"/>
    <cellStyle name="asd 35 2 3 8" xfId="14949"/>
    <cellStyle name="asd 35 2 3 9" xfId="17164"/>
    <cellStyle name="asd 35 2 4" xfId="4111"/>
    <cellStyle name="asd 35 2 4 10" xfId="19746"/>
    <cellStyle name="asd 35 2 4 11" xfId="21658"/>
    <cellStyle name="asd 35 2 4 12" xfId="23046"/>
    <cellStyle name="asd 35 2 4 13" xfId="25460"/>
    <cellStyle name="asd 35 2 4 14" xfId="27366"/>
    <cellStyle name="asd 35 2 4 15" xfId="29390"/>
    <cellStyle name="asd 35 2 4 16" xfId="30953"/>
    <cellStyle name="asd 35 2 4 17" xfId="32622"/>
    <cellStyle name="asd 35 2 4 18" xfId="34896"/>
    <cellStyle name="asd 35 2 4 19" xfId="36287"/>
    <cellStyle name="asd 35 2 4 2" xfId="6016"/>
    <cellStyle name="asd 35 2 4 2 10" xfId="22266"/>
    <cellStyle name="asd 35 2 4 2 11" xfId="23501"/>
    <cellStyle name="asd 35 2 4 2 12" xfId="26068"/>
    <cellStyle name="asd 35 2 4 2 13" xfId="26645"/>
    <cellStyle name="asd 35 2 4 2 14" xfId="29171"/>
    <cellStyle name="asd 35 2 4 2 15" xfId="30248"/>
    <cellStyle name="asd 35 2 4 2 16" xfId="32591"/>
    <cellStyle name="asd 35 2 4 2 17" xfId="33674"/>
    <cellStyle name="asd 35 2 4 2 18" xfId="36895"/>
    <cellStyle name="asd 35 2 4 2 19" xfId="38774"/>
    <cellStyle name="asd 35 2 4 2 2" xfId="7465"/>
    <cellStyle name="asd 35 2 4 2 20" xfId="39802"/>
    <cellStyle name="asd 35 2 4 2 21" xfId="41471"/>
    <cellStyle name="asd 35 2 4 2 22" xfId="43267"/>
    <cellStyle name="asd 35 2 4 2 3" xfId="8919"/>
    <cellStyle name="asd 35 2 4 2 4" xfId="10829"/>
    <cellStyle name="asd 35 2 4 2 5" xfId="12591"/>
    <cellStyle name="asd 35 2 4 2 6" xfId="13973"/>
    <cellStyle name="asd 35 2 4 2 7" xfId="15874"/>
    <cellStyle name="asd 35 2 4 2 8" xfId="18448"/>
    <cellStyle name="asd 35 2 4 2 9" xfId="20354"/>
    <cellStyle name="asd 35 2 4 20" xfId="38166"/>
    <cellStyle name="asd 35 2 4 21" xfId="39832"/>
    <cellStyle name="asd 35 2 4 22" xfId="41501"/>
    <cellStyle name="asd 35 2 4 23" xfId="42829"/>
    <cellStyle name="asd 35 2 4 3" xfId="6857"/>
    <cellStyle name="asd 35 2 4 4" xfId="8311"/>
    <cellStyle name="asd 35 2 4 5" xfId="10221"/>
    <cellStyle name="asd 35 2 4 6" xfId="11359"/>
    <cellStyle name="asd 35 2 4 7" xfId="13516"/>
    <cellStyle name="asd 35 2 4 8" xfId="15420"/>
    <cellStyle name="asd 35 2 4 9" xfId="17840"/>
    <cellStyle name="asd 35 2 5" xfId="4961"/>
    <cellStyle name="asd 35 2 5 10" xfId="21209"/>
    <cellStyle name="asd 35 2 5 11" xfId="24043"/>
    <cellStyle name="asd 35 2 5 12" xfId="25011"/>
    <cellStyle name="asd 35 2 5 13" xfId="27055"/>
    <cellStyle name="asd 35 2 5 14" xfId="29389"/>
    <cellStyle name="asd 35 2 5 15" xfId="30647"/>
    <cellStyle name="asd 35 2 5 16" xfId="32757"/>
    <cellStyle name="asd 35 2 5 17" xfId="33590"/>
    <cellStyle name="asd 35 2 5 18" xfId="35838"/>
    <cellStyle name="asd 35 2 5 19" xfId="37717"/>
    <cellStyle name="asd 35 2 5 2" xfId="6411"/>
    <cellStyle name="asd 35 2 5 20" xfId="39966"/>
    <cellStyle name="asd 35 2 5 21" xfId="41630"/>
    <cellStyle name="asd 35 2 5 22" xfId="43787"/>
    <cellStyle name="asd 35 2 5 3" xfId="7862"/>
    <cellStyle name="asd 35 2 5 4" xfId="9772"/>
    <cellStyle name="asd 35 2 5 5" xfId="12002"/>
    <cellStyle name="asd 35 2 5 6" xfId="14513"/>
    <cellStyle name="asd 35 2 5 7" xfId="16419"/>
    <cellStyle name="asd 35 2 5 8" xfId="17391"/>
    <cellStyle name="asd 35 2 5 9" xfId="19297"/>
    <cellStyle name="asd 35 2 6" xfId="5514"/>
    <cellStyle name="asd 35 2 6 10" xfId="21764"/>
    <cellStyle name="asd 35 2 6 11" xfId="22849"/>
    <cellStyle name="asd 35 2 6 12" xfId="25566"/>
    <cellStyle name="asd 35 2 6 13" xfId="27829"/>
    <cellStyle name="asd 35 2 6 14" xfId="29273"/>
    <cellStyle name="asd 35 2 6 15" xfId="31407"/>
    <cellStyle name="asd 35 2 6 16" xfId="32461"/>
    <cellStyle name="asd 35 2 6 17" xfId="34552"/>
    <cellStyle name="asd 35 2 6 18" xfId="36393"/>
    <cellStyle name="asd 35 2 6 19" xfId="38272"/>
    <cellStyle name="asd 35 2 6 2" xfId="6963"/>
    <cellStyle name="asd 35 2 6 20" xfId="39679"/>
    <cellStyle name="asd 35 2 6 21" xfId="41352"/>
    <cellStyle name="asd 35 2 6 22" xfId="42640"/>
    <cellStyle name="asd 35 2 6 3" xfId="8417"/>
    <cellStyle name="asd 35 2 6 4" xfId="10327"/>
    <cellStyle name="asd 35 2 6 5" xfId="12200"/>
    <cellStyle name="asd 35 2 6 6" xfId="13318"/>
    <cellStyle name="asd 35 2 6 7" xfId="15222"/>
    <cellStyle name="asd 35 2 6 8" xfId="17946"/>
    <cellStyle name="asd 35 2 6 9" xfId="19852"/>
    <cellStyle name="asd 35 2 7" xfId="2630"/>
    <cellStyle name="asd 35 2 8" xfId="9295"/>
    <cellStyle name="asd 35 2 9" xfId="12055"/>
    <cellStyle name="asd 35 20" xfId="29119"/>
    <cellStyle name="asd 35 21" xfId="26582"/>
    <cellStyle name="asd 35 22" xfId="2856"/>
    <cellStyle name="asd 35 23" xfId="2715"/>
    <cellStyle name="asd 35 24" xfId="35078"/>
    <cellStyle name="asd 35 25" xfId="3244"/>
    <cellStyle name="asd 35 26" xfId="28710"/>
    <cellStyle name="asd 35 27" xfId="28393"/>
    <cellStyle name="asd 35 3" xfId="3492"/>
    <cellStyle name="asd 35 3 10" xfId="14599"/>
    <cellStyle name="asd 35 3 11" xfId="16505"/>
    <cellStyle name="asd 35 3 12" xfId="16938"/>
    <cellStyle name="asd 35 3 13" xfId="18845"/>
    <cellStyle name="asd 35 3 14" xfId="20757"/>
    <cellStyle name="asd 35 3 15" xfId="24128"/>
    <cellStyle name="asd 35 3 16" xfId="24559"/>
    <cellStyle name="asd 35 3 17" xfId="27310"/>
    <cellStyle name="asd 35 3 18" xfId="18520"/>
    <cellStyle name="asd 35 3 19" xfId="30900"/>
    <cellStyle name="asd 35 3 2" xfId="3672"/>
    <cellStyle name="asd 35 3 2 10" xfId="17563"/>
    <cellStyle name="asd 35 3 2 11" xfId="19469"/>
    <cellStyle name="asd 35 3 2 12" xfId="21381"/>
    <cellStyle name="asd 35 3 2 13" xfId="23664"/>
    <cellStyle name="asd 35 3 2 14" xfId="25183"/>
    <cellStyle name="asd 35 3 2 15" xfId="27424"/>
    <cellStyle name="asd 35 3 2 16" xfId="29270"/>
    <cellStyle name="asd 35 3 2 17" xfId="31010"/>
    <cellStyle name="asd 35 3 2 18" xfId="33107"/>
    <cellStyle name="asd 35 3 2 19" xfId="34928"/>
    <cellStyle name="asd 35 3 2 2" xfId="4306"/>
    <cellStyle name="asd 35 3 2 2 10" xfId="20477"/>
    <cellStyle name="asd 35 3 2 2 11" xfId="11389"/>
    <cellStyle name="asd 35 3 2 2 12" xfId="24279"/>
    <cellStyle name="asd 35 3 2 2 13" xfId="22668"/>
    <cellStyle name="asd 35 3 2 2 14" xfId="5406"/>
    <cellStyle name="asd 35 3 2 2 15" xfId="22341"/>
    <cellStyle name="asd 35 3 2 2 16" xfId="28914"/>
    <cellStyle name="asd 35 3 2 2 17" xfId="33372"/>
    <cellStyle name="asd 35 3 2 2 18" xfId="35107"/>
    <cellStyle name="asd 35 3 2 2 19" xfId="36985"/>
    <cellStyle name="asd 35 3 2 2 2" xfId="3213"/>
    <cellStyle name="asd 35 3 2 2 20" xfId="30489"/>
    <cellStyle name="asd 35 3 2 2 21" xfId="31833"/>
    <cellStyle name="asd 35 3 2 2 22" xfId="29215"/>
    <cellStyle name="asd 35 3 2 2 3" xfId="1898"/>
    <cellStyle name="asd 35 3 2 2 4" xfId="9039"/>
    <cellStyle name="asd 35 3 2 2 5" xfId="2256"/>
    <cellStyle name="asd 35 3 2 2 6" xfId="2954"/>
    <cellStyle name="asd 35 3 2 2 7" xfId="2880"/>
    <cellStyle name="asd 35 3 2 2 8" xfId="16658"/>
    <cellStyle name="asd 35 3 2 2 9" xfId="18565"/>
    <cellStyle name="asd 35 3 2 20" xfId="36010"/>
    <cellStyle name="asd 35 3 2 21" xfId="37889"/>
    <cellStyle name="asd 35 3 2 22" xfId="40302"/>
    <cellStyle name="asd 35 3 2 23" xfId="41958"/>
    <cellStyle name="asd 35 3 2 24" xfId="43422"/>
    <cellStyle name="asd 35 3 2 3" xfId="5133"/>
    <cellStyle name="asd 35 3 2 4" xfId="6583"/>
    <cellStyle name="asd 35 3 2 5" xfId="8034"/>
    <cellStyle name="asd 35 3 2 6" xfId="9944"/>
    <cellStyle name="asd 35 3 2 7" xfId="11688"/>
    <cellStyle name="asd 35 3 2 8" xfId="14135"/>
    <cellStyle name="asd 35 3 2 9" xfId="16038"/>
    <cellStyle name="asd 35 3 20" xfId="33323"/>
    <cellStyle name="asd 35 3 21" xfId="26140"/>
    <cellStyle name="asd 35 3 22" xfId="35387"/>
    <cellStyle name="asd 35 3 23" xfId="37265"/>
    <cellStyle name="asd 35 3 24" xfId="40503"/>
    <cellStyle name="asd 35 3 25" xfId="42155"/>
    <cellStyle name="asd 35 3 26" xfId="43871"/>
    <cellStyle name="asd 35 3 3" xfId="3880"/>
    <cellStyle name="asd 35 3 3 10" xfId="19589"/>
    <cellStyle name="asd 35 3 3 11" xfId="21501"/>
    <cellStyle name="asd 35 3 3 12" xfId="23919"/>
    <cellStyle name="asd 35 3 3 13" xfId="25303"/>
    <cellStyle name="asd 35 3 3 14" xfId="27799"/>
    <cellStyle name="asd 35 3 3 15" xfId="2667"/>
    <cellStyle name="asd 35 3 3 16" xfId="31376"/>
    <cellStyle name="asd 35 3 3 17" xfId="12816"/>
    <cellStyle name="asd 35 3 3 18" xfId="32376"/>
    <cellStyle name="asd 35 3 3 19" xfId="36130"/>
    <cellStyle name="asd 35 3 3 2" xfId="5859"/>
    <cellStyle name="asd 35 3 3 2 10" xfId="22109"/>
    <cellStyle name="asd 35 3 3 2 11" xfId="24118"/>
    <cellStyle name="asd 35 3 3 2 12" xfId="25911"/>
    <cellStyle name="asd 35 3 3 2 13" xfId="26321"/>
    <cellStyle name="asd 35 3 3 2 14" xfId="28661"/>
    <cellStyle name="asd 35 3 3 2 15" xfId="29929"/>
    <cellStyle name="asd 35 3 3 2 16" xfId="32617"/>
    <cellStyle name="asd 35 3 3 2 17" xfId="33561"/>
    <cellStyle name="asd 35 3 3 2 18" xfId="36738"/>
    <cellStyle name="asd 35 3 3 2 19" xfId="38617"/>
    <cellStyle name="asd 35 3 3 2 2" xfId="7308"/>
    <cellStyle name="asd 35 3 3 2 20" xfId="39827"/>
    <cellStyle name="asd 35 3 3 2 21" xfId="41496"/>
    <cellStyle name="asd 35 3 3 2 22" xfId="43861"/>
    <cellStyle name="asd 35 3 3 2 3" xfId="8762"/>
    <cellStyle name="asd 35 3 3 2 4" xfId="10672"/>
    <cellStyle name="asd 35 3 3 2 5" xfId="12078"/>
    <cellStyle name="asd 35 3 3 2 6" xfId="14589"/>
    <cellStyle name="asd 35 3 3 2 7" xfId="16495"/>
    <cellStyle name="asd 35 3 3 2 8" xfId="18291"/>
    <cellStyle name="asd 35 3 3 2 9" xfId="20197"/>
    <cellStyle name="asd 35 3 3 20" xfId="38009"/>
    <cellStyle name="asd 35 3 3 21" xfId="33705"/>
    <cellStyle name="asd 35 3 3 22" xfId="33622"/>
    <cellStyle name="asd 35 3 3 23" xfId="43665"/>
    <cellStyle name="asd 35 3 3 3" xfId="5253"/>
    <cellStyle name="asd 35 3 3 4" xfId="8154"/>
    <cellStyle name="asd 35 3 3 5" xfId="10064"/>
    <cellStyle name="asd 35 3 3 6" xfId="11878"/>
    <cellStyle name="asd 35 3 3 7" xfId="14387"/>
    <cellStyle name="asd 35 3 3 8" xfId="16293"/>
    <cellStyle name="asd 35 3 3 9" xfId="17683"/>
    <cellStyle name="asd 35 3 4" xfId="4124"/>
    <cellStyle name="asd 35 3 4 10" xfId="19759"/>
    <cellStyle name="asd 35 3 4 11" xfId="21671"/>
    <cellStyle name="asd 35 3 4 12" xfId="24055"/>
    <cellStyle name="asd 35 3 4 13" xfId="25473"/>
    <cellStyle name="asd 35 3 4 14" xfId="27616"/>
    <cellStyle name="asd 35 3 4 15" xfId="29420"/>
    <cellStyle name="asd 35 3 4 16" xfId="31194"/>
    <cellStyle name="asd 35 3 4 17" xfId="31973"/>
    <cellStyle name="asd 35 3 4 18" xfId="34317"/>
    <cellStyle name="asd 35 3 4 19" xfId="36300"/>
    <cellStyle name="asd 35 3 4 2" xfId="6029"/>
    <cellStyle name="asd 35 3 4 2 10" xfId="22279"/>
    <cellStyle name="asd 35 3 4 2 11" xfId="23270"/>
    <cellStyle name="asd 35 3 4 2 12" xfId="26081"/>
    <cellStyle name="asd 35 3 4 2 13" xfId="27109"/>
    <cellStyle name="asd 35 3 4 2 14" xfId="29350"/>
    <cellStyle name="asd 35 3 4 2 15" xfId="30700"/>
    <cellStyle name="asd 35 3 4 2 16" xfId="32234"/>
    <cellStyle name="asd 35 3 4 2 17" xfId="34147"/>
    <cellStyle name="asd 35 3 4 2 18" xfId="36908"/>
    <cellStyle name="asd 35 3 4 2 19" xfId="38787"/>
    <cellStyle name="asd 35 3 4 2 2" xfId="7478"/>
    <cellStyle name="asd 35 3 4 2 20" xfId="39453"/>
    <cellStyle name="asd 35 3 4 2 21" xfId="41128"/>
    <cellStyle name="asd 35 3 4 2 22" xfId="43046"/>
    <cellStyle name="asd 35 3 4 2 3" xfId="8932"/>
    <cellStyle name="asd 35 3 4 2 4" xfId="10842"/>
    <cellStyle name="asd 35 3 4 2 5" xfId="11205"/>
    <cellStyle name="asd 35 3 4 2 6" xfId="13742"/>
    <cellStyle name="asd 35 3 4 2 7" xfId="15644"/>
    <cellStyle name="asd 35 3 4 2 8" xfId="18461"/>
    <cellStyle name="asd 35 3 4 2 9" xfId="20367"/>
    <cellStyle name="asd 35 3 4 20" xfId="38179"/>
    <cellStyle name="asd 35 3 4 21" xfId="39203"/>
    <cellStyle name="asd 35 3 4 22" xfId="40884"/>
    <cellStyle name="asd 35 3 4 23" xfId="43799"/>
    <cellStyle name="asd 35 3 4 3" xfId="6870"/>
    <cellStyle name="asd 35 3 4 4" xfId="8324"/>
    <cellStyle name="asd 35 3 4 5" xfId="10234"/>
    <cellStyle name="asd 35 3 4 6" xfId="12014"/>
    <cellStyle name="asd 35 3 4 7" xfId="14525"/>
    <cellStyle name="asd 35 3 4 8" xfId="16431"/>
    <cellStyle name="asd 35 3 4 9" xfId="17853"/>
    <cellStyle name="asd 35 3 5" xfId="4972"/>
    <cellStyle name="asd 35 3 5 10" xfId="21220"/>
    <cellStyle name="asd 35 3 5 11" xfId="23986"/>
    <cellStyle name="asd 35 3 5 12" xfId="25022"/>
    <cellStyle name="asd 35 3 5 13" xfId="27068"/>
    <cellStyle name="asd 35 3 5 14" xfId="28629"/>
    <cellStyle name="asd 35 3 5 15" xfId="30659"/>
    <cellStyle name="asd 35 3 5 16" xfId="33012"/>
    <cellStyle name="asd 35 3 5 17" xfId="34654"/>
    <cellStyle name="asd 35 3 5 18" xfId="35849"/>
    <cellStyle name="asd 35 3 5 19" xfId="37728"/>
    <cellStyle name="asd 35 3 5 2" xfId="6422"/>
    <cellStyle name="asd 35 3 5 20" xfId="40212"/>
    <cellStyle name="asd 35 3 5 21" xfId="41871"/>
    <cellStyle name="asd 35 3 5 22" xfId="43730"/>
    <cellStyle name="asd 35 3 5 3" xfId="7873"/>
    <cellStyle name="asd 35 3 5 4" xfId="9783"/>
    <cellStyle name="asd 35 3 5 5" xfId="11945"/>
    <cellStyle name="asd 35 3 5 6" xfId="14456"/>
    <cellStyle name="asd 35 3 5 7" xfId="16362"/>
    <cellStyle name="asd 35 3 5 8" xfId="17402"/>
    <cellStyle name="asd 35 3 5 9" xfId="19308"/>
    <cellStyle name="asd 35 3 6" xfId="5515"/>
    <cellStyle name="asd 35 3 6 10" xfId="21765"/>
    <cellStyle name="asd 35 3 6 11" xfId="23639"/>
    <cellStyle name="asd 35 3 6 12" xfId="25567"/>
    <cellStyle name="asd 35 3 6 13" xfId="27743"/>
    <cellStyle name="asd 35 3 6 14" xfId="28075"/>
    <cellStyle name="asd 35 3 6 15" xfId="31321"/>
    <cellStyle name="asd 35 3 6 16" xfId="33190"/>
    <cellStyle name="asd 35 3 6 17" xfId="33634"/>
    <cellStyle name="asd 35 3 6 18" xfId="36394"/>
    <cellStyle name="asd 35 3 6 19" xfId="38273"/>
    <cellStyle name="asd 35 3 6 2" xfId="6964"/>
    <cellStyle name="asd 35 3 6 20" xfId="40381"/>
    <cellStyle name="asd 35 3 6 21" xfId="42037"/>
    <cellStyle name="asd 35 3 6 22" xfId="43397"/>
    <cellStyle name="asd 35 3 6 3" xfId="8418"/>
    <cellStyle name="asd 35 3 6 4" xfId="10328"/>
    <cellStyle name="asd 35 3 6 5" xfId="11438"/>
    <cellStyle name="asd 35 3 6 6" xfId="14109"/>
    <cellStyle name="asd 35 3 6 7" xfId="16012"/>
    <cellStyle name="asd 35 3 6 8" xfId="17947"/>
    <cellStyle name="asd 35 3 6 9" xfId="19853"/>
    <cellStyle name="asd 35 3 7" xfId="2257"/>
    <cellStyle name="asd 35 3 8" xfId="9319"/>
    <cellStyle name="asd 35 3 9" xfId="12088"/>
    <cellStyle name="asd 35 4" xfId="3399"/>
    <cellStyle name="asd 35 4 10" xfId="16527"/>
    <cellStyle name="asd 35 4 11" xfId="16740"/>
    <cellStyle name="asd 35 4 12" xfId="18647"/>
    <cellStyle name="asd 35 4 13" xfId="20559"/>
    <cellStyle name="asd 35 4 14" xfId="24150"/>
    <cellStyle name="asd 35 4 15" xfId="24361"/>
    <cellStyle name="asd 35 4 16" xfId="26936"/>
    <cellStyle name="asd 35 4 17" xfId="29285"/>
    <cellStyle name="asd 35 4 18" xfId="30530"/>
    <cellStyle name="asd 35 4 19" xfId="32942"/>
    <cellStyle name="asd 35 4 2" xfId="3579"/>
    <cellStyle name="asd 35 4 2 10" xfId="17470"/>
    <cellStyle name="asd 35 4 2 11" xfId="19376"/>
    <cellStyle name="asd 35 4 2 12" xfId="21288"/>
    <cellStyle name="asd 35 4 2 13" xfId="23738"/>
    <cellStyle name="asd 35 4 2 14" xfId="25090"/>
    <cellStyle name="asd 35 4 2 15" xfId="26580"/>
    <cellStyle name="asd 35 4 2 16" xfId="28916"/>
    <cellStyle name="asd 35 4 2 17" xfId="30183"/>
    <cellStyle name="asd 35 4 2 18" xfId="32985"/>
    <cellStyle name="asd 35 4 2 19" xfId="34404"/>
    <cellStyle name="asd 35 4 2 2" xfId="5691"/>
    <cellStyle name="asd 35 4 2 2 10" xfId="21941"/>
    <cellStyle name="asd 35 4 2 2 11" xfId="22461"/>
    <cellStyle name="asd 35 4 2 2 12" xfId="25743"/>
    <cellStyle name="asd 35 4 2 2 13" xfId="27694"/>
    <cellStyle name="asd 35 4 2 2 14" xfId="29685"/>
    <cellStyle name="asd 35 4 2 2 15" xfId="31268"/>
    <cellStyle name="asd 35 4 2 2 16" xfId="31918"/>
    <cellStyle name="asd 35 4 2 2 17" xfId="35014"/>
    <cellStyle name="asd 35 4 2 2 18" xfId="36570"/>
    <cellStyle name="asd 35 4 2 2 19" xfId="38449"/>
    <cellStyle name="asd 35 4 2 2 2" xfId="7140"/>
    <cellStyle name="asd 35 4 2 2 20" xfId="39150"/>
    <cellStyle name="asd 35 4 2 2 21" xfId="40831"/>
    <cellStyle name="asd 35 4 2 2 22" xfId="42272"/>
    <cellStyle name="asd 35 4 2 2 3" xfId="8594"/>
    <cellStyle name="asd 35 4 2 2 4" xfId="10504"/>
    <cellStyle name="asd 35 4 2 2 5" xfId="12242"/>
    <cellStyle name="asd 35 4 2 2 6" xfId="12929"/>
    <cellStyle name="asd 35 4 2 2 7" xfId="14834"/>
    <cellStyle name="asd 35 4 2 2 8" xfId="18123"/>
    <cellStyle name="asd 35 4 2 2 9" xfId="20029"/>
    <cellStyle name="asd 35 4 2 20" xfId="35917"/>
    <cellStyle name="asd 35 4 2 21" xfId="37796"/>
    <cellStyle name="asd 35 4 2 22" xfId="40186"/>
    <cellStyle name="asd 35 4 2 23" xfId="41845"/>
    <cellStyle name="asd 35 4 2 24" xfId="43491"/>
    <cellStyle name="asd 35 4 2 3" xfId="5040"/>
    <cellStyle name="asd 35 4 2 4" xfId="6490"/>
    <cellStyle name="asd 35 4 2 5" xfId="7941"/>
    <cellStyle name="asd 35 4 2 6" xfId="9851"/>
    <cellStyle name="asd 35 4 2 7" xfId="11842"/>
    <cellStyle name="asd 35 4 2 8" xfId="14208"/>
    <cellStyle name="asd 35 4 2 9" xfId="16112"/>
    <cellStyle name="asd 35 4 20" xfId="33984"/>
    <cellStyle name="asd 35 4 21" xfId="35189"/>
    <cellStyle name="asd 35 4 22" xfId="37067"/>
    <cellStyle name="asd 35 4 23" xfId="40145"/>
    <cellStyle name="asd 35 4 24" xfId="41804"/>
    <cellStyle name="asd 35 4 25" xfId="43892"/>
    <cellStyle name="asd 35 4 3" xfId="2288"/>
    <cellStyle name="asd 35 4 3 10" xfId="19045"/>
    <cellStyle name="asd 35 4 3 11" xfId="20957"/>
    <cellStyle name="asd 35 4 3 12" xfId="23338"/>
    <cellStyle name="asd 35 4 3 13" xfId="24759"/>
    <cellStyle name="asd 35 4 3 14" xfId="26592"/>
    <cellStyle name="asd 35 4 3 15" xfId="28262"/>
    <cellStyle name="asd 35 4 3 16" xfId="30194"/>
    <cellStyle name="asd 35 4 3 17" xfId="32403"/>
    <cellStyle name="asd 35 4 3 18" xfId="33837"/>
    <cellStyle name="asd 35 4 3 19" xfId="35586"/>
    <cellStyle name="asd 35 4 3 2" xfId="5622"/>
    <cellStyle name="asd 35 4 3 2 10" xfId="21872"/>
    <cellStyle name="asd 35 4 3 2 11" xfId="22864"/>
    <cellStyle name="asd 35 4 3 2 12" xfId="25674"/>
    <cellStyle name="asd 35 4 3 2 13" xfId="26398"/>
    <cellStyle name="asd 35 4 3 2 14" xfId="28027"/>
    <cellStyle name="asd 35 4 3 2 15" xfId="30006"/>
    <cellStyle name="asd 35 4 3 2 16" xfId="32537"/>
    <cellStyle name="asd 35 4 3 2 17" xfId="34313"/>
    <cellStyle name="asd 35 4 3 2 18" xfId="36501"/>
    <cellStyle name="asd 35 4 3 2 19" xfId="38380"/>
    <cellStyle name="asd 35 4 3 2 2" xfId="7071"/>
    <cellStyle name="asd 35 4 3 2 20" xfId="39750"/>
    <cellStyle name="asd 35 4 3 2 21" xfId="41422"/>
    <cellStyle name="asd 35 4 3 2 22" xfId="42651"/>
    <cellStyle name="asd 35 4 3 2 3" xfId="8525"/>
    <cellStyle name="asd 35 4 3 2 4" xfId="10435"/>
    <cellStyle name="asd 35 4 3 2 5" xfId="12299"/>
    <cellStyle name="asd 35 4 3 2 6" xfId="13332"/>
    <cellStyle name="asd 35 4 3 2 7" xfId="15237"/>
    <cellStyle name="asd 35 4 3 2 8" xfId="18054"/>
    <cellStyle name="asd 35 4 3 2 9" xfId="19960"/>
    <cellStyle name="asd 35 4 3 20" xfId="37465"/>
    <cellStyle name="asd 35 4 3 21" xfId="39620"/>
    <cellStyle name="asd 35 4 3 22" xfId="41294"/>
    <cellStyle name="asd 35 4 3 23" xfId="43108"/>
    <cellStyle name="asd 35 4 3 3" xfId="4711"/>
    <cellStyle name="asd 35 4 3 4" xfId="7610"/>
    <cellStyle name="asd 35 4 3 5" xfId="9520"/>
    <cellStyle name="asd 35 4 3 6" xfId="11313"/>
    <cellStyle name="asd 35 4 3 7" xfId="13810"/>
    <cellStyle name="asd 35 4 3 8" xfId="15712"/>
    <cellStyle name="asd 35 4 3 9" xfId="17139"/>
    <cellStyle name="asd 35 4 4" xfId="4031"/>
    <cellStyle name="asd 35 4 4 10" xfId="19666"/>
    <cellStyle name="asd 35 4 4 11" xfId="21578"/>
    <cellStyle name="asd 35 4 4 12" xfId="22598"/>
    <cellStyle name="asd 35 4 4 13" xfId="25380"/>
    <cellStyle name="asd 35 4 4 14" xfId="27825"/>
    <cellStyle name="asd 35 4 4 15" xfId="29611"/>
    <cellStyle name="asd 35 4 4 16" xfId="31403"/>
    <cellStyle name="asd 35 4 4 17" xfId="32728"/>
    <cellStyle name="asd 35 4 4 18" xfId="34489"/>
    <cellStyle name="asd 35 4 4 19" xfId="36207"/>
    <cellStyle name="asd 35 4 4 2" xfId="5936"/>
    <cellStyle name="asd 35 4 4 2 10" xfId="22186"/>
    <cellStyle name="asd 35 4 4 2 11" xfId="23939"/>
    <cellStyle name="asd 35 4 4 2 12" xfId="25988"/>
    <cellStyle name="asd 35 4 4 2 13" xfId="27959"/>
    <cellStyle name="asd 35 4 4 2 14" xfId="23367"/>
    <cellStyle name="asd 35 4 4 2 15" xfId="31538"/>
    <cellStyle name="asd 35 4 4 2 16" xfId="10915"/>
    <cellStyle name="asd 35 4 4 2 17" xfId="29654"/>
    <cellStyle name="asd 35 4 4 2 18" xfId="36815"/>
    <cellStyle name="asd 35 4 4 2 19" xfId="38694"/>
    <cellStyle name="asd 35 4 4 2 2" xfId="7385"/>
    <cellStyle name="asd 35 4 4 2 20" xfId="26564"/>
    <cellStyle name="asd 35 4 4 2 21" xfId="26701"/>
    <cellStyle name="asd 35 4 4 2 22" xfId="43685"/>
    <cellStyle name="asd 35 4 4 2 3" xfId="8839"/>
    <cellStyle name="asd 35 4 4 2 4" xfId="10749"/>
    <cellStyle name="asd 35 4 4 2 5" xfId="11899"/>
    <cellStyle name="asd 35 4 4 2 6" xfId="14409"/>
    <cellStyle name="asd 35 4 4 2 7" xfId="16315"/>
    <cellStyle name="asd 35 4 4 2 8" xfId="18368"/>
    <cellStyle name="asd 35 4 4 2 9" xfId="20274"/>
    <cellStyle name="asd 35 4 4 20" xfId="38086"/>
    <cellStyle name="asd 35 4 4 21" xfId="39938"/>
    <cellStyle name="asd 35 4 4 22" xfId="41604"/>
    <cellStyle name="asd 35 4 4 23" xfId="42407"/>
    <cellStyle name="asd 35 4 4 3" xfId="6777"/>
    <cellStyle name="asd 35 4 4 4" xfId="8231"/>
    <cellStyle name="asd 35 4 4 5" xfId="10141"/>
    <cellStyle name="asd 35 4 4 6" xfId="12278"/>
    <cellStyle name="asd 35 4 4 7" xfId="13066"/>
    <cellStyle name="asd 35 4 4 8" xfId="14970"/>
    <cellStyle name="asd 35 4 4 9" xfId="17760"/>
    <cellStyle name="asd 35 4 5" xfId="5715"/>
    <cellStyle name="asd 35 4 5 10" xfId="21965"/>
    <cellStyle name="asd 35 4 5 11" xfId="23757"/>
    <cellStyle name="asd 35 4 5 12" xfId="25767"/>
    <cellStyle name="asd 35 4 5 13" xfId="26295"/>
    <cellStyle name="asd 35 4 5 14" xfId="28164"/>
    <cellStyle name="asd 35 4 5 15" xfId="29904"/>
    <cellStyle name="asd 35 4 5 16" xfId="31997"/>
    <cellStyle name="asd 35 4 5 17" xfId="34024"/>
    <cellStyle name="asd 35 4 5 18" xfId="36594"/>
    <cellStyle name="asd 35 4 5 19" xfId="38473"/>
    <cellStyle name="asd 35 4 5 2" xfId="7164"/>
    <cellStyle name="asd 35 4 5 20" xfId="39228"/>
    <cellStyle name="asd 35 4 5 21" xfId="40905"/>
    <cellStyle name="asd 35 4 5 22" xfId="43510"/>
    <cellStyle name="asd 35 4 5 3" xfId="8618"/>
    <cellStyle name="asd 35 4 5 4" xfId="10528"/>
    <cellStyle name="asd 35 4 5 5" xfId="11473"/>
    <cellStyle name="asd 35 4 5 6" xfId="14227"/>
    <cellStyle name="asd 35 4 5 7" xfId="16131"/>
    <cellStyle name="asd 35 4 5 8" xfId="18147"/>
    <cellStyle name="asd 35 4 5 9" xfId="20053"/>
    <cellStyle name="asd 35 4 6" xfId="6693"/>
    <cellStyle name="asd 35 4 7" xfId="9121"/>
    <cellStyle name="asd 35 4 8" xfId="12110"/>
    <cellStyle name="asd 35 4 9" xfId="14621"/>
    <cellStyle name="asd 35 5" xfId="3104"/>
    <cellStyle name="asd 35 5 10" xfId="17250"/>
    <cellStyle name="asd 35 5 11" xfId="19156"/>
    <cellStyle name="asd 35 5 12" xfId="21068"/>
    <cellStyle name="asd 35 5 13" xfId="22567"/>
    <cellStyle name="asd 35 5 14" xfId="24870"/>
    <cellStyle name="asd 35 5 15" xfId="27748"/>
    <cellStyle name="asd 35 5 16" xfId="29443"/>
    <cellStyle name="asd 35 5 17" xfId="31326"/>
    <cellStyle name="asd 35 5 18" xfId="32359"/>
    <cellStyle name="asd 35 5 19" xfId="34038"/>
    <cellStyle name="asd 35 5 2" xfId="3235"/>
    <cellStyle name="asd 35 5 2 10" xfId="20494"/>
    <cellStyle name="asd 35 5 2 11" xfId="23950"/>
    <cellStyle name="asd 35 5 2 12" xfId="24296"/>
    <cellStyle name="asd 35 5 2 13" xfId="27673"/>
    <cellStyle name="asd 35 5 2 14" xfId="28051"/>
    <cellStyle name="asd 35 5 2 15" xfId="31249"/>
    <cellStyle name="asd 35 5 2 16" xfId="32495"/>
    <cellStyle name="asd 35 5 2 17" xfId="33843"/>
    <cellStyle name="asd 35 5 2 18" xfId="35124"/>
    <cellStyle name="asd 35 5 2 19" xfId="37002"/>
    <cellStyle name="asd 35 5 2 2" xfId="4685"/>
    <cellStyle name="asd 35 5 2 20" xfId="39710"/>
    <cellStyle name="asd 35 5 2 21" xfId="41382"/>
    <cellStyle name="asd 35 5 2 22" xfId="43696"/>
    <cellStyle name="asd 35 5 2 3" xfId="6296"/>
    <cellStyle name="asd 35 5 2 4" xfId="9056"/>
    <cellStyle name="asd 35 5 2 5" xfId="11910"/>
    <cellStyle name="asd 35 5 2 6" xfId="14420"/>
    <cellStyle name="asd 35 5 2 7" xfId="16326"/>
    <cellStyle name="asd 35 5 2 8" xfId="16675"/>
    <cellStyle name="asd 35 5 2 9" xfId="18582"/>
    <cellStyle name="asd 35 5 20" xfId="35697"/>
    <cellStyle name="asd 35 5 21" xfId="37576"/>
    <cellStyle name="asd 35 5 22" xfId="39578"/>
    <cellStyle name="asd 35 5 23" xfId="41252"/>
    <cellStyle name="asd 35 5 24" xfId="42376"/>
    <cellStyle name="asd 35 5 3" xfId="4820"/>
    <cellStyle name="asd 35 5 4" xfId="6270"/>
    <cellStyle name="asd 35 5 5" xfId="7721"/>
    <cellStyle name="asd 35 5 6" xfId="9631"/>
    <cellStyle name="asd 35 5 7" xfId="5357"/>
    <cellStyle name="asd 35 5 8" xfId="13035"/>
    <cellStyle name="asd 35 5 9" xfId="14939"/>
    <cellStyle name="asd 35 6" xfId="3744"/>
    <cellStyle name="asd 35 6 10" xfId="19503"/>
    <cellStyle name="asd 35 6 11" xfId="21415"/>
    <cellStyle name="asd 35 6 12" xfId="23026"/>
    <cellStyle name="asd 35 6 13" xfId="25217"/>
    <cellStyle name="asd 35 6 14" xfId="26990"/>
    <cellStyle name="asd 35 6 15" xfId="29545"/>
    <cellStyle name="asd 35 6 16" xfId="30584"/>
    <cellStyle name="asd 35 6 17" xfId="33168"/>
    <cellStyle name="asd 35 6 18" xfId="35037"/>
    <cellStyle name="asd 35 6 19" xfId="36044"/>
    <cellStyle name="asd 35 6 2" xfId="5773"/>
    <cellStyle name="asd 35 6 2 10" xfId="22023"/>
    <cellStyle name="asd 35 6 2 11" xfId="23887"/>
    <cellStyle name="asd 35 6 2 12" xfId="25825"/>
    <cellStyle name="asd 35 6 2 13" xfId="26739"/>
    <cellStyle name="asd 35 6 2 14" xfId="28527"/>
    <cellStyle name="asd 35 6 2 15" xfId="30339"/>
    <cellStyle name="asd 35 6 2 16" xfId="32192"/>
    <cellStyle name="asd 35 6 2 17" xfId="34907"/>
    <cellStyle name="asd 35 6 2 18" xfId="36652"/>
    <cellStyle name="asd 35 6 2 19" xfId="38531"/>
    <cellStyle name="asd 35 6 2 2" xfId="7222"/>
    <cellStyle name="asd 35 6 2 20" xfId="39414"/>
    <cellStyle name="asd 35 6 2 21" xfId="41090"/>
    <cellStyle name="asd 35 6 2 22" xfId="43637"/>
    <cellStyle name="asd 35 6 2 3" xfId="8676"/>
    <cellStyle name="asd 35 6 2 4" xfId="10586"/>
    <cellStyle name="asd 35 6 2 5" xfId="11730"/>
    <cellStyle name="asd 35 6 2 6" xfId="14357"/>
    <cellStyle name="asd 35 6 2 7" xfId="16262"/>
    <cellStyle name="asd 35 6 2 8" xfId="18205"/>
    <cellStyle name="asd 35 6 2 9" xfId="20111"/>
    <cellStyle name="asd 35 6 20" xfId="37923"/>
    <cellStyle name="asd 35 6 21" xfId="40360"/>
    <cellStyle name="asd 35 6 22" xfId="42016"/>
    <cellStyle name="asd 35 6 23" xfId="42809"/>
    <cellStyle name="asd 35 6 3" xfId="5167"/>
    <cellStyle name="asd 35 6 4" xfId="8068"/>
    <cellStyle name="asd 35 6 5" xfId="9978"/>
    <cellStyle name="asd 35 6 6" xfId="12614"/>
    <cellStyle name="asd 35 6 7" xfId="13496"/>
    <cellStyle name="asd 35 6 8" xfId="15400"/>
    <cellStyle name="asd 35 6 9" xfId="17597"/>
    <cellStyle name="asd 35 7" xfId="3060"/>
    <cellStyle name="asd 35 7 10" xfId="19151"/>
    <cellStyle name="asd 35 7 11" xfId="21063"/>
    <cellStyle name="asd 35 7 12" xfId="23529"/>
    <cellStyle name="asd 35 7 13" xfId="24865"/>
    <cellStyle name="asd 35 7 14" xfId="26519"/>
    <cellStyle name="asd 35 7 15" xfId="2920"/>
    <cellStyle name="asd 35 7 16" xfId="30125"/>
    <cellStyle name="asd 35 7 17" xfId="31871"/>
    <cellStyle name="asd 35 7 18" xfId="22320"/>
    <cellStyle name="asd 35 7 19" xfId="35692"/>
    <cellStyle name="asd 35 7 2" xfId="5488"/>
    <cellStyle name="asd 35 7 2 10" xfId="21738"/>
    <cellStyle name="asd 35 7 2 11" xfId="23468"/>
    <cellStyle name="asd 35 7 2 12" xfId="25540"/>
    <cellStyle name="asd 35 7 2 13" xfId="26729"/>
    <cellStyle name="asd 35 7 2 14" xfId="28990"/>
    <cellStyle name="asd 35 7 2 15" xfId="30329"/>
    <cellStyle name="asd 35 7 2 16" xfId="32159"/>
    <cellStyle name="asd 35 7 2 17" xfId="34372"/>
    <cellStyle name="asd 35 7 2 18" xfId="36367"/>
    <cellStyle name="asd 35 7 2 19" xfId="38246"/>
    <cellStyle name="asd 35 7 2 2" xfId="6937"/>
    <cellStyle name="asd 35 7 2 20" xfId="39382"/>
    <cellStyle name="asd 35 7 2 21" xfId="41058"/>
    <cellStyle name="asd 35 7 2 22" xfId="43235"/>
    <cellStyle name="asd 35 7 2 3" xfId="8391"/>
    <cellStyle name="asd 35 7 2 4" xfId="10301"/>
    <cellStyle name="asd 35 7 2 5" xfId="12526"/>
    <cellStyle name="asd 35 7 2 6" xfId="13940"/>
    <cellStyle name="asd 35 7 2 7" xfId="15841"/>
    <cellStyle name="asd 35 7 2 8" xfId="17920"/>
    <cellStyle name="asd 35 7 2 9" xfId="19826"/>
    <cellStyle name="asd 35 7 20" xfId="37571"/>
    <cellStyle name="asd 35 7 21" xfId="39106"/>
    <cellStyle name="asd 35 7 22" xfId="40787"/>
    <cellStyle name="asd 35 7 23" xfId="43294"/>
    <cellStyle name="asd 35 7 3" xfId="6265"/>
    <cellStyle name="asd 35 7 4" xfId="7716"/>
    <cellStyle name="asd 35 7 5" xfId="9626"/>
    <cellStyle name="asd 35 7 6" xfId="12514"/>
    <cellStyle name="asd 35 7 7" xfId="14001"/>
    <cellStyle name="asd 35 7 8" xfId="15902"/>
    <cellStyle name="asd 35 7 9" xfId="17245"/>
    <cellStyle name="asd 35 8" xfId="2037"/>
    <cellStyle name="asd 35 9" xfId="6667"/>
    <cellStyle name="asd 36" xfId="949"/>
    <cellStyle name="asd 36 10" xfId="2572"/>
    <cellStyle name="asd 36 11" xfId="2780"/>
    <cellStyle name="asd 36 12" xfId="3707"/>
    <cellStyle name="asd 36 13" xfId="3241"/>
    <cellStyle name="asd 36 14" xfId="3860"/>
    <cellStyle name="asd 36 15" xfId="3108"/>
    <cellStyle name="asd 36 16" xfId="2683"/>
    <cellStyle name="asd 36 17" xfId="20407"/>
    <cellStyle name="asd 36 18" xfId="14699"/>
    <cellStyle name="asd 36 19" xfId="29491"/>
    <cellStyle name="asd 36 2" xfId="3514"/>
    <cellStyle name="asd 36 2 10" xfId="14424"/>
    <cellStyle name="asd 36 2 11" xfId="16330"/>
    <cellStyle name="asd 36 2 12" xfId="17006"/>
    <cellStyle name="asd 36 2 13" xfId="18913"/>
    <cellStyle name="asd 36 2 14" xfId="20825"/>
    <cellStyle name="asd 36 2 15" xfId="23954"/>
    <cellStyle name="asd 36 2 16" xfId="24627"/>
    <cellStyle name="asd 36 2 17" xfId="26312"/>
    <cellStyle name="asd 36 2 18" xfId="2442"/>
    <cellStyle name="asd 36 2 19" xfId="29920"/>
    <cellStyle name="asd 36 2 2" xfId="3694"/>
    <cellStyle name="asd 36 2 2 10" xfId="17585"/>
    <cellStyle name="asd 36 2 2 11" xfId="19491"/>
    <cellStyle name="asd 36 2 2 12" xfId="21403"/>
    <cellStyle name="asd 36 2 2 13" xfId="22983"/>
    <cellStyle name="asd 36 2 2 14" xfId="25205"/>
    <cellStyle name="asd 36 2 2 15" xfId="27215"/>
    <cellStyle name="asd 36 2 2 16" xfId="29451"/>
    <cellStyle name="asd 36 2 2 17" xfId="30806"/>
    <cellStyle name="asd 36 2 2 18" xfId="32578"/>
    <cellStyle name="asd 36 2 2 19" xfId="34216"/>
    <cellStyle name="asd 36 2 2 2" xfId="5761"/>
    <cellStyle name="asd 36 2 2 2 10" xfId="22011"/>
    <cellStyle name="asd 36 2 2 2 11" xfId="23460"/>
    <cellStyle name="asd 36 2 2 2 12" xfId="25813"/>
    <cellStyle name="asd 36 2 2 2 13" xfId="27152"/>
    <cellStyle name="asd 36 2 2 2 14" xfId="29198"/>
    <cellStyle name="asd 36 2 2 2 15" xfId="30743"/>
    <cellStyle name="asd 36 2 2 2 16" xfId="33093"/>
    <cellStyle name="asd 36 2 2 2 17" xfId="34425"/>
    <cellStyle name="asd 36 2 2 2 18" xfId="36640"/>
    <cellStyle name="asd 36 2 2 2 19" xfId="38519"/>
    <cellStyle name="asd 36 2 2 2 2" xfId="7210"/>
    <cellStyle name="asd 36 2 2 2 20" xfId="40289"/>
    <cellStyle name="asd 36 2 2 2 21" xfId="41945"/>
    <cellStyle name="asd 36 2 2 2 22" xfId="43227"/>
    <cellStyle name="asd 36 2 2 2 3" xfId="8664"/>
    <cellStyle name="asd 36 2 2 2 4" xfId="10574"/>
    <cellStyle name="asd 36 2 2 2 5" xfId="12576"/>
    <cellStyle name="asd 36 2 2 2 6" xfId="13932"/>
    <cellStyle name="asd 36 2 2 2 7" xfId="15833"/>
    <cellStyle name="asd 36 2 2 2 8" xfId="18193"/>
    <cellStyle name="asd 36 2 2 2 9" xfId="20099"/>
    <cellStyle name="asd 36 2 2 20" xfId="36032"/>
    <cellStyle name="asd 36 2 2 21" xfId="37911"/>
    <cellStyle name="asd 36 2 2 22" xfId="39788"/>
    <cellStyle name="asd 36 2 2 23" xfId="41458"/>
    <cellStyle name="asd 36 2 2 24" xfId="42769"/>
    <cellStyle name="asd 36 2 2 3" xfId="5155"/>
    <cellStyle name="asd 36 2 2 4" xfId="6605"/>
    <cellStyle name="asd 36 2 2 5" xfId="8056"/>
    <cellStyle name="asd 36 2 2 6" xfId="9966"/>
    <cellStyle name="asd 36 2 2 7" xfId="11303"/>
    <cellStyle name="asd 36 2 2 8" xfId="13452"/>
    <cellStyle name="asd 36 2 2 9" xfId="15357"/>
    <cellStyle name="asd 36 2 20" xfId="3191"/>
    <cellStyle name="asd 36 2 21" xfId="26270"/>
    <cellStyle name="asd 36 2 22" xfId="35455"/>
    <cellStyle name="asd 36 2 23" xfId="37333"/>
    <cellStyle name="asd 36 2 24" xfId="32522"/>
    <cellStyle name="asd 36 2 25" xfId="39975"/>
    <cellStyle name="asd 36 2 26" xfId="43700"/>
    <cellStyle name="asd 36 2 3" xfId="3227"/>
    <cellStyle name="asd 36 2 3 10" xfId="19183"/>
    <cellStyle name="asd 36 2 3 11" xfId="21095"/>
    <cellStyle name="asd 36 2 3 12" xfId="24123"/>
    <cellStyle name="asd 36 2 3 13" xfId="24897"/>
    <cellStyle name="asd 36 2 3 14" xfId="26772"/>
    <cellStyle name="asd 36 2 3 15" xfId="29498"/>
    <cellStyle name="asd 36 2 3 16" xfId="30371"/>
    <cellStyle name="asd 36 2 3 17" xfId="32137"/>
    <cellStyle name="asd 36 2 3 18" xfId="33853"/>
    <cellStyle name="asd 36 2 3 19" xfId="35724"/>
    <cellStyle name="asd 36 2 3 2" xfId="4468"/>
    <cellStyle name="asd 36 2 3 2 10" xfId="20713"/>
    <cellStyle name="asd 36 2 3 2 11" xfId="22868"/>
    <cellStyle name="asd 36 2 3 2 12" xfId="24515"/>
    <cellStyle name="asd 36 2 3 2 13" xfId="27249"/>
    <cellStyle name="asd 36 2 3 2 14" xfId="28999"/>
    <cellStyle name="asd 36 2 3 2 15" xfId="30840"/>
    <cellStyle name="asd 36 2 3 2 16" xfId="31637"/>
    <cellStyle name="asd 36 2 3 2 17" xfId="34229"/>
    <cellStyle name="asd 36 2 3 2 18" xfId="35343"/>
    <cellStyle name="asd 36 2 3 2 19" xfId="37221"/>
    <cellStyle name="asd 36 2 3 2 2" xfId="5378"/>
    <cellStyle name="asd 36 2 3 2 20" xfId="38884"/>
    <cellStyle name="asd 36 2 3 2 21" xfId="40569"/>
    <cellStyle name="asd 36 2 3 2 22" xfId="42655"/>
    <cellStyle name="asd 36 2 3 2 3" xfId="6729"/>
    <cellStyle name="asd 36 2 3 2 4" xfId="9275"/>
    <cellStyle name="asd 36 2 3 2 5" xfId="11292"/>
    <cellStyle name="asd 36 2 3 2 6" xfId="13336"/>
    <cellStyle name="asd 36 2 3 2 7" xfId="15241"/>
    <cellStyle name="asd 36 2 3 2 8" xfId="16894"/>
    <cellStyle name="asd 36 2 3 2 9" xfId="18801"/>
    <cellStyle name="asd 36 2 3 20" xfId="37603"/>
    <cellStyle name="asd 36 2 3 21" xfId="39360"/>
    <cellStyle name="asd 36 2 3 22" xfId="41036"/>
    <cellStyle name="asd 36 2 3 23" xfId="43866"/>
    <cellStyle name="asd 36 2 3 3" xfId="4847"/>
    <cellStyle name="asd 36 2 3 4" xfId="7748"/>
    <cellStyle name="asd 36 2 3 5" xfId="9658"/>
    <cellStyle name="asd 36 2 3 6" xfId="12083"/>
    <cellStyle name="asd 36 2 3 7" xfId="14594"/>
    <cellStyle name="asd 36 2 3 8" xfId="16500"/>
    <cellStyle name="asd 36 2 3 9" xfId="17277"/>
    <cellStyle name="asd 36 2 4" xfId="4146"/>
    <cellStyle name="asd 36 2 4 10" xfId="19781"/>
    <cellStyle name="asd 36 2 4 11" xfId="21693"/>
    <cellStyle name="asd 36 2 4 12" xfId="22590"/>
    <cellStyle name="asd 36 2 4 13" xfId="25495"/>
    <cellStyle name="asd 36 2 4 14" xfId="27271"/>
    <cellStyle name="asd 36 2 4 15" xfId="28079"/>
    <cellStyle name="asd 36 2 4 16" xfId="30863"/>
    <cellStyle name="asd 36 2 4 17" xfId="32588"/>
    <cellStyle name="asd 36 2 4 18" xfId="34436"/>
    <cellStyle name="asd 36 2 4 19" xfId="36322"/>
    <cellStyle name="asd 36 2 4 2" xfId="6051"/>
    <cellStyle name="asd 36 2 4 2 10" xfId="22301"/>
    <cellStyle name="asd 36 2 4 2 11" xfId="1891"/>
    <cellStyle name="asd 36 2 4 2 12" xfId="26103"/>
    <cellStyle name="asd 36 2 4 2 13" xfId="23734"/>
    <cellStyle name="asd 36 2 4 2 14" xfId="4162"/>
    <cellStyle name="asd 36 2 4 2 15" xfId="15152"/>
    <cellStyle name="asd 36 2 4 2 16" xfId="31557"/>
    <cellStyle name="asd 36 2 4 2 17" xfId="28008"/>
    <cellStyle name="asd 36 2 4 2 18" xfId="36930"/>
    <cellStyle name="asd 36 2 4 2 19" xfId="38809"/>
    <cellStyle name="asd 36 2 4 2 2" xfId="7500"/>
    <cellStyle name="asd 36 2 4 2 20" xfId="38819"/>
    <cellStyle name="asd 36 2 4 2 21" xfId="40514"/>
    <cellStyle name="asd 36 2 4 2 22" xfId="3968"/>
    <cellStyle name="asd 36 2 4 2 3" xfId="8954"/>
    <cellStyle name="asd 36 2 4 2 4" xfId="10864"/>
    <cellStyle name="asd 36 2 4 2 5" xfId="4230"/>
    <cellStyle name="asd 36 2 4 2 6" xfId="1913"/>
    <cellStyle name="asd 36 2 4 2 7" xfId="12771"/>
    <cellStyle name="asd 36 2 4 2 8" xfId="18483"/>
    <cellStyle name="asd 36 2 4 2 9" xfId="20389"/>
    <cellStyle name="asd 36 2 4 20" xfId="38201"/>
    <cellStyle name="asd 36 2 4 21" xfId="39799"/>
    <cellStyle name="asd 36 2 4 22" xfId="41468"/>
    <cellStyle name="asd 36 2 4 23" xfId="42399"/>
    <cellStyle name="asd 36 2 4 3" xfId="6892"/>
    <cellStyle name="asd 36 2 4 4" xfId="8346"/>
    <cellStyle name="asd 36 2 4 5" xfId="10256"/>
    <cellStyle name="asd 36 2 4 6" xfId="11779"/>
    <cellStyle name="asd 36 2 4 7" xfId="13058"/>
    <cellStyle name="asd 36 2 4 8" xfId="14962"/>
    <cellStyle name="asd 36 2 4 9" xfId="17875"/>
    <cellStyle name="asd 36 2 5" xfId="4987"/>
    <cellStyle name="asd 36 2 5 10" xfId="21235"/>
    <cellStyle name="asd 36 2 5 11" xfId="23667"/>
    <cellStyle name="asd 36 2 5 12" xfId="25037"/>
    <cellStyle name="asd 36 2 5 13" xfId="26678"/>
    <cellStyle name="asd 36 2 5 14" xfId="28486"/>
    <cellStyle name="asd 36 2 5 15" xfId="30278"/>
    <cellStyle name="asd 36 2 5 16" xfId="32533"/>
    <cellStyle name="asd 36 2 5 17" xfId="34050"/>
    <cellStyle name="asd 36 2 5 18" xfId="35864"/>
    <cellStyle name="asd 36 2 5 19" xfId="37743"/>
    <cellStyle name="asd 36 2 5 2" xfId="6437"/>
    <cellStyle name="asd 36 2 5 20" xfId="39746"/>
    <cellStyle name="asd 36 2 5 21" xfId="41418"/>
    <cellStyle name="asd 36 2 5 22" xfId="43425"/>
    <cellStyle name="asd 36 2 5 3" xfId="7888"/>
    <cellStyle name="asd 36 2 5 4" xfId="9798"/>
    <cellStyle name="asd 36 2 5 5" xfId="11478"/>
    <cellStyle name="asd 36 2 5 6" xfId="14138"/>
    <cellStyle name="asd 36 2 5 7" xfId="16041"/>
    <cellStyle name="asd 36 2 5 8" xfId="17417"/>
    <cellStyle name="asd 36 2 5 9" xfId="19323"/>
    <cellStyle name="asd 36 2 6" xfId="1845"/>
    <cellStyle name="asd 36 2 6 10" xfId="20542"/>
    <cellStyle name="asd 36 2 6 11" xfId="3187"/>
    <cellStyle name="asd 36 2 6 12" xfId="24344"/>
    <cellStyle name="asd 36 2 6 13" xfId="20412"/>
    <cellStyle name="asd 36 2 6 14" xfId="15750"/>
    <cellStyle name="asd 36 2 6 15" xfId="28965"/>
    <cellStyle name="asd 36 2 6 16" xfId="4640"/>
    <cellStyle name="asd 36 2 6 17" xfId="29752"/>
    <cellStyle name="asd 36 2 6 18" xfId="35172"/>
    <cellStyle name="asd 36 2 6 19" xfId="37050"/>
    <cellStyle name="asd 36 2 6 2" xfId="4705"/>
    <cellStyle name="asd 36 2 6 20" xfId="34148"/>
    <cellStyle name="asd 36 2 6 21" xfId="31658"/>
    <cellStyle name="asd 36 2 6 22" xfId="33245"/>
    <cellStyle name="asd 36 2 6 3" xfId="6199"/>
    <cellStyle name="asd 36 2 6 4" xfId="9104"/>
    <cellStyle name="asd 36 2 6 5" xfId="12202"/>
    <cellStyle name="asd 36 2 6 6" xfId="4220"/>
    <cellStyle name="asd 36 2 6 7" xfId="3111"/>
    <cellStyle name="asd 36 2 6 8" xfId="16723"/>
    <cellStyle name="asd 36 2 6 9" xfId="18630"/>
    <cellStyle name="asd 36 2 7" xfId="6273"/>
    <cellStyle name="asd 36 2 8" xfId="9387"/>
    <cellStyle name="asd 36 2 9" xfId="11914"/>
    <cellStyle name="asd 36 20" xfId="2132"/>
    <cellStyle name="asd 36 21" xfId="27560"/>
    <cellStyle name="asd 36 22" xfId="1943"/>
    <cellStyle name="asd 36 23" xfId="15199"/>
    <cellStyle name="asd 36 24" xfId="12810"/>
    <cellStyle name="asd 36 25" xfId="1761"/>
    <cellStyle name="asd 36 26" xfId="2582"/>
    <cellStyle name="asd 36 27" xfId="2253"/>
    <cellStyle name="asd 36 3" xfId="3412"/>
    <cellStyle name="asd 36 3 10" xfId="13295"/>
    <cellStyle name="asd 36 3 11" xfId="15200"/>
    <cellStyle name="asd 36 3 12" xfId="16778"/>
    <cellStyle name="asd 36 3 13" xfId="18685"/>
    <cellStyle name="asd 36 3 14" xfId="20597"/>
    <cellStyle name="asd 36 3 15" xfId="22826"/>
    <cellStyle name="asd 36 3 16" xfId="24399"/>
    <cellStyle name="asd 36 3 17" xfId="27365"/>
    <cellStyle name="asd 36 3 18" xfId="29038"/>
    <cellStyle name="asd 36 3 19" xfId="30952"/>
    <cellStyle name="asd 36 3 2" xfId="3592"/>
    <cellStyle name="asd 36 3 2 10" xfId="17483"/>
    <cellStyle name="asd 36 3 2 11" xfId="19389"/>
    <cellStyle name="asd 36 3 2 12" xfId="21301"/>
    <cellStyle name="asd 36 3 2 13" xfId="22445"/>
    <cellStyle name="asd 36 3 2 14" xfId="25103"/>
    <cellStyle name="asd 36 3 2 15" xfId="27170"/>
    <cellStyle name="asd 36 3 2 16" xfId="11784"/>
    <cellStyle name="asd 36 3 2 17" xfId="30762"/>
    <cellStyle name="asd 36 3 2 18" xfId="31617"/>
    <cellStyle name="asd 36 3 2 19" xfId="12938"/>
    <cellStyle name="asd 36 3 2 2" xfId="5556"/>
    <cellStyle name="asd 36 3 2 2 10" xfId="21806"/>
    <cellStyle name="asd 36 3 2 2 11" xfId="23390"/>
    <cellStyle name="asd 36 3 2 2 12" xfId="25608"/>
    <cellStyle name="asd 36 3 2 2 13" xfId="26905"/>
    <cellStyle name="asd 36 3 2 2 14" xfId="28645"/>
    <cellStyle name="asd 36 3 2 2 15" xfId="30501"/>
    <cellStyle name="asd 36 3 2 2 16" xfId="32620"/>
    <cellStyle name="asd 36 3 2 2 17" xfId="34951"/>
    <cellStyle name="asd 36 3 2 2 18" xfId="36435"/>
    <cellStyle name="asd 36 3 2 2 19" xfId="38314"/>
    <cellStyle name="asd 36 3 2 2 2" xfId="7005"/>
    <cellStyle name="asd 36 3 2 2 20" xfId="39830"/>
    <cellStyle name="asd 36 3 2 2 21" xfId="41499"/>
    <cellStyle name="asd 36 3 2 2 22" xfId="43157"/>
    <cellStyle name="asd 36 3 2 2 3" xfId="8459"/>
    <cellStyle name="asd 36 3 2 2 4" xfId="10369"/>
    <cellStyle name="asd 36 3 2 2 5" xfId="12227"/>
    <cellStyle name="asd 36 3 2 2 6" xfId="13862"/>
    <cellStyle name="asd 36 3 2 2 7" xfId="15763"/>
    <cellStyle name="asd 36 3 2 2 8" xfId="17988"/>
    <cellStyle name="asd 36 3 2 2 9" xfId="19894"/>
    <cellStyle name="asd 36 3 2 20" xfId="35930"/>
    <cellStyle name="asd 36 3 2 21" xfId="37809"/>
    <cellStyle name="asd 36 3 2 22" xfId="38864"/>
    <cellStyle name="asd 36 3 2 23" xfId="40550"/>
    <cellStyle name="asd 36 3 2 24" xfId="42256"/>
    <cellStyle name="asd 36 3 2 3" xfId="5053"/>
    <cellStyle name="asd 36 3 2 4" xfId="6503"/>
    <cellStyle name="asd 36 3 2 5" xfId="7954"/>
    <cellStyle name="asd 36 3 2 6" xfId="9864"/>
    <cellStyle name="asd 36 3 2 7" xfId="11385"/>
    <cellStyle name="asd 36 3 2 8" xfId="12913"/>
    <cellStyle name="asd 36 3 2 9" xfId="14818"/>
    <cellStyle name="asd 36 3 20" xfId="33183"/>
    <cellStyle name="asd 36 3 21" xfId="33489"/>
    <cellStyle name="asd 36 3 22" xfId="35227"/>
    <cellStyle name="asd 36 3 23" xfId="37105"/>
    <cellStyle name="asd 36 3 24" xfId="40374"/>
    <cellStyle name="asd 36 3 25" xfId="42030"/>
    <cellStyle name="asd 36 3 26" xfId="42618"/>
    <cellStyle name="asd 36 3 3" xfId="3797"/>
    <cellStyle name="asd 36 3 3 10" xfId="19532"/>
    <cellStyle name="asd 36 3 3 11" xfId="21444"/>
    <cellStyle name="asd 36 3 3 12" xfId="23843"/>
    <cellStyle name="asd 36 3 3 13" xfId="25246"/>
    <cellStyle name="asd 36 3 3 14" xfId="27963"/>
    <cellStyle name="asd 36 3 3 15" xfId="13593"/>
    <cellStyle name="asd 36 3 3 16" xfId="31543"/>
    <cellStyle name="asd 36 3 3 17" xfId="22330"/>
    <cellStyle name="asd 36 3 3 18" xfId="18524"/>
    <cellStyle name="asd 36 3 3 19" xfId="36073"/>
    <cellStyle name="asd 36 3 3 2" xfId="5802"/>
    <cellStyle name="asd 36 3 3 2 10" xfId="22052"/>
    <cellStyle name="asd 36 3 3 2 11" xfId="24102"/>
    <cellStyle name="asd 36 3 3 2 12" xfId="25854"/>
    <cellStyle name="asd 36 3 3 2 13" xfId="27457"/>
    <cellStyle name="asd 36 3 3 2 14" xfId="29269"/>
    <cellStyle name="asd 36 3 3 2 15" xfId="31044"/>
    <cellStyle name="asd 36 3 3 2 16" xfId="31875"/>
    <cellStyle name="asd 36 3 3 2 17" xfId="33765"/>
    <cellStyle name="asd 36 3 3 2 18" xfId="36681"/>
    <cellStyle name="asd 36 3 3 2 19" xfId="38560"/>
    <cellStyle name="asd 36 3 3 2 2" xfId="7251"/>
    <cellStyle name="asd 36 3 3 2 20" xfId="39110"/>
    <cellStyle name="asd 36 3 3 2 21" xfId="40791"/>
    <cellStyle name="asd 36 3 3 2 22" xfId="43845"/>
    <cellStyle name="asd 36 3 3 2 3" xfId="8705"/>
    <cellStyle name="asd 36 3 3 2 4" xfId="10615"/>
    <cellStyle name="asd 36 3 3 2 5" xfId="12061"/>
    <cellStyle name="asd 36 3 3 2 6" xfId="14572"/>
    <cellStyle name="asd 36 3 3 2 7" xfId="16478"/>
    <cellStyle name="asd 36 3 3 2 8" xfId="18234"/>
    <cellStyle name="asd 36 3 3 2 9" xfId="20140"/>
    <cellStyle name="asd 36 3 3 20" xfId="37952"/>
    <cellStyle name="asd 36 3 3 21" xfId="3053"/>
    <cellStyle name="asd 36 3 3 22" xfId="5437"/>
    <cellStyle name="asd 36 3 3 23" xfId="43594"/>
    <cellStyle name="asd 36 3 3 3" xfId="5196"/>
    <cellStyle name="asd 36 3 3 4" xfId="8097"/>
    <cellStyle name="asd 36 3 3 5" xfId="10007"/>
    <cellStyle name="asd 36 3 3 6" xfId="11780"/>
    <cellStyle name="asd 36 3 3 7" xfId="14313"/>
    <cellStyle name="asd 36 3 3 8" xfId="16217"/>
    <cellStyle name="asd 36 3 3 9" xfId="17626"/>
    <cellStyle name="asd 36 3 4" xfId="4044"/>
    <cellStyle name="asd 36 3 4 10" xfId="19679"/>
    <cellStyle name="asd 36 3 4 11" xfId="21591"/>
    <cellStyle name="asd 36 3 4 12" xfId="23516"/>
    <cellStyle name="asd 36 3 4 13" xfId="25393"/>
    <cellStyle name="asd 36 3 4 14" xfId="27707"/>
    <cellStyle name="asd 36 3 4 15" xfId="28641"/>
    <cellStyle name="asd 36 3 4 16" xfId="31283"/>
    <cellStyle name="asd 36 3 4 17" xfId="31994"/>
    <cellStyle name="asd 36 3 4 18" xfId="33802"/>
    <cellStyle name="asd 36 3 4 19" xfId="36220"/>
    <cellStyle name="asd 36 3 4 2" xfId="5949"/>
    <cellStyle name="asd 36 3 4 2 10" xfId="22199"/>
    <cellStyle name="asd 36 3 4 2 11" xfId="24159"/>
    <cellStyle name="asd 36 3 4 2 12" xfId="26001"/>
    <cellStyle name="asd 36 3 4 2 13" xfId="27606"/>
    <cellStyle name="asd 36 3 4 2 14" xfId="28031"/>
    <cellStyle name="asd 36 3 4 2 15" xfId="31184"/>
    <cellStyle name="asd 36 3 4 2 16" xfId="31717"/>
    <cellStyle name="asd 36 3 4 2 17" xfId="33490"/>
    <cellStyle name="asd 36 3 4 2 18" xfId="36828"/>
    <cellStyle name="asd 36 3 4 2 19" xfId="38707"/>
    <cellStyle name="asd 36 3 4 2 2" xfId="7398"/>
    <cellStyle name="asd 36 3 4 2 20" xfId="38958"/>
    <cellStyle name="asd 36 3 4 2 21" xfId="40641"/>
    <cellStyle name="asd 36 3 4 2 22" xfId="43901"/>
    <cellStyle name="asd 36 3 4 2 3" xfId="8852"/>
    <cellStyle name="asd 36 3 4 2 4" xfId="10762"/>
    <cellStyle name="asd 36 3 4 2 5" xfId="12119"/>
    <cellStyle name="asd 36 3 4 2 6" xfId="14630"/>
    <cellStyle name="asd 36 3 4 2 7" xfId="16536"/>
    <cellStyle name="asd 36 3 4 2 8" xfId="18381"/>
    <cellStyle name="asd 36 3 4 2 9" xfId="20287"/>
    <cellStyle name="asd 36 3 4 20" xfId="38099"/>
    <cellStyle name="asd 36 3 4 21" xfId="39225"/>
    <cellStyle name="asd 36 3 4 22" xfId="40903"/>
    <cellStyle name="asd 36 3 4 23" xfId="43281"/>
    <cellStyle name="asd 36 3 4 3" xfId="6790"/>
    <cellStyle name="asd 36 3 4 4" xfId="8244"/>
    <cellStyle name="asd 36 3 4 5" xfId="10154"/>
    <cellStyle name="asd 36 3 4 6" xfId="12500"/>
    <cellStyle name="asd 36 3 4 7" xfId="13988"/>
    <cellStyle name="asd 36 3 4 8" xfId="15889"/>
    <cellStyle name="asd 36 3 4 9" xfId="17773"/>
    <cellStyle name="asd 36 3 5" xfId="4906"/>
    <cellStyle name="asd 36 3 5 10" xfId="21154"/>
    <cellStyle name="asd 36 3 5 11" xfId="23924"/>
    <cellStyle name="asd 36 3 5 12" xfId="24956"/>
    <cellStyle name="asd 36 3 5 13" xfId="27418"/>
    <cellStyle name="asd 36 3 5 14" xfId="28539"/>
    <cellStyle name="asd 36 3 5 15" xfId="31004"/>
    <cellStyle name="asd 36 3 5 16" xfId="32092"/>
    <cellStyle name="asd 36 3 5 17" xfId="33967"/>
    <cellStyle name="asd 36 3 5 18" xfId="35783"/>
    <cellStyle name="asd 36 3 5 19" xfId="37662"/>
    <cellStyle name="asd 36 3 5 2" xfId="6356"/>
    <cellStyle name="asd 36 3 5 20" xfId="39316"/>
    <cellStyle name="asd 36 3 5 21" xfId="40992"/>
    <cellStyle name="asd 36 3 5 22" xfId="43670"/>
    <cellStyle name="asd 36 3 5 3" xfId="7807"/>
    <cellStyle name="asd 36 3 5 4" xfId="9717"/>
    <cellStyle name="asd 36 3 5 5" xfId="11883"/>
    <cellStyle name="asd 36 3 5 6" xfId="14393"/>
    <cellStyle name="asd 36 3 5 7" xfId="16299"/>
    <cellStyle name="asd 36 3 5 8" xfId="17336"/>
    <cellStyle name="asd 36 3 5 9" xfId="19242"/>
    <cellStyle name="asd 36 3 6" xfId="5521"/>
    <cellStyle name="asd 36 3 6 10" xfId="21771"/>
    <cellStyle name="asd 36 3 6 11" xfId="23455"/>
    <cellStyle name="asd 36 3 6 12" xfId="25573"/>
    <cellStyle name="asd 36 3 6 13" xfId="27503"/>
    <cellStyle name="asd 36 3 6 14" xfId="28615"/>
    <cellStyle name="asd 36 3 6 15" xfId="31088"/>
    <cellStyle name="asd 36 3 6 16" xfId="33257"/>
    <cellStyle name="asd 36 3 6 17" xfId="33576"/>
    <cellStyle name="asd 36 3 6 18" xfId="36400"/>
    <cellStyle name="asd 36 3 6 19" xfId="38279"/>
    <cellStyle name="asd 36 3 6 2" xfId="6970"/>
    <cellStyle name="asd 36 3 6 20" xfId="40443"/>
    <cellStyle name="asd 36 3 6 21" xfId="42098"/>
    <cellStyle name="asd 36 3 6 22" xfId="43222"/>
    <cellStyle name="asd 36 3 6 3" xfId="8424"/>
    <cellStyle name="asd 36 3 6 4" xfId="10334"/>
    <cellStyle name="asd 36 3 6 5" xfId="12493"/>
    <cellStyle name="asd 36 3 6 6" xfId="13927"/>
    <cellStyle name="asd 36 3 6 7" xfId="15828"/>
    <cellStyle name="asd 36 3 6 8" xfId="17953"/>
    <cellStyle name="asd 36 3 6 9" xfId="19859"/>
    <cellStyle name="asd 36 3 7" xfId="3304"/>
    <cellStyle name="asd 36 3 8" xfId="9159"/>
    <cellStyle name="asd 36 3 9" xfId="3971"/>
    <cellStyle name="asd 36 4" xfId="3499"/>
    <cellStyle name="asd 36 4 10" xfId="2668"/>
    <cellStyle name="asd 36 4 11" xfId="16954"/>
    <cellStyle name="asd 36 4 12" xfId="18861"/>
    <cellStyle name="asd 36 4 13" xfId="20773"/>
    <cellStyle name="asd 36 4 14" xfId="2951"/>
    <cellStyle name="asd 36 4 15" xfId="24575"/>
    <cellStyle name="asd 36 4 16" xfId="3750"/>
    <cellStyle name="asd 36 4 17" xfId="14201"/>
    <cellStyle name="asd 36 4 18" xfId="2626"/>
    <cellStyle name="asd 36 4 19" xfId="28026"/>
    <cellStyle name="asd 36 4 2" xfId="3679"/>
    <cellStyle name="asd 36 4 2 10" xfId="17570"/>
    <cellStyle name="asd 36 4 2 11" xfId="19476"/>
    <cellStyle name="asd 36 4 2 12" xfId="21388"/>
    <cellStyle name="asd 36 4 2 13" xfId="23281"/>
    <cellStyle name="asd 36 4 2 14" xfId="25190"/>
    <cellStyle name="asd 36 4 2 15" xfId="27449"/>
    <cellStyle name="asd 36 4 2 16" xfId="29621"/>
    <cellStyle name="asd 36 4 2 17" xfId="31036"/>
    <cellStyle name="asd 36 4 2 18" xfId="32801"/>
    <cellStyle name="asd 36 4 2 19" xfId="34846"/>
    <cellStyle name="asd 36 4 2 2" xfId="5746"/>
    <cellStyle name="asd 36 4 2 2 10" xfId="21996"/>
    <cellStyle name="asd 36 4 2 2 11" xfId="23646"/>
    <cellStyle name="asd 36 4 2 2 12" xfId="25798"/>
    <cellStyle name="asd 36 4 2 2 13" xfId="27839"/>
    <cellStyle name="asd 36 4 2 2 14" xfId="29147"/>
    <cellStyle name="asd 36 4 2 2 15" xfId="31417"/>
    <cellStyle name="asd 36 4 2 2 16" xfId="33197"/>
    <cellStyle name="asd 36 4 2 2 17" xfId="33806"/>
    <cellStyle name="asd 36 4 2 2 18" xfId="36625"/>
    <cellStyle name="asd 36 4 2 2 19" xfId="38504"/>
    <cellStyle name="asd 36 4 2 2 2" xfId="7195"/>
    <cellStyle name="asd 36 4 2 2 20" xfId="40387"/>
    <cellStyle name="asd 36 4 2 2 21" xfId="42043"/>
    <cellStyle name="asd 36 4 2 2 22" xfId="43404"/>
    <cellStyle name="asd 36 4 2 2 3" xfId="8649"/>
    <cellStyle name="asd 36 4 2 2 4" xfId="10559"/>
    <cellStyle name="asd 36 4 2 2 5" xfId="11505"/>
    <cellStyle name="asd 36 4 2 2 6" xfId="14116"/>
    <cellStyle name="asd 36 4 2 2 7" xfId="16019"/>
    <cellStyle name="asd 36 4 2 2 8" xfId="18178"/>
    <cellStyle name="asd 36 4 2 2 9" xfId="20084"/>
    <cellStyle name="asd 36 4 2 20" xfId="36017"/>
    <cellStyle name="asd 36 4 2 21" xfId="37896"/>
    <cellStyle name="asd 36 4 2 22" xfId="40010"/>
    <cellStyle name="asd 36 4 2 23" xfId="41674"/>
    <cellStyle name="asd 36 4 2 24" xfId="43057"/>
    <cellStyle name="asd 36 4 2 3" xfId="5140"/>
    <cellStyle name="asd 36 4 2 4" xfId="6590"/>
    <cellStyle name="asd 36 4 2 5" xfId="8041"/>
    <cellStyle name="asd 36 4 2 6" xfId="9951"/>
    <cellStyle name="asd 36 4 2 7" xfId="11227"/>
    <cellStyle name="asd 36 4 2 8" xfId="13753"/>
    <cellStyle name="asd 36 4 2 9" xfId="15655"/>
    <cellStyle name="asd 36 4 20" xfId="27362"/>
    <cellStyle name="asd 36 4 21" xfId="35403"/>
    <cellStyle name="asd 36 4 22" xfId="37281"/>
    <cellStyle name="asd 36 4 23" xfId="28002"/>
    <cellStyle name="asd 36 4 24" xfId="20449"/>
    <cellStyle name="asd 36 4 25" xfId="2772"/>
    <cellStyle name="asd 36 4 3" xfId="2029"/>
    <cellStyle name="asd 36 4 3 10" xfId="19000"/>
    <cellStyle name="asd 36 4 3 11" xfId="20912"/>
    <cellStyle name="asd 36 4 3 12" xfId="22765"/>
    <cellStyle name="asd 36 4 3 13" xfId="24714"/>
    <cellStyle name="asd 36 4 3 14" xfId="27654"/>
    <cellStyle name="asd 36 4 3 15" xfId="28673"/>
    <cellStyle name="asd 36 4 3 16" xfId="31231"/>
    <cellStyle name="asd 36 4 3 17" xfId="31607"/>
    <cellStyle name="asd 36 4 3 18" xfId="33633"/>
    <cellStyle name="asd 36 4 3 19" xfId="35541"/>
    <cellStyle name="asd 36 4 3 2" xfId="4992"/>
    <cellStyle name="asd 36 4 3 2 10" xfId="21240"/>
    <cellStyle name="asd 36 4 3 2 11" xfId="22933"/>
    <cellStyle name="asd 36 4 3 2 12" xfId="25042"/>
    <cellStyle name="asd 36 4 3 2 13" xfId="27911"/>
    <cellStyle name="asd 36 4 3 2 14" xfId="28585"/>
    <cellStyle name="asd 36 4 3 2 15" xfId="31493"/>
    <cellStyle name="asd 36 4 3 2 16" xfId="32654"/>
    <cellStyle name="asd 36 4 3 2 17" xfId="34903"/>
    <cellStyle name="asd 36 4 3 2 18" xfId="35869"/>
    <cellStyle name="asd 36 4 3 2 19" xfId="37748"/>
    <cellStyle name="asd 36 4 3 2 2" xfId="6442"/>
    <cellStyle name="asd 36 4 3 2 20" xfId="39861"/>
    <cellStyle name="asd 36 4 3 2 21" xfId="41530"/>
    <cellStyle name="asd 36 4 3 2 22" xfId="42719"/>
    <cellStyle name="asd 36 4 3 2 3" xfId="7893"/>
    <cellStyle name="asd 36 4 3 2 4" xfId="9803"/>
    <cellStyle name="asd 36 4 3 2 5" xfId="12352"/>
    <cellStyle name="asd 36 4 3 2 6" xfId="13401"/>
    <cellStyle name="asd 36 4 3 2 7" xfId="15306"/>
    <cellStyle name="asd 36 4 3 2 8" xfId="17422"/>
    <cellStyle name="asd 36 4 3 2 9" xfId="19328"/>
    <cellStyle name="asd 36 4 3 20" xfId="37420"/>
    <cellStyle name="asd 36 4 3 21" xfId="38854"/>
    <cellStyle name="asd 36 4 3 22" xfId="40540"/>
    <cellStyle name="asd 36 4 3 23" xfId="42561"/>
    <cellStyle name="asd 36 4 3 3" xfId="4667"/>
    <cellStyle name="asd 36 4 3 4" xfId="7565"/>
    <cellStyle name="asd 36 4 3 5" xfId="9475"/>
    <cellStyle name="asd 36 4 3 6" xfId="11512"/>
    <cellStyle name="asd 36 4 3 7" xfId="13234"/>
    <cellStyle name="asd 36 4 3 8" xfId="15137"/>
    <cellStyle name="asd 36 4 3 9" xfId="17094"/>
    <cellStyle name="asd 36 4 4" xfId="4131"/>
    <cellStyle name="asd 36 4 4 10" xfId="19766"/>
    <cellStyle name="asd 36 4 4 11" xfId="21678"/>
    <cellStyle name="asd 36 4 4 12" xfId="23776"/>
    <cellStyle name="asd 36 4 4 13" xfId="25480"/>
    <cellStyle name="asd 36 4 4 14" xfId="26911"/>
    <cellStyle name="asd 36 4 4 15" xfId="29369"/>
    <cellStyle name="asd 36 4 4 16" xfId="30507"/>
    <cellStyle name="asd 36 4 4 17" xfId="33006"/>
    <cellStyle name="asd 36 4 4 18" xfId="33385"/>
    <cellStyle name="asd 36 4 4 19" xfId="36307"/>
    <cellStyle name="asd 36 4 4 2" xfId="6036"/>
    <cellStyle name="asd 36 4 4 2 10" xfId="22286"/>
    <cellStyle name="asd 36 4 4 2 11" xfId="23426"/>
    <cellStyle name="asd 36 4 4 2 12" xfId="26088"/>
    <cellStyle name="asd 36 4 4 2 13" xfId="27778"/>
    <cellStyle name="asd 36 4 4 2 14" xfId="28472"/>
    <cellStyle name="asd 36 4 4 2 15" xfId="31355"/>
    <cellStyle name="asd 36 4 4 2 16" xfId="31675"/>
    <cellStyle name="asd 36 4 4 2 17" xfId="34865"/>
    <cellStyle name="asd 36 4 4 2 18" xfId="36915"/>
    <cellStyle name="asd 36 4 4 2 19" xfId="38794"/>
    <cellStyle name="asd 36 4 4 2 2" xfId="7485"/>
    <cellStyle name="asd 36 4 4 2 20" xfId="38918"/>
    <cellStyle name="asd 36 4 4 2 21" xfId="40602"/>
    <cellStyle name="asd 36 4 4 2 22" xfId="43193"/>
    <cellStyle name="asd 36 4 4 2 3" xfId="8939"/>
    <cellStyle name="asd 36 4 4 2 4" xfId="10849"/>
    <cellStyle name="asd 36 4 4 2 5" xfId="11126"/>
    <cellStyle name="asd 36 4 4 2 6" xfId="13898"/>
    <cellStyle name="asd 36 4 4 2 7" xfId="15799"/>
    <cellStyle name="asd 36 4 4 2 8" xfId="18468"/>
    <cellStyle name="asd 36 4 4 2 9" xfId="20374"/>
    <cellStyle name="asd 36 4 4 20" xfId="38186"/>
    <cellStyle name="asd 36 4 4 21" xfId="40206"/>
    <cellStyle name="asd 36 4 4 22" xfId="41865"/>
    <cellStyle name="asd 36 4 4 23" xfId="43529"/>
    <cellStyle name="asd 36 4 4 3" xfId="6877"/>
    <cellStyle name="asd 36 4 4 4" xfId="8331"/>
    <cellStyle name="asd 36 4 4 5" xfId="10241"/>
    <cellStyle name="asd 36 4 4 6" xfId="11588"/>
    <cellStyle name="asd 36 4 4 7" xfId="14246"/>
    <cellStyle name="asd 36 4 4 8" xfId="16150"/>
    <cellStyle name="asd 36 4 4 9" xfId="17860"/>
    <cellStyle name="asd 36 4 5" xfId="4441"/>
    <cellStyle name="asd 36 4 5 10" xfId="20686"/>
    <cellStyle name="asd 36 4 5 11" xfId="22388"/>
    <cellStyle name="asd 36 4 5 12" xfId="24488"/>
    <cellStyle name="asd 36 4 5 13" xfId="20436"/>
    <cellStyle name="asd 36 4 5 14" xfId="28532"/>
    <cellStyle name="asd 36 4 5 15" xfId="2740"/>
    <cellStyle name="asd 36 4 5 16" xfId="13979"/>
    <cellStyle name="asd 36 4 5 17" xfId="34692"/>
    <cellStyle name="asd 36 4 5 18" xfId="35316"/>
    <cellStyle name="asd 36 4 5 19" xfId="37194"/>
    <cellStyle name="asd 36 4 5 2" xfId="4849"/>
    <cellStyle name="asd 36 4 5 20" xfId="33238"/>
    <cellStyle name="asd 36 4 5 21" xfId="36947"/>
    <cellStyle name="asd 36 4 5 22" xfId="42199"/>
    <cellStyle name="asd 36 4 5 3" xfId="6161"/>
    <cellStyle name="asd 36 4 5 4" xfId="9248"/>
    <cellStyle name="asd 36 4 5 5" xfId="11761"/>
    <cellStyle name="asd 36 4 5 6" xfId="12855"/>
    <cellStyle name="asd 36 4 5 7" xfId="14760"/>
    <cellStyle name="asd 36 4 5 8" xfId="16867"/>
    <cellStyle name="asd 36 4 5 9" xfId="18774"/>
    <cellStyle name="asd 36 4 6" xfId="4224"/>
    <cellStyle name="asd 36 4 7" xfId="9335"/>
    <cellStyle name="asd 36 4 8" xfId="11330"/>
    <cellStyle name="asd 36 4 9" xfId="2164"/>
    <cellStyle name="asd 36 5" xfId="2916"/>
    <cellStyle name="asd 36 5 10" xfId="17220"/>
    <cellStyle name="asd 36 5 11" xfId="19126"/>
    <cellStyle name="asd 36 5 12" xfId="21038"/>
    <cellStyle name="asd 36 5 13" xfId="22893"/>
    <cellStyle name="asd 36 5 14" xfId="24840"/>
    <cellStyle name="asd 36 5 15" xfId="27705"/>
    <cellStyle name="asd 36 5 16" xfId="2568"/>
    <cellStyle name="asd 36 5 17" xfId="31280"/>
    <cellStyle name="asd 36 5 18" xfId="5436"/>
    <cellStyle name="asd 36 5 19" xfId="32123"/>
    <cellStyle name="asd 36 5 2" xfId="4544"/>
    <cellStyle name="asd 36 5 2 10" xfId="20789"/>
    <cellStyle name="asd 36 5 2 11" xfId="23094"/>
    <cellStyle name="asd 36 5 2 12" xfId="24591"/>
    <cellStyle name="asd 36 5 2 13" xfId="26829"/>
    <cellStyle name="asd 36 5 2 14" xfId="28775"/>
    <cellStyle name="asd 36 5 2 15" xfId="30427"/>
    <cellStyle name="asd 36 5 2 16" xfId="32450"/>
    <cellStyle name="asd 36 5 2 17" xfId="34832"/>
    <cellStyle name="asd 36 5 2 18" xfId="35419"/>
    <cellStyle name="asd 36 5 2 19" xfId="37297"/>
    <cellStyle name="asd 36 5 2 2" xfId="1885"/>
    <cellStyle name="asd 36 5 2 20" xfId="39667"/>
    <cellStyle name="asd 36 5 2 21" xfId="41341"/>
    <cellStyle name="asd 36 5 2 22" xfId="42876"/>
    <cellStyle name="asd 36 5 2 3" xfId="1839"/>
    <cellStyle name="asd 36 5 2 4" xfId="9351"/>
    <cellStyle name="asd 36 5 2 5" xfId="12705"/>
    <cellStyle name="asd 36 5 2 6" xfId="13565"/>
    <cellStyle name="asd 36 5 2 7" xfId="15468"/>
    <cellStyle name="asd 36 5 2 8" xfId="16970"/>
    <cellStyle name="asd 36 5 2 9" xfId="18877"/>
    <cellStyle name="asd 36 5 20" xfId="35667"/>
    <cellStyle name="asd 36 5 21" xfId="37546"/>
    <cellStyle name="asd 36 5 22" xfId="3286"/>
    <cellStyle name="asd 36 5 23" xfId="30759"/>
    <cellStyle name="asd 36 5 24" xfId="42679"/>
    <cellStyle name="asd 36 5 3" xfId="4791"/>
    <cellStyle name="asd 36 5 4" xfId="6240"/>
    <cellStyle name="asd 36 5 5" xfId="7691"/>
    <cellStyle name="asd 36 5 6" xfId="9601"/>
    <cellStyle name="asd 36 5 7" xfId="12376"/>
    <cellStyle name="asd 36 5 8" xfId="13361"/>
    <cellStyle name="asd 36 5 9" xfId="15266"/>
    <cellStyle name="asd 36 6" xfId="2759"/>
    <cellStyle name="asd 36 6 10" xfId="19104"/>
    <cellStyle name="asd 36 6 11" xfId="21016"/>
    <cellStyle name="asd 36 6 12" xfId="23149"/>
    <cellStyle name="asd 36 6 13" xfId="24818"/>
    <cellStyle name="asd 36 6 14" xfId="26202"/>
    <cellStyle name="asd 36 6 15" xfId="28862"/>
    <cellStyle name="asd 36 6 16" xfId="29815"/>
    <cellStyle name="asd 36 6 17" xfId="31901"/>
    <cellStyle name="asd 36 6 18" xfId="34108"/>
    <cellStyle name="asd 36 6 19" xfId="35645"/>
    <cellStyle name="asd 36 6 2" xfId="4444"/>
    <cellStyle name="asd 36 6 2 10" xfId="20689"/>
    <cellStyle name="asd 36 6 2 11" xfId="23697"/>
    <cellStyle name="asd 36 6 2 12" xfId="24491"/>
    <cellStyle name="asd 36 6 2 13" xfId="27464"/>
    <cellStyle name="asd 36 6 2 14" xfId="29417"/>
    <cellStyle name="asd 36 6 2 15" xfId="31051"/>
    <cellStyle name="asd 36 6 2 16" xfId="32611"/>
    <cellStyle name="asd 36 6 2 17" xfId="33498"/>
    <cellStyle name="asd 36 6 2 18" xfId="35319"/>
    <cellStyle name="asd 36 6 2 19" xfId="37197"/>
    <cellStyle name="asd 36 6 2 2" xfId="5293"/>
    <cellStyle name="asd 36 6 2 20" xfId="39821"/>
    <cellStyle name="asd 36 6 2 21" xfId="41490"/>
    <cellStyle name="asd 36 6 2 22" xfId="43454"/>
    <cellStyle name="asd 36 6 2 3" xfId="6691"/>
    <cellStyle name="asd 36 6 2 4" xfId="9251"/>
    <cellStyle name="asd 36 6 2 5" xfId="11589"/>
    <cellStyle name="asd 36 6 2 6" xfId="14167"/>
    <cellStyle name="asd 36 6 2 7" xfId="16071"/>
    <cellStyle name="asd 36 6 2 8" xfId="16870"/>
    <cellStyle name="asd 36 6 2 9" xfId="18777"/>
    <cellStyle name="asd 36 6 20" xfId="37524"/>
    <cellStyle name="asd 36 6 21" xfId="39134"/>
    <cellStyle name="asd 36 6 22" xfId="40815"/>
    <cellStyle name="asd 36 6 23" xfId="42927"/>
    <cellStyle name="asd 36 6 3" xfId="4769"/>
    <cellStyle name="asd 36 6 4" xfId="7669"/>
    <cellStyle name="asd 36 6 5" xfId="9579"/>
    <cellStyle name="asd 36 6 6" xfId="10941"/>
    <cellStyle name="asd 36 6 7" xfId="13620"/>
    <cellStyle name="asd 36 6 8" xfId="15523"/>
    <cellStyle name="asd 36 6 9" xfId="17198"/>
    <cellStyle name="asd 36 7" xfId="2100"/>
    <cellStyle name="asd 36 7 10" xfId="19017"/>
    <cellStyle name="asd 36 7 11" xfId="20929"/>
    <cellStyle name="asd 36 7 12" xfId="23073"/>
    <cellStyle name="asd 36 7 13" xfId="24731"/>
    <cellStyle name="asd 36 7 14" xfId="26634"/>
    <cellStyle name="asd 36 7 15" xfId="28863"/>
    <cellStyle name="asd 36 7 16" xfId="30237"/>
    <cellStyle name="asd 36 7 17" xfId="28681"/>
    <cellStyle name="asd 36 7 18" xfId="26651"/>
    <cellStyle name="asd 36 7 19" xfId="35558"/>
    <cellStyle name="asd 36 7 2" xfId="4891"/>
    <cellStyle name="asd 36 7 2 10" xfId="21139"/>
    <cellStyle name="asd 36 7 2 11" xfId="22925"/>
    <cellStyle name="asd 36 7 2 12" xfId="24941"/>
    <cellStyle name="asd 36 7 2 13" xfId="27376"/>
    <cellStyle name="asd 36 7 2 14" xfId="28009"/>
    <cellStyle name="asd 36 7 2 15" xfId="30962"/>
    <cellStyle name="asd 36 7 2 16" xfId="32882"/>
    <cellStyle name="asd 36 7 2 17" xfId="33550"/>
    <cellStyle name="asd 36 7 2 18" xfId="35768"/>
    <cellStyle name="asd 36 7 2 19" xfId="37647"/>
    <cellStyle name="asd 36 7 2 2" xfId="6341"/>
    <cellStyle name="asd 36 7 2 20" xfId="40087"/>
    <cellStyle name="asd 36 7 2 21" xfId="41750"/>
    <cellStyle name="asd 36 7 2 22" xfId="42711"/>
    <cellStyle name="asd 36 7 2 3" xfId="7792"/>
    <cellStyle name="asd 36 7 2 4" xfId="9702"/>
    <cellStyle name="asd 36 7 2 5" xfId="11247"/>
    <cellStyle name="asd 36 7 2 6" xfId="13393"/>
    <cellStyle name="asd 36 7 2 7" xfId="15298"/>
    <cellStyle name="asd 36 7 2 8" xfId="17321"/>
    <cellStyle name="asd 36 7 2 9" xfId="19227"/>
    <cellStyle name="asd 36 7 20" xfId="37437"/>
    <cellStyle name="asd 36 7 21" xfId="12811"/>
    <cellStyle name="asd 36 7 22" xfId="34741"/>
    <cellStyle name="asd 36 7 23" xfId="42855"/>
    <cellStyle name="asd 36 7 3" xfId="6131"/>
    <cellStyle name="asd 36 7 4" xfId="7582"/>
    <cellStyle name="asd 36 7 5" xfId="9492"/>
    <cellStyle name="asd 36 7 6" xfId="12681"/>
    <cellStyle name="asd 36 7 7" xfId="13544"/>
    <cellStyle name="asd 36 7 8" xfId="15447"/>
    <cellStyle name="asd 36 7 9" xfId="17111"/>
    <cellStyle name="asd 36 8" xfId="2505"/>
    <cellStyle name="asd 36 9" xfId="2369"/>
    <cellStyle name="asd 37" xfId="957"/>
    <cellStyle name="asd 37 10" xfId="3273"/>
    <cellStyle name="asd 37 11" xfId="2573"/>
    <cellStyle name="asd 37 12" xfId="4363"/>
    <cellStyle name="asd 37 13" xfId="2942"/>
    <cellStyle name="asd 37 14" xfId="3239"/>
    <cellStyle name="asd 37 15" xfId="16617"/>
    <cellStyle name="asd 37 16" xfId="2181"/>
    <cellStyle name="asd 37 17" xfId="3876"/>
    <cellStyle name="asd 37 18" xfId="18497"/>
    <cellStyle name="asd 37 19" xfId="2489"/>
    <cellStyle name="asd 37 2" xfId="3394"/>
    <cellStyle name="asd 37 2 10" xfId="14350"/>
    <cellStyle name="asd 37 2 11" xfId="16255"/>
    <cellStyle name="asd 37 2 12" xfId="16730"/>
    <cellStyle name="asd 37 2 13" xfId="18637"/>
    <cellStyle name="asd 37 2 14" xfId="20549"/>
    <cellStyle name="asd 37 2 15" xfId="23880"/>
    <cellStyle name="asd 37 2 16" xfId="24351"/>
    <cellStyle name="asd 37 2 17" xfId="27022"/>
    <cellStyle name="asd 37 2 18" xfId="29165"/>
    <cellStyle name="asd 37 2 19" xfId="30615"/>
    <cellStyle name="asd 37 2 2" xfId="3574"/>
    <cellStyle name="asd 37 2 2 10" xfId="17465"/>
    <cellStyle name="asd 37 2 2 11" xfId="19371"/>
    <cellStyle name="asd 37 2 2 12" xfId="21283"/>
    <cellStyle name="asd 37 2 2 13" xfId="23115"/>
    <cellStyle name="asd 37 2 2 14" xfId="25085"/>
    <cellStyle name="asd 37 2 2 15" xfId="26944"/>
    <cellStyle name="asd 37 2 2 16" xfId="28806"/>
    <cellStyle name="asd 37 2 2 17" xfId="30538"/>
    <cellStyle name="asd 37 2 2 18" xfId="32850"/>
    <cellStyle name="asd 37 2 2 19" xfId="34340"/>
    <cellStyle name="asd 37 2 2 2" xfId="4289"/>
    <cellStyle name="asd 37 2 2 2 10" xfId="20495"/>
    <cellStyle name="asd 37 2 2 2 11" xfId="23346"/>
    <cellStyle name="asd 37 2 2 2 12" xfId="24297"/>
    <cellStyle name="asd 37 2 2 2 13" xfId="26319"/>
    <cellStyle name="asd 37 2 2 2 14" xfId="28953"/>
    <cellStyle name="asd 37 2 2 2 15" xfId="29927"/>
    <cellStyle name="asd 37 2 2 2 16" xfId="31605"/>
    <cellStyle name="asd 37 2 2 2 17" xfId="34262"/>
    <cellStyle name="asd 37 2 2 2 18" xfId="35125"/>
    <cellStyle name="asd 37 2 2 2 19" xfId="37003"/>
    <cellStyle name="asd 37 2 2 2 2" xfId="5449"/>
    <cellStyle name="asd 37 2 2 2 20" xfId="38852"/>
    <cellStyle name="asd 37 2 2 2 21" xfId="40538"/>
    <cellStyle name="asd 37 2 2 2 22" xfId="43116"/>
    <cellStyle name="asd 37 2 2 2 3" xfId="6197"/>
    <cellStyle name="asd 37 2 2 2 4" xfId="9057"/>
    <cellStyle name="asd 37 2 2 2 5" xfId="12454"/>
    <cellStyle name="asd 37 2 2 2 6" xfId="13818"/>
    <cellStyle name="asd 37 2 2 2 7" xfId="15720"/>
    <cellStyle name="asd 37 2 2 2 8" xfId="16676"/>
    <cellStyle name="asd 37 2 2 2 9" xfId="18583"/>
    <cellStyle name="asd 37 2 2 20" xfId="35912"/>
    <cellStyle name="asd 37 2 2 21" xfId="37791"/>
    <cellStyle name="asd 37 2 2 22" xfId="40057"/>
    <cellStyle name="asd 37 2 2 23" xfId="41721"/>
    <cellStyle name="asd 37 2 2 24" xfId="42895"/>
    <cellStyle name="asd 37 2 2 3" xfId="5035"/>
    <cellStyle name="asd 37 2 2 4" xfId="6485"/>
    <cellStyle name="asd 37 2 2 5" xfId="7936"/>
    <cellStyle name="asd 37 2 2 6" xfId="9846"/>
    <cellStyle name="asd 37 2 2 7" xfId="12732"/>
    <cellStyle name="asd 37 2 2 8" xfId="13586"/>
    <cellStyle name="asd 37 2 2 9" xfId="15489"/>
    <cellStyle name="asd 37 2 20" xfId="32653"/>
    <cellStyle name="asd 37 2 21" xfId="34462"/>
    <cellStyle name="asd 37 2 22" xfId="35179"/>
    <cellStyle name="asd 37 2 23" xfId="37057"/>
    <cellStyle name="asd 37 2 24" xfId="39860"/>
    <cellStyle name="asd 37 2 25" xfId="41529"/>
    <cellStyle name="asd 37 2 26" xfId="43630"/>
    <cellStyle name="asd 37 2 3" xfId="3882"/>
    <cellStyle name="asd 37 2 3 10" xfId="19591"/>
    <cellStyle name="asd 37 2 3 11" xfId="21503"/>
    <cellStyle name="asd 37 2 3 12" xfId="23626"/>
    <cellStyle name="asd 37 2 3 13" xfId="25305"/>
    <cellStyle name="asd 37 2 3 14" xfId="27453"/>
    <cellStyle name="asd 37 2 3 15" xfId="28217"/>
    <cellStyle name="asd 37 2 3 16" xfId="31040"/>
    <cellStyle name="asd 37 2 3 17" xfId="32934"/>
    <cellStyle name="asd 37 2 3 18" xfId="34222"/>
    <cellStyle name="asd 37 2 3 19" xfId="36132"/>
    <cellStyle name="asd 37 2 3 2" xfId="5861"/>
    <cellStyle name="asd 37 2 3 2 10" xfId="22111"/>
    <cellStyle name="asd 37 2 3 2 11" xfId="23944"/>
    <cellStyle name="asd 37 2 3 2 12" xfId="25913"/>
    <cellStyle name="asd 37 2 3 2 13" xfId="27088"/>
    <cellStyle name="asd 37 2 3 2 14" xfId="3093"/>
    <cellStyle name="asd 37 2 3 2 15" xfId="30679"/>
    <cellStyle name="asd 37 2 3 2 16" xfId="31732"/>
    <cellStyle name="asd 37 2 3 2 17" xfId="2460"/>
    <cellStyle name="asd 37 2 3 2 18" xfId="36740"/>
    <cellStyle name="asd 37 2 3 2 19" xfId="38619"/>
    <cellStyle name="asd 37 2 3 2 2" xfId="7310"/>
    <cellStyle name="asd 37 2 3 2 20" xfId="38973"/>
    <cellStyle name="asd 37 2 3 2 21" xfId="40656"/>
    <cellStyle name="asd 37 2 3 2 22" xfId="43690"/>
    <cellStyle name="asd 37 2 3 2 3" xfId="8764"/>
    <cellStyle name="asd 37 2 3 2 4" xfId="10674"/>
    <cellStyle name="asd 37 2 3 2 5" xfId="11904"/>
    <cellStyle name="asd 37 2 3 2 6" xfId="14414"/>
    <cellStyle name="asd 37 2 3 2 7" xfId="16320"/>
    <cellStyle name="asd 37 2 3 2 8" xfId="18293"/>
    <cellStyle name="asd 37 2 3 2 9" xfId="20199"/>
    <cellStyle name="asd 37 2 3 20" xfId="38011"/>
    <cellStyle name="asd 37 2 3 21" xfId="40138"/>
    <cellStyle name="asd 37 2 3 22" xfId="41797"/>
    <cellStyle name="asd 37 2 3 23" xfId="43384"/>
    <cellStyle name="asd 37 2 3 3" xfId="5255"/>
    <cellStyle name="asd 37 2 3 4" xfId="8156"/>
    <cellStyle name="asd 37 2 3 5" xfId="10066"/>
    <cellStyle name="asd 37 2 3 6" xfId="11574"/>
    <cellStyle name="asd 37 2 3 7" xfId="14096"/>
    <cellStyle name="asd 37 2 3 8" xfId="15999"/>
    <cellStyle name="asd 37 2 3 9" xfId="17685"/>
    <cellStyle name="asd 37 2 4" xfId="4026"/>
    <cellStyle name="asd 37 2 4 10" xfId="19661"/>
    <cellStyle name="asd 37 2 4 11" xfId="21573"/>
    <cellStyle name="asd 37 2 4 12" xfId="23540"/>
    <cellStyle name="asd 37 2 4 13" xfId="25375"/>
    <cellStyle name="asd 37 2 4 14" xfId="27771"/>
    <cellStyle name="asd 37 2 4 15" xfId="28355"/>
    <cellStyle name="asd 37 2 4 16" xfId="31349"/>
    <cellStyle name="asd 37 2 4 17" xfId="32167"/>
    <cellStyle name="asd 37 2 4 18" xfId="35060"/>
    <cellStyle name="asd 37 2 4 19" xfId="36202"/>
    <cellStyle name="asd 37 2 4 2" xfId="5931"/>
    <cellStyle name="asd 37 2 4 2 10" xfId="22181"/>
    <cellStyle name="asd 37 2 4 2 11" xfId="22558"/>
    <cellStyle name="asd 37 2 4 2 12" xfId="25983"/>
    <cellStyle name="asd 37 2 4 2 13" xfId="27634"/>
    <cellStyle name="asd 37 2 4 2 14" xfId="1992"/>
    <cellStyle name="asd 37 2 4 2 15" xfId="31211"/>
    <cellStyle name="asd 37 2 4 2 16" xfId="32246"/>
    <cellStyle name="asd 37 2 4 2 17" xfId="34752"/>
    <cellStyle name="asd 37 2 4 2 18" xfId="36810"/>
    <cellStyle name="asd 37 2 4 2 19" xfId="38689"/>
    <cellStyle name="asd 37 2 4 2 2" xfId="7380"/>
    <cellStyle name="asd 37 2 4 2 20" xfId="39464"/>
    <cellStyle name="asd 37 2 4 2 21" xfId="41139"/>
    <cellStyle name="asd 37 2 4 2 22" xfId="42367"/>
    <cellStyle name="asd 37 2 4 2 3" xfId="8834"/>
    <cellStyle name="asd 37 2 4 2 4" xfId="10744"/>
    <cellStyle name="asd 37 2 4 2 5" xfId="12424"/>
    <cellStyle name="asd 37 2 4 2 6" xfId="13026"/>
    <cellStyle name="asd 37 2 4 2 7" xfId="14930"/>
    <cellStyle name="asd 37 2 4 2 8" xfId="18363"/>
    <cellStyle name="asd 37 2 4 2 9" xfId="20269"/>
    <cellStyle name="asd 37 2 4 20" xfId="38081"/>
    <cellStyle name="asd 37 2 4 21" xfId="39389"/>
    <cellStyle name="asd 37 2 4 22" xfId="41065"/>
    <cellStyle name="asd 37 2 4 23" xfId="43305"/>
    <cellStyle name="asd 37 2 4 3" xfId="6772"/>
    <cellStyle name="asd 37 2 4 4" xfId="8226"/>
    <cellStyle name="asd 37 2 4 5" xfId="10136"/>
    <cellStyle name="asd 37 2 4 6" xfId="12589"/>
    <cellStyle name="asd 37 2 4 7" xfId="14012"/>
    <cellStyle name="asd 37 2 4 8" xfId="15913"/>
    <cellStyle name="asd 37 2 4 9" xfId="17755"/>
    <cellStyle name="asd 37 2 5" xfId="4893"/>
    <cellStyle name="asd 37 2 5 10" xfId="21141"/>
    <cellStyle name="asd 37 2 5 11" xfId="22988"/>
    <cellStyle name="asd 37 2 5 12" xfId="24943"/>
    <cellStyle name="asd 37 2 5 13" xfId="26899"/>
    <cellStyle name="asd 37 2 5 14" xfId="29337"/>
    <cellStyle name="asd 37 2 5 15" xfId="30495"/>
    <cellStyle name="asd 37 2 5 16" xfId="31909"/>
    <cellStyle name="asd 37 2 5 17" xfId="33462"/>
    <cellStyle name="asd 37 2 5 18" xfId="35770"/>
    <cellStyle name="asd 37 2 5 19" xfId="37649"/>
    <cellStyle name="asd 37 2 5 2" xfId="6343"/>
    <cellStyle name="asd 37 2 5 20" xfId="39141"/>
    <cellStyle name="asd 37 2 5 21" xfId="40822"/>
    <cellStyle name="asd 37 2 5 22" xfId="42774"/>
    <cellStyle name="asd 37 2 5 3" xfId="7794"/>
    <cellStyle name="asd 37 2 5 4" xfId="9704"/>
    <cellStyle name="asd 37 2 5 5" xfId="12215"/>
    <cellStyle name="asd 37 2 5 6" xfId="13457"/>
    <cellStyle name="asd 37 2 5 7" xfId="15362"/>
    <cellStyle name="asd 37 2 5 8" xfId="17323"/>
    <cellStyle name="asd 37 2 5 9" xfId="19229"/>
    <cellStyle name="asd 37 2 6" xfId="5505"/>
    <cellStyle name="asd 37 2 6 10" xfId="21755"/>
    <cellStyle name="asd 37 2 6 11" xfId="24182"/>
    <cellStyle name="asd 37 2 6 12" xfId="25557"/>
    <cellStyle name="asd 37 2 6 13" xfId="26360"/>
    <cellStyle name="asd 37 2 6 14" xfId="28642"/>
    <cellStyle name="asd 37 2 6 15" xfId="29968"/>
    <cellStyle name="asd 37 2 6 16" xfId="31943"/>
    <cellStyle name="asd 37 2 6 17" xfId="33568"/>
    <cellStyle name="asd 37 2 6 18" xfId="36384"/>
    <cellStyle name="asd 37 2 6 19" xfId="38263"/>
    <cellStyle name="asd 37 2 6 2" xfId="6954"/>
    <cellStyle name="asd 37 2 6 20" xfId="39173"/>
    <cellStyle name="asd 37 2 6 21" xfId="40854"/>
    <cellStyle name="asd 37 2 6 22" xfId="43922"/>
    <cellStyle name="asd 37 2 6 3" xfId="8408"/>
    <cellStyle name="asd 37 2 6 4" xfId="10318"/>
    <cellStyle name="asd 37 2 6 5" xfId="12141"/>
    <cellStyle name="asd 37 2 6 6" xfId="14653"/>
    <cellStyle name="asd 37 2 6 7" xfId="16559"/>
    <cellStyle name="asd 37 2 6 8" xfId="17937"/>
    <cellStyle name="asd 37 2 6 9" xfId="19843"/>
    <cellStyle name="asd 37 2 7" xfId="4303"/>
    <cellStyle name="asd 37 2 8" xfId="9111"/>
    <cellStyle name="asd 37 2 9" xfId="12763"/>
    <cellStyle name="asd 37 20" xfId="16096"/>
    <cellStyle name="asd 37 21" xfId="28920"/>
    <cellStyle name="asd 37 22" xfId="1908"/>
    <cellStyle name="asd 37 23" xfId="33302"/>
    <cellStyle name="asd 37 24" xfId="15231"/>
    <cellStyle name="asd 37 25" xfId="28858"/>
    <cellStyle name="asd 37 26" xfId="38838"/>
    <cellStyle name="asd 37 27" xfId="18501"/>
    <cellStyle name="asd 37 3" xfId="3353"/>
    <cellStyle name="asd 37 3 10" xfId="10875"/>
    <cellStyle name="asd 37 3 11" xfId="8987"/>
    <cellStyle name="asd 37 3 12" xfId="16633"/>
    <cellStyle name="asd 37 3 13" xfId="18540"/>
    <cellStyle name="asd 37 3 14" xfId="20452"/>
    <cellStyle name="asd 37 3 15" xfId="6200"/>
    <cellStyle name="asd 37 3 16" xfId="24254"/>
    <cellStyle name="asd 37 3 17" xfId="8967"/>
    <cellStyle name="asd 37 3 18" xfId="28693"/>
    <cellStyle name="asd 37 3 19" xfId="28732"/>
    <cellStyle name="asd 37 3 2" xfId="3533"/>
    <cellStyle name="asd 37 3 2 10" xfId="17424"/>
    <cellStyle name="asd 37 3 2 11" xfId="19330"/>
    <cellStyle name="asd 37 3 2 12" xfId="21242"/>
    <cellStyle name="asd 37 3 2 13" xfId="24054"/>
    <cellStyle name="asd 37 3 2 14" xfId="25044"/>
    <cellStyle name="asd 37 3 2 15" xfId="1862"/>
    <cellStyle name="asd 37 3 2 16" xfId="15473"/>
    <cellStyle name="asd 37 3 2 17" xfId="12818"/>
    <cellStyle name="asd 37 3 2 18" xfId="4312"/>
    <cellStyle name="asd 37 3 2 19" xfId="9007"/>
    <cellStyle name="asd 37 3 2 2" xfId="5656"/>
    <cellStyle name="asd 37 3 2 2 10" xfId="21906"/>
    <cellStyle name="asd 37 3 2 2 11" xfId="23844"/>
    <cellStyle name="asd 37 3 2 2 12" xfId="25708"/>
    <cellStyle name="asd 37 3 2 2 13" xfId="27374"/>
    <cellStyle name="asd 37 3 2 2 14" xfId="28278"/>
    <cellStyle name="asd 37 3 2 2 15" xfId="30960"/>
    <cellStyle name="asd 37 3 2 2 16" xfId="33240"/>
    <cellStyle name="asd 37 3 2 2 17" xfId="33506"/>
    <cellStyle name="asd 37 3 2 2 18" xfId="36535"/>
    <cellStyle name="asd 37 3 2 2 19" xfId="38414"/>
    <cellStyle name="asd 37 3 2 2 2" xfId="7105"/>
    <cellStyle name="asd 37 3 2 2 20" xfId="40429"/>
    <cellStyle name="asd 37 3 2 2 21" xfId="42084"/>
    <cellStyle name="asd 37 3 2 2 22" xfId="43595"/>
    <cellStyle name="asd 37 3 2 2 3" xfId="8559"/>
    <cellStyle name="asd 37 3 2 2 4" xfId="10469"/>
    <cellStyle name="asd 37 3 2 2 5" xfId="11766"/>
    <cellStyle name="asd 37 3 2 2 6" xfId="14314"/>
    <cellStyle name="asd 37 3 2 2 7" xfId="16218"/>
    <cellStyle name="asd 37 3 2 2 8" xfId="18088"/>
    <cellStyle name="asd 37 3 2 2 9" xfId="19994"/>
    <cellStyle name="asd 37 3 2 20" xfId="35871"/>
    <cellStyle name="asd 37 3 2 21" xfId="37750"/>
    <cellStyle name="asd 37 3 2 22" xfId="36945"/>
    <cellStyle name="asd 37 3 2 23" xfId="1858"/>
    <cellStyle name="asd 37 3 2 24" xfId="43798"/>
    <cellStyle name="asd 37 3 2 3" xfId="4994"/>
    <cellStyle name="asd 37 3 2 4" xfId="6444"/>
    <cellStyle name="asd 37 3 2 5" xfId="7895"/>
    <cellStyle name="asd 37 3 2 6" xfId="9805"/>
    <cellStyle name="asd 37 3 2 7" xfId="12013"/>
    <cellStyle name="asd 37 3 2 8" xfId="14524"/>
    <cellStyle name="asd 37 3 2 9" xfId="16430"/>
    <cellStyle name="asd 37 3 20" xfId="12460"/>
    <cellStyle name="asd 37 3 21" xfId="2830"/>
    <cellStyle name="asd 37 3 22" xfId="35082"/>
    <cellStyle name="asd 37 3 23" xfId="36960"/>
    <cellStyle name="asd 37 3 24" xfId="33970"/>
    <cellStyle name="asd 37 3 25" xfId="33858"/>
    <cellStyle name="asd 37 3 26" xfId="12805"/>
    <cellStyle name="asd 37 3 3" xfId="3921"/>
    <cellStyle name="asd 37 3 3 10" xfId="19616"/>
    <cellStyle name="asd 37 3 3 11" xfId="21528"/>
    <cellStyle name="asd 37 3 3 12" xfId="22528"/>
    <cellStyle name="asd 37 3 3 13" xfId="25330"/>
    <cellStyle name="asd 37 3 3 14" xfId="26941"/>
    <cellStyle name="asd 37 3 3 15" xfId="29250"/>
    <cellStyle name="asd 37 3 3 16" xfId="30535"/>
    <cellStyle name="asd 37 3 3 17" xfId="32979"/>
    <cellStyle name="asd 37 3 3 18" xfId="34652"/>
    <cellStyle name="asd 37 3 3 19" xfId="36157"/>
    <cellStyle name="asd 37 3 3 2" xfId="5886"/>
    <cellStyle name="asd 37 3 3 2 10" xfId="22136"/>
    <cellStyle name="asd 37 3 3 2 11" xfId="23395"/>
    <cellStyle name="asd 37 3 3 2 12" xfId="25938"/>
    <cellStyle name="asd 37 3 3 2 13" xfId="27553"/>
    <cellStyle name="asd 37 3 3 2 14" xfId="29689"/>
    <cellStyle name="asd 37 3 3 2 15" xfId="31133"/>
    <cellStyle name="asd 37 3 3 2 16" xfId="31769"/>
    <cellStyle name="asd 37 3 3 2 17" xfId="34841"/>
    <cellStyle name="asd 37 3 3 2 18" xfId="36765"/>
    <cellStyle name="asd 37 3 3 2 19" xfId="38644"/>
    <cellStyle name="asd 37 3 3 2 2" xfId="7335"/>
    <cellStyle name="asd 37 3 3 2 20" xfId="39008"/>
    <cellStyle name="asd 37 3 3 2 21" xfId="40691"/>
    <cellStyle name="asd 37 3 3 2 22" xfId="43162"/>
    <cellStyle name="asd 37 3 3 2 3" xfId="8789"/>
    <cellStyle name="asd 37 3 3 2 4" xfId="10699"/>
    <cellStyle name="asd 37 3 3 2 5" xfId="11297"/>
    <cellStyle name="asd 37 3 3 2 6" xfId="13867"/>
    <cellStyle name="asd 37 3 3 2 7" xfId="15768"/>
    <cellStyle name="asd 37 3 3 2 8" xfId="18318"/>
    <cellStyle name="asd 37 3 3 2 9" xfId="20224"/>
    <cellStyle name="asd 37 3 3 20" xfId="38036"/>
    <cellStyle name="asd 37 3 3 21" xfId="40180"/>
    <cellStyle name="asd 37 3 3 22" xfId="41839"/>
    <cellStyle name="asd 37 3 3 23" xfId="42338"/>
    <cellStyle name="asd 37 3 3 3" xfId="5280"/>
    <cellStyle name="asd 37 3 3 4" xfId="8181"/>
    <cellStyle name="asd 37 3 3 5" xfId="10091"/>
    <cellStyle name="asd 37 3 3 6" xfId="11765"/>
    <cellStyle name="asd 37 3 3 7" xfId="12996"/>
    <cellStyle name="asd 37 3 3 8" xfId="14900"/>
    <cellStyle name="asd 37 3 3 9" xfId="17710"/>
    <cellStyle name="asd 37 3 4" xfId="3985"/>
    <cellStyle name="asd 37 3 4 10" xfId="19620"/>
    <cellStyle name="asd 37 3 4 11" xfId="21532"/>
    <cellStyle name="asd 37 3 4 12" xfId="23847"/>
    <cellStyle name="asd 37 3 4 13" xfId="25334"/>
    <cellStyle name="asd 37 3 4 14" xfId="27687"/>
    <cellStyle name="asd 37 3 4 15" xfId="28636"/>
    <cellStyle name="asd 37 3 4 16" xfId="31261"/>
    <cellStyle name="asd 37 3 4 17" xfId="31761"/>
    <cellStyle name="asd 37 3 4 18" xfId="33810"/>
    <cellStyle name="asd 37 3 4 19" xfId="36161"/>
    <cellStyle name="asd 37 3 4 2" xfId="5890"/>
    <cellStyle name="asd 37 3 4 2 10" xfId="22140"/>
    <cellStyle name="asd 37 3 4 2 11" xfId="23727"/>
    <cellStyle name="asd 37 3 4 2 12" xfId="25942"/>
    <cellStyle name="asd 37 3 4 2 13" xfId="2551"/>
    <cellStyle name="asd 37 3 4 2 14" xfId="29329"/>
    <cellStyle name="asd 37 3 4 2 15" xfId="27174"/>
    <cellStyle name="asd 37 3 4 2 16" xfId="22345"/>
    <cellStyle name="asd 37 3 4 2 17" xfId="33800"/>
    <cellStyle name="asd 37 3 4 2 18" xfId="36769"/>
    <cellStyle name="asd 37 3 4 2 19" xfId="38648"/>
    <cellStyle name="asd 37 3 4 2 2" xfId="7339"/>
    <cellStyle name="asd 37 3 4 2 20" xfId="16608"/>
    <cellStyle name="asd 37 3 4 2 21" xfId="7528"/>
    <cellStyle name="asd 37 3 4 2 22" xfId="43482"/>
    <cellStyle name="asd 37 3 4 2 3" xfId="8793"/>
    <cellStyle name="asd 37 3 4 2 4" xfId="10703"/>
    <cellStyle name="asd 37 3 4 2 5" xfId="11671"/>
    <cellStyle name="asd 37 3 4 2 6" xfId="14197"/>
    <cellStyle name="asd 37 3 4 2 7" xfId="16101"/>
    <cellStyle name="asd 37 3 4 2 8" xfId="18322"/>
    <cellStyle name="asd 37 3 4 2 9" xfId="20228"/>
    <cellStyle name="asd 37 3 4 20" xfId="38040"/>
    <cellStyle name="asd 37 3 4 21" xfId="39001"/>
    <cellStyle name="asd 37 3 4 22" xfId="40684"/>
    <cellStyle name="asd 37 3 4 23" xfId="43598"/>
    <cellStyle name="asd 37 3 4 3" xfId="6731"/>
    <cellStyle name="asd 37 3 4 4" xfId="8185"/>
    <cellStyle name="asd 37 3 4 5" xfId="10095"/>
    <cellStyle name="asd 37 3 4 6" xfId="11580"/>
    <cellStyle name="asd 37 3 4 7" xfId="14317"/>
    <cellStyle name="asd 37 3 4 8" xfId="16221"/>
    <cellStyle name="asd 37 3 4 9" xfId="17714"/>
    <cellStyle name="asd 37 3 5" xfId="4868"/>
    <cellStyle name="asd 37 3 5 10" xfId="21116"/>
    <cellStyle name="asd 37 3 5 11" xfId="22488"/>
    <cellStyle name="asd 37 3 5 12" xfId="24918"/>
    <cellStyle name="asd 37 3 5 13" xfId="26658"/>
    <cellStyle name="asd 37 3 5 14" xfId="3047"/>
    <cellStyle name="asd 37 3 5 15" xfId="30258"/>
    <cellStyle name="asd 37 3 5 16" xfId="32936"/>
    <cellStyle name="asd 37 3 5 17" xfId="34649"/>
    <cellStyle name="asd 37 3 5 18" xfId="35745"/>
    <cellStyle name="asd 37 3 5 19" xfId="37624"/>
    <cellStyle name="asd 37 3 5 2" xfId="6318"/>
    <cellStyle name="asd 37 3 5 20" xfId="40140"/>
    <cellStyle name="asd 37 3 5 21" xfId="41799"/>
    <cellStyle name="asd 37 3 5 22" xfId="42298"/>
    <cellStyle name="asd 37 3 5 3" xfId="7769"/>
    <cellStyle name="asd 37 3 5 4" xfId="9679"/>
    <cellStyle name="asd 37 3 5 5" xfId="12268"/>
    <cellStyle name="asd 37 3 5 6" xfId="12956"/>
    <cellStyle name="asd 37 3 5 7" xfId="14860"/>
    <cellStyle name="asd 37 3 5 8" xfId="17298"/>
    <cellStyle name="asd 37 3 5 9" xfId="19204"/>
    <cellStyle name="asd 37 3 6" xfId="5454"/>
    <cellStyle name="asd 37 3 6 10" xfId="21704"/>
    <cellStyle name="asd 37 3 6 11" xfId="24046"/>
    <cellStyle name="asd 37 3 6 12" xfId="25506"/>
    <cellStyle name="asd 37 3 6 13" xfId="26903"/>
    <cellStyle name="asd 37 3 6 14" xfId="28868"/>
    <cellStyle name="asd 37 3 6 15" xfId="30499"/>
    <cellStyle name="asd 37 3 6 16" xfId="31611"/>
    <cellStyle name="asd 37 3 6 17" xfId="34501"/>
    <cellStyle name="asd 37 3 6 18" xfId="36333"/>
    <cellStyle name="asd 37 3 6 19" xfId="38212"/>
    <cellStyle name="asd 37 3 6 2" xfId="6903"/>
    <cellStyle name="asd 37 3 6 20" xfId="38858"/>
    <cellStyle name="asd 37 3 6 21" xfId="40544"/>
    <cellStyle name="asd 37 3 6 22" xfId="43790"/>
    <cellStyle name="asd 37 3 6 3" xfId="8357"/>
    <cellStyle name="asd 37 3 6 4" xfId="10267"/>
    <cellStyle name="asd 37 3 6 5" xfId="12005"/>
    <cellStyle name="asd 37 3 6 6" xfId="14516"/>
    <cellStyle name="asd 37 3 6 7" xfId="16422"/>
    <cellStyle name="asd 37 3 6 8" xfId="17886"/>
    <cellStyle name="asd 37 3 6 9" xfId="19792"/>
    <cellStyle name="asd 37 3 7" xfId="3981"/>
    <cellStyle name="asd 37 3 8" xfId="9014"/>
    <cellStyle name="asd 37 3 9" xfId="11326"/>
    <cellStyle name="asd 37 4" xfId="3495"/>
    <cellStyle name="asd 37 4 10" xfId="14792"/>
    <cellStyle name="asd 37 4 11" xfId="16945"/>
    <cellStyle name="asd 37 4 12" xfId="18852"/>
    <cellStyle name="asd 37 4 13" xfId="20764"/>
    <cellStyle name="asd 37 4 14" xfId="22420"/>
    <cellStyle name="asd 37 4 15" xfId="24566"/>
    <cellStyle name="asd 37 4 16" xfId="26469"/>
    <cellStyle name="asd 37 4 17" xfId="29438"/>
    <cellStyle name="asd 37 4 18" xfId="30074"/>
    <cellStyle name="asd 37 4 19" xfId="32626"/>
    <cellStyle name="asd 37 4 2" xfId="3675"/>
    <cellStyle name="asd 37 4 2 10" xfId="17566"/>
    <cellStyle name="asd 37 4 2 11" xfId="19472"/>
    <cellStyle name="asd 37 4 2 12" xfId="21384"/>
    <cellStyle name="asd 37 4 2 13" xfId="23571"/>
    <cellStyle name="asd 37 4 2 14" xfId="25186"/>
    <cellStyle name="asd 37 4 2 15" xfId="27832"/>
    <cellStyle name="asd 37 4 2 16" xfId="28655"/>
    <cellStyle name="asd 37 4 2 17" xfId="31410"/>
    <cellStyle name="asd 37 4 2 18" xfId="32983"/>
    <cellStyle name="asd 37 4 2 19" xfId="33738"/>
    <cellStyle name="asd 37 4 2 2" xfId="4464"/>
    <cellStyle name="asd 37 4 2 2 10" xfId="20709"/>
    <cellStyle name="asd 37 4 2 2 11" xfId="22793"/>
    <cellStyle name="asd 37 4 2 2 12" xfId="24511"/>
    <cellStyle name="asd 37 4 2 2 13" xfId="27872"/>
    <cellStyle name="asd 37 4 2 2 14" xfId="28289"/>
    <cellStyle name="asd 37 4 2 2 15" xfId="31453"/>
    <cellStyle name="asd 37 4 2 2 16" xfId="32516"/>
    <cellStyle name="asd 37 4 2 2 17" xfId="33640"/>
    <cellStyle name="asd 37 4 2 2 18" xfId="35339"/>
    <cellStyle name="asd 37 4 2 2 19" xfId="37217"/>
    <cellStyle name="asd 37 4 2 2 2" xfId="2485"/>
    <cellStyle name="asd 37 4 2 2 20" xfId="39730"/>
    <cellStyle name="asd 37 4 2 2 21" xfId="41402"/>
    <cellStyle name="asd 37 4 2 2 22" xfId="42586"/>
    <cellStyle name="asd 37 4 2 2 3" xfId="2935"/>
    <cellStyle name="asd 37 4 2 2 4" xfId="9271"/>
    <cellStyle name="asd 37 4 2 2 5" xfId="12446"/>
    <cellStyle name="asd 37 4 2 2 6" xfId="13262"/>
    <cellStyle name="asd 37 4 2 2 7" xfId="15166"/>
    <cellStyle name="asd 37 4 2 2 8" xfId="16890"/>
    <cellStyle name="asd 37 4 2 2 9" xfId="18797"/>
    <cellStyle name="asd 37 4 2 20" xfId="36013"/>
    <cellStyle name="asd 37 4 2 21" xfId="37892"/>
    <cellStyle name="asd 37 4 2 22" xfId="40184"/>
    <cellStyle name="asd 37 4 2 23" xfId="41843"/>
    <cellStyle name="asd 37 4 2 24" xfId="43335"/>
    <cellStyle name="asd 37 4 2 3" xfId="5136"/>
    <cellStyle name="asd 37 4 2 4" xfId="6586"/>
    <cellStyle name="asd 37 4 2 5" xfId="8037"/>
    <cellStyle name="asd 37 4 2 6" xfId="9947"/>
    <cellStyle name="asd 37 4 2 7" xfId="12568"/>
    <cellStyle name="asd 37 4 2 8" xfId="14043"/>
    <cellStyle name="asd 37 4 2 9" xfId="15944"/>
    <cellStyle name="asd 37 4 20" xfId="33464"/>
    <cellStyle name="asd 37 4 21" xfId="35394"/>
    <cellStyle name="asd 37 4 22" xfId="37272"/>
    <cellStyle name="asd 37 4 23" xfId="39836"/>
    <cellStyle name="asd 37 4 24" xfId="41505"/>
    <cellStyle name="asd 37 4 25" xfId="42231"/>
    <cellStyle name="asd 37 4 3" xfId="2958"/>
    <cellStyle name="asd 37 4 3 10" xfId="19131"/>
    <cellStyle name="asd 37 4 3 11" xfId="21043"/>
    <cellStyle name="asd 37 4 3 12" xfId="23766"/>
    <cellStyle name="asd 37 4 3 13" xfId="24845"/>
    <cellStyle name="asd 37 4 3 14" xfId="26696"/>
    <cellStyle name="asd 37 4 3 15" xfId="28860"/>
    <cellStyle name="asd 37 4 3 16" xfId="30296"/>
    <cellStyle name="asd 37 4 3 17" xfId="32066"/>
    <cellStyle name="asd 37 4 3 18" xfId="34111"/>
    <cellStyle name="asd 37 4 3 19" xfId="35672"/>
    <cellStyle name="asd 37 4 3 2" xfId="5508"/>
    <cellStyle name="asd 37 4 3 2 10" xfId="21758"/>
    <cellStyle name="asd 37 4 3 2 11" xfId="23365"/>
    <cellStyle name="asd 37 4 3 2 12" xfId="25560"/>
    <cellStyle name="asd 37 4 3 2 13" xfId="11242"/>
    <cellStyle name="asd 37 4 3 2 14" xfId="2187"/>
    <cellStyle name="asd 37 4 3 2 15" xfId="11635"/>
    <cellStyle name="asd 37 4 3 2 16" xfId="27999"/>
    <cellStyle name="asd 37 4 3 2 17" xfId="26117"/>
    <cellStyle name="asd 37 4 3 2 18" xfId="36387"/>
    <cellStyle name="asd 37 4 3 2 19" xfId="38266"/>
    <cellStyle name="asd 37 4 3 2 2" xfId="6957"/>
    <cellStyle name="asd 37 4 3 2 20" xfId="32050"/>
    <cellStyle name="asd 37 4 3 2 21" xfId="24243"/>
    <cellStyle name="asd 37 4 3 2 22" xfId="43135"/>
    <cellStyle name="asd 37 4 3 2 3" xfId="8411"/>
    <cellStyle name="asd 37 4 3 2 4" xfId="10321"/>
    <cellStyle name="asd 37 4 3 2 5" xfId="12457"/>
    <cellStyle name="asd 37 4 3 2 6" xfId="13837"/>
    <cellStyle name="asd 37 4 3 2 7" xfId="15739"/>
    <cellStyle name="asd 37 4 3 2 8" xfId="17940"/>
    <cellStyle name="asd 37 4 3 2 9" xfId="19846"/>
    <cellStyle name="asd 37 4 3 20" xfId="37551"/>
    <cellStyle name="asd 37 4 3 21" xfId="39292"/>
    <cellStyle name="asd 37 4 3 22" xfId="40968"/>
    <cellStyle name="asd 37 4 3 23" xfId="43519"/>
    <cellStyle name="asd 37 4 3 3" xfId="4795"/>
    <cellStyle name="asd 37 4 3 4" xfId="7696"/>
    <cellStyle name="asd 37 4 3 5" xfId="9606"/>
    <cellStyle name="asd 37 4 3 6" xfId="12610"/>
    <cellStyle name="asd 37 4 3 7" xfId="14236"/>
    <cellStyle name="asd 37 4 3 8" xfId="16140"/>
    <cellStyle name="asd 37 4 3 9" xfId="17225"/>
    <cellStyle name="asd 37 4 4" xfId="4127"/>
    <cellStyle name="asd 37 4 4 10" xfId="19762"/>
    <cellStyle name="asd 37 4 4 11" xfId="21674"/>
    <cellStyle name="asd 37 4 4 12" xfId="23320"/>
    <cellStyle name="asd 37 4 4 13" xfId="25476"/>
    <cellStyle name="asd 37 4 4 14" xfId="26204"/>
    <cellStyle name="asd 37 4 4 15" xfId="28968"/>
    <cellStyle name="asd 37 4 4 16" xfId="29817"/>
    <cellStyle name="asd 37 4 4 17" xfId="32267"/>
    <cellStyle name="asd 37 4 4 18" xfId="34675"/>
    <cellStyle name="asd 37 4 4 19" xfId="36303"/>
    <cellStyle name="asd 37 4 4 2" xfId="6032"/>
    <cellStyle name="asd 37 4 4 2 10" xfId="22282"/>
    <cellStyle name="asd 37 4 4 2 11" xfId="23100"/>
    <cellStyle name="asd 37 4 4 2 12" xfId="26084"/>
    <cellStyle name="asd 37 4 4 2 13" xfId="26968"/>
    <cellStyle name="asd 37 4 4 2 14" xfId="29658"/>
    <cellStyle name="asd 37 4 4 2 15" xfId="30562"/>
    <cellStyle name="asd 37 4 4 2 16" xfId="32172"/>
    <cellStyle name="asd 37 4 4 2 17" xfId="34247"/>
    <cellStyle name="asd 37 4 4 2 18" xfId="36911"/>
    <cellStyle name="asd 37 4 4 2 19" xfId="38790"/>
    <cellStyle name="asd 37 4 4 2 2" xfId="7481"/>
    <cellStyle name="asd 37 4 4 2 20" xfId="39394"/>
    <cellStyle name="asd 37 4 4 2 21" xfId="41070"/>
    <cellStyle name="asd 37 4 4 2 22" xfId="42880"/>
    <cellStyle name="asd 37 4 4 2 3" xfId="8935"/>
    <cellStyle name="asd 37 4 4 2 4" xfId="10845"/>
    <cellStyle name="asd 37 4 4 2 5" xfId="12712"/>
    <cellStyle name="asd 37 4 4 2 6" xfId="13571"/>
    <cellStyle name="asd 37 4 4 2 7" xfId="15474"/>
    <cellStyle name="asd 37 4 4 2 8" xfId="18464"/>
    <cellStyle name="asd 37 4 4 2 9" xfId="20370"/>
    <cellStyle name="asd 37 4 4 20" xfId="38182"/>
    <cellStyle name="asd 37 4 4 21" xfId="39485"/>
    <cellStyle name="asd 37 4 4 22" xfId="41160"/>
    <cellStyle name="asd 37 4 4 23" xfId="43091"/>
    <cellStyle name="asd 37 4 4 3" xfId="6873"/>
    <cellStyle name="asd 37 4 4 4" xfId="8327"/>
    <cellStyle name="asd 37 4 4 5" xfId="10237"/>
    <cellStyle name="asd 37 4 4 6" xfId="11196"/>
    <cellStyle name="asd 37 4 4 7" xfId="13792"/>
    <cellStyle name="asd 37 4 4 8" xfId="15694"/>
    <cellStyle name="asd 37 4 4 9" xfId="17856"/>
    <cellStyle name="asd 37 4 5" xfId="5719"/>
    <cellStyle name="asd 37 4 5 10" xfId="21969"/>
    <cellStyle name="asd 37 4 5 11" xfId="23522"/>
    <cellStyle name="asd 37 4 5 12" xfId="25771"/>
    <cellStyle name="asd 37 4 5 13" xfId="26929"/>
    <cellStyle name="asd 37 4 5 14" xfId="22352"/>
    <cellStyle name="asd 37 4 5 15" xfId="30523"/>
    <cellStyle name="asd 37 4 5 16" xfId="2895"/>
    <cellStyle name="asd 37 4 5 17" xfId="2612"/>
    <cellStyle name="asd 37 4 5 18" xfId="36598"/>
    <cellStyle name="asd 37 4 5 19" xfId="38477"/>
    <cellStyle name="asd 37 4 5 2" xfId="7168"/>
    <cellStyle name="asd 37 4 5 20" xfId="16307"/>
    <cellStyle name="asd 37 4 5 21" xfId="31259"/>
    <cellStyle name="asd 37 4 5 22" xfId="43287"/>
    <cellStyle name="asd 37 4 5 3" xfId="8622"/>
    <cellStyle name="asd 37 4 5 4" xfId="10532"/>
    <cellStyle name="asd 37 4 5 5" xfId="12364"/>
    <cellStyle name="asd 37 4 5 6" xfId="13994"/>
    <cellStyle name="asd 37 4 5 7" xfId="15895"/>
    <cellStyle name="asd 37 4 5 8" xfId="18151"/>
    <cellStyle name="asd 37 4 5 9" xfId="20057"/>
    <cellStyle name="asd 37 4 6" xfId="1878"/>
    <cellStyle name="asd 37 4 7" xfId="9326"/>
    <cellStyle name="asd 37 4 8" xfId="11590"/>
    <cellStyle name="asd 37 4 9" xfId="12887"/>
    <cellStyle name="asd 37 5" xfId="2335"/>
    <cellStyle name="asd 37 5 10" xfId="17148"/>
    <cellStyle name="asd 37 5 11" xfId="19054"/>
    <cellStyle name="asd 37 5 12" xfId="20966"/>
    <cellStyle name="asd 37 5 13" xfId="23341"/>
    <cellStyle name="asd 37 5 14" xfId="24768"/>
    <cellStyle name="asd 37 5 15" xfId="27290"/>
    <cellStyle name="asd 37 5 16" xfId="29641"/>
    <cellStyle name="asd 37 5 17" xfId="30881"/>
    <cellStyle name="asd 37 5 18" xfId="32129"/>
    <cellStyle name="asd 37 5 19" xfId="33751"/>
    <cellStyle name="asd 37 5 2" xfId="5477"/>
    <cellStyle name="asd 37 5 2 10" xfId="21727"/>
    <cellStyle name="asd 37 5 2 11" xfId="23170"/>
    <cellStyle name="asd 37 5 2 12" xfId="25529"/>
    <cellStyle name="asd 37 5 2 13" xfId="26752"/>
    <cellStyle name="asd 37 5 2 14" xfId="1930"/>
    <cellStyle name="asd 37 5 2 15" xfId="30351"/>
    <cellStyle name="asd 37 5 2 16" xfId="31912"/>
    <cellStyle name="asd 37 5 2 17" xfId="34607"/>
    <cellStyle name="asd 37 5 2 18" xfId="36356"/>
    <cellStyle name="asd 37 5 2 19" xfId="38235"/>
    <cellStyle name="asd 37 5 2 2" xfId="6926"/>
    <cellStyle name="asd 37 5 2 20" xfId="39144"/>
    <cellStyle name="asd 37 5 2 21" xfId="40825"/>
    <cellStyle name="asd 37 5 2 22" xfId="42948"/>
    <cellStyle name="asd 37 5 2 3" xfId="8380"/>
    <cellStyle name="asd 37 5 2 4" xfId="10290"/>
    <cellStyle name="asd 37 5 2 5" xfId="10986"/>
    <cellStyle name="asd 37 5 2 6" xfId="13641"/>
    <cellStyle name="asd 37 5 2 7" xfId="15544"/>
    <cellStyle name="asd 37 5 2 8" xfId="17909"/>
    <cellStyle name="asd 37 5 2 9" xfId="19815"/>
    <cellStyle name="asd 37 5 20" xfId="35595"/>
    <cellStyle name="asd 37 5 21" xfId="37474"/>
    <cellStyle name="asd 37 5 22" xfId="39352"/>
    <cellStyle name="asd 37 5 23" xfId="41028"/>
    <cellStyle name="asd 37 5 24" xfId="43111"/>
    <cellStyle name="asd 37 5 3" xfId="4720"/>
    <cellStyle name="asd 37 5 4" xfId="6168"/>
    <cellStyle name="asd 37 5 5" xfId="7619"/>
    <cellStyle name="asd 37 5 6" xfId="9529"/>
    <cellStyle name="asd 37 5 7" xfId="12170"/>
    <cellStyle name="asd 37 5 8" xfId="13813"/>
    <cellStyle name="asd 37 5 9" xfId="15715"/>
    <cellStyle name="asd 37 6" xfId="2342"/>
    <cellStyle name="asd 37 6 10" xfId="19055"/>
    <cellStyle name="asd 37 6 11" xfId="20967"/>
    <cellStyle name="asd 37 6 12" xfId="23609"/>
    <cellStyle name="asd 37 6 13" xfId="24769"/>
    <cellStyle name="asd 37 6 14" xfId="26947"/>
    <cellStyle name="asd 37 6 15" xfId="28223"/>
    <cellStyle name="asd 37 6 16" xfId="30541"/>
    <cellStyle name="asd 37 6 17" xfId="32692"/>
    <cellStyle name="asd 37 6 18" xfId="33412"/>
    <cellStyle name="asd 37 6 19" xfId="35596"/>
    <cellStyle name="asd 37 6 2" xfId="4479"/>
    <cellStyle name="asd 37 6 2 10" xfId="20724"/>
    <cellStyle name="asd 37 6 2 11" xfId="24136"/>
    <cellStyle name="asd 37 6 2 12" xfId="24526"/>
    <cellStyle name="asd 37 6 2 13" xfId="27854"/>
    <cellStyle name="asd 37 6 2 14" xfId="28165"/>
    <cellStyle name="asd 37 6 2 15" xfId="31433"/>
    <cellStyle name="asd 37 6 2 16" xfId="33011"/>
    <cellStyle name="asd 37 6 2 17" xfId="33662"/>
    <cellStyle name="asd 37 6 2 18" xfId="35354"/>
    <cellStyle name="asd 37 6 2 19" xfId="37232"/>
    <cellStyle name="asd 37 6 2 2" xfId="4397"/>
    <cellStyle name="asd 37 6 2 20" xfId="40211"/>
    <cellStyle name="asd 37 6 2 21" xfId="41870"/>
    <cellStyle name="asd 37 6 2 22" xfId="43879"/>
    <cellStyle name="asd 37 6 2 3" xfId="5440"/>
    <cellStyle name="asd 37 6 2 4" xfId="9286"/>
    <cellStyle name="asd 37 6 2 5" xfId="12096"/>
    <cellStyle name="asd 37 6 2 6" xfId="14607"/>
    <cellStyle name="asd 37 6 2 7" xfId="16513"/>
    <cellStyle name="asd 37 6 2 8" xfId="16905"/>
    <cellStyle name="asd 37 6 2 9" xfId="18812"/>
    <cellStyle name="asd 37 6 20" xfId="37475"/>
    <cellStyle name="asd 37 6 21" xfId="39900"/>
    <cellStyle name="asd 37 6 22" xfId="41569"/>
    <cellStyle name="asd 37 6 23" xfId="43367"/>
    <cellStyle name="asd 37 6 3" xfId="4721"/>
    <cellStyle name="asd 37 6 4" xfId="7620"/>
    <cellStyle name="asd 37 6 5" xfId="9530"/>
    <cellStyle name="asd 37 6 6" xfId="11739"/>
    <cellStyle name="asd 37 6 7" xfId="14079"/>
    <cellStyle name="asd 37 6 8" xfId="15982"/>
    <cellStyle name="asd 37 6 9" xfId="17149"/>
    <cellStyle name="asd 37 7" xfId="2050"/>
    <cellStyle name="asd 37 7 10" xfId="19005"/>
    <cellStyle name="asd 37 7 11" xfId="20917"/>
    <cellStyle name="asd 37 7 12" xfId="22906"/>
    <cellStyle name="asd 37 7 13" xfId="24719"/>
    <cellStyle name="asd 37 7 14" xfId="26503"/>
    <cellStyle name="asd 37 7 15" xfId="29115"/>
    <cellStyle name="asd 37 7 16" xfId="30109"/>
    <cellStyle name="asd 37 7 17" xfId="31631"/>
    <cellStyle name="asd 37 7 18" xfId="34606"/>
    <cellStyle name="asd 37 7 19" xfId="35546"/>
    <cellStyle name="asd 37 7 2" xfId="2476"/>
    <cellStyle name="asd 37 7 2 10" xfId="20538"/>
    <cellStyle name="asd 37 7 2 11" xfId="23380"/>
    <cellStyle name="asd 37 7 2 12" xfId="24340"/>
    <cellStyle name="asd 37 7 2 13" xfId="26182"/>
    <cellStyle name="asd 37 7 2 14" xfId="8980"/>
    <cellStyle name="asd 37 7 2 15" xfId="29795"/>
    <cellStyle name="asd 37 7 2 16" xfId="28181"/>
    <cellStyle name="asd 37 7 2 17" xfId="31034"/>
    <cellStyle name="asd 37 7 2 18" xfId="35168"/>
    <cellStyle name="asd 37 7 2 19" xfId="37046"/>
    <cellStyle name="asd 37 7 2 2" xfId="4602"/>
    <cellStyle name="asd 37 7 2 20" xfId="33116"/>
    <cellStyle name="asd 37 7 2 21" xfId="28829"/>
    <cellStyle name="asd 37 7 2 22" xfId="43147"/>
    <cellStyle name="asd 37 7 2 3" xfId="1918"/>
    <cellStyle name="asd 37 7 2 4" xfId="9100"/>
    <cellStyle name="asd 37 7 2 5" xfId="11263"/>
    <cellStyle name="asd 37 7 2 6" xfId="13852"/>
    <cellStyle name="asd 37 7 2 7" xfId="15753"/>
    <cellStyle name="asd 37 7 2 8" xfId="16719"/>
    <cellStyle name="asd 37 7 2 9" xfId="18626"/>
    <cellStyle name="asd 37 7 20" xfId="37425"/>
    <cellStyle name="asd 37 7 21" xfId="38878"/>
    <cellStyle name="asd 37 7 22" xfId="40563"/>
    <cellStyle name="asd 37 7 23" xfId="42692"/>
    <cellStyle name="asd 37 7 3" xfId="6119"/>
    <cellStyle name="asd 37 7 4" xfId="7570"/>
    <cellStyle name="asd 37 7 5" xfId="9480"/>
    <cellStyle name="asd 37 7 6" xfId="2499"/>
    <cellStyle name="asd 37 7 7" xfId="13374"/>
    <cellStyle name="asd 37 7 8" xfId="15279"/>
    <cellStyle name="asd 37 7 9" xfId="17099"/>
    <cellStyle name="asd 37 8" xfId="2720"/>
    <cellStyle name="asd 37 9" xfId="1967"/>
    <cellStyle name="asd 38" xfId="965"/>
    <cellStyle name="asd 38 10" xfId="2803"/>
    <cellStyle name="asd 38 11" xfId="2030"/>
    <cellStyle name="asd 38 12" xfId="3769"/>
    <cellStyle name="asd 38 13" xfId="2978"/>
    <cellStyle name="asd 38 14" xfId="1780"/>
    <cellStyle name="asd 38 15" xfId="16610"/>
    <cellStyle name="asd 38 16" xfId="2734"/>
    <cellStyle name="asd 38 17" xfId="6619"/>
    <cellStyle name="asd 38 18" xfId="1986"/>
    <cellStyle name="asd 38 19" xfId="4546"/>
    <cellStyle name="asd 38 2" xfId="3390"/>
    <cellStyle name="asd 38 2 10" xfId="12844"/>
    <cellStyle name="asd 38 2 11" xfId="14749"/>
    <cellStyle name="asd 38 2 12" xfId="16722"/>
    <cellStyle name="asd 38 2 13" xfId="18629"/>
    <cellStyle name="asd 38 2 14" xfId="20541"/>
    <cellStyle name="asd 38 2 15" xfId="22377"/>
    <cellStyle name="asd 38 2 16" xfId="24343"/>
    <cellStyle name="asd 38 2 17" xfId="27961"/>
    <cellStyle name="asd 38 2 18" xfId="29636"/>
    <cellStyle name="asd 38 2 19" xfId="31540"/>
    <cellStyle name="asd 38 2 2" xfId="3570"/>
    <cellStyle name="asd 38 2 2 10" xfId="17461"/>
    <cellStyle name="asd 38 2 2 11" xfId="19367"/>
    <cellStyle name="asd 38 2 2 12" xfId="21279"/>
    <cellStyle name="asd 38 2 2 13" xfId="23916"/>
    <cellStyle name="asd 38 2 2 14" xfId="25081"/>
    <cellStyle name="asd 38 2 2 15" xfId="26822"/>
    <cellStyle name="asd 38 2 2 16" xfId="12819"/>
    <cellStyle name="asd 38 2 2 17" xfId="30421"/>
    <cellStyle name="asd 38 2 2 18" xfId="31975"/>
    <cellStyle name="asd 38 2 2 19" xfId="34119"/>
    <cellStyle name="asd 38 2 2 2" xfId="5533"/>
    <cellStyle name="asd 38 2 2 2 10" xfId="21783"/>
    <cellStyle name="asd 38 2 2 2 11" xfId="23888"/>
    <cellStyle name="asd 38 2 2 2 12" xfId="25585"/>
    <cellStyle name="asd 38 2 2 2 13" xfId="27693"/>
    <cellStyle name="asd 38 2 2 2 14" xfId="28029"/>
    <cellStyle name="asd 38 2 2 2 15" xfId="31267"/>
    <cellStyle name="asd 38 2 2 2 16" xfId="32590"/>
    <cellStyle name="asd 38 2 2 2 17" xfId="33833"/>
    <cellStyle name="asd 38 2 2 2 18" xfId="36412"/>
    <cellStyle name="asd 38 2 2 2 19" xfId="38291"/>
    <cellStyle name="asd 38 2 2 2 2" xfId="6982"/>
    <cellStyle name="asd 38 2 2 2 20" xfId="39801"/>
    <cellStyle name="asd 38 2 2 2 21" xfId="41470"/>
    <cellStyle name="asd 38 2 2 2 22" xfId="43638"/>
    <cellStyle name="asd 38 2 2 2 3" xfId="8436"/>
    <cellStyle name="asd 38 2 2 2 4" xfId="10346"/>
    <cellStyle name="asd 38 2 2 2 5" xfId="11804"/>
    <cellStyle name="asd 38 2 2 2 6" xfId="14358"/>
    <cellStyle name="asd 38 2 2 2 7" xfId="16263"/>
    <cellStyle name="asd 38 2 2 2 8" xfId="17965"/>
    <cellStyle name="asd 38 2 2 2 9" xfId="19871"/>
    <cellStyle name="asd 38 2 2 20" xfId="35908"/>
    <cellStyle name="asd 38 2 2 21" xfId="37787"/>
    <cellStyle name="asd 38 2 2 22" xfId="39205"/>
    <cellStyle name="asd 38 2 2 23" xfId="40886"/>
    <cellStyle name="asd 38 2 2 24" xfId="43662"/>
    <cellStyle name="asd 38 2 2 3" xfId="5031"/>
    <cellStyle name="asd 38 2 2 4" xfId="6481"/>
    <cellStyle name="asd 38 2 2 5" xfId="7932"/>
    <cellStyle name="asd 38 2 2 6" xfId="9842"/>
    <cellStyle name="asd 38 2 2 7" xfId="11875"/>
    <cellStyle name="asd 38 2 2 8" xfId="14384"/>
    <cellStyle name="asd 38 2 2 9" xfId="16290"/>
    <cellStyle name="asd 38 2 20" xfId="8988"/>
    <cellStyle name="asd 38 2 21" xfId="28371"/>
    <cellStyle name="asd 38 2 22" xfId="35171"/>
    <cellStyle name="asd 38 2 23" xfId="37049"/>
    <cellStyle name="asd 38 2 24" xfId="35073"/>
    <cellStyle name="asd 38 2 25" xfId="39493"/>
    <cellStyle name="asd 38 2 26" xfId="42188"/>
    <cellStyle name="asd 38 2 3" xfId="3917"/>
    <cellStyle name="asd 38 2 3 10" xfId="19613"/>
    <cellStyle name="asd 38 2 3 11" xfId="21525"/>
    <cellStyle name="asd 38 2 3 12" xfId="23488"/>
    <cellStyle name="asd 38 2 3 13" xfId="25327"/>
    <cellStyle name="asd 38 2 3 14" xfId="27589"/>
    <cellStyle name="asd 38 2 3 15" xfId="2155"/>
    <cellStyle name="asd 38 2 3 16" xfId="31168"/>
    <cellStyle name="asd 38 2 3 17" xfId="32398"/>
    <cellStyle name="asd 38 2 3 18" xfId="33459"/>
    <cellStyle name="asd 38 2 3 19" xfId="36154"/>
    <cellStyle name="asd 38 2 3 2" xfId="5883"/>
    <cellStyle name="asd 38 2 3 2 10" xfId="22133"/>
    <cellStyle name="asd 38 2 3 2 11" xfId="24172"/>
    <cellStyle name="asd 38 2 3 2 12" xfId="25935"/>
    <cellStyle name="asd 38 2 3 2 13" xfId="27166"/>
    <cellStyle name="asd 38 2 3 2 14" xfId="28294"/>
    <cellStyle name="asd 38 2 3 2 15" xfId="30757"/>
    <cellStyle name="asd 38 2 3 2 16" xfId="32848"/>
    <cellStyle name="asd 38 2 3 2 17" xfId="34456"/>
    <cellStyle name="asd 38 2 3 2 18" xfId="36762"/>
    <cellStyle name="asd 38 2 3 2 19" xfId="38641"/>
    <cellStyle name="asd 38 2 3 2 2" xfId="7332"/>
    <cellStyle name="asd 38 2 3 2 20" xfId="40055"/>
    <cellStyle name="asd 38 2 3 2 21" xfId="41719"/>
    <cellStyle name="asd 38 2 3 2 22" xfId="43914"/>
    <cellStyle name="asd 38 2 3 2 3" xfId="8786"/>
    <cellStyle name="asd 38 2 3 2 4" xfId="10696"/>
    <cellStyle name="asd 38 2 3 2 5" xfId="12132"/>
    <cellStyle name="asd 38 2 3 2 6" xfId="14643"/>
    <cellStyle name="asd 38 2 3 2 7" xfId="16549"/>
    <cellStyle name="asd 38 2 3 2 8" xfId="18315"/>
    <cellStyle name="asd 38 2 3 2 9" xfId="20221"/>
    <cellStyle name="asd 38 2 3 20" xfId="38033"/>
    <cellStyle name="asd 38 2 3 21" xfId="39615"/>
    <cellStyle name="asd 38 2 3 22" xfId="41289"/>
    <cellStyle name="asd 38 2 3 23" xfId="43254"/>
    <cellStyle name="asd 38 2 3 3" xfId="5277"/>
    <cellStyle name="asd 38 2 3 4" xfId="8178"/>
    <cellStyle name="asd 38 2 3 5" xfId="10088"/>
    <cellStyle name="asd 38 2 3 6" xfId="12563"/>
    <cellStyle name="asd 38 2 3 7" xfId="13960"/>
    <cellStyle name="asd 38 2 3 8" xfId="15861"/>
    <cellStyle name="asd 38 2 3 9" xfId="17707"/>
    <cellStyle name="asd 38 2 4" xfId="4022"/>
    <cellStyle name="asd 38 2 4 10" xfId="19657"/>
    <cellStyle name="asd 38 2 4 11" xfId="21569"/>
    <cellStyle name="asd 38 2 4 12" xfId="22574"/>
    <cellStyle name="asd 38 2 4 13" xfId="25371"/>
    <cellStyle name="asd 38 2 4 14" xfId="27816"/>
    <cellStyle name="asd 38 2 4 15" xfId="2762"/>
    <cellStyle name="asd 38 2 4 16" xfId="31394"/>
    <cellStyle name="asd 38 2 4 17" xfId="32721"/>
    <cellStyle name="asd 38 2 4 18" xfId="33823"/>
    <cellStyle name="asd 38 2 4 19" xfId="36198"/>
    <cellStyle name="asd 38 2 4 2" xfId="5927"/>
    <cellStyle name="asd 38 2 4 2 10" xfId="22177"/>
    <cellStyle name="asd 38 2 4 2 11" xfId="22363"/>
    <cellStyle name="asd 38 2 4 2 12" xfId="25979"/>
    <cellStyle name="asd 38 2 4 2 13" xfId="27494"/>
    <cellStyle name="asd 38 2 4 2 14" xfId="24180"/>
    <cellStyle name="asd 38 2 4 2 15" xfId="31080"/>
    <cellStyle name="asd 38 2 4 2 16" xfId="33212"/>
    <cellStyle name="asd 38 2 4 2 17" xfId="34777"/>
    <cellStyle name="asd 38 2 4 2 18" xfId="36806"/>
    <cellStyle name="asd 38 2 4 2 19" xfId="38685"/>
    <cellStyle name="asd 38 2 4 2 2" xfId="7376"/>
    <cellStyle name="asd 38 2 4 2 20" xfId="40401"/>
    <cellStyle name="asd 38 2 4 2 21" xfId="42057"/>
    <cellStyle name="asd 38 2 4 2 22" xfId="42175"/>
    <cellStyle name="asd 38 2 4 2 3" xfId="8830"/>
    <cellStyle name="asd 38 2 4 2 4" xfId="10740"/>
    <cellStyle name="asd 38 2 4 2 5" xfId="11464"/>
    <cellStyle name="asd 38 2 4 2 6" xfId="12830"/>
    <cellStyle name="asd 38 2 4 2 7" xfId="14735"/>
    <cellStyle name="asd 38 2 4 2 8" xfId="18359"/>
    <cellStyle name="asd 38 2 4 2 9" xfId="20265"/>
    <cellStyle name="asd 38 2 4 20" xfId="38077"/>
    <cellStyle name="asd 38 2 4 21" xfId="39931"/>
    <cellStyle name="asd 38 2 4 22" xfId="41597"/>
    <cellStyle name="asd 38 2 4 23" xfId="42383"/>
    <cellStyle name="asd 38 2 4 3" xfId="6768"/>
    <cellStyle name="asd 38 2 4 4" xfId="8222"/>
    <cellStyle name="asd 38 2 4 5" xfId="10132"/>
    <cellStyle name="asd 38 2 4 6" xfId="11363"/>
    <cellStyle name="asd 38 2 4 7" xfId="13042"/>
    <cellStyle name="asd 38 2 4 8" xfId="14946"/>
    <cellStyle name="asd 38 2 4 9" xfId="17751"/>
    <cellStyle name="asd 38 2 5" xfId="4890"/>
    <cellStyle name="asd 38 2 5 10" xfId="21138"/>
    <cellStyle name="asd 38 2 5 11" xfId="23649"/>
    <cellStyle name="asd 38 2 5 12" xfId="24940"/>
    <cellStyle name="asd 38 2 5 13" xfId="26700"/>
    <cellStyle name="asd 38 2 5 14" xfId="6688"/>
    <cellStyle name="asd 38 2 5 15" xfId="30300"/>
    <cellStyle name="asd 38 2 5 16" xfId="28197"/>
    <cellStyle name="asd 38 2 5 17" xfId="33371"/>
    <cellStyle name="asd 38 2 5 18" xfId="35767"/>
    <cellStyle name="asd 38 2 5 19" xfId="37646"/>
    <cellStyle name="asd 38 2 5 2" xfId="6340"/>
    <cellStyle name="asd 38 2 5 20" xfId="29229"/>
    <cellStyle name="asd 38 2 5 21" xfId="12806"/>
    <cellStyle name="asd 38 2 5 22" xfId="43407"/>
    <cellStyle name="asd 38 2 5 3" xfId="7791"/>
    <cellStyle name="asd 38 2 5 4" xfId="9701"/>
    <cellStyle name="asd 38 2 5 5" xfId="11489"/>
    <cellStyle name="asd 38 2 5 6" xfId="14119"/>
    <cellStyle name="asd 38 2 5 7" xfId="16022"/>
    <cellStyle name="asd 38 2 5 8" xfId="17320"/>
    <cellStyle name="asd 38 2 5 9" xfId="19226"/>
    <cellStyle name="asd 38 2 6" xfId="5549"/>
    <cellStyle name="asd 38 2 6 10" xfId="21799"/>
    <cellStyle name="asd 38 2 6 11" xfId="22965"/>
    <cellStyle name="asd 38 2 6 12" xfId="25601"/>
    <cellStyle name="asd 38 2 6 13" xfId="27906"/>
    <cellStyle name="asd 38 2 6 14" xfId="26474"/>
    <cellStyle name="asd 38 2 6 15" xfId="31488"/>
    <cellStyle name="asd 38 2 6 16" xfId="32431"/>
    <cellStyle name="asd 38 2 6 17" xfId="2595"/>
    <cellStyle name="asd 38 2 6 18" xfId="36428"/>
    <cellStyle name="asd 38 2 6 19" xfId="38307"/>
    <cellStyle name="asd 38 2 6 2" xfId="6998"/>
    <cellStyle name="asd 38 2 6 20" xfId="39648"/>
    <cellStyle name="asd 38 2 6 21" xfId="41322"/>
    <cellStyle name="asd 38 2 6 22" xfId="42751"/>
    <cellStyle name="asd 38 2 6 3" xfId="8452"/>
    <cellStyle name="asd 38 2 6 4" xfId="10362"/>
    <cellStyle name="asd 38 2 6 5" xfId="12276"/>
    <cellStyle name="asd 38 2 6 6" xfId="13434"/>
    <cellStyle name="asd 38 2 6 7" xfId="15339"/>
    <cellStyle name="asd 38 2 6 8" xfId="17981"/>
    <cellStyle name="asd 38 2 6 9" xfId="19887"/>
    <cellStyle name="asd 38 2 7" xfId="3049"/>
    <cellStyle name="asd 38 2 8" xfId="9103"/>
    <cellStyle name="asd 38 2 9" xfId="2108"/>
    <cellStyle name="asd 38 20" xfId="2066"/>
    <cellStyle name="asd 38 21" xfId="12797"/>
    <cellStyle name="asd 38 22" xfId="29214"/>
    <cellStyle name="asd 38 23" xfId="3955"/>
    <cellStyle name="asd 38 24" xfId="22853"/>
    <cellStyle name="asd 38 25" xfId="31472"/>
    <cellStyle name="asd 38 26" xfId="35064"/>
    <cellStyle name="asd 38 27" xfId="15153"/>
    <cellStyle name="asd 38 3" xfId="3486"/>
    <cellStyle name="asd 38 3 10" xfId="14118"/>
    <cellStyle name="asd 38 3 11" xfId="16021"/>
    <cellStyle name="asd 38 3 12" xfId="16924"/>
    <cellStyle name="asd 38 3 13" xfId="18831"/>
    <cellStyle name="asd 38 3 14" xfId="20743"/>
    <cellStyle name="asd 38 3 15" xfId="23648"/>
    <cellStyle name="asd 38 3 16" xfId="24545"/>
    <cellStyle name="asd 38 3 17" xfId="26377"/>
    <cellStyle name="asd 38 3 18" xfId="28643"/>
    <cellStyle name="asd 38 3 19" xfId="29985"/>
    <cellStyle name="asd 38 3 2" xfId="3666"/>
    <cellStyle name="asd 38 3 2 10" xfId="17557"/>
    <cellStyle name="asd 38 3 2 11" xfId="19463"/>
    <cellStyle name="asd 38 3 2 12" xfId="21375"/>
    <cellStyle name="asd 38 3 2 13" xfId="23478"/>
    <cellStyle name="asd 38 3 2 14" xfId="25177"/>
    <cellStyle name="asd 38 3 2 15" xfId="26395"/>
    <cellStyle name="asd 38 3 2 16" xfId="29072"/>
    <cellStyle name="asd 38 3 2 17" xfId="30003"/>
    <cellStyle name="asd 38 3 2 18" xfId="33186"/>
    <cellStyle name="asd 38 3 2 19" xfId="34479"/>
    <cellStyle name="asd 38 3 2 2" xfId="5589"/>
    <cellStyle name="asd 38 3 2 2 10" xfId="21839"/>
    <cellStyle name="asd 38 3 2 2 11" xfId="22786"/>
    <cellStyle name="asd 38 3 2 2 12" xfId="25641"/>
    <cellStyle name="asd 38 3 2 2 13" xfId="27618"/>
    <cellStyle name="asd 38 3 2 2 14" xfId="28095"/>
    <cellStyle name="asd 38 3 2 2 15" xfId="31196"/>
    <cellStyle name="asd 38 3 2 2 16" xfId="32656"/>
    <cellStyle name="asd 38 3 2 2 17" xfId="33449"/>
    <cellStyle name="asd 38 3 2 2 18" xfId="36468"/>
    <cellStyle name="asd 38 3 2 2 19" xfId="38347"/>
    <cellStyle name="asd 38 3 2 2 2" xfId="7038"/>
    <cellStyle name="asd 38 3 2 2 20" xfId="39863"/>
    <cellStyle name="asd 38 3 2 2 21" xfId="41532"/>
    <cellStyle name="asd 38 3 2 2 22" xfId="42579"/>
    <cellStyle name="asd 38 3 2 2 3" xfId="8492"/>
    <cellStyle name="asd 38 3 2 2 4" xfId="10402"/>
    <cellStyle name="asd 38 3 2 2 5" xfId="12478"/>
    <cellStyle name="asd 38 3 2 2 6" xfId="13255"/>
    <cellStyle name="asd 38 3 2 2 7" xfId="15159"/>
    <cellStyle name="asd 38 3 2 2 8" xfId="18021"/>
    <cellStyle name="asd 38 3 2 2 9" xfId="19927"/>
    <cellStyle name="asd 38 3 2 20" xfId="36004"/>
    <cellStyle name="asd 38 3 2 21" xfId="37883"/>
    <cellStyle name="asd 38 3 2 22" xfId="40377"/>
    <cellStyle name="asd 38 3 2 23" xfId="42033"/>
    <cellStyle name="asd 38 3 2 24" xfId="43245"/>
    <cellStyle name="asd 38 3 2 3" xfId="5127"/>
    <cellStyle name="asd 38 3 2 4" xfId="6577"/>
    <cellStyle name="asd 38 3 2 5" xfId="8028"/>
    <cellStyle name="asd 38 3 2 6" xfId="9938"/>
    <cellStyle name="asd 38 3 2 7" xfId="12333"/>
    <cellStyle name="asd 38 3 2 8" xfId="13950"/>
    <cellStyle name="asd 38 3 2 9" xfId="15851"/>
    <cellStyle name="asd 38 3 20" xfId="31602"/>
    <cellStyle name="asd 38 3 21" xfId="35028"/>
    <cellStyle name="asd 38 3 22" xfId="35373"/>
    <cellStyle name="asd 38 3 23" xfId="37251"/>
    <cellStyle name="asd 38 3 24" xfId="38849"/>
    <cellStyle name="asd 38 3 25" xfId="40535"/>
    <cellStyle name="asd 38 3 26" xfId="43406"/>
    <cellStyle name="asd 38 3 3" xfId="3881"/>
    <cellStyle name="asd 38 3 3 10" xfId="19590"/>
    <cellStyle name="asd 38 3 3 11" xfId="21502"/>
    <cellStyle name="asd 38 3 3 12" xfId="23313"/>
    <cellStyle name="asd 38 3 3 13" xfId="25304"/>
    <cellStyle name="asd 38 3 3 14" xfId="26330"/>
    <cellStyle name="asd 38 3 3 15" xfId="29002"/>
    <cellStyle name="asd 38 3 3 16" xfId="29938"/>
    <cellStyle name="asd 38 3 3 17" xfId="32681"/>
    <cellStyle name="asd 38 3 3 18" xfId="34398"/>
    <cellStyle name="asd 38 3 3 19" xfId="36131"/>
    <cellStyle name="asd 38 3 3 2" xfId="5860"/>
    <cellStyle name="asd 38 3 3 2 10" xfId="22110"/>
    <cellStyle name="asd 38 3 3 2 11" xfId="23515"/>
    <cellStyle name="asd 38 3 3 2 12" xfId="25912"/>
    <cellStyle name="asd 38 3 3 2 13" xfId="27295"/>
    <cellStyle name="asd 38 3 3 2 14" xfId="28237"/>
    <cellStyle name="asd 38 3 3 2 15" xfId="30885"/>
    <cellStyle name="asd 38 3 3 2 16" xfId="32090"/>
    <cellStyle name="asd 38 3 3 2 17" xfId="33815"/>
    <cellStyle name="asd 38 3 3 2 18" xfId="36739"/>
    <cellStyle name="asd 38 3 3 2 19" xfId="38618"/>
    <cellStyle name="asd 38 3 3 2 2" xfId="7309"/>
    <cellStyle name="asd 38 3 3 2 20" xfId="39314"/>
    <cellStyle name="asd 38 3 3 2 21" xfId="40990"/>
    <cellStyle name="asd 38 3 3 2 22" xfId="43280"/>
    <cellStyle name="asd 38 3 3 2 3" xfId="8763"/>
    <cellStyle name="asd 38 3 3 2 4" xfId="10673"/>
    <cellStyle name="asd 38 3 3 2 5" xfId="12507"/>
    <cellStyle name="asd 38 3 3 2 6" xfId="13987"/>
    <cellStyle name="asd 38 3 3 2 7" xfId="15888"/>
    <cellStyle name="asd 38 3 3 2 8" xfId="18292"/>
    <cellStyle name="asd 38 3 3 2 9" xfId="20198"/>
    <cellStyle name="asd 38 3 3 20" xfId="38010"/>
    <cellStyle name="asd 38 3 3 21" xfId="39889"/>
    <cellStyle name="asd 38 3 3 22" xfId="41558"/>
    <cellStyle name="asd 38 3 3 23" xfId="43085"/>
    <cellStyle name="asd 38 3 3 3" xfId="5254"/>
    <cellStyle name="asd 38 3 3 4" xfId="8155"/>
    <cellStyle name="asd 38 3 3 5" xfId="10065"/>
    <cellStyle name="asd 38 3 3 6" xfId="12187"/>
    <cellStyle name="asd 38 3 3 7" xfId="13785"/>
    <cellStyle name="asd 38 3 3 8" xfId="15687"/>
    <cellStyle name="asd 38 3 3 9" xfId="17684"/>
    <cellStyle name="asd 38 3 4" xfId="4118"/>
    <cellStyle name="asd 38 3 4 10" xfId="19753"/>
    <cellStyle name="asd 38 3 4 11" xfId="21665"/>
    <cellStyle name="asd 38 3 4 12" xfId="22999"/>
    <cellStyle name="asd 38 3 4 13" xfId="25467"/>
    <cellStyle name="asd 38 3 4 14" xfId="27768"/>
    <cellStyle name="asd 38 3 4 15" xfId="28973"/>
    <cellStyle name="asd 38 3 4 16" xfId="31346"/>
    <cellStyle name="asd 38 3 4 17" xfId="32911"/>
    <cellStyle name="asd 38 3 4 18" xfId="34137"/>
    <cellStyle name="asd 38 3 4 19" xfId="36294"/>
    <cellStyle name="asd 38 3 4 2" xfId="6023"/>
    <cellStyle name="asd 38 3 4 2 10" xfId="22273"/>
    <cellStyle name="asd 38 3 4 2 11" xfId="23112"/>
    <cellStyle name="asd 38 3 4 2 12" xfId="26075"/>
    <cellStyle name="asd 38 3 4 2 13" xfId="27738"/>
    <cellStyle name="asd 38 3 4 2 14" xfId="28954"/>
    <cellStyle name="asd 38 3 4 2 15" xfId="31316"/>
    <cellStyle name="asd 38 3 4 2 16" xfId="32974"/>
    <cellStyle name="asd 38 3 4 2 17" xfId="34218"/>
    <cellStyle name="asd 38 3 4 2 18" xfId="36902"/>
    <cellStyle name="asd 38 3 4 2 19" xfId="38781"/>
    <cellStyle name="asd 38 3 4 2 2" xfId="7472"/>
    <cellStyle name="asd 38 3 4 2 20" xfId="40175"/>
    <cellStyle name="asd 38 3 4 2 21" xfId="41834"/>
    <cellStyle name="asd 38 3 4 2 22" xfId="42892"/>
    <cellStyle name="asd 38 3 4 2 3" xfId="8926"/>
    <cellStyle name="asd 38 3 4 2 4" xfId="10836"/>
    <cellStyle name="asd 38 3 4 2 5" xfId="12727"/>
    <cellStyle name="asd 38 3 4 2 6" xfId="13583"/>
    <cellStyle name="asd 38 3 4 2 7" xfId="15486"/>
    <cellStyle name="asd 38 3 4 2 8" xfId="18455"/>
    <cellStyle name="asd 38 3 4 2 9" xfId="20361"/>
    <cellStyle name="asd 38 3 4 20" xfId="38173"/>
    <cellStyle name="asd 38 3 4 21" xfId="40115"/>
    <cellStyle name="asd 38 3 4 22" xfId="41775"/>
    <cellStyle name="asd 38 3 4 23" xfId="42784"/>
    <cellStyle name="asd 38 3 4 3" xfId="6864"/>
    <cellStyle name="asd 38 3 4 4" xfId="8318"/>
    <cellStyle name="asd 38 3 4 5" xfId="10228"/>
    <cellStyle name="asd 38 3 4 6" xfId="11271"/>
    <cellStyle name="asd 38 3 4 7" xfId="13469"/>
    <cellStyle name="asd 38 3 4 8" xfId="15374"/>
    <cellStyle name="asd 38 3 4 9" xfId="17847"/>
    <cellStyle name="asd 38 3 5" xfId="4966"/>
    <cellStyle name="asd 38 3 5 10" xfId="21214"/>
    <cellStyle name="asd 38 3 5 11" xfId="23150"/>
    <cellStyle name="asd 38 3 5 12" xfId="25016"/>
    <cellStyle name="asd 38 3 5 13" xfId="27473"/>
    <cellStyle name="asd 38 3 5 14" xfId="28036"/>
    <cellStyle name="asd 38 3 5 15" xfId="31060"/>
    <cellStyle name="asd 38 3 5 16" xfId="32592"/>
    <cellStyle name="asd 38 3 5 17" xfId="34172"/>
    <cellStyle name="asd 38 3 5 18" xfId="35843"/>
    <cellStyle name="asd 38 3 5 19" xfId="37722"/>
    <cellStyle name="asd 38 3 5 2" xfId="6416"/>
    <cellStyle name="asd 38 3 5 20" xfId="39803"/>
    <cellStyle name="asd 38 3 5 21" xfId="41472"/>
    <cellStyle name="asd 38 3 5 22" xfId="42928"/>
    <cellStyle name="asd 38 3 5 3" xfId="7867"/>
    <cellStyle name="asd 38 3 5 4" xfId="9777"/>
    <cellStyle name="asd 38 3 5 5" xfId="10942"/>
    <cellStyle name="asd 38 3 5 6" xfId="13621"/>
    <cellStyle name="asd 38 3 5 7" xfId="15524"/>
    <cellStyle name="asd 38 3 5 8" xfId="17396"/>
    <cellStyle name="asd 38 3 5 9" xfId="19302"/>
    <cellStyle name="asd 38 3 6" xfId="4524"/>
    <cellStyle name="asd 38 3 6 10" xfId="20769"/>
    <cellStyle name="asd 38 3 6 11" xfId="23399"/>
    <cellStyle name="asd 38 3 6 12" xfId="24571"/>
    <cellStyle name="asd 38 3 6 13" xfId="27414"/>
    <cellStyle name="asd 38 3 6 14" xfId="27957"/>
    <cellStyle name="asd 38 3 6 15" xfId="31000"/>
    <cellStyle name="asd 38 3 6 16" xfId="29444"/>
    <cellStyle name="asd 38 3 6 17" xfId="28025"/>
    <cellStyle name="asd 38 3 6 18" xfId="35399"/>
    <cellStyle name="asd 38 3 6 19" xfId="37277"/>
    <cellStyle name="asd 38 3 6 2" xfId="5312"/>
    <cellStyle name="asd 38 3 6 20" xfId="26171"/>
    <cellStyle name="asd 38 3 6 21" xfId="12778"/>
    <cellStyle name="asd 38 3 6 22" xfId="43166"/>
    <cellStyle name="asd 38 3 6 3" xfId="6708"/>
    <cellStyle name="asd 38 3 6 4" xfId="9331"/>
    <cellStyle name="asd 38 3 6 5" xfId="12365"/>
    <cellStyle name="asd 38 3 6 6" xfId="13871"/>
    <cellStyle name="asd 38 3 6 7" xfId="15772"/>
    <cellStyle name="asd 38 3 6 8" xfId="16950"/>
    <cellStyle name="asd 38 3 6 9" xfId="18857"/>
    <cellStyle name="asd 38 3 7" xfId="6656"/>
    <cellStyle name="asd 38 3 8" xfId="9305"/>
    <cellStyle name="asd 38 3 9" xfId="11350"/>
    <cellStyle name="asd 38 4" xfId="3521"/>
    <cellStyle name="asd 38 4 10" xfId="15021"/>
    <cellStyle name="asd 38 4 11" xfId="17032"/>
    <cellStyle name="asd 38 4 12" xfId="18939"/>
    <cellStyle name="asd 38 4 13" xfId="20851"/>
    <cellStyle name="asd 38 4 14" xfId="22649"/>
    <cellStyle name="asd 38 4 15" xfId="24653"/>
    <cellStyle name="asd 38 4 16" xfId="26710"/>
    <cellStyle name="asd 38 4 17" xfId="29143"/>
    <cellStyle name="asd 38 4 18" xfId="30310"/>
    <cellStyle name="asd 38 4 19" xfId="32952"/>
    <cellStyle name="asd 38 4 2" xfId="3701"/>
    <cellStyle name="asd 38 4 2 10" xfId="17592"/>
    <cellStyle name="asd 38 4 2 11" xfId="19498"/>
    <cellStyle name="asd 38 4 2 12" xfId="21410"/>
    <cellStyle name="asd 38 4 2 13" xfId="23366"/>
    <cellStyle name="asd 38 4 2 14" xfId="25212"/>
    <cellStyle name="asd 38 4 2 15" xfId="27403"/>
    <cellStyle name="asd 38 4 2 16" xfId="28334"/>
    <cellStyle name="asd 38 4 2 17" xfId="30989"/>
    <cellStyle name="asd 38 4 2 18" xfId="32396"/>
    <cellStyle name="asd 38 4 2 19" xfId="34590"/>
    <cellStyle name="asd 38 4 2 2" xfId="5768"/>
    <cellStyle name="asd 38 4 2 2 10" xfId="22018"/>
    <cellStyle name="asd 38 4 2 2 11" xfId="23028"/>
    <cellStyle name="asd 38 4 2 2 12" xfId="25820"/>
    <cellStyle name="asd 38 4 2 2 13" xfId="26551"/>
    <cellStyle name="asd 38 4 2 2 14" xfId="3838"/>
    <cellStyle name="asd 38 4 2 2 15" xfId="30156"/>
    <cellStyle name="asd 38 4 2 2 16" xfId="32367"/>
    <cellStyle name="asd 38 4 2 2 17" xfId="30752"/>
    <cellStyle name="asd 38 4 2 2 18" xfId="36647"/>
    <cellStyle name="asd 38 4 2 2 19" xfId="38526"/>
    <cellStyle name="asd 38 4 2 2 2" xfId="7217"/>
    <cellStyle name="asd 38 4 2 2 20" xfId="39585"/>
    <cellStyle name="asd 38 4 2 2 21" xfId="41259"/>
    <cellStyle name="asd 38 4 2 2 22" xfId="42811"/>
    <cellStyle name="asd 38 4 2 2 3" xfId="8671"/>
    <cellStyle name="asd 38 4 2 2 4" xfId="10581"/>
    <cellStyle name="asd 38 4 2 2 5" xfId="12619"/>
    <cellStyle name="asd 38 4 2 2 6" xfId="13498"/>
    <cellStyle name="asd 38 4 2 2 7" xfId="15402"/>
    <cellStyle name="asd 38 4 2 2 8" xfId="18200"/>
    <cellStyle name="asd 38 4 2 2 9" xfId="20106"/>
    <cellStyle name="asd 38 4 2 20" xfId="36039"/>
    <cellStyle name="asd 38 4 2 21" xfId="37918"/>
    <cellStyle name="asd 38 4 2 22" xfId="39613"/>
    <cellStyle name="asd 38 4 2 23" xfId="41287"/>
    <cellStyle name="asd 38 4 2 24" xfId="43136"/>
    <cellStyle name="asd 38 4 2 3" xfId="5162"/>
    <cellStyle name="asd 38 4 2 4" xfId="6612"/>
    <cellStyle name="asd 38 4 2 5" xfId="8063"/>
    <cellStyle name="asd 38 4 2 6" xfId="9973"/>
    <cellStyle name="asd 38 4 2 7" xfId="10974"/>
    <cellStyle name="asd 38 4 2 8" xfId="13838"/>
    <cellStyle name="asd 38 4 2 9" xfId="15740"/>
    <cellStyle name="asd 38 4 20" xfId="34617"/>
    <cellStyle name="asd 38 4 21" xfId="35481"/>
    <cellStyle name="asd 38 4 22" xfId="37359"/>
    <cellStyle name="asd 38 4 23" xfId="40154"/>
    <cellStyle name="asd 38 4 24" xfId="41813"/>
    <cellStyle name="asd 38 4 25" xfId="42455"/>
    <cellStyle name="asd 38 4 3" xfId="2725"/>
    <cellStyle name="asd 38 4 3 10" xfId="19099"/>
    <cellStyle name="asd 38 4 3 11" xfId="21011"/>
    <cellStyle name="asd 38 4 3 12" xfId="24042"/>
    <cellStyle name="asd 38 4 3 13" xfId="24813"/>
    <cellStyle name="asd 38 4 3 14" xfId="26499"/>
    <cellStyle name="asd 38 4 3 15" xfId="29124"/>
    <cellStyle name="asd 38 4 3 16" xfId="30105"/>
    <cellStyle name="asd 38 4 3 17" xfId="33262"/>
    <cellStyle name="asd 38 4 3 18" xfId="34999"/>
    <cellStyle name="asd 38 4 3 19" xfId="35640"/>
    <cellStyle name="asd 38 4 3 2" xfId="4626"/>
    <cellStyle name="asd 38 4 3 2 10" xfId="20871"/>
    <cellStyle name="asd 38 4 3 2 11" xfId="22537"/>
    <cellStyle name="asd 38 4 3 2 12" xfId="24673"/>
    <cellStyle name="asd 38 4 3 2 13" xfId="27011"/>
    <cellStyle name="asd 38 4 3 2 14" xfId="28679"/>
    <cellStyle name="asd 38 4 3 2 15" xfId="30604"/>
    <cellStyle name="asd 38 4 3 2 16" xfId="32227"/>
    <cellStyle name="asd 38 4 3 2 17" xfId="33493"/>
    <cellStyle name="asd 38 4 3 2 18" xfId="35501"/>
    <cellStyle name="asd 38 4 3 2 19" xfId="37379"/>
    <cellStyle name="asd 38 4 3 2 2" xfId="6074"/>
    <cellStyle name="asd 38 4 3 2 20" xfId="39446"/>
    <cellStyle name="asd 38 4 3 2 21" xfId="41121"/>
    <cellStyle name="asd 38 4 3 2 22" xfId="42346"/>
    <cellStyle name="asd 38 4 3 2 3" xfId="7523"/>
    <cellStyle name="asd 38 4 3 2 4" xfId="9433"/>
    <cellStyle name="asd 38 4 3 2 5" xfId="3090"/>
    <cellStyle name="asd 38 4 3 2 6" xfId="13005"/>
    <cellStyle name="asd 38 4 3 2 7" xfId="14909"/>
    <cellStyle name="asd 38 4 3 2 8" xfId="17052"/>
    <cellStyle name="asd 38 4 3 2 9" xfId="18959"/>
    <cellStyle name="asd 38 4 3 20" xfId="37519"/>
    <cellStyle name="asd 38 4 3 21" xfId="40448"/>
    <cellStyle name="asd 38 4 3 22" xfId="42103"/>
    <cellStyle name="asd 38 4 3 23" xfId="43786"/>
    <cellStyle name="asd 38 4 3 3" xfId="4764"/>
    <cellStyle name="asd 38 4 3 4" xfId="7664"/>
    <cellStyle name="asd 38 4 3 5" xfId="9574"/>
    <cellStyle name="asd 38 4 3 6" xfId="12001"/>
    <cellStyle name="asd 38 4 3 7" xfId="14512"/>
    <cellStyle name="asd 38 4 3 8" xfId="16418"/>
    <cellStyle name="asd 38 4 3 9" xfId="17193"/>
    <cellStyle name="asd 38 4 4" xfId="4153"/>
    <cellStyle name="asd 38 4 4 10" xfId="19788"/>
    <cellStyle name="asd 38 4 4 11" xfId="21700"/>
    <cellStyle name="asd 38 4 4 12" xfId="22785"/>
    <cellStyle name="asd 38 4 4 13" xfId="25502"/>
    <cellStyle name="asd 38 4 4 14" xfId="27384"/>
    <cellStyle name="asd 38 4 4 15" xfId="29544"/>
    <cellStyle name="asd 38 4 4 16" xfId="30970"/>
    <cellStyle name="asd 38 4 4 17" xfId="31757"/>
    <cellStyle name="asd 38 4 4 18" xfId="34021"/>
    <cellStyle name="asd 38 4 4 19" xfId="36329"/>
    <cellStyle name="asd 38 4 4 2" xfId="6058"/>
    <cellStyle name="asd 38 4 4 2 10" xfId="22308"/>
    <cellStyle name="asd 38 4 4 2 11" xfId="14707"/>
    <cellStyle name="asd 38 4 4 2 12" xfId="26110"/>
    <cellStyle name="asd 38 4 4 2 13" xfId="3806"/>
    <cellStyle name="asd 38 4 4 2 14" xfId="28460"/>
    <cellStyle name="asd 38 4 4 2 15" xfId="2172"/>
    <cellStyle name="asd 38 4 4 2 16" xfId="32071"/>
    <cellStyle name="asd 38 4 4 2 17" xfId="34463"/>
    <cellStyle name="asd 38 4 4 2 18" xfId="36937"/>
    <cellStyle name="asd 38 4 4 2 19" xfId="38816"/>
    <cellStyle name="asd 38 4 4 2 2" xfId="7507"/>
    <cellStyle name="asd 38 4 4 2 20" xfId="39296"/>
    <cellStyle name="asd 38 4 4 2 21" xfId="40972"/>
    <cellStyle name="asd 38 4 4 2 22" xfId="41452"/>
    <cellStyle name="asd 38 4 4 2 3" xfId="8961"/>
    <cellStyle name="asd 38 4 4 2 4" xfId="10871"/>
    <cellStyle name="asd 38 4 4 2 5" xfId="4709"/>
    <cellStyle name="asd 38 4 4 2 6" xfId="11256"/>
    <cellStyle name="asd 38 4 4 2 7" xfId="13328"/>
    <cellStyle name="asd 38 4 4 2 8" xfId="18490"/>
    <cellStyle name="asd 38 4 4 2 9" xfId="20396"/>
    <cellStyle name="asd 38 4 4 20" xfId="38208"/>
    <cellStyle name="asd 38 4 4 21" xfId="38997"/>
    <cellStyle name="asd 38 4 4 22" xfId="40680"/>
    <cellStyle name="asd 38 4 4 23" xfId="42578"/>
    <cellStyle name="asd 38 4 4 3" xfId="6899"/>
    <cellStyle name="asd 38 4 4 4" xfId="8353"/>
    <cellStyle name="asd 38 4 4 5" xfId="10263"/>
    <cellStyle name="asd 38 4 4 6" xfId="11072"/>
    <cellStyle name="asd 38 4 4 7" xfId="13254"/>
    <cellStyle name="asd 38 4 4 8" xfId="15158"/>
    <cellStyle name="asd 38 4 4 9" xfId="17882"/>
    <cellStyle name="asd 38 4 5" xfId="4433"/>
    <cellStyle name="asd 38 4 5 10" xfId="20677"/>
    <cellStyle name="asd 38 4 5 11" xfId="23920"/>
    <cellStyle name="asd 38 4 5 12" xfId="24479"/>
    <cellStyle name="asd 38 4 5 13" xfId="27205"/>
    <cellStyle name="asd 38 4 5 14" xfId="2206"/>
    <cellStyle name="asd 38 4 5 15" xfId="30796"/>
    <cellStyle name="asd 38 4 5 16" xfId="33076"/>
    <cellStyle name="asd 38 4 5 17" xfId="34839"/>
    <cellStyle name="asd 38 4 5 18" xfId="35307"/>
    <cellStyle name="asd 38 4 5 19" xfId="37185"/>
    <cellStyle name="asd 38 4 5 2" xfId="1945"/>
    <cellStyle name="asd 38 4 5 20" xfId="40273"/>
    <cellStyle name="asd 38 4 5 21" xfId="41929"/>
    <cellStyle name="asd 38 4 5 22" xfId="43666"/>
    <cellStyle name="asd 38 4 5 3" xfId="3321"/>
    <cellStyle name="asd 38 4 5 4" xfId="9239"/>
    <cellStyle name="asd 38 4 5 5" xfId="11879"/>
    <cellStyle name="asd 38 4 5 6" xfId="14388"/>
    <cellStyle name="asd 38 4 5 7" xfId="16294"/>
    <cellStyle name="asd 38 4 5 8" xfId="16858"/>
    <cellStyle name="asd 38 4 5 9" xfId="18765"/>
    <cellStyle name="asd 38 4 6" xfId="3180"/>
    <cellStyle name="asd 38 4 7" xfId="9413"/>
    <cellStyle name="asd 38 4 8" xfId="11735"/>
    <cellStyle name="asd 38 4 9" xfId="13116"/>
    <cellStyle name="asd 38 5" xfId="3051"/>
    <cellStyle name="asd 38 5 10" xfId="17240"/>
    <cellStyle name="asd 38 5 11" xfId="19146"/>
    <cellStyle name="asd 38 5 12" xfId="21058"/>
    <cellStyle name="asd 38 5 13" xfId="23308"/>
    <cellStyle name="asd 38 5 14" xfId="24860"/>
    <cellStyle name="asd 38 5 15" xfId="27296"/>
    <cellStyle name="asd 38 5 16" xfId="28035"/>
    <cellStyle name="asd 38 5 17" xfId="30886"/>
    <cellStyle name="asd 38 5 18" xfId="32846"/>
    <cellStyle name="asd 38 5 19" xfId="34041"/>
    <cellStyle name="asd 38 5 2" xfId="4571"/>
    <cellStyle name="asd 38 5 2 10" xfId="20816"/>
    <cellStyle name="asd 38 5 2 11" xfId="24001"/>
    <cellStyle name="asd 38 5 2 12" xfId="24618"/>
    <cellStyle name="asd 38 5 2 13" xfId="26959"/>
    <cellStyle name="asd 38 5 2 14" xfId="28141"/>
    <cellStyle name="asd 38 5 2 15" xfId="30553"/>
    <cellStyle name="asd 38 5 2 16" xfId="31812"/>
    <cellStyle name="asd 38 5 2 17" xfId="34528"/>
    <cellStyle name="asd 38 5 2 18" xfId="35446"/>
    <cellStyle name="asd 38 5 2 19" xfId="37324"/>
    <cellStyle name="asd 38 5 2 2" xfId="4486"/>
    <cellStyle name="asd 38 5 2 20" xfId="39050"/>
    <cellStyle name="asd 38 5 2 21" xfId="40732"/>
    <cellStyle name="asd 38 5 2 22" xfId="43745"/>
    <cellStyle name="asd 38 5 2 3" xfId="5326"/>
    <cellStyle name="asd 38 5 2 4" xfId="9378"/>
    <cellStyle name="asd 38 5 2 5" xfId="11960"/>
    <cellStyle name="asd 38 5 2 6" xfId="14471"/>
    <cellStyle name="asd 38 5 2 7" xfId="16377"/>
    <cellStyle name="asd 38 5 2 8" xfId="16997"/>
    <cellStyle name="asd 38 5 2 9" xfId="18904"/>
    <cellStyle name="asd 38 5 20" xfId="35687"/>
    <cellStyle name="asd 38 5 21" xfId="37566"/>
    <cellStyle name="asd 38 5 22" xfId="40053"/>
    <cellStyle name="asd 38 5 23" xfId="41717"/>
    <cellStyle name="asd 38 5 24" xfId="43080"/>
    <cellStyle name="asd 38 5 3" xfId="4810"/>
    <cellStyle name="asd 38 5 4" xfId="6260"/>
    <cellStyle name="asd 38 5 5" xfId="7711"/>
    <cellStyle name="asd 38 5 6" xfId="9621"/>
    <cellStyle name="asd 38 5 7" xfId="11316"/>
    <cellStyle name="asd 38 5 8" xfId="13780"/>
    <cellStyle name="asd 38 5 9" xfId="15682"/>
    <cellStyle name="asd 38 6" xfId="2837"/>
    <cellStyle name="asd 38 6 10" xfId="19115"/>
    <cellStyle name="asd 38 6 11" xfId="21027"/>
    <cellStyle name="asd 38 6 12" xfId="23749"/>
    <cellStyle name="asd 38 6 13" xfId="24829"/>
    <cellStyle name="asd 38 6 14" xfId="26972"/>
    <cellStyle name="asd 38 6 15" xfId="29268"/>
    <cellStyle name="asd 38 6 16" xfId="30566"/>
    <cellStyle name="asd 38 6 17" xfId="31991"/>
    <cellStyle name="asd 38 6 18" xfId="33540"/>
    <cellStyle name="asd 38 6 19" xfId="35656"/>
    <cellStyle name="asd 38 6 2" xfId="4235"/>
    <cellStyle name="asd 38 6 2 10" xfId="20527"/>
    <cellStyle name="asd 38 6 2 11" xfId="23585"/>
    <cellStyle name="asd 38 6 2 12" xfId="24329"/>
    <cellStyle name="asd 38 6 2 13" xfId="26946"/>
    <cellStyle name="asd 38 6 2 14" xfId="28830"/>
    <cellStyle name="asd 38 6 2 15" xfId="30540"/>
    <cellStyle name="asd 38 6 2 16" xfId="33256"/>
    <cellStyle name="asd 38 6 2 17" xfId="33779"/>
    <cellStyle name="asd 38 6 2 18" xfId="35157"/>
    <cellStyle name="asd 38 6 2 19" xfId="37035"/>
    <cellStyle name="asd 38 6 2 2" xfId="5290"/>
    <cellStyle name="asd 38 6 2 20" xfId="40442"/>
    <cellStyle name="asd 38 6 2 21" xfId="42097"/>
    <cellStyle name="asd 38 6 2 22" xfId="43345"/>
    <cellStyle name="asd 38 6 2 3" xfId="6278"/>
    <cellStyle name="asd 38 6 2 4" xfId="9089"/>
    <cellStyle name="asd 38 6 2 5" xfId="11332"/>
    <cellStyle name="asd 38 6 2 6" xfId="14056"/>
    <cellStyle name="asd 38 6 2 7" xfId="15958"/>
    <cellStyle name="asd 38 6 2 8" xfId="16708"/>
    <cellStyle name="asd 38 6 2 9" xfId="18615"/>
    <cellStyle name="asd 38 6 20" xfId="37535"/>
    <cellStyle name="asd 38 6 21" xfId="39222"/>
    <cellStyle name="asd 38 6 22" xfId="40900"/>
    <cellStyle name="asd 38 6 23" xfId="43502"/>
    <cellStyle name="asd 38 6 3" xfId="4780"/>
    <cellStyle name="asd 38 6 4" xfId="7680"/>
    <cellStyle name="asd 38 6 5" xfId="9590"/>
    <cellStyle name="asd 38 6 6" xfId="11657"/>
    <cellStyle name="asd 38 6 7" xfId="14219"/>
    <cellStyle name="asd 38 6 8" xfId="16123"/>
    <cellStyle name="asd 38 6 9" xfId="17209"/>
    <cellStyle name="asd 38 7" xfId="3030"/>
    <cellStyle name="asd 38 7 10" xfId="19143"/>
    <cellStyle name="asd 38 7 11" xfId="21055"/>
    <cellStyle name="asd 38 7 12" xfId="22690"/>
    <cellStyle name="asd 38 7 13" xfId="24857"/>
    <cellStyle name="asd 38 7 14" xfId="27483"/>
    <cellStyle name="asd 38 7 15" xfId="26118"/>
    <cellStyle name="asd 38 7 16" xfId="31070"/>
    <cellStyle name="asd 38 7 17" xfId="32022"/>
    <cellStyle name="asd 38 7 18" xfId="23012"/>
    <cellStyle name="asd 38 7 19" xfId="35684"/>
    <cellStyle name="asd 38 7 2" xfId="5652"/>
    <cellStyle name="asd 38 7 2 10" xfId="21902"/>
    <cellStyle name="asd 38 7 2 11" xfId="24093"/>
    <cellStyle name="asd 38 7 2 12" xfId="25704"/>
    <cellStyle name="asd 38 7 2 13" xfId="26793"/>
    <cellStyle name="asd 38 7 2 14" xfId="28972"/>
    <cellStyle name="asd 38 7 2 15" xfId="30391"/>
    <cellStyle name="asd 38 7 2 16" xfId="32694"/>
    <cellStyle name="asd 38 7 2 17" xfId="33535"/>
    <cellStyle name="asd 38 7 2 18" xfId="36531"/>
    <cellStyle name="asd 38 7 2 19" xfId="38410"/>
    <cellStyle name="asd 38 7 2 2" xfId="7101"/>
    <cellStyle name="asd 38 7 2 20" xfId="39902"/>
    <cellStyle name="asd 38 7 2 21" xfId="41571"/>
    <cellStyle name="asd 38 7 2 22" xfId="43836"/>
    <cellStyle name="asd 38 7 2 3" xfId="8555"/>
    <cellStyle name="asd 38 7 2 4" xfId="10465"/>
    <cellStyle name="asd 38 7 2 5" xfId="12052"/>
    <cellStyle name="asd 38 7 2 6" xfId="14563"/>
    <cellStyle name="asd 38 7 2 7" xfId="16469"/>
    <cellStyle name="asd 38 7 2 8" xfId="18084"/>
    <cellStyle name="asd 38 7 2 9" xfId="19990"/>
    <cellStyle name="asd 38 7 20" xfId="37563"/>
    <cellStyle name="asd 38 7 21" xfId="39252"/>
    <cellStyle name="asd 38 7 22" xfId="40929"/>
    <cellStyle name="asd 38 7 23" xfId="42493"/>
    <cellStyle name="asd 38 7 3" xfId="6257"/>
    <cellStyle name="asd 38 7 4" xfId="7708"/>
    <cellStyle name="asd 38 7 5" xfId="9618"/>
    <cellStyle name="asd 38 7 6" xfId="11480"/>
    <cellStyle name="asd 38 7 7" xfId="13157"/>
    <cellStyle name="asd 38 7 8" xfId="15062"/>
    <cellStyle name="asd 38 7 9" xfId="17237"/>
    <cellStyle name="asd 38 8" xfId="2574"/>
    <cellStyle name="asd 38 9" xfId="1835"/>
    <cellStyle name="asd 39" xfId="973"/>
    <cellStyle name="asd 39 10" xfId="2834"/>
    <cellStyle name="asd 39 11" xfId="1947"/>
    <cellStyle name="asd 39 12" xfId="3189"/>
    <cellStyle name="asd 39 13" xfId="15666"/>
    <cellStyle name="asd 39 14" xfId="14717"/>
    <cellStyle name="asd 39 15" xfId="2337"/>
    <cellStyle name="asd 39 16" xfId="2179"/>
    <cellStyle name="asd 39 17" xfId="23292"/>
    <cellStyle name="asd 39 18" xfId="26119"/>
    <cellStyle name="asd 39 19" xfId="13951"/>
    <cellStyle name="asd 39 2" xfId="3449"/>
    <cellStyle name="asd 39 2 10" xfId="13563"/>
    <cellStyle name="asd 39 2 11" xfId="15466"/>
    <cellStyle name="asd 39 2 12" xfId="16838"/>
    <cellStyle name="asd 39 2 13" xfId="18745"/>
    <cellStyle name="asd 39 2 14" xfId="20657"/>
    <cellStyle name="asd 39 2 15" xfId="23092"/>
    <cellStyle name="asd 39 2 16" xfId="24459"/>
    <cellStyle name="asd 39 2 17" xfId="26450"/>
    <cellStyle name="asd 39 2 18" xfId="29188"/>
    <cellStyle name="asd 39 2 19" xfId="30056"/>
    <cellStyle name="asd 39 2 2" xfId="3629"/>
    <cellStyle name="asd 39 2 2 10" xfId="17520"/>
    <cellStyle name="asd 39 2 2 11" xfId="19426"/>
    <cellStyle name="asd 39 2 2 12" xfId="21338"/>
    <cellStyle name="asd 39 2 2 13" xfId="22695"/>
    <cellStyle name="asd 39 2 2 14" xfId="25140"/>
    <cellStyle name="asd 39 2 2 15" xfId="26888"/>
    <cellStyle name="asd 39 2 2 16" xfId="28671"/>
    <cellStyle name="asd 39 2 2 17" xfId="30485"/>
    <cellStyle name="asd 39 2 2 18" xfId="32243"/>
    <cellStyle name="asd 39 2 2 19" xfId="34204"/>
    <cellStyle name="asd 39 2 2 2" xfId="4434"/>
    <cellStyle name="asd 39 2 2 2 10" xfId="20679"/>
    <cellStyle name="asd 39 2 2 2 11" xfId="23614"/>
    <cellStyle name="asd 39 2 2 2 12" xfId="24481"/>
    <cellStyle name="asd 39 2 2 2 13" xfId="27274"/>
    <cellStyle name="asd 39 2 2 2 14" xfId="29016"/>
    <cellStyle name="asd 39 2 2 2 15" xfId="30866"/>
    <cellStyle name="asd 39 2 2 2 16" xfId="31820"/>
    <cellStyle name="asd 39 2 2 2 17" xfId="34146"/>
    <cellStyle name="asd 39 2 2 2 18" xfId="35309"/>
    <cellStyle name="asd 39 2 2 2 19" xfId="37187"/>
    <cellStyle name="asd 39 2 2 2 2" xfId="5412"/>
    <cellStyle name="asd 39 2 2 2 20" xfId="39058"/>
    <cellStyle name="asd 39 2 2 2 21" xfId="40740"/>
    <cellStyle name="asd 39 2 2 2 22" xfId="43372"/>
    <cellStyle name="asd 39 2 2 2 3" xfId="6687"/>
    <cellStyle name="asd 39 2 2 2 4" xfId="9241"/>
    <cellStyle name="asd 39 2 2 2 5" xfId="11382"/>
    <cellStyle name="asd 39 2 2 2 6" xfId="14084"/>
    <cellStyle name="asd 39 2 2 2 7" xfId="15987"/>
    <cellStyle name="asd 39 2 2 2 8" xfId="16860"/>
    <cellStyle name="asd 39 2 2 2 9" xfId="18767"/>
    <cellStyle name="asd 39 2 2 20" xfId="35967"/>
    <cellStyle name="asd 39 2 2 21" xfId="37846"/>
    <cellStyle name="asd 39 2 2 22" xfId="39461"/>
    <cellStyle name="asd 39 2 2 23" xfId="41136"/>
    <cellStyle name="asd 39 2 2 24" xfId="42497"/>
    <cellStyle name="asd 39 2 2 3" xfId="5090"/>
    <cellStyle name="asd 39 2 2 4" xfId="6540"/>
    <cellStyle name="asd 39 2 2 5" xfId="7991"/>
    <cellStyle name="asd 39 2 2 6" xfId="9901"/>
    <cellStyle name="asd 39 2 2 7" xfId="11506"/>
    <cellStyle name="asd 39 2 2 8" xfId="13163"/>
    <cellStyle name="asd 39 2 2 9" xfId="15068"/>
    <cellStyle name="asd 39 2 20" xfId="33175"/>
    <cellStyle name="asd 39 2 21" xfId="34056"/>
    <cellStyle name="asd 39 2 22" xfId="35287"/>
    <cellStyle name="asd 39 2 23" xfId="37165"/>
    <cellStyle name="asd 39 2 24" xfId="40366"/>
    <cellStyle name="asd 39 2 25" xfId="42022"/>
    <cellStyle name="asd 39 2 26" xfId="42874"/>
    <cellStyle name="asd 39 2 3" xfId="3792"/>
    <cellStyle name="asd 39 2 3 10" xfId="19527"/>
    <cellStyle name="asd 39 2 3 11" xfId="21439"/>
    <cellStyle name="asd 39 2 3 12" xfId="22565"/>
    <cellStyle name="asd 39 2 3 13" xfId="25241"/>
    <cellStyle name="asd 39 2 3 14" xfId="27913"/>
    <cellStyle name="asd 39 2 3 15" xfId="28630"/>
    <cellStyle name="asd 39 2 3 16" xfId="31495"/>
    <cellStyle name="asd 39 2 3 17" xfId="32184"/>
    <cellStyle name="asd 39 2 3 18" xfId="33821"/>
    <cellStyle name="asd 39 2 3 19" xfId="36068"/>
    <cellStyle name="asd 39 2 3 2" xfId="5797"/>
    <cellStyle name="asd 39 2 3 2 10" xfId="22047"/>
    <cellStyle name="asd 39 2 3 2 11" xfId="23900"/>
    <cellStyle name="asd 39 2 3 2 12" xfId="25849"/>
    <cellStyle name="asd 39 2 3 2 13" xfId="27298"/>
    <cellStyle name="asd 39 2 3 2 14" xfId="28463"/>
    <cellStyle name="asd 39 2 3 2 15" xfId="30888"/>
    <cellStyle name="asd 39 2 3 2 16" xfId="31681"/>
    <cellStyle name="asd 39 2 3 2 17" xfId="34555"/>
    <cellStyle name="asd 39 2 3 2 18" xfId="36676"/>
    <cellStyle name="asd 39 2 3 2 19" xfId="38555"/>
    <cellStyle name="asd 39 2 3 2 2" xfId="7246"/>
    <cellStyle name="asd 39 2 3 2 20" xfId="38924"/>
    <cellStyle name="asd 39 2 3 2 21" xfId="40608"/>
    <cellStyle name="asd 39 2 3 2 22" xfId="43647"/>
    <cellStyle name="asd 39 2 3 2 3" xfId="8700"/>
    <cellStyle name="asd 39 2 3 2 4" xfId="10610"/>
    <cellStyle name="asd 39 2 3 2 5" xfId="11859"/>
    <cellStyle name="asd 39 2 3 2 6" xfId="14368"/>
    <cellStyle name="asd 39 2 3 2 7" xfId="16275"/>
    <cellStyle name="asd 39 2 3 2 8" xfId="18229"/>
    <cellStyle name="asd 39 2 3 2 9" xfId="20135"/>
    <cellStyle name="asd 39 2 3 20" xfId="37947"/>
    <cellStyle name="asd 39 2 3 21" xfId="39406"/>
    <cellStyle name="asd 39 2 3 22" xfId="41082"/>
    <cellStyle name="asd 39 2 3 23" xfId="42374"/>
    <cellStyle name="asd 39 2 3 3" xfId="5191"/>
    <cellStyle name="asd 39 2 3 4" xfId="8092"/>
    <cellStyle name="asd 39 2 3 5" xfId="10002"/>
    <cellStyle name="asd 39 2 3 6" xfId="12670"/>
    <cellStyle name="asd 39 2 3 7" xfId="13033"/>
    <cellStyle name="asd 39 2 3 8" xfId="14937"/>
    <cellStyle name="asd 39 2 3 9" xfId="17621"/>
    <cellStyle name="asd 39 2 4" xfId="4081"/>
    <cellStyle name="asd 39 2 4 10" xfId="19716"/>
    <cellStyle name="asd 39 2 4 11" xfId="21628"/>
    <cellStyle name="asd 39 2 4 12" xfId="23302"/>
    <cellStyle name="asd 39 2 4 13" xfId="25430"/>
    <cellStyle name="asd 39 2 4 14" xfId="26165"/>
    <cellStyle name="asd 39 2 4 15" xfId="29078"/>
    <cellStyle name="asd 39 2 4 16" xfId="29779"/>
    <cellStyle name="asd 39 2 4 17" xfId="31834"/>
    <cellStyle name="asd 39 2 4 18" xfId="34474"/>
    <cellStyle name="asd 39 2 4 19" xfId="36257"/>
    <cellStyle name="asd 39 2 4 2" xfId="5986"/>
    <cellStyle name="asd 39 2 4 2 10" xfId="22236"/>
    <cellStyle name="asd 39 2 4 2 11" xfId="23615"/>
    <cellStyle name="asd 39 2 4 2 12" xfId="26038"/>
    <cellStyle name="asd 39 2 4 2 13" xfId="27755"/>
    <cellStyle name="asd 39 2 4 2 14" xfId="28678"/>
    <cellStyle name="asd 39 2 4 2 15" xfId="31334"/>
    <cellStyle name="asd 39 2 4 2 16" xfId="31923"/>
    <cellStyle name="asd 39 2 4 2 17" xfId="34200"/>
    <cellStyle name="asd 39 2 4 2 18" xfId="36865"/>
    <cellStyle name="asd 39 2 4 2 19" xfId="38744"/>
    <cellStyle name="asd 39 2 4 2 2" xfId="7435"/>
    <cellStyle name="asd 39 2 4 2 20" xfId="39154"/>
    <cellStyle name="asd 39 2 4 2 21" xfId="40835"/>
    <cellStyle name="asd 39 2 4 2 22" xfId="43373"/>
    <cellStyle name="asd 39 2 4 2 3" xfId="8889"/>
    <cellStyle name="asd 39 2 4 2 4" xfId="10799"/>
    <cellStyle name="asd 39 2 4 2 5" xfId="11800"/>
    <cellStyle name="asd 39 2 4 2 6" xfId="14085"/>
    <cellStyle name="asd 39 2 4 2 7" xfId="15988"/>
    <cellStyle name="asd 39 2 4 2 8" xfId="18418"/>
    <cellStyle name="asd 39 2 4 2 9" xfId="20324"/>
    <cellStyle name="asd 39 2 4 20" xfId="38136"/>
    <cellStyle name="asd 39 2 4 21" xfId="39071"/>
    <cellStyle name="asd 39 2 4 22" xfId="40753"/>
    <cellStyle name="asd 39 2 4 23" xfId="43074"/>
    <cellStyle name="asd 39 2 4 3" xfId="6827"/>
    <cellStyle name="asd 39 2 4 4" xfId="8281"/>
    <cellStyle name="asd 39 2 4 5" xfId="10191"/>
    <cellStyle name="asd 39 2 4 6" xfId="11290"/>
    <cellStyle name="asd 39 2 4 7" xfId="13774"/>
    <cellStyle name="asd 39 2 4 8" xfId="15676"/>
    <cellStyle name="asd 39 2 4 9" xfId="17810"/>
    <cellStyle name="asd 39 2 5" xfId="4936"/>
    <cellStyle name="asd 39 2 5 10" xfId="21184"/>
    <cellStyle name="asd 39 2 5 11" xfId="23116"/>
    <cellStyle name="asd 39 2 5 12" xfId="24986"/>
    <cellStyle name="asd 39 2 5 13" xfId="26178"/>
    <cellStyle name="asd 39 2 5 14" xfId="29131"/>
    <cellStyle name="asd 39 2 5 15" xfId="29791"/>
    <cellStyle name="asd 39 2 5 16" xfId="32058"/>
    <cellStyle name="asd 39 2 5 17" xfId="33927"/>
    <cellStyle name="asd 39 2 5 18" xfId="35813"/>
    <cellStyle name="asd 39 2 5 19" xfId="37692"/>
    <cellStyle name="asd 39 2 5 2" xfId="6386"/>
    <cellStyle name="asd 39 2 5 20" xfId="39285"/>
    <cellStyle name="asd 39 2 5 21" xfId="40961"/>
    <cellStyle name="asd 39 2 5 22" xfId="42896"/>
    <cellStyle name="asd 39 2 5 3" xfId="7837"/>
    <cellStyle name="asd 39 2 5 4" xfId="9747"/>
    <cellStyle name="asd 39 2 5 5" xfId="12733"/>
    <cellStyle name="asd 39 2 5 6" xfId="13587"/>
    <cellStyle name="asd 39 2 5 7" xfId="15490"/>
    <cellStyle name="asd 39 2 5 8" xfId="17366"/>
    <cellStyle name="asd 39 2 5 9" xfId="19272"/>
    <cellStyle name="asd 39 2 6" xfId="5730"/>
    <cellStyle name="asd 39 2 6 10" xfId="21980"/>
    <cellStyle name="asd 39 2 6 11" xfId="23419"/>
    <cellStyle name="asd 39 2 6 12" xfId="25782"/>
    <cellStyle name="asd 39 2 6 13" xfId="26918"/>
    <cellStyle name="asd 39 2 6 14" xfId="29534"/>
    <cellStyle name="asd 39 2 6 15" xfId="30513"/>
    <cellStyle name="asd 39 2 6 16" xfId="32476"/>
    <cellStyle name="asd 39 2 6 17" xfId="34885"/>
    <cellStyle name="asd 39 2 6 18" xfId="36609"/>
    <cellStyle name="asd 39 2 6 19" xfId="38488"/>
    <cellStyle name="asd 39 2 6 2" xfId="7179"/>
    <cellStyle name="asd 39 2 6 20" xfId="39694"/>
    <cellStyle name="asd 39 2 6 21" xfId="41367"/>
    <cellStyle name="asd 39 2 6 22" xfId="43186"/>
    <cellStyle name="asd 39 2 6 3" xfId="8633"/>
    <cellStyle name="asd 39 2 6 4" xfId="10543"/>
    <cellStyle name="asd 39 2 6 5" xfId="11041"/>
    <cellStyle name="asd 39 2 6 6" xfId="13891"/>
    <cellStyle name="asd 39 2 6 7" xfId="15792"/>
    <cellStyle name="asd 39 2 6 8" xfId="18162"/>
    <cellStyle name="asd 39 2 6 9" xfId="20068"/>
    <cellStyle name="asd 39 2 7" xfId="6108"/>
    <cellStyle name="asd 39 2 8" xfId="9219"/>
    <cellStyle name="asd 39 2 9" xfId="12703"/>
    <cellStyle name="asd 39 20" xfId="29731"/>
    <cellStyle name="asd 39 21" xfId="29706"/>
    <cellStyle name="asd 39 22" xfId="29362"/>
    <cellStyle name="asd 39 23" xfId="33819"/>
    <cellStyle name="asd 39 24" xfId="30301"/>
    <cellStyle name="asd 39 25" xfId="31569"/>
    <cellStyle name="asd 39 26" xfId="2611"/>
    <cellStyle name="asd 39 27" xfId="34514"/>
    <cellStyle name="asd 39 3" xfId="3439"/>
    <cellStyle name="asd 39 3 10" xfId="12848"/>
    <cellStyle name="asd 39 3 11" xfId="14753"/>
    <cellStyle name="asd 39 3 12" xfId="16821"/>
    <cellStyle name="asd 39 3 13" xfId="18728"/>
    <cellStyle name="asd 39 3 14" xfId="20640"/>
    <cellStyle name="asd 39 3 15" xfId="22381"/>
    <cellStyle name="asd 39 3 16" xfId="24442"/>
    <cellStyle name="asd 39 3 17" xfId="27684"/>
    <cellStyle name="asd 39 3 18" xfId="28437"/>
    <cellStyle name="asd 39 3 19" xfId="31258"/>
    <cellStyle name="asd 39 3 2" xfId="3619"/>
    <cellStyle name="asd 39 3 2 10" xfId="17510"/>
    <cellStyle name="asd 39 3 2 11" xfId="19416"/>
    <cellStyle name="asd 39 3 2 12" xfId="21328"/>
    <cellStyle name="asd 39 3 2 13" xfId="24007"/>
    <cellStyle name="asd 39 3 2 14" xfId="25130"/>
    <cellStyle name="asd 39 3 2 15" xfId="27724"/>
    <cellStyle name="asd 39 3 2 16" xfId="2559"/>
    <cellStyle name="asd 39 3 2 17" xfId="31302"/>
    <cellStyle name="asd 39 3 2 18" xfId="32485"/>
    <cellStyle name="asd 39 3 2 19" xfId="33509"/>
    <cellStyle name="asd 39 3 2 2" xfId="5615"/>
    <cellStyle name="asd 39 3 2 2 10" xfId="21865"/>
    <cellStyle name="asd 39 3 2 2 11" xfId="22993"/>
    <cellStyle name="asd 39 3 2 2 12" xfId="25667"/>
    <cellStyle name="asd 39 3 2 2 13" xfId="27506"/>
    <cellStyle name="asd 39 3 2 2 14" xfId="29205"/>
    <cellStyle name="asd 39 3 2 2 15" xfId="31091"/>
    <cellStyle name="asd 39 3 2 2 16" xfId="32517"/>
    <cellStyle name="asd 39 3 2 2 17" xfId="33479"/>
    <cellStyle name="asd 39 3 2 2 18" xfId="36494"/>
    <cellStyle name="asd 39 3 2 2 19" xfId="38373"/>
    <cellStyle name="asd 39 3 2 2 2" xfId="7064"/>
    <cellStyle name="asd 39 3 2 2 20" xfId="39731"/>
    <cellStyle name="asd 39 3 2 2 21" xfId="41403"/>
    <cellStyle name="asd 39 3 2 2 22" xfId="42779"/>
    <cellStyle name="asd 39 3 2 2 3" xfId="8518"/>
    <cellStyle name="asd 39 3 2 2 4" xfId="10428"/>
    <cellStyle name="asd 39 3 2 2 5" xfId="10929"/>
    <cellStyle name="asd 39 3 2 2 6" xfId="13462"/>
    <cellStyle name="asd 39 3 2 2 7" xfId="15367"/>
    <cellStyle name="asd 39 3 2 2 8" xfId="18047"/>
    <cellStyle name="asd 39 3 2 2 9" xfId="19953"/>
    <cellStyle name="asd 39 3 2 20" xfId="35957"/>
    <cellStyle name="asd 39 3 2 21" xfId="37836"/>
    <cellStyle name="asd 39 3 2 22" xfId="39701"/>
    <cellStyle name="asd 39 3 2 23" xfId="41373"/>
    <cellStyle name="asd 39 3 2 24" xfId="43751"/>
    <cellStyle name="asd 39 3 2 3" xfId="5080"/>
    <cellStyle name="asd 39 3 2 4" xfId="6530"/>
    <cellStyle name="asd 39 3 2 5" xfId="7981"/>
    <cellStyle name="asd 39 3 2 6" xfId="9891"/>
    <cellStyle name="asd 39 3 2 7" xfId="11966"/>
    <cellStyle name="asd 39 3 2 8" xfId="14477"/>
    <cellStyle name="asd 39 3 2 9" xfId="16383"/>
    <cellStyle name="asd 39 3 20" xfId="32509"/>
    <cellStyle name="asd 39 3 21" xfId="33410"/>
    <cellStyle name="asd 39 3 22" xfId="35270"/>
    <cellStyle name="asd 39 3 23" xfId="37148"/>
    <cellStyle name="asd 39 3 24" xfId="39724"/>
    <cellStyle name="asd 39 3 25" xfId="41396"/>
    <cellStyle name="asd 39 3 26" xfId="42192"/>
    <cellStyle name="asd 39 3 3" xfId="2771"/>
    <cellStyle name="asd 39 3 3 10" xfId="19108"/>
    <cellStyle name="asd 39 3 3 11" xfId="21020"/>
    <cellStyle name="asd 39 3 3 12" xfId="24193"/>
    <cellStyle name="asd 39 3 3 13" xfId="24822"/>
    <cellStyle name="asd 39 3 3 14" xfId="11280"/>
    <cellStyle name="asd 39 3 3 15" xfId="3345"/>
    <cellStyle name="asd 39 3 3 16" xfId="26889"/>
    <cellStyle name="asd 39 3 3 17" xfId="11931"/>
    <cellStyle name="asd 39 3 3 18" xfId="3911"/>
    <cellStyle name="asd 39 3 3 19" xfId="35649"/>
    <cellStyle name="asd 39 3 3 2" xfId="4466"/>
    <cellStyle name="asd 39 3 3 2 10" xfId="20711"/>
    <cellStyle name="asd 39 3 3 2 11" xfId="22981"/>
    <cellStyle name="asd 39 3 3 2 12" xfId="24513"/>
    <cellStyle name="asd 39 3 3 2 13" xfId="27291"/>
    <cellStyle name="asd 39 3 3 2 14" xfId="29200"/>
    <cellStyle name="asd 39 3 3 2 15" xfId="30882"/>
    <cellStyle name="asd 39 3 3 2 16" xfId="31781"/>
    <cellStyle name="asd 39 3 3 2 17" xfId="34765"/>
    <cellStyle name="asd 39 3 3 2 18" xfId="35341"/>
    <cellStyle name="asd 39 3 3 2 19" xfId="37219"/>
    <cellStyle name="asd 39 3 3 2 2" xfId="5307"/>
    <cellStyle name="asd 39 3 3 2 20" xfId="39020"/>
    <cellStyle name="asd 39 3 3 2 21" xfId="40702"/>
    <cellStyle name="asd 39 3 3 2 22" xfId="42767"/>
    <cellStyle name="asd 39 3 3 2 3" xfId="6627"/>
    <cellStyle name="asd 39 3 3 2 4" xfId="9273"/>
    <cellStyle name="asd 39 3 3 2 5" xfId="12393"/>
    <cellStyle name="asd 39 3 3 2 6" xfId="13450"/>
    <cellStyle name="asd 39 3 3 2 7" xfId="15355"/>
    <cellStyle name="asd 39 3 3 2 8" xfId="16892"/>
    <cellStyle name="asd 39 3 3 2 9" xfId="18799"/>
    <cellStyle name="asd 39 3 3 20" xfId="37528"/>
    <cellStyle name="asd 39 3 3 21" xfId="33805"/>
    <cellStyle name="asd 39 3 3 22" xfId="2682"/>
    <cellStyle name="asd 39 3 3 23" xfId="43931"/>
    <cellStyle name="asd 39 3 3 3" xfId="4773"/>
    <cellStyle name="asd 39 3 3 4" xfId="7673"/>
    <cellStyle name="asd 39 3 3 5" xfId="9583"/>
    <cellStyle name="asd 39 3 3 6" xfId="12153"/>
    <cellStyle name="asd 39 3 3 7" xfId="14665"/>
    <cellStyle name="asd 39 3 3 8" xfId="16571"/>
    <cellStyle name="asd 39 3 3 9" xfId="17202"/>
    <cellStyle name="asd 39 3 4" xfId="4071"/>
    <cellStyle name="asd 39 3 4 10" xfId="19706"/>
    <cellStyle name="asd 39 3 4 11" xfId="21618"/>
    <cellStyle name="asd 39 3 4 12" xfId="22398"/>
    <cellStyle name="asd 39 3 4 13" xfId="25420"/>
    <cellStyle name="asd 39 3 4 14" xfId="26745"/>
    <cellStyle name="asd 39 3 4 15" xfId="29692"/>
    <cellStyle name="asd 39 3 4 16" xfId="30344"/>
    <cellStyle name="asd 39 3 4 17" xfId="32852"/>
    <cellStyle name="asd 39 3 4 18" xfId="34194"/>
    <cellStyle name="asd 39 3 4 19" xfId="36247"/>
    <cellStyle name="asd 39 3 4 2" xfId="5976"/>
    <cellStyle name="asd 39 3 4 2 10" xfId="22226"/>
    <cellStyle name="asd 39 3 4 2 11" xfId="22804"/>
    <cellStyle name="asd 39 3 4 2 12" xfId="26028"/>
    <cellStyle name="asd 39 3 4 2 13" xfId="26588"/>
    <cellStyle name="asd 39 3 4 2 14" xfId="29207"/>
    <cellStyle name="asd 39 3 4 2 15" xfId="30190"/>
    <cellStyle name="asd 39 3 4 2 16" xfId="32671"/>
    <cellStyle name="asd 39 3 4 2 17" xfId="34619"/>
    <cellStyle name="asd 39 3 4 2 18" xfId="36855"/>
    <cellStyle name="asd 39 3 4 2 19" xfId="38734"/>
    <cellStyle name="asd 39 3 4 2 2" xfId="7425"/>
    <cellStyle name="asd 39 3 4 2 20" xfId="39878"/>
    <cellStyle name="asd 39 3 4 2 21" xfId="41547"/>
    <cellStyle name="asd 39 3 4 2 22" xfId="42597"/>
    <cellStyle name="asd 39 3 4 2 3" xfId="8879"/>
    <cellStyle name="asd 39 3 4 2 4" xfId="10789"/>
    <cellStyle name="asd 39 3 4 2 5" xfId="11139"/>
    <cellStyle name="asd 39 3 4 2 6" xfId="13274"/>
    <cellStyle name="asd 39 3 4 2 7" xfId="15178"/>
    <cellStyle name="asd 39 3 4 2 8" xfId="18408"/>
    <cellStyle name="asd 39 3 4 2 9" xfId="20314"/>
    <cellStyle name="asd 39 3 4 20" xfId="38126"/>
    <cellStyle name="asd 39 3 4 21" xfId="40059"/>
    <cellStyle name="asd 39 3 4 22" xfId="41723"/>
    <cellStyle name="asd 39 3 4 23" xfId="42209"/>
    <cellStyle name="asd 39 3 4 3" xfId="6817"/>
    <cellStyle name="asd 39 3 4 4" xfId="8271"/>
    <cellStyle name="asd 39 3 4 5" xfId="10181"/>
    <cellStyle name="asd 39 3 4 6" xfId="11785"/>
    <cellStyle name="asd 39 3 4 7" xfId="12865"/>
    <cellStyle name="asd 39 3 4 8" xfId="14770"/>
    <cellStyle name="asd 39 3 4 9" xfId="17800"/>
    <cellStyle name="asd 39 3 5" xfId="4928"/>
    <cellStyle name="asd 39 3 5 10" xfId="21176"/>
    <cellStyle name="asd 39 3 5 11" xfId="22610"/>
    <cellStyle name="asd 39 3 5 12" xfId="24978"/>
    <cellStyle name="asd 39 3 5 13" xfId="27209"/>
    <cellStyle name="asd 39 3 5 14" xfId="6679"/>
    <cellStyle name="asd 39 3 5 15" xfId="30800"/>
    <cellStyle name="asd 39 3 5 16" xfId="31843"/>
    <cellStyle name="asd 39 3 5 17" xfId="34775"/>
    <cellStyle name="asd 39 3 5 18" xfId="35805"/>
    <cellStyle name="asd 39 3 5 19" xfId="37684"/>
    <cellStyle name="asd 39 3 5 2" xfId="6378"/>
    <cellStyle name="asd 39 3 5 20" xfId="39080"/>
    <cellStyle name="asd 39 3 5 21" xfId="40761"/>
    <cellStyle name="asd 39 3 5 22" xfId="42417"/>
    <cellStyle name="asd 39 3 5 3" xfId="7829"/>
    <cellStyle name="asd 39 3 5 4" xfId="9739"/>
    <cellStyle name="asd 39 3 5 5" xfId="11533"/>
    <cellStyle name="asd 39 3 5 6" xfId="13077"/>
    <cellStyle name="asd 39 3 5 7" xfId="14982"/>
    <cellStyle name="asd 39 3 5 8" xfId="17358"/>
    <cellStyle name="asd 39 3 5 9" xfId="19264"/>
    <cellStyle name="asd 39 3 6" xfId="5541"/>
    <cellStyle name="asd 39 3 6 10" xfId="21791"/>
    <cellStyle name="asd 39 3 6 11" xfId="23411"/>
    <cellStyle name="asd 39 3 6 12" xfId="25593"/>
    <cellStyle name="asd 39 3 6 13" xfId="27015"/>
    <cellStyle name="asd 39 3 6 14" xfId="28612"/>
    <cellStyle name="asd 39 3 6 15" xfId="30608"/>
    <cellStyle name="asd 39 3 6 16" xfId="32609"/>
    <cellStyle name="asd 39 3 6 17" xfId="33531"/>
    <cellStyle name="asd 39 3 6 18" xfId="36420"/>
    <cellStyle name="asd 39 3 6 19" xfId="38299"/>
    <cellStyle name="asd 39 3 6 2" xfId="6990"/>
    <cellStyle name="asd 39 3 6 20" xfId="39819"/>
    <cellStyle name="asd 39 3 6 21" xfId="41488"/>
    <cellStyle name="asd 39 3 6 22" xfId="43178"/>
    <cellStyle name="asd 39 3 6 3" xfId="8444"/>
    <cellStyle name="asd 39 3 6 4" xfId="10354"/>
    <cellStyle name="asd 39 3 6 5" xfId="11302"/>
    <cellStyle name="asd 39 3 6 6" xfId="13883"/>
    <cellStyle name="asd 39 3 6 7" xfId="15784"/>
    <cellStyle name="asd 39 3 6 8" xfId="17973"/>
    <cellStyle name="asd 39 3 6 9" xfId="19879"/>
    <cellStyle name="asd 39 3 7" xfId="4644"/>
    <cellStyle name="asd 39 3 8" xfId="9202"/>
    <cellStyle name="asd 39 3 9" xfId="1828"/>
    <cellStyle name="asd 39 4" xfId="3371"/>
    <cellStyle name="asd 39 4 10" xfId="15050"/>
    <cellStyle name="asd 39 4 11" xfId="16679"/>
    <cellStyle name="asd 39 4 12" xfId="18586"/>
    <cellStyle name="asd 39 4 13" xfId="20498"/>
    <cellStyle name="asd 39 4 14" xfId="22678"/>
    <cellStyle name="asd 39 4 15" xfId="24300"/>
    <cellStyle name="asd 39 4 16" xfId="26950"/>
    <cellStyle name="asd 39 4 17" xfId="14705"/>
    <cellStyle name="asd 39 4 18" xfId="30544"/>
    <cellStyle name="asd 39 4 19" xfId="32917"/>
    <cellStyle name="asd 39 4 2" xfId="3551"/>
    <cellStyle name="asd 39 4 2 10" xfId="17442"/>
    <cellStyle name="asd 39 4 2 11" xfId="19348"/>
    <cellStyle name="asd 39 4 2 12" xfId="21260"/>
    <cellStyle name="asd 39 4 2 13" xfId="24131"/>
    <cellStyle name="asd 39 4 2 14" xfId="25062"/>
    <cellStyle name="asd 39 4 2 15" xfId="27400"/>
    <cellStyle name="asd 39 4 2 16" xfId="29471"/>
    <cellStyle name="asd 39 4 2 17" xfId="30986"/>
    <cellStyle name="asd 39 4 2 18" xfId="33119"/>
    <cellStyle name="asd 39 4 2 19" xfId="33692"/>
    <cellStyle name="asd 39 4 2 2" xfId="5680"/>
    <cellStyle name="asd 39 4 2 2 10" xfId="21930"/>
    <cellStyle name="asd 39 4 2 2 11" xfId="23755"/>
    <cellStyle name="asd 39 4 2 2 12" xfId="25732"/>
    <cellStyle name="asd 39 4 2 2 13" xfId="27754"/>
    <cellStyle name="asd 39 4 2 2 14" xfId="28433"/>
    <cellStyle name="asd 39 4 2 2 15" xfId="31333"/>
    <cellStyle name="asd 39 4 2 2 16" xfId="32558"/>
    <cellStyle name="asd 39 4 2 2 17" xfId="34363"/>
    <cellStyle name="asd 39 4 2 2 18" xfId="36559"/>
    <cellStyle name="asd 39 4 2 2 19" xfId="38438"/>
    <cellStyle name="asd 39 4 2 2 2" xfId="7129"/>
    <cellStyle name="asd 39 4 2 2 20" xfId="39771"/>
    <cellStyle name="asd 39 4 2 2 21" xfId="41441"/>
    <cellStyle name="asd 39 4 2 2 22" xfId="43508"/>
    <cellStyle name="asd 39 4 2 2 3" xfId="8583"/>
    <cellStyle name="asd 39 4 2 2 4" xfId="10493"/>
    <cellStyle name="asd 39 4 2 2 5" xfId="11554"/>
    <cellStyle name="asd 39 4 2 2 6" xfId="14225"/>
    <cellStyle name="asd 39 4 2 2 7" xfId="16129"/>
    <cellStyle name="asd 39 4 2 2 8" xfId="18112"/>
    <cellStyle name="asd 39 4 2 2 9" xfId="20018"/>
    <cellStyle name="asd 39 4 2 20" xfId="35889"/>
    <cellStyle name="asd 39 4 2 21" xfId="37768"/>
    <cellStyle name="asd 39 4 2 22" xfId="40313"/>
    <cellStyle name="asd 39 4 2 23" xfId="41969"/>
    <cellStyle name="asd 39 4 2 24" xfId="43874"/>
    <cellStyle name="asd 39 4 2 3" xfId="5012"/>
    <cellStyle name="asd 39 4 2 4" xfId="6462"/>
    <cellStyle name="asd 39 4 2 5" xfId="7913"/>
    <cellStyle name="asd 39 4 2 6" xfId="9823"/>
    <cellStyle name="asd 39 4 2 7" xfId="12091"/>
    <cellStyle name="asd 39 4 2 8" xfId="14602"/>
    <cellStyle name="asd 39 4 2 9" xfId="16508"/>
    <cellStyle name="asd 39 4 20" xfId="33955"/>
    <cellStyle name="asd 39 4 21" xfId="35128"/>
    <cellStyle name="asd 39 4 22" xfId="37006"/>
    <cellStyle name="asd 39 4 23" xfId="40121"/>
    <cellStyle name="asd 39 4 24" xfId="41781"/>
    <cellStyle name="asd 39 4 25" xfId="42483"/>
    <cellStyle name="asd 39 4 3" xfId="2467"/>
    <cellStyle name="asd 39 4 3 10" xfId="19071"/>
    <cellStyle name="asd 39 4 3 11" xfId="20983"/>
    <cellStyle name="asd 39 4 3 12" xfId="23249"/>
    <cellStyle name="asd 39 4 3 13" xfId="24785"/>
    <cellStyle name="asd 39 4 3 14" xfId="26850"/>
    <cellStyle name="asd 39 4 3 15" xfId="28577"/>
    <cellStyle name="asd 39 4 3 16" xfId="30447"/>
    <cellStyle name="asd 39 4 3 17" xfId="33070"/>
    <cellStyle name="asd 39 4 3 18" xfId="34547"/>
    <cellStyle name="asd 39 4 3 19" xfId="35612"/>
    <cellStyle name="asd 39 4 3 2" xfId="5570"/>
    <cellStyle name="asd 39 4 3 2 10" xfId="21820"/>
    <cellStyle name="asd 39 4 3 2 11" xfId="23078"/>
    <cellStyle name="asd 39 4 3 2 12" xfId="25622"/>
    <cellStyle name="asd 39 4 3 2 13" xfId="26762"/>
    <cellStyle name="asd 39 4 3 2 14" xfId="28133"/>
    <cellStyle name="asd 39 4 3 2 15" xfId="30361"/>
    <cellStyle name="asd 39 4 3 2 16" xfId="32532"/>
    <cellStyle name="asd 39 4 3 2 17" xfId="33425"/>
    <cellStyle name="asd 39 4 3 2 18" xfId="36449"/>
    <cellStyle name="asd 39 4 3 2 19" xfId="38328"/>
    <cellStyle name="asd 39 4 3 2 2" xfId="7019"/>
    <cellStyle name="asd 39 4 3 2 20" xfId="39745"/>
    <cellStyle name="asd 39 4 3 2 21" xfId="41417"/>
    <cellStyle name="asd 39 4 3 2 22" xfId="42860"/>
    <cellStyle name="asd 39 4 3 2 3" xfId="8473"/>
    <cellStyle name="asd 39 4 3 2 4" xfId="10383"/>
    <cellStyle name="asd 39 4 3 2 5" xfId="12686"/>
    <cellStyle name="asd 39 4 3 2 6" xfId="13549"/>
    <cellStyle name="asd 39 4 3 2 7" xfId="15452"/>
    <cellStyle name="asd 39 4 3 2 8" xfId="18002"/>
    <cellStyle name="asd 39 4 3 2 9" xfId="19908"/>
    <cellStyle name="asd 39 4 3 20" xfId="37491"/>
    <cellStyle name="asd 39 4 3 21" xfId="40266"/>
    <cellStyle name="asd 39 4 3 22" xfId="41924"/>
    <cellStyle name="asd 39 4 3 23" xfId="43026"/>
    <cellStyle name="asd 39 4 3 3" xfId="4736"/>
    <cellStyle name="asd 39 4 3 4" xfId="7636"/>
    <cellStyle name="asd 39 4 3 5" xfId="9546"/>
    <cellStyle name="asd 39 4 3 6" xfId="11160"/>
    <cellStyle name="asd 39 4 3 7" xfId="13721"/>
    <cellStyle name="asd 39 4 3 8" xfId="15623"/>
    <cellStyle name="asd 39 4 3 9" xfId="17165"/>
    <cellStyle name="asd 39 4 4" xfId="4003"/>
    <cellStyle name="asd 39 4 4 10" xfId="19638"/>
    <cellStyle name="asd 39 4 4 11" xfId="21550"/>
    <cellStyle name="asd 39 4 4 12" xfId="22688"/>
    <cellStyle name="asd 39 4 4 13" xfId="25352"/>
    <cellStyle name="asd 39 4 4 14" xfId="27923"/>
    <cellStyle name="asd 39 4 4 15" xfId="2313"/>
    <cellStyle name="asd 39 4 4 16" xfId="31505"/>
    <cellStyle name="asd 39 4 4 17" xfId="32823"/>
    <cellStyle name="asd 39 4 4 18" xfId="3951"/>
    <cellStyle name="asd 39 4 4 19" xfId="36179"/>
    <cellStyle name="asd 39 4 4 2" xfId="5908"/>
    <cellStyle name="asd 39 4 4 2 10" xfId="22158"/>
    <cellStyle name="asd 39 4 4 2 11" xfId="16603"/>
    <cellStyle name="asd 39 4 4 2 12" xfId="25960"/>
    <cellStyle name="asd 39 4 4 2 13" xfId="2747"/>
    <cellStyle name="asd 39 4 4 2 14" xfId="18521"/>
    <cellStyle name="asd 39 4 4 2 15" xfId="29286"/>
    <cellStyle name="asd 39 4 4 2 16" xfId="2890"/>
    <cellStyle name="asd 39 4 4 2 17" xfId="26267"/>
    <cellStyle name="asd 39 4 4 2 18" xfId="36787"/>
    <cellStyle name="asd 39 4 4 2 19" xfId="38666"/>
    <cellStyle name="asd 39 4 4 2 2" xfId="7357"/>
    <cellStyle name="asd 39 4 4 2 20" xfId="6676"/>
    <cellStyle name="asd 39 4 4 2 21" xfId="6697"/>
    <cellStyle name="asd 39 4 4 2 22" xfId="27120"/>
    <cellStyle name="asd 39 4 4 2 3" xfId="8811"/>
    <cellStyle name="asd 39 4 4 2 4" xfId="10721"/>
    <cellStyle name="asd 39 4 4 2 5" xfId="12395"/>
    <cellStyle name="asd 39 4 4 2 6" xfId="4316"/>
    <cellStyle name="asd 39 4 4 2 7" xfId="3720"/>
    <cellStyle name="asd 39 4 4 2 8" xfId="18340"/>
    <cellStyle name="asd 39 4 4 2 9" xfId="20246"/>
    <cellStyle name="asd 39 4 4 20" xfId="38058"/>
    <cellStyle name="asd 39 4 4 21" xfId="40032"/>
    <cellStyle name="asd 39 4 4 22" xfId="41696"/>
    <cellStyle name="asd 39 4 4 23" xfId="42491"/>
    <cellStyle name="asd 39 4 4 3" xfId="6749"/>
    <cellStyle name="asd 39 4 4 4" xfId="8203"/>
    <cellStyle name="asd 39 4 4 5" xfId="10113"/>
    <cellStyle name="asd 39 4 4 6" xfId="11374"/>
    <cellStyle name="asd 39 4 4 7" xfId="13155"/>
    <cellStyle name="asd 39 4 4 8" xfId="15060"/>
    <cellStyle name="asd 39 4 4 9" xfId="17732"/>
    <cellStyle name="asd 39 4 5" xfId="5641"/>
    <cellStyle name="asd 39 4 5 10" xfId="21891"/>
    <cellStyle name="asd 39 4 5 11" xfId="23030"/>
    <cellStyle name="asd 39 4 5 12" xfId="25693"/>
    <cellStyle name="asd 39 4 5 13" xfId="27919"/>
    <cellStyle name="asd 39 4 5 14" xfId="29629"/>
    <cellStyle name="asd 39 4 5 15" xfId="31501"/>
    <cellStyle name="asd 39 4 5 16" xfId="33174"/>
    <cellStyle name="asd 39 4 5 17" xfId="33653"/>
    <cellStyle name="asd 39 4 5 18" xfId="36520"/>
    <cellStyle name="asd 39 4 5 19" xfId="38399"/>
    <cellStyle name="asd 39 4 5 2" xfId="7090"/>
    <cellStyle name="asd 39 4 5 20" xfId="40365"/>
    <cellStyle name="asd 39 4 5 21" xfId="42021"/>
    <cellStyle name="asd 39 4 5 22" xfId="42813"/>
    <cellStyle name="asd 39 4 5 3" xfId="8544"/>
    <cellStyle name="asd 39 4 5 4" xfId="10454"/>
    <cellStyle name="asd 39 4 5 5" xfId="11772"/>
    <cellStyle name="asd 39 4 5 6" xfId="13500"/>
    <cellStyle name="asd 39 4 5 7" xfId="15404"/>
    <cellStyle name="asd 39 4 5 8" xfId="18073"/>
    <cellStyle name="asd 39 4 5 9" xfId="19979"/>
    <cellStyle name="asd 39 4 6" xfId="5324"/>
    <cellStyle name="asd 39 4 7" xfId="9060"/>
    <cellStyle name="asd 39 4 8" xfId="11045"/>
    <cellStyle name="asd 39 4 9" xfId="13145"/>
    <cellStyle name="asd 39 5" xfId="2847"/>
    <cellStyle name="asd 39 5 10" xfId="17211"/>
    <cellStyle name="asd 39 5 11" xfId="19117"/>
    <cellStyle name="asd 39 5 12" xfId="21029"/>
    <cellStyle name="asd 39 5 13" xfId="24137"/>
    <cellStyle name="asd 39 5 14" xfId="24831"/>
    <cellStyle name="asd 39 5 15" xfId="27262"/>
    <cellStyle name="asd 39 5 16" xfId="29257"/>
    <cellStyle name="asd 39 5 17" xfId="30853"/>
    <cellStyle name="asd 39 5 18" xfId="33165"/>
    <cellStyle name="asd 39 5 19" xfId="34664"/>
    <cellStyle name="asd 39 5 2" xfId="5535"/>
    <cellStyle name="asd 39 5 2 10" xfId="21785"/>
    <cellStyle name="asd 39 5 2 11" xfId="22559"/>
    <cellStyle name="asd 39 5 2 12" xfId="25587"/>
    <cellStyle name="asd 39 5 2 13" xfId="26781"/>
    <cellStyle name="asd 39 5 2 14" xfId="29632"/>
    <cellStyle name="asd 39 5 2 15" xfId="30380"/>
    <cellStyle name="asd 39 5 2 16" xfId="31699"/>
    <cellStyle name="asd 39 5 2 17" xfId="34858"/>
    <cellStyle name="asd 39 5 2 18" xfId="36414"/>
    <cellStyle name="asd 39 5 2 19" xfId="38293"/>
    <cellStyle name="asd 39 5 2 2" xfId="6984"/>
    <cellStyle name="asd 39 5 2 20" xfId="38940"/>
    <cellStyle name="asd 39 5 2 21" xfId="40624"/>
    <cellStyle name="asd 39 5 2 22" xfId="42368"/>
    <cellStyle name="asd 39 5 2 3" xfId="8438"/>
    <cellStyle name="asd 39 5 2 4" xfId="10348"/>
    <cellStyle name="asd 39 5 2 5" xfId="11134"/>
    <cellStyle name="asd 39 5 2 6" xfId="13027"/>
    <cellStyle name="asd 39 5 2 7" xfId="14931"/>
    <cellStyle name="asd 39 5 2 8" xfId="17967"/>
    <cellStyle name="asd 39 5 2 9" xfId="19873"/>
    <cellStyle name="asd 39 5 20" xfId="35658"/>
    <cellStyle name="asd 39 5 21" xfId="37537"/>
    <cellStyle name="asd 39 5 22" xfId="40357"/>
    <cellStyle name="asd 39 5 23" xfId="42013"/>
    <cellStyle name="asd 39 5 24" xfId="43880"/>
    <cellStyle name="asd 39 5 3" xfId="4782"/>
    <cellStyle name="asd 39 5 4" xfId="6231"/>
    <cellStyle name="asd 39 5 5" xfId="7682"/>
    <cellStyle name="asd 39 5 6" xfId="9592"/>
    <cellStyle name="asd 39 5 7" xfId="12097"/>
    <cellStyle name="asd 39 5 8" xfId="14608"/>
    <cellStyle name="asd 39 5 9" xfId="16514"/>
    <cellStyle name="asd 39 6" xfId="2821"/>
    <cellStyle name="asd 39 6 10" xfId="19113"/>
    <cellStyle name="asd 39 6 11" xfId="21025"/>
    <cellStyle name="asd 39 6 12" xfId="23301"/>
    <cellStyle name="asd 39 6 13" xfId="24827"/>
    <cellStyle name="asd 39 6 14" xfId="27106"/>
    <cellStyle name="asd 39 6 15" xfId="28493"/>
    <cellStyle name="asd 39 6 16" xfId="30697"/>
    <cellStyle name="asd 39 6 17" xfId="32417"/>
    <cellStyle name="asd 39 6 18" xfId="34908"/>
    <cellStyle name="asd 39 6 19" xfId="35654"/>
    <cellStyle name="asd 39 6 2" xfId="4496"/>
    <cellStyle name="asd 39 6 2 10" xfId="20741"/>
    <cellStyle name="asd 39 6 2 11" xfId="23882"/>
    <cellStyle name="asd 39 6 2 12" xfId="24543"/>
    <cellStyle name="asd 39 6 2 13" xfId="27599"/>
    <cellStyle name="asd 39 6 2 14" xfId="29643"/>
    <cellStyle name="asd 39 6 2 15" xfId="31177"/>
    <cellStyle name="asd 39 6 2 16" xfId="31742"/>
    <cellStyle name="asd 39 6 2 17" xfId="33661"/>
    <cellStyle name="asd 39 6 2 18" xfId="35371"/>
    <cellStyle name="asd 39 6 2 19" xfId="37249"/>
    <cellStyle name="asd 39 6 2 2" xfId="2730"/>
    <cellStyle name="asd 39 6 2 20" xfId="38983"/>
    <cellStyle name="asd 39 6 2 21" xfId="40666"/>
    <cellStyle name="asd 39 6 2 22" xfId="43632"/>
    <cellStyle name="asd 39 6 2 3" xfId="2773"/>
    <cellStyle name="asd 39 6 2 4" xfId="9303"/>
    <cellStyle name="asd 39 6 2 5" xfId="11481"/>
    <cellStyle name="asd 39 6 2 6" xfId="14352"/>
    <cellStyle name="asd 39 6 2 7" xfId="16257"/>
    <cellStyle name="asd 39 6 2 8" xfId="16922"/>
    <cellStyle name="asd 39 6 2 9" xfId="18829"/>
    <cellStyle name="asd 39 6 20" xfId="37533"/>
    <cellStyle name="asd 39 6 21" xfId="39634"/>
    <cellStyle name="asd 39 6 22" xfId="41308"/>
    <cellStyle name="asd 39 6 23" xfId="43073"/>
    <cellStyle name="asd 39 6 3" xfId="4778"/>
    <cellStyle name="asd 39 6 4" xfId="7678"/>
    <cellStyle name="asd 39 6 5" xfId="9588"/>
    <cellStyle name="asd 39 6 6" xfId="11283"/>
    <cellStyle name="asd 39 6 7" xfId="13773"/>
    <cellStyle name="asd 39 6 8" xfId="15675"/>
    <cellStyle name="asd 39 6 9" xfId="17207"/>
    <cellStyle name="asd 39 7" xfId="2723"/>
    <cellStyle name="asd 39 7 10" xfId="19098"/>
    <cellStyle name="asd 39 7 11" xfId="21010"/>
    <cellStyle name="asd 39 7 12" xfId="22736"/>
    <cellStyle name="asd 39 7 13" xfId="24812"/>
    <cellStyle name="asd 39 7 14" xfId="26885"/>
    <cellStyle name="asd 39 7 15" xfId="28043"/>
    <cellStyle name="asd 39 7 16" xfId="30482"/>
    <cellStyle name="asd 39 7 17" xfId="32469"/>
    <cellStyle name="asd 39 7 18" xfId="34668"/>
    <cellStyle name="asd 39 7 19" xfId="35639"/>
    <cellStyle name="asd 39 7 2" xfId="5518"/>
    <cellStyle name="asd 39 7 2 10" xfId="21768"/>
    <cellStyle name="asd 39 7 2 11" xfId="22885"/>
    <cellStyle name="asd 39 7 2 12" xfId="25570"/>
    <cellStyle name="asd 39 7 2 13" xfId="27140"/>
    <cellStyle name="asd 39 7 2 14" xfId="29217"/>
    <cellStyle name="asd 39 7 2 15" xfId="30731"/>
    <cellStyle name="asd 39 7 2 16" xfId="32301"/>
    <cellStyle name="asd 39 7 2 17" xfId="34345"/>
    <cellStyle name="asd 39 7 2 18" xfId="36397"/>
    <cellStyle name="asd 39 7 2 19" xfId="38276"/>
    <cellStyle name="asd 39 7 2 2" xfId="6967"/>
    <cellStyle name="asd 39 7 2 20" xfId="39520"/>
    <cellStyle name="asd 39 7 2 21" xfId="41194"/>
    <cellStyle name="asd 39 7 2 22" xfId="42671"/>
    <cellStyle name="asd 39 7 2 3" xfId="8421"/>
    <cellStyle name="asd 39 7 2 4" xfId="10331"/>
    <cellStyle name="asd 39 7 2 5" xfId="12344"/>
    <cellStyle name="asd 39 7 2 6" xfId="13353"/>
    <cellStyle name="asd 39 7 2 7" xfId="15258"/>
    <cellStyle name="asd 39 7 2 8" xfId="17950"/>
    <cellStyle name="asd 39 7 2 9" xfId="19856"/>
    <cellStyle name="asd 39 7 20" xfId="37518"/>
    <cellStyle name="asd 39 7 21" xfId="39687"/>
    <cellStyle name="asd 39 7 22" xfId="41360"/>
    <cellStyle name="asd 39 7 23" xfId="42534"/>
    <cellStyle name="asd 39 7 3" xfId="6212"/>
    <cellStyle name="asd 39 7 4" xfId="7663"/>
    <cellStyle name="asd 39 7 5" xfId="9573"/>
    <cellStyle name="asd 39 7 6" xfId="12605"/>
    <cellStyle name="asd 39 7 7" xfId="13205"/>
    <cellStyle name="asd 39 7 8" xfId="15108"/>
    <cellStyle name="asd 39 7 9" xfId="17192"/>
    <cellStyle name="asd 39 8" xfId="2094"/>
    <cellStyle name="asd 39 9" xfId="3208"/>
    <cellStyle name="asd 4" xfId="697"/>
    <cellStyle name="asd 4 10" xfId="3061"/>
    <cellStyle name="asd 4 11" xfId="3962"/>
    <cellStyle name="asd 4 12" xfId="5428"/>
    <cellStyle name="asd 4 13" xfId="1926"/>
    <cellStyle name="asd 4 14" xfId="2053"/>
    <cellStyle name="asd 4 15" xfId="4527"/>
    <cellStyle name="asd 4 16" xfId="11562"/>
    <cellStyle name="asd 4 17" xfId="2988"/>
    <cellStyle name="asd 4 18" xfId="3146"/>
    <cellStyle name="asd 4 19" xfId="2436"/>
    <cellStyle name="asd 4 2" xfId="3433"/>
    <cellStyle name="asd 4 2 10" xfId="13142"/>
    <cellStyle name="asd 4 2 11" xfId="15047"/>
    <cellStyle name="asd 4 2 12" xfId="16810"/>
    <cellStyle name="asd 4 2 13" xfId="18717"/>
    <cellStyle name="asd 4 2 14" xfId="20629"/>
    <cellStyle name="asd 4 2 15" xfId="22675"/>
    <cellStyle name="asd 4 2 16" xfId="24431"/>
    <cellStyle name="asd 4 2 17" xfId="27781"/>
    <cellStyle name="asd 4 2 18" xfId="28073"/>
    <cellStyle name="asd 4 2 19" xfId="31358"/>
    <cellStyle name="asd 4 2 2" xfId="3613"/>
    <cellStyle name="asd 4 2 2 10" xfId="17504"/>
    <cellStyle name="asd 4 2 2 11" xfId="19410"/>
    <cellStyle name="asd 4 2 2 12" xfId="21322"/>
    <cellStyle name="asd 4 2 2 13" xfId="23143"/>
    <cellStyle name="asd 4 2 2 14" xfId="25124"/>
    <cellStyle name="asd 4 2 2 15" xfId="27831"/>
    <cellStyle name="asd 4 2 2 16" xfId="16268"/>
    <cellStyle name="asd 4 2 2 17" xfId="31409"/>
    <cellStyle name="asd 4 2 2 18" xfId="3114"/>
    <cellStyle name="asd 4 2 2 19" xfId="2284"/>
    <cellStyle name="asd 4 2 2 2" xfId="5558"/>
    <cellStyle name="asd 4 2 2 2 10" xfId="21808"/>
    <cellStyle name="asd 4 2 2 2 11" xfId="23206"/>
    <cellStyle name="asd 4 2 2 2 12" xfId="25610"/>
    <cellStyle name="asd 4 2 2 2 13" xfId="26663"/>
    <cellStyle name="asd 4 2 2 2 14" xfId="28927"/>
    <cellStyle name="asd 4 2 2 2 15" xfId="30263"/>
    <cellStyle name="asd 4 2 2 2 16" xfId="32526"/>
    <cellStyle name="asd 4 2 2 2 17" xfId="34429"/>
    <cellStyle name="asd 4 2 2 2 18" xfId="36437"/>
    <cellStyle name="asd 4 2 2 2 19" xfId="38316"/>
    <cellStyle name="asd 4 2 2 2 2" xfId="7007"/>
    <cellStyle name="asd 4 2 2 2 20" xfId="39739"/>
    <cellStyle name="asd 4 2 2 2 21" xfId="41411"/>
    <cellStyle name="asd 4 2 2 2 22" xfId="42984"/>
    <cellStyle name="asd 4 2 2 2 3" xfId="8461"/>
    <cellStyle name="asd 4 2 2 2 4" xfId="10371"/>
    <cellStyle name="asd 4 2 2 2 5" xfId="11076"/>
    <cellStyle name="asd 4 2 2 2 6" xfId="13678"/>
    <cellStyle name="asd 4 2 2 2 7" xfId="15580"/>
    <cellStyle name="asd 4 2 2 2 8" xfId="17990"/>
    <cellStyle name="asd 4 2 2 2 9" xfId="19896"/>
    <cellStyle name="asd 4 2 2 20" xfId="35951"/>
    <cellStyle name="asd 4 2 2 21" xfId="37830"/>
    <cellStyle name="asd 4 2 2 22" xfId="16622"/>
    <cellStyle name="asd 4 2 2 23" xfId="12145"/>
    <cellStyle name="asd 4 2 2 24" xfId="42921"/>
    <cellStyle name="asd 4 2 2 3" xfId="5074"/>
    <cellStyle name="asd 4 2 2 4" xfId="6524"/>
    <cellStyle name="asd 4 2 2 5" xfId="7975"/>
    <cellStyle name="asd 4 2 2 6" xfId="9885"/>
    <cellStyle name="asd 4 2 2 7" xfId="10923"/>
    <cellStyle name="asd 4 2 2 8" xfId="13614"/>
    <cellStyle name="asd 4 2 2 9" xfId="15517"/>
    <cellStyle name="asd 4 2 20" xfId="32795"/>
    <cellStyle name="asd 4 2 21" xfId="34557"/>
    <cellStyle name="asd 4 2 22" xfId="35259"/>
    <cellStyle name="asd 4 2 23" xfId="37137"/>
    <cellStyle name="asd 4 2 24" xfId="40004"/>
    <cellStyle name="asd 4 2 25" xfId="41668"/>
    <cellStyle name="asd 4 2 26" xfId="42480"/>
    <cellStyle name="asd 4 2 3" xfId="3812"/>
    <cellStyle name="asd 4 2 3 10" xfId="19543"/>
    <cellStyle name="asd 4 2 3 11" xfId="21455"/>
    <cellStyle name="asd 4 2 3 12" xfId="22603"/>
    <cellStyle name="asd 4 2 3 13" xfId="25257"/>
    <cellStyle name="asd 4 2 3 14" xfId="26949"/>
    <cellStyle name="asd 4 2 3 15" xfId="16487"/>
    <cellStyle name="asd 4 2 3 16" xfId="30543"/>
    <cellStyle name="asd 4 2 3 17" xfId="32134"/>
    <cellStyle name="asd 4 2 3 18" xfId="35054"/>
    <cellStyle name="asd 4 2 3 19" xfId="36084"/>
    <cellStyle name="asd 4 2 3 2" xfId="5813"/>
    <cellStyle name="asd 4 2 3 2 10" xfId="22063"/>
    <cellStyle name="asd 4 2 3 2 11" xfId="22827"/>
    <cellStyle name="asd 4 2 3 2 12" xfId="25865"/>
    <cellStyle name="asd 4 2 3 2 13" xfId="27787"/>
    <cellStyle name="asd 4 2 3 2 14" xfId="29413"/>
    <cellStyle name="asd 4 2 3 2 15" xfId="31364"/>
    <cellStyle name="asd 4 2 3 2 16" xfId="32799"/>
    <cellStyle name="asd 4 2 3 2 17" xfId="34947"/>
    <cellStyle name="asd 4 2 3 2 18" xfId="36692"/>
    <cellStyle name="asd 4 2 3 2 19" xfId="38571"/>
    <cellStyle name="asd 4 2 3 2 2" xfId="7262"/>
    <cellStyle name="asd 4 2 3 2 20" xfId="40008"/>
    <cellStyle name="asd 4 2 3 2 21" xfId="41672"/>
    <cellStyle name="asd 4 2 3 2 22" xfId="42619"/>
    <cellStyle name="asd 4 2 3 2 3" xfId="8716"/>
    <cellStyle name="asd 4 2 3 2 4" xfId="10626"/>
    <cellStyle name="asd 4 2 3 2 5" xfId="12212"/>
    <cellStyle name="asd 4 2 3 2 6" xfId="13296"/>
    <cellStyle name="asd 4 2 3 2 7" xfId="15201"/>
    <cellStyle name="asd 4 2 3 2 8" xfId="18245"/>
    <cellStyle name="asd 4 2 3 2 9" xfId="20151"/>
    <cellStyle name="asd 4 2 3 20" xfId="37963"/>
    <cellStyle name="asd 4 2 3 21" xfId="39357"/>
    <cellStyle name="asd 4 2 3 22" xfId="41033"/>
    <cellStyle name="asd 4 2 3 23" xfId="42412"/>
    <cellStyle name="asd 4 2 3 3" xfId="5207"/>
    <cellStyle name="asd 4 2 3 4" xfId="8108"/>
    <cellStyle name="asd 4 2 3 5" xfId="10018"/>
    <cellStyle name="asd 4 2 3 6" xfId="12306"/>
    <cellStyle name="asd 4 2 3 7" xfId="13071"/>
    <cellStyle name="asd 4 2 3 8" xfId="14975"/>
    <cellStyle name="asd 4 2 3 9" xfId="17637"/>
    <cellStyle name="asd 4 2 4" xfId="4065"/>
    <cellStyle name="asd 4 2 4 10" xfId="19700"/>
    <cellStyle name="asd 4 2 4 11" xfId="21612"/>
    <cellStyle name="asd 4 2 4 12" xfId="23815"/>
    <cellStyle name="asd 4 2 4 13" xfId="25414"/>
    <cellStyle name="asd 4 2 4 14" xfId="27004"/>
    <cellStyle name="asd 4 2 4 15" xfId="28722"/>
    <cellStyle name="asd 4 2 4 16" xfId="30598"/>
    <cellStyle name="asd 4 2 4 17" xfId="32742"/>
    <cellStyle name="asd 4 2 4 18" xfId="34257"/>
    <cellStyle name="asd 4 2 4 19" xfId="36241"/>
    <cellStyle name="asd 4 2 4 2" xfId="5970"/>
    <cellStyle name="asd 4 2 4 2 10" xfId="22220"/>
    <cellStyle name="asd 4 2 4 2 11" xfId="23413"/>
    <cellStyle name="asd 4 2 4 2 12" xfId="26022"/>
    <cellStyle name="asd 4 2 4 2 13" xfId="27575"/>
    <cellStyle name="asd 4 2 4 2 14" xfId="29379"/>
    <cellStyle name="asd 4 2 4 2 15" xfId="31154"/>
    <cellStyle name="asd 4 2 4 2 16" xfId="31738"/>
    <cellStyle name="asd 4 2 4 2 17" xfId="33915"/>
    <cellStyle name="asd 4 2 4 2 18" xfId="36849"/>
    <cellStyle name="asd 4 2 4 2 19" xfId="38728"/>
    <cellStyle name="asd 4 2 4 2 2" xfId="7419"/>
    <cellStyle name="asd 4 2 4 2 20" xfId="38979"/>
    <cellStyle name="asd 4 2 4 2 21" xfId="40662"/>
    <cellStyle name="asd 4 2 4 2 22" xfId="43180"/>
    <cellStyle name="asd 4 2 4 2 3" xfId="8873"/>
    <cellStyle name="asd 4 2 4 2 4" xfId="10783"/>
    <cellStyle name="asd 4 2 4 2 5" xfId="12370"/>
    <cellStyle name="asd 4 2 4 2 6" xfId="13885"/>
    <cellStyle name="asd 4 2 4 2 7" xfId="15786"/>
    <cellStyle name="asd 4 2 4 2 8" xfId="18402"/>
    <cellStyle name="asd 4 2 4 2 9" xfId="20308"/>
    <cellStyle name="asd 4 2 4 20" xfId="38120"/>
    <cellStyle name="asd 4 2 4 21" xfId="39950"/>
    <cellStyle name="asd 4 2 4 22" xfId="41615"/>
    <cellStyle name="asd 4 2 4 23" xfId="43566"/>
    <cellStyle name="asd 4 2 4 3" xfId="6811"/>
    <cellStyle name="asd 4 2 4 4" xfId="8265"/>
    <cellStyle name="asd 4 2 4 5" xfId="10175"/>
    <cellStyle name="asd 4 2 4 6" xfId="11636"/>
    <cellStyle name="asd 4 2 4 7" xfId="14285"/>
    <cellStyle name="asd 4 2 4 8" xfId="16189"/>
    <cellStyle name="asd 4 2 4 9" xfId="17794"/>
    <cellStyle name="asd 4 2 5" xfId="4922"/>
    <cellStyle name="asd 4 2 5 10" xfId="21170"/>
    <cellStyle name="asd 4 2 5 11" xfId="23383"/>
    <cellStyle name="asd 4 2 5 12" xfId="24972"/>
    <cellStyle name="asd 4 2 5 13" xfId="27375"/>
    <cellStyle name="asd 4 2 5 14" xfId="29304"/>
    <cellStyle name="asd 4 2 5 15" xfId="30961"/>
    <cellStyle name="asd 4 2 5 16" xfId="32677"/>
    <cellStyle name="asd 4 2 5 17" xfId="34614"/>
    <cellStyle name="asd 4 2 5 18" xfId="35799"/>
    <cellStyle name="asd 4 2 5 19" xfId="37678"/>
    <cellStyle name="asd 4 2 5 2" xfId="6372"/>
    <cellStyle name="asd 4 2 5 20" xfId="39885"/>
    <cellStyle name="asd 4 2 5 21" xfId="41554"/>
    <cellStyle name="asd 4 2 5 22" xfId="43150"/>
    <cellStyle name="asd 4 2 5 3" xfId="7823"/>
    <cellStyle name="asd 4 2 5 4" xfId="9733"/>
    <cellStyle name="asd 4 2 5 5" xfId="12271"/>
    <cellStyle name="asd 4 2 5 6" xfId="13855"/>
    <cellStyle name="asd 4 2 5 7" xfId="15756"/>
    <cellStyle name="asd 4 2 5 8" xfId="17352"/>
    <cellStyle name="asd 4 2 5 9" xfId="19258"/>
    <cellStyle name="asd 4 2 6" xfId="5717"/>
    <cellStyle name="asd 4 2 6 10" xfId="21967"/>
    <cellStyle name="asd 4 2 6 11" xfId="22527"/>
    <cellStyle name="asd 4 2 6 12" xfId="25769"/>
    <cellStyle name="asd 4 2 6 13" xfId="26181"/>
    <cellStyle name="asd 4 2 6 14" xfId="28798"/>
    <cellStyle name="asd 4 2 6 15" xfId="29794"/>
    <cellStyle name="asd 4 2 6 16" xfId="31924"/>
    <cellStyle name="asd 4 2 6 17" xfId="33595"/>
    <cellStyle name="asd 4 2 6 18" xfId="36596"/>
    <cellStyle name="asd 4 2 6 19" xfId="38475"/>
    <cellStyle name="asd 4 2 6 2" xfId="7166"/>
    <cellStyle name="asd 4 2 6 20" xfId="39155"/>
    <cellStyle name="asd 4 2 6 21" xfId="40836"/>
    <cellStyle name="asd 4 2 6 22" xfId="42337"/>
    <cellStyle name="asd 4 2 6 3" xfId="8620"/>
    <cellStyle name="asd 4 2 6 4" xfId="10530"/>
    <cellStyle name="asd 4 2 6 5" xfId="12689"/>
    <cellStyle name="asd 4 2 6 6" xfId="12995"/>
    <cellStyle name="asd 4 2 6 7" xfId="14899"/>
    <cellStyle name="asd 4 2 6 8" xfId="18149"/>
    <cellStyle name="asd 4 2 6 9" xfId="20055"/>
    <cellStyle name="asd 4 2 7" xfId="4368"/>
    <cellStyle name="asd 4 2 8" xfId="9191"/>
    <cellStyle name="asd 4 2 9" xfId="11783"/>
    <cellStyle name="asd 4 20" xfId="28347"/>
    <cellStyle name="asd 4 21" xfId="29223"/>
    <cellStyle name="asd 4 22" xfId="2979"/>
    <cellStyle name="asd 4 23" xfId="31560"/>
    <cellStyle name="asd 4 24" xfId="28446"/>
    <cellStyle name="asd 4 25" xfId="2255"/>
    <cellStyle name="asd 4 26" xfId="4701"/>
    <cellStyle name="asd 4 27" xfId="31422"/>
    <cellStyle name="asd 4 3" xfId="3496"/>
    <cellStyle name="asd 4 3 10" xfId="14519"/>
    <cellStyle name="asd 4 3 11" xfId="16425"/>
    <cellStyle name="asd 4 3 12" xfId="16947"/>
    <cellStyle name="asd 4 3 13" xfId="18854"/>
    <cellStyle name="asd 4 3 14" xfId="20766"/>
    <cellStyle name="asd 4 3 15" xfId="24049"/>
    <cellStyle name="asd 4 3 16" xfId="24568"/>
    <cellStyle name="asd 4 3 17" xfId="27790"/>
    <cellStyle name="asd 4 3 18" xfId="29094"/>
    <cellStyle name="asd 4 3 19" xfId="31367"/>
    <cellStyle name="asd 4 3 2" xfId="3676"/>
    <cellStyle name="asd 4 3 2 10" xfId="17567"/>
    <cellStyle name="asd 4 3 2 11" xfId="19473"/>
    <cellStyle name="asd 4 3 2 12" xfId="21385"/>
    <cellStyle name="asd 4 3 2 13" xfId="24005"/>
    <cellStyle name="asd 4 3 2 14" xfId="25187"/>
    <cellStyle name="asd 4 3 2 15" xfId="27892"/>
    <cellStyle name="asd 4 3 2 16" xfId="28135"/>
    <cellStyle name="asd 4 3 2 17" xfId="31474"/>
    <cellStyle name="asd 4 3 2 18" xfId="31750"/>
    <cellStyle name="asd 4 3 2 19" xfId="34365"/>
    <cellStyle name="asd 4 3 2 2" xfId="1880"/>
    <cellStyle name="asd 4 3 2 2 10" xfId="20562"/>
    <cellStyle name="asd 4 3 2 2 11" xfId="23373"/>
    <cellStyle name="asd 4 3 2 2 12" xfId="24364"/>
    <cellStyle name="asd 4 3 2 2 13" xfId="27815"/>
    <cellStyle name="asd 4 3 2 2 14" xfId="29604"/>
    <cellStyle name="asd 4 3 2 2 15" xfId="31393"/>
    <cellStyle name="asd 4 3 2 2 16" xfId="33288"/>
    <cellStyle name="asd 4 3 2 2 17" xfId="33499"/>
    <cellStyle name="asd 4 3 2 2 18" xfId="35192"/>
    <cellStyle name="asd 4 3 2 2 19" xfId="37070"/>
    <cellStyle name="asd 4 3 2 2 2" xfId="4361"/>
    <cellStyle name="asd 4 3 2 2 20" xfId="40472"/>
    <cellStyle name="asd 4 3 2 2 21" xfId="42127"/>
    <cellStyle name="asd 4 3 2 2 22" xfId="43141"/>
    <cellStyle name="asd 4 3 2 2 3" xfId="4348"/>
    <cellStyle name="asd 4 3 2 2 4" xfId="9124"/>
    <cellStyle name="asd 4 3 2 2 5" xfId="12233"/>
    <cellStyle name="asd 4 3 2 2 6" xfId="13845"/>
    <cellStyle name="asd 4 3 2 2 7" xfId="15746"/>
    <cellStyle name="asd 4 3 2 2 8" xfId="16743"/>
    <cellStyle name="asd 4 3 2 2 9" xfId="18650"/>
    <cellStyle name="asd 4 3 2 20" xfId="36014"/>
    <cellStyle name="asd 4 3 2 21" xfId="37893"/>
    <cellStyle name="asd 4 3 2 22" xfId="38990"/>
    <cellStyle name="asd 4 3 2 23" xfId="40673"/>
    <cellStyle name="asd 4 3 2 24" xfId="43749"/>
    <cellStyle name="asd 4 3 2 3" xfId="5137"/>
    <cellStyle name="asd 4 3 2 4" xfId="6587"/>
    <cellStyle name="asd 4 3 2 5" xfId="8038"/>
    <cellStyle name="asd 4 3 2 6" xfId="9948"/>
    <cellStyle name="asd 4 3 2 7" xfId="11964"/>
    <cellStyle name="asd 4 3 2 8" xfId="14475"/>
    <cellStyle name="asd 4 3 2 9" xfId="16381"/>
    <cellStyle name="asd 4 3 20" xfId="32898"/>
    <cellStyle name="asd 4 3 21" xfId="33993"/>
    <cellStyle name="asd 4 3 22" xfId="35396"/>
    <cellStyle name="asd 4 3 23" xfId="37274"/>
    <cellStyle name="asd 4 3 24" xfId="40101"/>
    <cellStyle name="asd 4 3 25" xfId="41762"/>
    <cellStyle name="asd 4 3 26" xfId="43793"/>
    <cellStyle name="asd 4 3 3" xfId="3848"/>
    <cellStyle name="asd 4 3 3 10" xfId="19570"/>
    <cellStyle name="asd 4 3 3 11" xfId="21482"/>
    <cellStyle name="asd 4 3 3 12" xfId="24192"/>
    <cellStyle name="asd 4 3 3 13" xfId="25284"/>
    <cellStyle name="asd 4 3 3 14" xfId="24222"/>
    <cellStyle name="asd 4 3 3 15" xfId="13322"/>
    <cellStyle name="asd 4 3 3 16" xfId="22766"/>
    <cellStyle name="asd 4 3 3 17" xfId="31570"/>
    <cellStyle name="asd 4 3 3 18" xfId="31950"/>
    <cellStyle name="asd 4 3 3 19" xfId="36111"/>
    <cellStyle name="asd 4 3 3 2" xfId="5840"/>
    <cellStyle name="asd 4 3 3 2 10" xfId="22090"/>
    <cellStyle name="asd 4 3 3 2 11" xfId="23273"/>
    <cellStyle name="asd 4 3 3 2 12" xfId="25892"/>
    <cellStyle name="asd 4 3 3 2 13" xfId="27647"/>
    <cellStyle name="asd 4 3 3 2 14" xfId="28971"/>
    <cellStyle name="asd 4 3 3 2 15" xfId="31224"/>
    <cellStyle name="asd 4 3 3 2 16" xfId="32910"/>
    <cellStyle name="asd 4 3 3 2 17" xfId="33503"/>
    <cellStyle name="asd 4 3 3 2 18" xfId="36719"/>
    <cellStyle name="asd 4 3 3 2 19" xfId="38598"/>
    <cellStyle name="asd 4 3 3 2 2" xfId="7289"/>
    <cellStyle name="asd 4 3 3 2 20" xfId="40114"/>
    <cellStyle name="asd 4 3 3 2 21" xfId="41774"/>
    <cellStyle name="asd 4 3 3 2 22" xfId="43049"/>
    <cellStyle name="asd 4 3 3 2 3" xfId="8743"/>
    <cellStyle name="asd 4 3 3 2 4" xfId="10653"/>
    <cellStyle name="asd 4 3 3 2 5" xfId="11208"/>
    <cellStyle name="asd 4 3 3 2 6" xfId="13745"/>
    <cellStyle name="asd 4 3 3 2 7" xfId="15647"/>
    <cellStyle name="asd 4 3 3 2 8" xfId="18272"/>
    <cellStyle name="asd 4 3 3 2 9" xfId="20178"/>
    <cellStyle name="asd 4 3 3 20" xfId="37990"/>
    <cellStyle name="asd 4 3 3 21" xfId="38827"/>
    <cellStyle name="asd 4 3 3 22" xfId="40519"/>
    <cellStyle name="asd 4 3 3 23" xfId="43930"/>
    <cellStyle name="asd 4 3 3 3" xfId="5234"/>
    <cellStyle name="asd 4 3 3 4" xfId="8135"/>
    <cellStyle name="asd 4 3 3 5" xfId="10045"/>
    <cellStyle name="asd 4 3 3 6" xfId="12152"/>
    <cellStyle name="asd 4 3 3 7" xfId="14664"/>
    <cellStyle name="asd 4 3 3 8" xfId="16570"/>
    <cellStyle name="asd 4 3 3 9" xfId="17664"/>
    <cellStyle name="asd 4 3 4" xfId="4128"/>
    <cellStyle name="asd 4 3 4 10" xfId="19763"/>
    <cellStyle name="asd 4 3 4 11" xfId="21675"/>
    <cellStyle name="asd 4 3 4 12" xfId="22633"/>
    <cellStyle name="asd 4 3 4 13" xfId="25477"/>
    <cellStyle name="asd 4 3 4 14" xfId="27745"/>
    <cellStyle name="asd 4 3 4 15" xfId="28976"/>
    <cellStyle name="asd 4 3 4 16" xfId="31323"/>
    <cellStyle name="asd 4 3 4 17" xfId="33084"/>
    <cellStyle name="asd 4 3 4 18" xfId="34499"/>
    <cellStyle name="asd 4 3 4 19" xfId="36304"/>
    <cellStyle name="asd 4 3 4 2" xfId="6033"/>
    <cellStyle name="asd 4 3 4 2 10" xfId="22283"/>
    <cellStyle name="asd 4 3 4 2 11" xfId="24148"/>
    <cellStyle name="asd 4 3 4 2 12" xfId="26085"/>
    <cellStyle name="asd 4 3 4 2 13" xfId="27116"/>
    <cellStyle name="asd 4 3 4 2 14" xfId="28657"/>
    <cellStyle name="asd 4 3 4 2 15" xfId="30707"/>
    <cellStyle name="asd 4 3 4 2 16" xfId="32833"/>
    <cellStyle name="asd 4 3 4 2 17" xfId="34263"/>
    <cellStyle name="asd 4 3 4 2 18" xfId="36912"/>
    <cellStyle name="asd 4 3 4 2 19" xfId="38791"/>
    <cellStyle name="asd 4 3 4 2 2" xfId="7482"/>
    <cellStyle name="asd 4 3 4 2 20" xfId="40041"/>
    <cellStyle name="asd 4 3 4 2 21" xfId="41705"/>
    <cellStyle name="asd 4 3 4 2 22" xfId="43890"/>
    <cellStyle name="asd 4 3 4 2 3" xfId="8936"/>
    <cellStyle name="asd 4 3 4 2 4" xfId="10846"/>
    <cellStyle name="asd 4 3 4 2 5" xfId="12108"/>
    <cellStyle name="asd 4 3 4 2 6" xfId="14619"/>
    <cellStyle name="asd 4 3 4 2 7" xfId="16525"/>
    <cellStyle name="asd 4 3 4 2 8" xfId="18465"/>
    <cellStyle name="asd 4 3 4 2 9" xfId="20371"/>
    <cellStyle name="asd 4 3 4 20" xfId="38183"/>
    <cellStyle name="asd 4 3 4 21" xfId="40280"/>
    <cellStyle name="asd 4 3 4 22" xfId="41936"/>
    <cellStyle name="asd 4 3 4 23" xfId="42439"/>
    <cellStyle name="asd 4 3 4 3" xfId="6874"/>
    <cellStyle name="asd 4 3 4 4" xfId="8328"/>
    <cellStyle name="asd 4 3 4 5" xfId="10238"/>
    <cellStyle name="asd 4 3 4 6" xfId="11729"/>
    <cellStyle name="asd 4 3 4 7" xfId="13100"/>
    <cellStyle name="asd 4 3 4 8" xfId="15005"/>
    <cellStyle name="asd 4 3 4 9" xfId="17857"/>
    <cellStyle name="asd 4 3 5" xfId="4974"/>
    <cellStyle name="asd 4 3 5 10" xfId="21222"/>
    <cellStyle name="asd 4 3 5 11" xfId="22469"/>
    <cellStyle name="asd 4 3 5 12" xfId="25024"/>
    <cellStyle name="asd 4 3 5 13" xfId="27164"/>
    <cellStyle name="asd 4 3 5 14" xfId="29104"/>
    <cellStyle name="asd 4 3 5 15" xfId="30755"/>
    <cellStyle name="asd 4 3 5 16" xfId="33176"/>
    <cellStyle name="asd 4 3 5 17" xfId="35024"/>
    <cellStyle name="asd 4 3 5 18" xfId="35851"/>
    <cellStyle name="asd 4 3 5 19" xfId="37730"/>
    <cellStyle name="asd 4 3 5 2" xfId="6424"/>
    <cellStyle name="asd 4 3 5 20" xfId="40367"/>
    <cellStyle name="asd 4 3 5 21" xfId="42023"/>
    <cellStyle name="asd 4 3 5 22" xfId="42280"/>
    <cellStyle name="asd 4 3 5 3" xfId="7875"/>
    <cellStyle name="asd 4 3 5 4" xfId="9785"/>
    <cellStyle name="asd 4 3 5 5" xfId="11851"/>
    <cellStyle name="asd 4 3 5 6" xfId="12937"/>
    <cellStyle name="asd 4 3 5 7" xfId="14842"/>
    <cellStyle name="asd 4 3 5 8" xfId="17404"/>
    <cellStyle name="asd 4 3 5 9" xfId="19310"/>
    <cellStyle name="asd 4 3 6" xfId="5707"/>
    <cellStyle name="asd 4 3 6 10" xfId="21957"/>
    <cellStyle name="asd 4 3 6 11" xfId="22370"/>
    <cellStyle name="asd 4 3 6 12" xfId="25759"/>
    <cellStyle name="asd 4 3 6 13" xfId="27711"/>
    <cellStyle name="asd 4 3 6 14" xfId="28510"/>
    <cellStyle name="asd 4 3 6 15" xfId="31287"/>
    <cellStyle name="asd 4 3 6 16" xfId="31813"/>
    <cellStyle name="asd 4 3 6 17" xfId="33791"/>
    <cellStyle name="asd 4 3 6 18" xfId="36586"/>
    <cellStyle name="asd 4 3 6 19" xfId="38465"/>
    <cellStyle name="asd 4 3 6 2" xfId="7156"/>
    <cellStyle name="asd 4 3 6 20" xfId="39051"/>
    <cellStyle name="asd 4 3 6 21" xfId="40733"/>
    <cellStyle name="asd 4 3 6 22" xfId="42182"/>
    <cellStyle name="asd 4 3 6 3" xfId="8610"/>
    <cellStyle name="asd 4 3 6 4" xfId="10520"/>
    <cellStyle name="asd 4 3 6 5" xfId="11744"/>
    <cellStyle name="asd 4 3 6 6" xfId="12837"/>
    <cellStyle name="asd 4 3 6 7" xfId="14742"/>
    <cellStyle name="asd 4 3 6 8" xfId="18139"/>
    <cellStyle name="asd 4 3 6 9" xfId="20045"/>
    <cellStyle name="asd 4 3 7" xfId="6239"/>
    <cellStyle name="asd 4 3 8" xfId="9328"/>
    <cellStyle name="asd 4 3 9" xfId="12008"/>
    <cellStyle name="asd 4 4" xfId="3360"/>
    <cellStyle name="asd 4 4 10" xfId="15218"/>
    <cellStyle name="asd 4 4 11" xfId="16653"/>
    <cellStyle name="asd 4 4 12" xfId="18560"/>
    <cellStyle name="asd 4 4 13" xfId="20472"/>
    <cellStyle name="asd 4 4 14" xfId="22845"/>
    <cellStyle name="asd 4 4 15" xfId="24274"/>
    <cellStyle name="asd 4 4 16" xfId="26758"/>
    <cellStyle name="asd 4 4 17" xfId="29064"/>
    <cellStyle name="asd 4 4 18" xfId="30357"/>
    <cellStyle name="asd 4 4 19" xfId="32290"/>
    <cellStyle name="asd 4 4 2" xfId="3540"/>
    <cellStyle name="asd 4 4 2 10" xfId="17431"/>
    <cellStyle name="asd 4 4 2 11" xfId="19337"/>
    <cellStyle name="asd 4 4 2 12" xfId="21249"/>
    <cellStyle name="asd 4 4 2 13" xfId="23690"/>
    <cellStyle name="asd 4 4 2 14" xfId="25051"/>
    <cellStyle name="asd 4 4 2 15" xfId="27199"/>
    <cellStyle name="asd 4 4 2 16" xfId="28770"/>
    <cellStyle name="asd 4 4 2 17" xfId="30790"/>
    <cellStyle name="asd 4 4 2 18" xfId="32418"/>
    <cellStyle name="asd 4 4 2 19" xfId="34357"/>
    <cellStyle name="asd 4 4 2 2" xfId="5586"/>
    <cellStyle name="asd 4 4 2 2 10" xfId="21836"/>
    <cellStyle name="asd 4 4 2 2 11" xfId="24203"/>
    <cellStyle name="asd 4 4 2 2 12" xfId="25638"/>
    <cellStyle name="asd 4 4 2 2 13" xfId="18529"/>
    <cellStyle name="asd 4 4 2 2 14" xfId="28456"/>
    <cellStyle name="asd 4 4 2 2 15" xfId="29199"/>
    <cellStyle name="asd 4 4 2 2 16" xfId="2379"/>
    <cellStyle name="asd 4 4 2 2 17" xfId="29707"/>
    <cellStyle name="asd 4 4 2 2 18" xfId="36465"/>
    <cellStyle name="asd 4 4 2 2 19" xfId="38344"/>
    <cellStyle name="asd 4 4 2 2 2" xfId="7035"/>
    <cellStyle name="asd 4 4 2 2 20" xfId="31571"/>
    <cellStyle name="asd 4 4 2 2 21" xfId="2801"/>
    <cellStyle name="asd 4 4 2 2 22" xfId="43941"/>
    <cellStyle name="asd 4 4 2 2 3" xfId="8489"/>
    <cellStyle name="asd 4 4 2 2 4" xfId="10399"/>
    <cellStyle name="asd 4 4 2 2 5" xfId="12163"/>
    <cellStyle name="asd 4 4 2 2 6" xfId="14675"/>
    <cellStyle name="asd 4 4 2 2 7" xfId="16581"/>
    <cellStyle name="asd 4 4 2 2 8" xfId="18018"/>
    <cellStyle name="asd 4 4 2 2 9" xfId="19924"/>
    <cellStyle name="asd 4 4 2 20" xfId="35878"/>
    <cellStyle name="asd 4 4 2 21" xfId="37757"/>
    <cellStyle name="asd 4 4 2 22" xfId="39635"/>
    <cellStyle name="asd 4 4 2 23" xfId="41309"/>
    <cellStyle name="asd 4 4 2 24" xfId="43447"/>
    <cellStyle name="asd 4 4 2 3" xfId="5001"/>
    <cellStyle name="asd 4 4 2 4" xfId="6451"/>
    <cellStyle name="asd 4 4 2 5" xfId="7902"/>
    <cellStyle name="asd 4 4 2 6" xfId="9812"/>
    <cellStyle name="asd 4 4 2 7" xfId="11644"/>
    <cellStyle name="asd 4 4 2 8" xfId="14160"/>
    <cellStyle name="asd 4 4 2 9" xfId="16064"/>
    <cellStyle name="asd 4 4 20" xfId="35035"/>
    <cellStyle name="asd 4 4 21" xfId="35102"/>
    <cellStyle name="asd 4 4 22" xfId="36980"/>
    <cellStyle name="asd 4 4 23" xfId="39510"/>
    <cellStyle name="asd 4 4 24" xfId="41184"/>
    <cellStyle name="asd 4 4 25" xfId="42636"/>
    <cellStyle name="asd 4 4 3" xfId="3811"/>
    <cellStyle name="asd 4 4 3 10" xfId="19542"/>
    <cellStyle name="asd 4 4 3 11" xfId="21454"/>
    <cellStyle name="asd 4 4 3 12" xfId="23253"/>
    <cellStyle name="asd 4 4 3 13" xfId="25256"/>
    <cellStyle name="asd 4 4 3 14" xfId="27136"/>
    <cellStyle name="asd 4 4 3 15" xfId="3862"/>
    <cellStyle name="asd 4 4 3 16" xfId="30727"/>
    <cellStyle name="asd 4 4 3 17" xfId="32993"/>
    <cellStyle name="asd 4 4 3 18" xfId="35053"/>
    <cellStyle name="asd 4 4 3 19" xfId="36083"/>
    <cellStyle name="asd 4 4 3 2" xfId="5812"/>
    <cellStyle name="asd 4 4 3 2 10" xfId="22062"/>
    <cellStyle name="asd 4 4 3 2 11" xfId="23824"/>
    <cellStyle name="asd 4 4 3 2 12" xfId="25864"/>
    <cellStyle name="asd 4 4 3 2 13" xfId="27067"/>
    <cellStyle name="asd 4 4 3 2 14" xfId="29655"/>
    <cellStyle name="asd 4 4 3 2 15" xfId="30658"/>
    <cellStyle name="asd 4 4 3 2 16" xfId="32181"/>
    <cellStyle name="asd 4 4 3 2 17" xfId="33567"/>
    <cellStyle name="asd 4 4 3 2 18" xfId="36691"/>
    <cellStyle name="asd 4 4 3 2 19" xfId="38570"/>
    <cellStyle name="asd 4 4 3 2 2" xfId="7261"/>
    <cellStyle name="asd 4 4 3 2 20" xfId="39403"/>
    <cellStyle name="asd 4 4 3 2 21" xfId="41079"/>
    <cellStyle name="asd 4 4 3 2 22" xfId="43575"/>
    <cellStyle name="asd 4 4 3 2 3" xfId="8715"/>
    <cellStyle name="asd 4 4 3 2 4" xfId="10625"/>
    <cellStyle name="asd 4 4 3 2 5" xfId="11391"/>
    <cellStyle name="asd 4 4 3 2 6" xfId="14294"/>
    <cellStyle name="asd 4 4 3 2 7" xfId="16198"/>
    <cellStyle name="asd 4 4 3 2 8" xfId="18244"/>
    <cellStyle name="asd 4 4 3 2 9" xfId="20150"/>
    <cellStyle name="asd 4 4 3 20" xfId="37962"/>
    <cellStyle name="asd 4 4 3 21" xfId="40194"/>
    <cellStyle name="asd 4 4 3 22" xfId="41853"/>
    <cellStyle name="asd 4 4 3 23" xfId="43030"/>
    <cellStyle name="asd 4 4 3 3" xfId="5206"/>
    <cellStyle name="asd 4 4 3 4" xfId="8107"/>
    <cellStyle name="asd 4 4 3 5" xfId="10017"/>
    <cellStyle name="asd 4 4 3 6" xfId="11166"/>
    <cellStyle name="asd 4 4 3 7" xfId="13725"/>
    <cellStyle name="asd 4 4 3 8" xfId="15627"/>
    <cellStyle name="asd 4 4 3 9" xfId="17636"/>
    <cellStyle name="asd 4 4 4" xfId="3992"/>
    <cellStyle name="asd 4 4 4 10" xfId="19627"/>
    <cellStyle name="asd 4 4 4 11" xfId="21539"/>
    <cellStyle name="asd 4 4 4 12" xfId="24076"/>
    <cellStyle name="asd 4 4 4 13" xfId="25341"/>
    <cellStyle name="asd 4 4 4 14" xfId="27031"/>
    <cellStyle name="asd 4 4 4 15" xfId="3343"/>
    <cellStyle name="asd 4 4 4 16" xfId="30624"/>
    <cellStyle name="asd 4 4 4 17" xfId="31822"/>
    <cellStyle name="asd 4 4 4 18" xfId="34604"/>
    <cellStyle name="asd 4 4 4 19" xfId="36168"/>
    <cellStyle name="asd 4 4 4 2" xfId="5897"/>
    <cellStyle name="asd 4 4 4 2 10" xfId="22147"/>
    <cellStyle name="asd 4 4 4 2 11" xfId="23260"/>
    <cellStyle name="asd 4 4 4 2 12" xfId="25949"/>
    <cellStyle name="asd 4 4 4 2 13" xfId="27378"/>
    <cellStyle name="asd 4 4 4 2 14" xfId="28112"/>
    <cellStyle name="asd 4 4 4 2 15" xfId="30964"/>
    <cellStyle name="asd 4 4 4 2 16" xfId="31816"/>
    <cellStyle name="asd 4 4 4 2 17" xfId="34411"/>
    <cellStyle name="asd 4 4 4 2 18" xfId="36776"/>
    <cellStyle name="asd 4 4 4 2 19" xfId="38655"/>
    <cellStyle name="asd 4 4 4 2 2" xfId="7346"/>
    <cellStyle name="asd 4 4 4 2 20" xfId="39054"/>
    <cellStyle name="asd 4 4 4 2 21" xfId="40736"/>
    <cellStyle name="asd 4 4 4 2 22" xfId="43036"/>
    <cellStyle name="asd 4 4 4 2 3" xfId="8800"/>
    <cellStyle name="asd 4 4 4 2 4" xfId="10710"/>
    <cellStyle name="asd 4 4 4 2 5" xfId="11185"/>
    <cellStyle name="asd 4 4 4 2 6" xfId="13732"/>
    <cellStyle name="asd 4 4 4 2 7" xfId="15634"/>
    <cellStyle name="asd 4 4 4 2 8" xfId="18329"/>
    <cellStyle name="asd 4 4 4 2 9" xfId="20235"/>
    <cellStyle name="asd 4 4 4 20" xfId="38047"/>
    <cellStyle name="asd 4 4 4 21" xfId="39060"/>
    <cellStyle name="asd 4 4 4 22" xfId="40742"/>
    <cellStyle name="asd 4 4 4 23" xfId="43820"/>
    <cellStyle name="asd 4 4 4 3" xfId="6738"/>
    <cellStyle name="asd 4 4 4 4" xfId="8192"/>
    <cellStyle name="asd 4 4 4 5" xfId="10102"/>
    <cellStyle name="asd 4 4 4 6" xfId="12035"/>
    <cellStyle name="asd 4 4 4 7" xfId="14546"/>
    <cellStyle name="asd 4 4 4 8" xfId="16452"/>
    <cellStyle name="asd 4 4 4 9" xfId="17721"/>
    <cellStyle name="asd 4 4 5" xfId="2175"/>
    <cellStyle name="asd 4 4 5 10" xfId="20470"/>
    <cellStyle name="asd 4 4 5 11" xfId="23586"/>
    <cellStyle name="asd 4 4 5 12" xfId="24272"/>
    <cellStyle name="asd 4 4 5 13" xfId="26180"/>
    <cellStyle name="asd 4 4 5 14" xfId="29470"/>
    <cellStyle name="asd 4 4 5 15" xfId="29793"/>
    <cellStyle name="asd 4 4 5 16" xfId="32487"/>
    <cellStyle name="asd 4 4 5 17" xfId="33541"/>
    <cellStyle name="asd 4 4 5 18" xfId="35100"/>
    <cellStyle name="asd 4 4 5 19" xfId="36978"/>
    <cellStyle name="asd 4 4 5 2" xfId="4834"/>
    <cellStyle name="asd 4 4 5 20" xfId="39703"/>
    <cellStyle name="asd 4 4 5 21" xfId="41375"/>
    <cellStyle name="asd 4 4 5 22" xfId="43346"/>
    <cellStyle name="asd 4 4 5 3" xfId="6266"/>
    <cellStyle name="asd 4 4 5 4" xfId="9032"/>
    <cellStyle name="asd 4 4 5 5" xfId="12287"/>
    <cellStyle name="asd 4 4 5 6" xfId="14057"/>
    <cellStyle name="asd 4 4 5 7" xfId="15959"/>
    <cellStyle name="asd 4 4 5 8" xfId="16651"/>
    <cellStyle name="asd 4 4 5 9" xfId="18558"/>
    <cellStyle name="asd 4 4 6" xfId="4305"/>
    <cellStyle name="asd 4 4 7" xfId="9034"/>
    <cellStyle name="asd 4 4 8" xfId="12463"/>
    <cellStyle name="asd 4 4 9" xfId="13314"/>
    <cellStyle name="asd 4 5" xfId="1827"/>
    <cellStyle name="asd 4 5 10" xfId="17068"/>
    <cellStyle name="asd 4 5 11" xfId="18974"/>
    <cellStyle name="asd 4 5 12" xfId="20886"/>
    <cellStyle name="asd 4 5 13" xfId="23616"/>
    <cellStyle name="asd 4 5 14" xfId="24688"/>
    <cellStyle name="asd 4 5 15" xfId="27163"/>
    <cellStyle name="asd 4 5 16" xfId="2902"/>
    <cellStyle name="asd 4 5 17" xfId="30754"/>
    <cellStyle name="asd 4 5 18" xfId="32797"/>
    <cellStyle name="asd 4 5 19" xfId="33701"/>
    <cellStyle name="asd 4 5 2" xfId="4525"/>
    <cellStyle name="asd 4 5 2 10" xfId="20770"/>
    <cellStyle name="asd 4 5 2 11" xfId="23803"/>
    <cellStyle name="asd 4 5 2 12" xfId="24572"/>
    <cellStyle name="asd 4 5 2 13" xfId="27740"/>
    <cellStyle name="asd 4 5 2 14" xfId="29302"/>
    <cellStyle name="asd 4 5 2 15" xfId="31318"/>
    <cellStyle name="asd 4 5 2 16" xfId="32813"/>
    <cellStyle name="asd 4 5 2 17" xfId="34120"/>
    <cellStyle name="asd 4 5 2 18" xfId="35400"/>
    <cellStyle name="asd 4 5 2 19" xfId="37278"/>
    <cellStyle name="asd 4 5 2 2" xfId="4295"/>
    <cellStyle name="asd 4 5 2 20" xfId="40022"/>
    <cellStyle name="asd 4 5 2 21" xfId="41686"/>
    <cellStyle name="asd 4 5 2 22" xfId="43555"/>
    <cellStyle name="asd 4 5 2 3" xfId="3299"/>
    <cellStyle name="asd 4 5 2 4" xfId="9332"/>
    <cellStyle name="asd 4 5 2 5" xfId="11723"/>
    <cellStyle name="asd 4 5 2 6" xfId="14273"/>
    <cellStyle name="asd 4 5 2 7" xfId="16177"/>
    <cellStyle name="asd 4 5 2 8" xfId="16951"/>
    <cellStyle name="asd 4 5 2 9" xfId="18858"/>
    <cellStyle name="asd 4 5 20" xfId="35515"/>
    <cellStyle name="asd 4 5 21" xfId="37394"/>
    <cellStyle name="asd 4 5 22" xfId="40006"/>
    <cellStyle name="asd 4 5 23" xfId="41670"/>
    <cellStyle name="asd 4 5 24" xfId="43374"/>
    <cellStyle name="asd 4 5 3" xfId="4642"/>
    <cellStyle name="asd 4 5 4" xfId="6089"/>
    <cellStyle name="asd 4 5 5" xfId="7539"/>
    <cellStyle name="asd 4 5 6" xfId="9449"/>
    <cellStyle name="asd 4 5 7" xfId="11625"/>
    <cellStyle name="asd 4 5 8" xfId="14086"/>
    <cellStyle name="asd 4 5 9" xfId="15989"/>
    <cellStyle name="asd 4 6" xfId="3012"/>
    <cellStyle name="asd 4 6 10" xfId="19138"/>
    <cellStyle name="asd 4 6 11" xfId="21050"/>
    <cellStyle name="asd 4 6 12" xfId="22387"/>
    <cellStyle name="asd 4 6 13" xfId="24852"/>
    <cellStyle name="asd 4 6 14" xfId="3174"/>
    <cellStyle name="asd 4 6 15" xfId="28809"/>
    <cellStyle name="asd 4 6 16" xfId="29496"/>
    <cellStyle name="asd 4 6 17" xfId="2974"/>
    <cellStyle name="asd 4 6 18" xfId="26487"/>
    <cellStyle name="asd 4 6 19" xfId="35679"/>
    <cellStyle name="asd 4 6 2" xfId="4535"/>
    <cellStyle name="asd 4 6 2 10" xfId="20780"/>
    <cellStyle name="asd 4 6 2 11" xfId="22451"/>
    <cellStyle name="asd 4 6 2 12" xfId="24582"/>
    <cellStyle name="asd 4 6 2 13" xfId="26727"/>
    <cellStyle name="asd 4 6 2 14" xfId="28888"/>
    <cellStyle name="asd 4 6 2 15" xfId="30327"/>
    <cellStyle name="asd 4 6 2 16" xfId="32708"/>
    <cellStyle name="asd 4 6 2 17" xfId="33811"/>
    <cellStyle name="asd 4 6 2 18" xfId="35410"/>
    <cellStyle name="asd 4 6 2 19" xfId="37288"/>
    <cellStyle name="asd 4 6 2 2" xfId="1965"/>
    <cellStyle name="asd 4 6 2 20" xfId="39916"/>
    <cellStyle name="asd 4 6 2 21" xfId="41585"/>
    <cellStyle name="asd 4 6 2 22" xfId="42262"/>
    <cellStyle name="asd 4 6 2 3" xfId="4528"/>
    <cellStyle name="asd 4 6 2 4" xfId="9342"/>
    <cellStyle name="asd 4 6 2 5" xfId="12713"/>
    <cellStyle name="asd 4 6 2 6" xfId="12919"/>
    <cellStyle name="asd 4 6 2 7" xfId="14824"/>
    <cellStyle name="asd 4 6 2 8" xfId="16961"/>
    <cellStyle name="asd 4 6 2 9" xfId="18868"/>
    <cellStyle name="asd 4 6 20" xfId="37558"/>
    <cellStyle name="asd 4 6 21" xfId="2388"/>
    <cellStyle name="asd 4 6 22" xfId="3909"/>
    <cellStyle name="asd 4 6 23" xfId="42198"/>
    <cellStyle name="asd 4 6 3" xfId="4802"/>
    <cellStyle name="asd 4 6 4" xfId="7703"/>
    <cellStyle name="asd 4 6 5" xfId="9613"/>
    <cellStyle name="asd 4 6 6" xfId="11049"/>
    <cellStyle name="asd 4 6 7" xfId="12854"/>
    <cellStyle name="asd 4 6 8" xfId="14759"/>
    <cellStyle name="asd 4 6 9" xfId="17232"/>
    <cellStyle name="asd 4 7" xfId="2425"/>
    <cellStyle name="asd 4 7 10" xfId="19066"/>
    <cellStyle name="asd 4 7 11" xfId="20978"/>
    <cellStyle name="asd 4 7 12" xfId="24142"/>
    <cellStyle name="asd 4 7 13" xfId="24780"/>
    <cellStyle name="asd 4 7 14" xfId="26254"/>
    <cellStyle name="asd 4 7 15" xfId="3042"/>
    <cellStyle name="asd 4 7 16" xfId="29864"/>
    <cellStyle name="asd 4 7 17" xfId="33327"/>
    <cellStyle name="asd 4 7 18" xfId="31888"/>
    <cellStyle name="asd 4 7 19" xfId="35607"/>
    <cellStyle name="asd 4 7 2" xfId="5604"/>
    <cellStyle name="asd 4 7 2 10" xfId="21854"/>
    <cellStyle name="asd 4 7 2 11" xfId="24079"/>
    <cellStyle name="asd 4 7 2 12" xfId="25656"/>
    <cellStyle name="asd 4 7 2 13" xfId="26896"/>
    <cellStyle name="asd 4 7 2 14" xfId="2639"/>
    <cellStyle name="asd 4 7 2 15" xfId="30492"/>
    <cellStyle name="asd 4 7 2 16" xfId="27921"/>
    <cellStyle name="asd 4 7 2 17" xfId="28119"/>
    <cellStyle name="asd 4 7 2 18" xfId="36483"/>
    <cellStyle name="asd 4 7 2 19" xfId="38362"/>
    <cellStyle name="asd 4 7 2 2" xfId="7053"/>
    <cellStyle name="asd 4 7 2 20" xfId="3169"/>
    <cellStyle name="asd 4 7 2 21" xfId="34274"/>
    <cellStyle name="asd 4 7 2 22" xfId="43823"/>
    <cellStyle name="asd 4 7 2 3" xfId="8507"/>
    <cellStyle name="asd 4 7 2 4" xfId="10417"/>
    <cellStyle name="asd 4 7 2 5" xfId="12038"/>
    <cellStyle name="asd 4 7 2 6" xfId="14549"/>
    <cellStyle name="asd 4 7 2 7" xfId="16455"/>
    <cellStyle name="asd 4 7 2 8" xfId="18036"/>
    <cellStyle name="asd 4 7 2 9" xfId="19942"/>
    <cellStyle name="asd 4 7 20" xfId="37486"/>
    <cellStyle name="asd 4 7 21" xfId="40507"/>
    <cellStyle name="asd 4 7 22" xfId="42159"/>
    <cellStyle name="asd 4 7 23" xfId="43885"/>
    <cellStyle name="asd 4 7 3" xfId="6180"/>
    <cellStyle name="asd 4 7 4" xfId="7631"/>
    <cellStyle name="asd 4 7 5" xfId="9541"/>
    <cellStyle name="asd 4 7 6" xfId="12102"/>
    <cellStyle name="asd 4 7 7" xfId="14613"/>
    <cellStyle name="asd 4 7 8" xfId="16519"/>
    <cellStyle name="asd 4 7 9" xfId="17160"/>
    <cellStyle name="asd 4 8" xfId="2477"/>
    <cellStyle name="asd 4 9" xfId="2071"/>
    <cellStyle name="asd 40" xfId="981"/>
    <cellStyle name="asd 40 10" xfId="1987"/>
    <cellStyle name="asd 40 11" xfId="3261"/>
    <cellStyle name="asd 40 12" xfId="2741"/>
    <cellStyle name="asd 40 13" xfId="3341"/>
    <cellStyle name="asd 40 14" xfId="3252"/>
    <cellStyle name="asd 40 15" xfId="4266"/>
    <cellStyle name="asd 40 16" xfId="3043"/>
    <cellStyle name="asd 40 17" xfId="2491"/>
    <cellStyle name="asd 40 18" xfId="3324"/>
    <cellStyle name="asd 40 19" xfId="27986"/>
    <cellStyle name="asd 40 2" xfId="3384"/>
    <cellStyle name="asd 40 2 10" xfId="13599"/>
    <cellStyle name="asd 40 2 11" xfId="15502"/>
    <cellStyle name="asd 40 2 12" xfId="16706"/>
    <cellStyle name="asd 40 2 13" xfId="18613"/>
    <cellStyle name="asd 40 2 14" xfId="20525"/>
    <cellStyle name="asd 40 2 15" xfId="23128"/>
    <cellStyle name="asd 40 2 16" xfId="24327"/>
    <cellStyle name="asd 40 2 17" xfId="27889"/>
    <cellStyle name="asd 40 2 18" xfId="28054"/>
    <cellStyle name="asd 40 2 19" xfId="31471"/>
    <cellStyle name="asd 40 2 2" xfId="3564"/>
    <cellStyle name="asd 40 2 2 10" xfId="17455"/>
    <cellStyle name="asd 40 2 2 11" xfId="19361"/>
    <cellStyle name="asd 40 2 2 12" xfId="21273"/>
    <cellStyle name="asd 40 2 2 13" xfId="22961"/>
    <cellStyle name="asd 40 2 2 14" xfId="25075"/>
    <cellStyle name="asd 40 2 2 15" xfId="27102"/>
    <cellStyle name="asd 40 2 2 16" xfId="16273"/>
    <cellStyle name="asd 40 2 2 17" xfId="30693"/>
    <cellStyle name="asd 40 2 2 18" xfId="32683"/>
    <cellStyle name="asd 40 2 2 19" xfId="34594"/>
    <cellStyle name="asd 40 2 2 2" xfId="5620"/>
    <cellStyle name="asd 40 2 2 2 10" xfId="21870"/>
    <cellStyle name="asd 40 2 2 2 11" xfId="23490"/>
    <cellStyle name="asd 40 2 2 2 12" xfId="25672"/>
    <cellStyle name="asd 40 2 2 2 13" xfId="27893"/>
    <cellStyle name="asd 40 2 2 2 14" xfId="11891"/>
    <cellStyle name="asd 40 2 2 2 15" xfId="31475"/>
    <cellStyle name="asd 40 2 2 2 16" xfId="29066"/>
    <cellStyle name="asd 40 2 2 2 17" xfId="31851"/>
    <cellStyle name="asd 40 2 2 2 18" xfId="36499"/>
    <cellStyle name="asd 40 2 2 2 19" xfId="38378"/>
    <cellStyle name="asd 40 2 2 2 2" xfId="7069"/>
    <cellStyle name="asd 40 2 2 2 20" xfId="1770"/>
    <cellStyle name="asd 40 2 2 2 21" xfId="34702"/>
    <cellStyle name="asd 40 2 2 2 22" xfId="43256"/>
    <cellStyle name="asd 40 2 2 2 3" xfId="8523"/>
    <cellStyle name="asd 40 2 2 2 4" xfId="10433"/>
    <cellStyle name="asd 40 2 2 2 5" xfId="11106"/>
    <cellStyle name="asd 40 2 2 2 6" xfId="13962"/>
    <cellStyle name="asd 40 2 2 2 7" xfId="15863"/>
    <cellStyle name="asd 40 2 2 2 8" xfId="18052"/>
    <cellStyle name="asd 40 2 2 2 9" xfId="19958"/>
    <cellStyle name="asd 40 2 2 20" xfId="35902"/>
    <cellStyle name="asd 40 2 2 21" xfId="37781"/>
    <cellStyle name="asd 40 2 2 22" xfId="39891"/>
    <cellStyle name="asd 40 2 2 23" xfId="41560"/>
    <cellStyle name="asd 40 2 2 24" xfId="42747"/>
    <cellStyle name="asd 40 2 2 3" xfId="5025"/>
    <cellStyle name="asd 40 2 2 4" xfId="6475"/>
    <cellStyle name="asd 40 2 2 5" xfId="7926"/>
    <cellStyle name="asd 40 2 2 6" xfId="9836"/>
    <cellStyle name="asd 40 2 2 7" xfId="11147"/>
    <cellStyle name="asd 40 2 2 8" xfId="13430"/>
    <cellStyle name="asd 40 2 2 9" xfId="15335"/>
    <cellStyle name="asd 40 2 20" xfId="32594"/>
    <cellStyle name="asd 40 2 21" xfId="34687"/>
    <cellStyle name="asd 40 2 22" xfId="35155"/>
    <cellStyle name="asd 40 2 23" xfId="37033"/>
    <cellStyle name="asd 40 2 24" xfId="39805"/>
    <cellStyle name="asd 40 2 25" xfId="41474"/>
    <cellStyle name="asd 40 2 26" xfId="42907"/>
    <cellStyle name="asd 40 2 3" xfId="3898"/>
    <cellStyle name="asd 40 2 3 10" xfId="19604"/>
    <cellStyle name="asd 40 2 3 11" xfId="21516"/>
    <cellStyle name="asd 40 2 3 12" xfId="23549"/>
    <cellStyle name="asd 40 2 3 13" xfId="25318"/>
    <cellStyle name="asd 40 2 3 14" xfId="27425"/>
    <cellStyle name="asd 40 2 3 15" xfId="29093"/>
    <cellStyle name="asd 40 2 3 16" xfId="31011"/>
    <cellStyle name="asd 40 2 3 17" xfId="32544"/>
    <cellStyle name="asd 40 2 3 18" xfId="34393"/>
    <cellStyle name="asd 40 2 3 19" xfId="36145"/>
    <cellStyle name="asd 40 2 3 2" xfId="5874"/>
    <cellStyle name="asd 40 2 3 2 10" xfId="22124"/>
    <cellStyle name="asd 40 2 3 2 11" xfId="22570"/>
    <cellStyle name="asd 40 2 3 2 12" xfId="25926"/>
    <cellStyle name="asd 40 2 3 2 13" xfId="27041"/>
    <cellStyle name="asd 40 2 3 2 14" xfId="28949"/>
    <cellStyle name="asd 40 2 3 2 15" xfId="30634"/>
    <cellStyle name="asd 40 2 3 2 16" xfId="32479"/>
    <cellStyle name="asd 40 2 3 2 17" xfId="34226"/>
    <cellStyle name="asd 40 2 3 2 18" xfId="36753"/>
    <cellStyle name="asd 40 2 3 2 19" xfId="38632"/>
    <cellStyle name="asd 40 2 3 2 2" xfId="7323"/>
    <cellStyle name="asd 40 2 3 2 20" xfId="39697"/>
    <cellStyle name="asd 40 2 3 2 21" xfId="41370"/>
    <cellStyle name="asd 40 2 3 2 22" xfId="42379"/>
    <cellStyle name="asd 40 2 3 2 3" xfId="8777"/>
    <cellStyle name="asd 40 2 3 2 4" xfId="10687"/>
    <cellStyle name="asd 40 2 3 2 5" xfId="2615"/>
    <cellStyle name="asd 40 2 3 2 6" xfId="13038"/>
    <cellStyle name="asd 40 2 3 2 7" xfId="14942"/>
    <cellStyle name="asd 40 2 3 2 8" xfId="18306"/>
    <cellStyle name="asd 40 2 3 2 9" xfId="20212"/>
    <cellStyle name="asd 40 2 3 20" xfId="38024"/>
    <cellStyle name="asd 40 2 3 21" xfId="39757"/>
    <cellStyle name="asd 40 2 3 22" xfId="41429"/>
    <cellStyle name="asd 40 2 3 23" xfId="43313"/>
    <cellStyle name="asd 40 2 3 3" xfId="5268"/>
    <cellStyle name="asd 40 2 3 4" xfId="8169"/>
    <cellStyle name="asd 40 2 3 5" xfId="10079"/>
    <cellStyle name="asd 40 2 3 6" xfId="12495"/>
    <cellStyle name="asd 40 2 3 7" xfId="14021"/>
    <cellStyle name="asd 40 2 3 8" xfId="15922"/>
    <cellStyle name="asd 40 2 3 9" xfId="17698"/>
    <cellStyle name="asd 40 2 4" xfId="4016"/>
    <cellStyle name="asd 40 2 4 10" xfId="19651"/>
    <cellStyle name="asd 40 2 4 11" xfId="21563"/>
    <cellStyle name="asd 40 2 4 12" xfId="22508"/>
    <cellStyle name="asd 40 2 4 13" xfId="25365"/>
    <cellStyle name="asd 40 2 4 14" xfId="27968"/>
    <cellStyle name="asd 40 2 4 15" xfId="28291"/>
    <cellStyle name="asd 40 2 4 16" xfId="31548"/>
    <cellStyle name="asd 40 2 4 17" xfId="30578"/>
    <cellStyle name="asd 40 2 4 18" xfId="28766"/>
    <cellStyle name="asd 40 2 4 19" xfId="36192"/>
    <cellStyle name="asd 40 2 4 2" xfId="5921"/>
    <cellStyle name="asd 40 2 4 2 10" xfId="22171"/>
    <cellStyle name="asd 40 2 4 2 11" xfId="23167"/>
    <cellStyle name="asd 40 2 4 2 12" xfId="25973"/>
    <cellStyle name="asd 40 2 4 2 13" xfId="26361"/>
    <cellStyle name="asd 40 2 4 2 14" xfId="28324"/>
    <cellStyle name="asd 40 2 4 2 15" xfId="29969"/>
    <cellStyle name="asd 40 2 4 2 16" xfId="32296"/>
    <cellStyle name="asd 40 2 4 2 17" xfId="33649"/>
    <cellStyle name="asd 40 2 4 2 18" xfId="36800"/>
    <cellStyle name="asd 40 2 4 2 19" xfId="38679"/>
    <cellStyle name="asd 40 2 4 2 2" xfId="7370"/>
    <cellStyle name="asd 40 2 4 2 20" xfId="39516"/>
    <cellStyle name="asd 40 2 4 2 21" xfId="41190"/>
    <cellStyle name="asd 40 2 4 2 22" xfId="42945"/>
    <cellStyle name="asd 40 2 4 2 3" xfId="8824"/>
    <cellStyle name="asd 40 2 4 2 4" xfId="10734"/>
    <cellStyle name="asd 40 2 4 2 5" xfId="10979"/>
    <cellStyle name="asd 40 2 4 2 6" xfId="13638"/>
    <cellStyle name="asd 40 2 4 2 7" xfId="15541"/>
    <cellStyle name="asd 40 2 4 2 8" xfId="18353"/>
    <cellStyle name="asd 40 2 4 2 9" xfId="20259"/>
    <cellStyle name="asd 40 2 4 20" xfId="38071"/>
    <cellStyle name="asd 40 2 4 21" xfId="28270"/>
    <cellStyle name="asd 40 2 4 22" xfId="39686"/>
    <cellStyle name="asd 40 2 4 23" xfId="42318"/>
    <cellStyle name="asd 40 2 4 3" xfId="6762"/>
    <cellStyle name="asd 40 2 4 4" xfId="8216"/>
    <cellStyle name="asd 40 2 4 5" xfId="10126"/>
    <cellStyle name="asd 40 2 4 6" xfId="2865"/>
    <cellStyle name="asd 40 2 4 7" xfId="12976"/>
    <cellStyle name="asd 40 2 4 8" xfId="14880"/>
    <cellStyle name="asd 40 2 4 9" xfId="17745"/>
    <cellStyle name="asd 40 2 5" xfId="4885"/>
    <cellStyle name="asd 40 2 5 10" xfId="21133"/>
    <cellStyle name="asd 40 2 5 11" xfId="23252"/>
    <cellStyle name="asd 40 2 5 12" xfId="24935"/>
    <cellStyle name="asd 40 2 5 13" xfId="27728"/>
    <cellStyle name="asd 40 2 5 14" xfId="29455"/>
    <cellStyle name="asd 40 2 5 15" xfId="31306"/>
    <cellStyle name="asd 40 2 5 16" xfId="33236"/>
    <cellStyle name="asd 40 2 5 17" xfId="34583"/>
    <cellStyle name="asd 40 2 5 18" xfId="35762"/>
    <cellStyle name="asd 40 2 5 19" xfId="37641"/>
    <cellStyle name="asd 40 2 5 2" xfId="6335"/>
    <cellStyle name="asd 40 2 5 20" xfId="40426"/>
    <cellStyle name="asd 40 2 5 21" xfId="42081"/>
    <cellStyle name="asd 40 2 5 22" xfId="43029"/>
    <cellStyle name="asd 40 2 5 3" xfId="7786"/>
    <cellStyle name="asd 40 2 5 4" xfId="9696"/>
    <cellStyle name="asd 40 2 5 5" xfId="11165"/>
    <cellStyle name="asd 40 2 5 6" xfId="13724"/>
    <cellStyle name="asd 40 2 5 7" xfId="15626"/>
    <cellStyle name="asd 40 2 5 8" xfId="17315"/>
    <cellStyle name="asd 40 2 5 9" xfId="19221"/>
    <cellStyle name="asd 40 2 6" xfId="5572"/>
    <cellStyle name="asd 40 2 6 10" xfId="21822"/>
    <cellStyle name="asd 40 2 6 11" xfId="23519"/>
    <cellStyle name="asd 40 2 6 12" xfId="25624"/>
    <cellStyle name="asd 40 2 6 13" xfId="27013"/>
    <cellStyle name="asd 40 2 6 14" xfId="28313"/>
    <cellStyle name="asd 40 2 6 15" xfId="30606"/>
    <cellStyle name="asd 40 2 6 16" xfId="32613"/>
    <cellStyle name="asd 40 2 6 17" xfId="34740"/>
    <cellStyle name="asd 40 2 6 18" xfId="36451"/>
    <cellStyle name="asd 40 2 6 19" xfId="38330"/>
    <cellStyle name="asd 40 2 6 2" xfId="7021"/>
    <cellStyle name="asd 40 2 6 20" xfId="39823"/>
    <cellStyle name="asd 40 2 6 21" xfId="41492"/>
    <cellStyle name="asd 40 2 6 22" xfId="43284"/>
    <cellStyle name="asd 40 2 6 3" xfId="8475"/>
    <cellStyle name="asd 40 2 6 4" xfId="10385"/>
    <cellStyle name="asd 40 2 6 5" xfId="12498"/>
    <cellStyle name="asd 40 2 6 6" xfId="13991"/>
    <cellStyle name="asd 40 2 6 7" xfId="15892"/>
    <cellStyle name="asd 40 2 6 8" xfId="18004"/>
    <cellStyle name="asd 40 2 6 9" xfId="19910"/>
    <cellStyle name="asd 40 2 7" xfId="2852"/>
    <cellStyle name="asd 40 2 8" xfId="9087"/>
    <cellStyle name="asd 40 2 9" xfId="12752"/>
    <cellStyle name="asd 40 20" xfId="22340"/>
    <cellStyle name="asd 40 21" xfId="2114"/>
    <cellStyle name="asd 40 22" xfId="27676"/>
    <cellStyle name="asd 40 23" xfId="4190"/>
    <cellStyle name="asd 40 24" xfId="3000"/>
    <cellStyle name="asd 40 25" xfId="4516"/>
    <cellStyle name="asd 40 26" xfId="26124"/>
    <cellStyle name="asd 40 27" xfId="34451"/>
    <cellStyle name="asd 40 3" xfId="3487"/>
    <cellStyle name="asd 40 3 10" xfId="14507"/>
    <cellStyle name="asd 40 3 11" xfId="16413"/>
    <cellStyle name="asd 40 3 12" xfId="16929"/>
    <cellStyle name="asd 40 3 13" xfId="18836"/>
    <cellStyle name="asd 40 3 14" xfId="20748"/>
    <cellStyle name="asd 40 3 15" xfId="24037"/>
    <cellStyle name="asd 40 3 16" xfId="24550"/>
    <cellStyle name="asd 40 3 17" xfId="26898"/>
    <cellStyle name="asd 40 3 18" xfId="9001"/>
    <cellStyle name="asd 40 3 19" xfId="30494"/>
    <cellStyle name="asd 40 3 2" xfId="3667"/>
    <cellStyle name="asd 40 3 2 10" xfId="17558"/>
    <cellStyle name="asd 40 3 2 11" xfId="19464"/>
    <cellStyle name="asd 40 3 2 12" xfId="21376"/>
    <cellStyle name="asd 40 3 2 13" xfId="23771"/>
    <cellStyle name="asd 40 3 2 14" xfId="25178"/>
    <cellStyle name="asd 40 3 2 15" xfId="26657"/>
    <cellStyle name="asd 40 3 2 16" xfId="28190"/>
    <cellStyle name="asd 40 3 2 17" xfId="30257"/>
    <cellStyle name="asd 40 3 2 18" xfId="31827"/>
    <cellStyle name="asd 40 3 2 19" xfId="34289"/>
    <cellStyle name="asd 40 3 2 2" xfId="5605"/>
    <cellStyle name="asd 40 3 2 2 10" xfId="21855"/>
    <cellStyle name="asd 40 3 2 2 11" xfId="23475"/>
    <cellStyle name="asd 40 3 2 2 12" xfId="25657"/>
    <cellStyle name="asd 40 3 2 2 13" xfId="27210"/>
    <cellStyle name="asd 40 3 2 2 14" xfId="29252"/>
    <cellStyle name="asd 40 3 2 2 15" xfId="30801"/>
    <cellStyle name="asd 40 3 2 2 16" xfId="32843"/>
    <cellStyle name="asd 40 3 2 2 17" xfId="34189"/>
    <cellStyle name="asd 40 3 2 2 18" xfId="36484"/>
    <cellStyle name="asd 40 3 2 2 19" xfId="38363"/>
    <cellStyle name="asd 40 3 2 2 2" xfId="7054"/>
    <cellStyle name="asd 40 3 2 2 20" xfId="40050"/>
    <cellStyle name="asd 40 3 2 2 21" xfId="41714"/>
    <cellStyle name="asd 40 3 2 2 22" xfId="43242"/>
    <cellStyle name="asd 40 3 2 2 3" xfId="8508"/>
    <cellStyle name="asd 40 3 2 2 4" xfId="10418"/>
    <cellStyle name="asd 40 3 2 2 5" xfId="12538"/>
    <cellStyle name="asd 40 3 2 2 6" xfId="13947"/>
    <cellStyle name="asd 40 3 2 2 7" xfId="15848"/>
    <cellStyle name="asd 40 3 2 2 8" xfId="18037"/>
    <cellStyle name="asd 40 3 2 2 9" xfId="19943"/>
    <cellStyle name="asd 40 3 2 20" xfId="36005"/>
    <cellStyle name="asd 40 3 2 21" xfId="37884"/>
    <cellStyle name="asd 40 3 2 22" xfId="39065"/>
    <cellStyle name="asd 40 3 2 23" xfId="40747"/>
    <cellStyle name="asd 40 3 2 24" xfId="43524"/>
    <cellStyle name="asd 40 3 2 3" xfId="5128"/>
    <cellStyle name="asd 40 3 2 4" xfId="6578"/>
    <cellStyle name="asd 40 3 2 5" xfId="8029"/>
    <cellStyle name="asd 40 3 2 6" xfId="9939"/>
    <cellStyle name="asd 40 3 2 7" xfId="11425"/>
    <cellStyle name="asd 40 3 2 8" xfId="14241"/>
    <cellStyle name="asd 40 3 2 9" xfId="16145"/>
    <cellStyle name="asd 40 3 20" xfId="32094"/>
    <cellStyle name="asd 40 3 21" xfId="35015"/>
    <cellStyle name="asd 40 3 22" xfId="35378"/>
    <cellStyle name="asd 40 3 23" xfId="37256"/>
    <cellStyle name="asd 40 3 24" xfId="39318"/>
    <cellStyle name="asd 40 3 25" xfId="40994"/>
    <cellStyle name="asd 40 3 26" xfId="43781"/>
    <cellStyle name="asd 40 3 3" xfId="3196"/>
    <cellStyle name="asd 40 3 3 10" xfId="19176"/>
    <cellStyle name="asd 40 3 3 11" xfId="21088"/>
    <cellStyle name="asd 40 3 3 12" xfId="24019"/>
    <cellStyle name="asd 40 3 3 13" xfId="24890"/>
    <cellStyle name="asd 40 3 3 14" xfId="27036"/>
    <cellStyle name="asd 40 3 3 15" xfId="28969"/>
    <cellStyle name="asd 40 3 3 16" xfId="30629"/>
    <cellStyle name="asd 40 3 3 17" xfId="33311"/>
    <cellStyle name="asd 40 3 3 18" xfId="34355"/>
    <cellStyle name="asd 40 3 3 19" xfId="35717"/>
    <cellStyle name="asd 40 3 3 2" xfId="4593"/>
    <cellStyle name="asd 40 3 3 2 10" xfId="20838"/>
    <cellStyle name="asd 40 3 3 2 11" xfId="22579"/>
    <cellStyle name="asd 40 3 3 2 12" xfId="24640"/>
    <cellStyle name="asd 40 3 3 2 13" xfId="26940"/>
    <cellStyle name="asd 40 3 3 2 14" xfId="28435"/>
    <cellStyle name="asd 40 3 3 2 15" xfId="30534"/>
    <cellStyle name="asd 40 3 3 2 16" xfId="32098"/>
    <cellStyle name="asd 40 3 3 2 17" xfId="34201"/>
    <cellStyle name="asd 40 3 3 2 18" xfId="35468"/>
    <cellStyle name="asd 40 3 3 2 19" xfId="37346"/>
    <cellStyle name="asd 40 3 3 2 2" xfId="1813"/>
    <cellStyle name="asd 40 3 3 2 20" xfId="39322"/>
    <cellStyle name="asd 40 3 3 2 21" xfId="40998"/>
    <cellStyle name="asd 40 3 3 2 22" xfId="42388"/>
    <cellStyle name="asd 40 3 3 2 3" xfId="1963"/>
    <cellStyle name="asd 40 3 3 2 4" xfId="9400"/>
    <cellStyle name="asd 40 3 3 2 5" xfId="3278"/>
    <cellStyle name="asd 40 3 3 2 6" xfId="13047"/>
    <cellStyle name="asd 40 3 3 2 7" xfId="14951"/>
    <cellStyle name="asd 40 3 3 2 8" xfId="17019"/>
    <cellStyle name="asd 40 3 3 2 9" xfId="18926"/>
    <cellStyle name="asd 40 3 3 20" xfId="37596"/>
    <cellStyle name="asd 40 3 3 21" xfId="40493"/>
    <cellStyle name="asd 40 3 3 22" xfId="42146"/>
    <cellStyle name="asd 40 3 3 23" xfId="43763"/>
    <cellStyle name="asd 40 3 3 3" xfId="4840"/>
    <cellStyle name="asd 40 3 3 4" xfId="7741"/>
    <cellStyle name="asd 40 3 3 5" xfId="9651"/>
    <cellStyle name="asd 40 3 3 6" xfId="11978"/>
    <cellStyle name="asd 40 3 3 7" xfId="14489"/>
    <cellStyle name="asd 40 3 3 8" xfId="16395"/>
    <cellStyle name="asd 40 3 3 9" xfId="17270"/>
    <cellStyle name="asd 40 3 4" xfId="4119"/>
    <cellStyle name="asd 40 3 4 10" xfId="19754"/>
    <cellStyle name="asd 40 3 4 11" xfId="21666"/>
    <cellStyle name="asd 40 3 4 12" xfId="22707"/>
    <cellStyle name="asd 40 3 4 13" xfId="25468"/>
    <cellStyle name="asd 40 3 4 14" xfId="27727"/>
    <cellStyle name="asd 40 3 4 15" xfId="28946"/>
    <cellStyle name="asd 40 3 4 16" xfId="31305"/>
    <cellStyle name="asd 40 3 4 17" xfId="32268"/>
    <cellStyle name="asd 40 3 4 18" xfId="34059"/>
    <cellStyle name="asd 40 3 4 19" xfId="36295"/>
    <cellStyle name="asd 40 3 4 2" xfId="6024"/>
    <cellStyle name="asd 40 3 4 2 10" xfId="22274"/>
    <cellStyle name="asd 40 3 4 2 11" xfId="24163"/>
    <cellStyle name="asd 40 3 4 2 12" xfId="26076"/>
    <cellStyle name="asd 40 3 4 2 13" xfId="27212"/>
    <cellStyle name="asd 40 3 4 2 14" xfId="29043"/>
    <cellStyle name="asd 40 3 4 2 15" xfId="30803"/>
    <cellStyle name="asd 40 3 4 2 16" xfId="33228"/>
    <cellStyle name="asd 40 3 4 2 17" xfId="34566"/>
    <cellStyle name="asd 40 3 4 2 18" xfId="36903"/>
    <cellStyle name="asd 40 3 4 2 19" xfId="38782"/>
    <cellStyle name="asd 40 3 4 2 2" xfId="7473"/>
    <cellStyle name="asd 40 3 4 2 20" xfId="40417"/>
    <cellStyle name="asd 40 3 4 2 21" xfId="42073"/>
    <cellStyle name="asd 40 3 4 2 22" xfId="43905"/>
    <cellStyle name="asd 40 3 4 2 3" xfId="8927"/>
    <cellStyle name="asd 40 3 4 2 4" xfId="10837"/>
    <cellStyle name="asd 40 3 4 2 5" xfId="12123"/>
    <cellStyle name="asd 40 3 4 2 6" xfId="14634"/>
    <cellStyle name="asd 40 3 4 2 7" xfId="16540"/>
    <cellStyle name="asd 40 3 4 2 8" xfId="18456"/>
    <cellStyle name="asd 40 3 4 2 9" xfId="20362"/>
    <cellStyle name="asd 40 3 4 20" xfId="38174"/>
    <cellStyle name="asd 40 3 4 21" xfId="39486"/>
    <cellStyle name="asd 40 3 4 22" xfId="41161"/>
    <cellStyle name="asd 40 3 4 23" xfId="42507"/>
    <cellStyle name="asd 40 3 4 3" xfId="6865"/>
    <cellStyle name="asd 40 3 4 4" xfId="8319"/>
    <cellStyle name="asd 40 3 4 5" xfId="10229"/>
    <cellStyle name="asd 40 3 4 6" xfId="11427"/>
    <cellStyle name="asd 40 3 4 7" xfId="13175"/>
    <cellStyle name="asd 40 3 4 8" xfId="15079"/>
    <cellStyle name="asd 40 3 4 9" xfId="17848"/>
    <cellStyle name="asd 40 3 5" xfId="4967"/>
    <cellStyle name="asd 40 3 5 10" xfId="21215"/>
    <cellStyle name="asd 40 3 5 11" xfId="22380"/>
    <cellStyle name="asd 40 3 5 12" xfId="25017"/>
    <cellStyle name="asd 40 3 5 13" xfId="26638"/>
    <cellStyle name="asd 40 3 5 14" xfId="29265"/>
    <cellStyle name="asd 40 3 5 15" xfId="30241"/>
    <cellStyle name="asd 40 3 5 16" xfId="32175"/>
    <cellStyle name="asd 40 3 5 17" xfId="34039"/>
    <cellStyle name="asd 40 3 5 18" xfId="35844"/>
    <cellStyle name="asd 40 3 5 19" xfId="37723"/>
    <cellStyle name="asd 40 3 5 2" xfId="6417"/>
    <cellStyle name="asd 40 3 5 20" xfId="39397"/>
    <cellStyle name="asd 40 3 5 21" xfId="41073"/>
    <cellStyle name="asd 40 3 5 22" xfId="42191"/>
    <cellStyle name="asd 40 3 5 3" xfId="7868"/>
    <cellStyle name="asd 40 3 5 4" xfId="9778"/>
    <cellStyle name="asd 40 3 5 5" xfId="12418"/>
    <cellStyle name="asd 40 3 5 6" xfId="12847"/>
    <cellStyle name="asd 40 3 5 7" xfId="14752"/>
    <cellStyle name="asd 40 3 5 8" xfId="17397"/>
    <cellStyle name="asd 40 3 5 9" xfId="19303"/>
    <cellStyle name="asd 40 3 6" xfId="5638"/>
    <cellStyle name="asd 40 3 6 10" xfId="21888"/>
    <cellStyle name="asd 40 3 6 11" xfId="23495"/>
    <cellStyle name="asd 40 3 6 12" xfId="25690"/>
    <cellStyle name="asd 40 3 6 13" xfId="27021"/>
    <cellStyle name="asd 40 3 6 14" xfId="28443"/>
    <cellStyle name="asd 40 3 6 15" xfId="30614"/>
    <cellStyle name="asd 40 3 6 16" xfId="33214"/>
    <cellStyle name="asd 40 3 6 17" xfId="33559"/>
    <cellStyle name="asd 40 3 6 18" xfId="36517"/>
    <cellStyle name="asd 40 3 6 19" xfId="38396"/>
    <cellStyle name="asd 40 3 6 2" xfId="7087"/>
    <cellStyle name="asd 40 3 6 20" xfId="40403"/>
    <cellStyle name="asd 40 3 6 21" xfId="42059"/>
    <cellStyle name="asd 40 3 6 22" xfId="43261"/>
    <cellStyle name="asd 40 3 6 3" xfId="8541"/>
    <cellStyle name="asd 40 3 6 4" xfId="10451"/>
    <cellStyle name="asd 40 3 6 5" xfId="12558"/>
    <cellStyle name="asd 40 3 6 6" xfId="13967"/>
    <cellStyle name="asd 40 3 6 7" xfId="15868"/>
    <cellStyle name="asd 40 3 6 8" xfId="18070"/>
    <cellStyle name="asd 40 3 6 9" xfId="19976"/>
    <cellStyle name="asd 40 3 7" xfId="5418"/>
    <cellStyle name="asd 40 3 8" xfId="9310"/>
    <cellStyle name="asd 40 3 9" xfId="11996"/>
    <cellStyle name="asd 40 4" xfId="3077"/>
    <cellStyle name="asd 40 4 10" xfId="2215"/>
    <cellStyle name="asd 40 4 11" xfId="3128"/>
    <cellStyle name="asd 40 4 12" xfId="3116"/>
    <cellStyle name="asd 40 4 13" xfId="2624"/>
    <cellStyle name="asd 40 4 14" xfId="4789"/>
    <cellStyle name="asd 40 4 15" xfId="3704"/>
    <cellStyle name="asd 40 4 16" xfId="26141"/>
    <cellStyle name="asd 40 4 17" xfId="26652"/>
    <cellStyle name="asd 40 4 18" xfId="29756"/>
    <cellStyle name="asd 40 4 19" xfId="22858"/>
    <cellStyle name="asd 40 4 2" xfId="1800"/>
    <cellStyle name="asd 40 4 2 10" xfId="17061"/>
    <cellStyle name="asd 40 4 2 11" xfId="18967"/>
    <cellStyle name="asd 40 4 2 12" xfId="20879"/>
    <cellStyle name="asd 40 4 2 13" xfId="24201"/>
    <cellStyle name="asd 40 4 2 14" xfId="24681"/>
    <cellStyle name="asd 40 4 2 15" xfId="4313"/>
    <cellStyle name="asd 40 4 2 16" xfId="2552"/>
    <cellStyle name="asd 40 4 2 17" xfId="2065"/>
    <cellStyle name="asd 40 4 2 18" xfId="2189"/>
    <cellStyle name="asd 40 4 2 19" xfId="33368"/>
    <cellStyle name="asd 40 4 2 2" xfId="5663"/>
    <cellStyle name="asd 40 4 2 2 10" xfId="21913"/>
    <cellStyle name="asd 40 4 2 2 11" xfId="23946"/>
    <cellStyle name="asd 40 4 2 2 12" xfId="25715"/>
    <cellStyle name="asd 40 4 2 2 13" xfId="26448"/>
    <cellStyle name="asd 40 4 2 2 14" xfId="28933"/>
    <cellStyle name="asd 40 4 2 2 15" xfId="30054"/>
    <cellStyle name="asd 40 4 2 2 16" xfId="32020"/>
    <cellStyle name="asd 40 4 2 2 17" xfId="34109"/>
    <cellStyle name="asd 40 4 2 2 18" xfId="36542"/>
    <cellStyle name="asd 40 4 2 2 19" xfId="38421"/>
    <cellStyle name="asd 40 4 2 2 2" xfId="7112"/>
    <cellStyle name="asd 40 4 2 2 20" xfId="39250"/>
    <cellStyle name="asd 40 4 2 2 21" xfId="40927"/>
    <cellStyle name="asd 40 4 2 2 22" xfId="43692"/>
    <cellStyle name="asd 40 4 2 2 3" xfId="8566"/>
    <cellStyle name="asd 40 4 2 2 4" xfId="10476"/>
    <cellStyle name="asd 40 4 2 2 5" xfId="11906"/>
    <cellStyle name="asd 40 4 2 2 6" xfId="14416"/>
    <cellStyle name="asd 40 4 2 2 7" xfId="16322"/>
    <cellStyle name="asd 40 4 2 2 8" xfId="18095"/>
    <cellStyle name="asd 40 4 2 2 9" xfId="20001"/>
    <cellStyle name="asd 40 4 2 20" xfId="35508"/>
    <cellStyle name="asd 40 4 2 21" xfId="37387"/>
    <cellStyle name="asd 40 4 2 22" xfId="34992"/>
    <cellStyle name="asd 40 4 2 23" xfId="31926"/>
    <cellStyle name="asd 40 4 2 24" xfId="43939"/>
    <cellStyle name="asd 40 4 2 3" xfId="4635"/>
    <cellStyle name="asd 40 4 2 4" xfId="6082"/>
    <cellStyle name="asd 40 4 2 5" xfId="7532"/>
    <cellStyle name="asd 40 4 2 6" xfId="9442"/>
    <cellStyle name="asd 40 4 2 7" xfId="12161"/>
    <cellStyle name="asd 40 4 2 8" xfId="14673"/>
    <cellStyle name="asd 40 4 2 9" xfId="16579"/>
    <cellStyle name="asd 40 4 20" xfId="15976"/>
    <cellStyle name="asd 40 4 21" xfId="3718"/>
    <cellStyle name="asd 40 4 22" xfId="30176"/>
    <cellStyle name="asd 40 4 23" xfId="32628"/>
    <cellStyle name="asd 40 4 24" xfId="29750"/>
    <cellStyle name="asd 40 4 25" xfId="28745"/>
    <cellStyle name="asd 40 4 3" xfId="3312"/>
    <cellStyle name="asd 40 4 3 10" xfId="19196"/>
    <cellStyle name="asd 40 4 3 11" xfId="21108"/>
    <cellStyle name="asd 40 4 3 12" xfId="22954"/>
    <cellStyle name="asd 40 4 3 13" xfId="24910"/>
    <cellStyle name="asd 40 4 3 14" xfId="26283"/>
    <cellStyle name="asd 40 4 3 15" xfId="28167"/>
    <cellStyle name="asd 40 4 3 16" xfId="29892"/>
    <cellStyle name="asd 40 4 3 17" xfId="32173"/>
    <cellStyle name="asd 40 4 3 18" xfId="33735"/>
    <cellStyle name="asd 40 4 3 19" xfId="35737"/>
    <cellStyle name="asd 40 4 3 2" xfId="4513"/>
    <cellStyle name="asd 40 4 3 2 10" xfId="20758"/>
    <cellStyle name="asd 40 4 3 2 11" xfId="23525"/>
    <cellStyle name="asd 40 4 3 2 12" xfId="24560"/>
    <cellStyle name="asd 40 4 3 2 13" xfId="27474"/>
    <cellStyle name="asd 40 4 3 2 14" xfId="29613"/>
    <cellStyle name="asd 40 4 3 2 15" xfId="31061"/>
    <cellStyle name="asd 40 4 3 2 16" xfId="31957"/>
    <cellStyle name="asd 40 4 3 2 17" xfId="35011"/>
    <cellStyle name="asd 40 4 3 2 18" xfId="35388"/>
    <cellStyle name="asd 40 4 3 2 19" xfId="37266"/>
    <cellStyle name="asd 40 4 3 2 2" xfId="4761"/>
    <cellStyle name="asd 40 4 3 2 20" xfId="39186"/>
    <cellStyle name="asd 40 4 3 2 21" xfId="40867"/>
    <cellStyle name="asd 40 4 3 2 22" xfId="43290"/>
    <cellStyle name="asd 40 4 3 2 3" xfId="6305"/>
    <cellStyle name="asd 40 4 3 2 4" xfId="9320"/>
    <cellStyle name="asd 40 4 3 2 5" xfId="12546"/>
    <cellStyle name="asd 40 4 3 2 6" xfId="13997"/>
    <cellStyle name="asd 40 4 3 2 7" xfId="15898"/>
    <cellStyle name="asd 40 4 3 2 8" xfId="16939"/>
    <cellStyle name="asd 40 4 3 2 9" xfId="18846"/>
    <cellStyle name="asd 40 4 3 20" xfId="37616"/>
    <cellStyle name="asd 40 4 3 21" xfId="39395"/>
    <cellStyle name="asd 40 4 3 22" xfId="41071"/>
    <cellStyle name="asd 40 4 3 23" xfId="42740"/>
    <cellStyle name="asd 40 4 3 3" xfId="4860"/>
    <cellStyle name="asd 40 4 3 4" xfId="7761"/>
    <cellStyle name="asd 40 4 3 5" xfId="9671"/>
    <cellStyle name="asd 40 4 3 6" xfId="11197"/>
    <cellStyle name="asd 40 4 3 7" xfId="13423"/>
    <cellStyle name="asd 40 4 3 8" xfId="15328"/>
    <cellStyle name="asd 40 4 3 9" xfId="17290"/>
    <cellStyle name="asd 40 4 4" xfId="3095"/>
    <cellStyle name="asd 40 4 4 10" xfId="19153"/>
    <cellStyle name="asd 40 4 4 11" xfId="21065"/>
    <cellStyle name="asd 40 4 4 12" xfId="23347"/>
    <cellStyle name="asd 40 4 4 13" xfId="24867"/>
    <cellStyle name="asd 40 4 4 14" xfId="26209"/>
    <cellStyle name="asd 40 4 4 15" xfId="28956"/>
    <cellStyle name="asd 40 4 4 16" xfId="29821"/>
    <cellStyle name="asd 40 4 4 17" xfId="33003"/>
    <cellStyle name="asd 40 4 4 18" xfId="34394"/>
    <cellStyle name="asd 40 4 4 19" xfId="35694"/>
    <cellStyle name="asd 40 4 4 2" xfId="4458"/>
    <cellStyle name="asd 40 4 4 2 10" xfId="20703"/>
    <cellStyle name="asd 40 4 4 2 11" xfId="23421"/>
    <cellStyle name="asd 40 4 4 2 12" xfId="24505"/>
    <cellStyle name="asd 40 4 4 2 13" xfId="26413"/>
    <cellStyle name="asd 40 4 4 2 14" xfId="28686"/>
    <cellStyle name="asd 40 4 4 2 15" xfId="30020"/>
    <cellStyle name="asd 40 4 4 2 16" xfId="33032"/>
    <cellStyle name="asd 40 4 4 2 17" xfId="35057"/>
    <cellStyle name="asd 40 4 4 2 18" xfId="35333"/>
    <cellStyle name="asd 40 4 4 2 19" xfId="37211"/>
    <cellStyle name="asd 40 4 4 2 2" xfId="5319"/>
    <cellStyle name="asd 40 4 4 2 20" xfId="40231"/>
    <cellStyle name="asd 40 4 4 2 21" xfId="41890"/>
    <cellStyle name="asd 40 4 4 2 22" xfId="43188"/>
    <cellStyle name="asd 40 4 4 2 3" xfId="6659"/>
    <cellStyle name="asd 40 4 4 2 4" xfId="9265"/>
    <cellStyle name="asd 40 4 4 2 5" xfId="12308"/>
    <cellStyle name="asd 40 4 4 2 6" xfId="13893"/>
    <cellStyle name="asd 40 4 4 2 7" xfId="15794"/>
    <cellStyle name="asd 40 4 4 2 8" xfId="16884"/>
    <cellStyle name="asd 40 4 4 2 9" xfId="18791"/>
    <cellStyle name="asd 40 4 4 20" xfId="37573"/>
    <cellStyle name="asd 40 4 4 21" xfId="40203"/>
    <cellStyle name="asd 40 4 4 22" xfId="41862"/>
    <cellStyle name="asd 40 4 4 23" xfId="43117"/>
    <cellStyle name="asd 40 4 4 3" xfId="6267"/>
    <cellStyle name="asd 40 4 4 4" xfId="7718"/>
    <cellStyle name="asd 40 4 4 5" xfId="9628"/>
    <cellStyle name="asd 40 4 4 6" xfId="11178"/>
    <cellStyle name="asd 40 4 4 7" xfId="13819"/>
    <cellStyle name="asd 40 4 4 8" xfId="15721"/>
    <cellStyle name="asd 40 4 4 9" xfId="17247"/>
    <cellStyle name="asd 40 4 5" xfId="4621"/>
    <cellStyle name="asd 40 4 5 10" xfId="20866"/>
    <cellStyle name="asd 40 4 5 11" xfId="23513"/>
    <cellStyle name="asd 40 4 5 12" xfId="24668"/>
    <cellStyle name="asd 40 4 5 13" xfId="26864"/>
    <cellStyle name="asd 40 4 5 14" xfId="23675"/>
    <cellStyle name="asd 40 4 5 15" xfId="30460"/>
    <cellStyle name="asd 40 4 5 16" xfId="29073"/>
    <cellStyle name="asd 40 4 5 17" xfId="20406"/>
    <cellStyle name="asd 40 4 5 18" xfId="35496"/>
    <cellStyle name="asd 40 4 5 19" xfId="37374"/>
    <cellStyle name="asd 40 4 5 2" xfId="6069"/>
    <cellStyle name="asd 40 4 5 20" xfId="28978"/>
    <cellStyle name="asd 40 4 5 21" xfId="29743"/>
    <cellStyle name="asd 40 4 5 22" xfId="43278"/>
    <cellStyle name="asd 40 4 5 3" xfId="7518"/>
    <cellStyle name="asd 40 4 5 4" xfId="9428"/>
    <cellStyle name="asd 40 4 5 5" xfId="12501"/>
    <cellStyle name="asd 40 4 5 6" xfId="13985"/>
    <cellStyle name="asd 40 4 5 7" xfId="15886"/>
    <cellStyle name="asd 40 4 5 8" xfId="17047"/>
    <cellStyle name="asd 40 4 5 9" xfId="18954"/>
    <cellStyle name="asd 40 4 6" xfId="2807"/>
    <cellStyle name="asd 40 4 7" xfId="2585"/>
    <cellStyle name="asd 40 4 8" xfId="3150"/>
    <cellStyle name="asd 40 4 9" xfId="2376"/>
    <cellStyle name="asd 40 5" xfId="2371"/>
    <cellStyle name="asd 40 5 10" xfId="17154"/>
    <cellStyle name="asd 40 5 11" xfId="19060"/>
    <cellStyle name="asd 40 5 12" xfId="20972"/>
    <cellStyle name="asd 40 5 13" xfId="22937"/>
    <cellStyle name="asd 40 5 14" xfId="24774"/>
    <cellStyle name="asd 40 5 15" xfId="27495"/>
    <cellStyle name="asd 40 5 16" xfId="29099"/>
    <cellStyle name="asd 40 5 17" xfId="31081"/>
    <cellStyle name="asd 40 5 18" xfId="32651"/>
    <cellStyle name="asd 40 5 19" xfId="34748"/>
    <cellStyle name="asd 40 5 2" xfId="4502"/>
    <cellStyle name="asd 40 5 2 10" xfId="20747"/>
    <cellStyle name="asd 40 5 2 11" xfId="22722"/>
    <cellStyle name="asd 40 5 2 12" xfId="24549"/>
    <cellStyle name="asd 40 5 2 13" xfId="27185"/>
    <cellStyle name="asd 40 5 2 14" xfId="29625"/>
    <cellStyle name="asd 40 5 2 15" xfId="30776"/>
    <cellStyle name="asd 40 5 2 16" xfId="31866"/>
    <cellStyle name="asd 40 5 2 17" xfId="34419"/>
    <cellStyle name="asd 40 5 2 18" xfId="35377"/>
    <cellStyle name="asd 40 5 2 19" xfId="37255"/>
    <cellStyle name="asd 40 5 2 2" xfId="5413"/>
    <cellStyle name="asd 40 5 2 20" xfId="39101"/>
    <cellStyle name="asd 40 5 2 21" xfId="40782"/>
    <cellStyle name="asd 40 5 2 22" xfId="42520"/>
    <cellStyle name="asd 40 5 2 3" xfId="6241"/>
    <cellStyle name="asd 40 5 2 4" xfId="9309"/>
    <cellStyle name="asd 40 5 2 5" xfId="12600"/>
    <cellStyle name="asd 40 5 2 6" xfId="13191"/>
    <cellStyle name="asd 40 5 2 7" xfId="15094"/>
    <cellStyle name="asd 40 5 2 8" xfId="16928"/>
    <cellStyle name="asd 40 5 2 9" xfId="18835"/>
    <cellStyle name="asd 40 5 20" xfId="35601"/>
    <cellStyle name="asd 40 5 21" xfId="37480"/>
    <cellStyle name="asd 40 5 22" xfId="39858"/>
    <cellStyle name="asd 40 5 23" xfId="41527"/>
    <cellStyle name="asd 40 5 24" xfId="42723"/>
    <cellStyle name="asd 40 5 3" xfId="4726"/>
    <cellStyle name="asd 40 5 4" xfId="6174"/>
    <cellStyle name="asd 40 5 5" xfId="7625"/>
    <cellStyle name="asd 40 5 6" xfId="9535"/>
    <cellStyle name="asd 40 5 7" xfId="11230"/>
    <cellStyle name="asd 40 5 8" xfId="13405"/>
    <cellStyle name="asd 40 5 9" xfId="15310"/>
    <cellStyle name="asd 40 6" xfId="2143"/>
    <cellStyle name="asd 40 6 10" xfId="19025"/>
    <cellStyle name="asd 40 6 11" xfId="20937"/>
    <cellStyle name="asd 40 6 12" xfId="1757"/>
    <cellStyle name="asd 40 6 13" xfId="24739"/>
    <cellStyle name="asd 40 6 14" xfId="16586"/>
    <cellStyle name="asd 40 6 15" xfId="28466"/>
    <cellStyle name="asd 40 6 16" xfId="22325"/>
    <cellStyle name="asd 40 6 17" xfId="31915"/>
    <cellStyle name="asd 40 6 18" xfId="33609"/>
    <cellStyle name="asd 40 6 19" xfId="35566"/>
    <cellStyle name="asd 40 6 2" xfId="5560"/>
    <cellStyle name="asd 40 6 2 10" xfId="21810"/>
    <cellStyle name="asd 40 6 2 11" xfId="22491"/>
    <cellStyle name="asd 40 6 2 12" xfId="25612"/>
    <cellStyle name="asd 40 6 2 13" xfId="27308"/>
    <cellStyle name="asd 40 6 2 14" xfId="28508"/>
    <cellStyle name="asd 40 6 2 15" xfId="30898"/>
    <cellStyle name="asd 40 6 2 16" xfId="32768"/>
    <cellStyle name="asd 40 6 2 17" xfId="34371"/>
    <cellStyle name="asd 40 6 2 18" xfId="36439"/>
    <cellStyle name="asd 40 6 2 19" xfId="38318"/>
    <cellStyle name="asd 40 6 2 2" xfId="7009"/>
    <cellStyle name="asd 40 6 2 20" xfId="39977"/>
    <cellStyle name="asd 40 6 2 21" xfId="41641"/>
    <cellStyle name="asd 40 6 2 22" xfId="42301"/>
    <cellStyle name="asd 40 6 2 3" xfId="8463"/>
    <cellStyle name="asd 40 6 2 4" xfId="10373"/>
    <cellStyle name="asd 40 6 2 5" xfId="11608"/>
    <cellStyle name="asd 40 6 2 6" xfId="12959"/>
    <cellStyle name="asd 40 6 2 7" xfId="14863"/>
    <cellStyle name="asd 40 6 2 8" xfId="17992"/>
    <cellStyle name="asd 40 6 2 9" xfId="19898"/>
    <cellStyle name="asd 40 6 20" xfId="37445"/>
    <cellStyle name="asd 40 6 21" xfId="39147"/>
    <cellStyle name="asd 40 6 22" xfId="40828"/>
    <cellStyle name="asd 40 6 23" xfId="29211"/>
    <cellStyle name="asd 40 6 3" xfId="4691"/>
    <cellStyle name="asd 40 6 4" xfId="7590"/>
    <cellStyle name="asd 40 6 5" xfId="9500"/>
    <cellStyle name="asd 40 6 6" xfId="12414"/>
    <cellStyle name="asd 40 6 7" xfId="1931"/>
    <cellStyle name="asd 40 6 8" xfId="1848"/>
    <cellStyle name="asd 40 6 9" xfId="17119"/>
    <cellStyle name="asd 40 7" xfId="3849"/>
    <cellStyle name="asd 40 7 10" xfId="19571"/>
    <cellStyle name="asd 40 7 11" xfId="21483"/>
    <cellStyle name="asd 40 7 12" xfId="23590"/>
    <cellStyle name="asd 40 7 13" xfId="25285"/>
    <cellStyle name="asd 40 7 14" xfId="27289"/>
    <cellStyle name="asd 40 7 15" xfId="28939"/>
    <cellStyle name="asd 40 7 16" xfId="30880"/>
    <cellStyle name="asd 40 7 17" xfId="32868"/>
    <cellStyle name="asd 40 7 18" xfId="33996"/>
    <cellStyle name="asd 40 7 19" xfId="36112"/>
    <cellStyle name="asd 40 7 2" xfId="5841"/>
    <cellStyle name="asd 40 7 2 10" xfId="22091"/>
    <cellStyle name="asd 40 7 2 11" xfId="22645"/>
    <cellStyle name="asd 40 7 2 12" xfId="25893"/>
    <cellStyle name="asd 40 7 2 13" xfId="26997"/>
    <cellStyle name="asd 40 7 2 14" xfId="29700"/>
    <cellStyle name="asd 40 7 2 15" xfId="30591"/>
    <cellStyle name="asd 40 7 2 16" xfId="32034"/>
    <cellStyle name="asd 40 7 2 17" xfId="33869"/>
    <cellStyle name="asd 40 7 2 18" xfId="36720"/>
    <cellStyle name="asd 40 7 2 19" xfId="38599"/>
    <cellStyle name="asd 40 7 2 2" xfId="7290"/>
    <cellStyle name="asd 40 7 2 20" xfId="39264"/>
    <cellStyle name="asd 40 7 2 21" xfId="40941"/>
    <cellStyle name="asd 40 7 2 22" xfId="42451"/>
    <cellStyle name="asd 40 7 2 3" xfId="8744"/>
    <cellStyle name="asd 40 7 2 4" xfId="10654"/>
    <cellStyle name="asd 40 7 2 5" xfId="2919"/>
    <cellStyle name="asd 40 7 2 6" xfId="13112"/>
    <cellStyle name="asd 40 7 2 7" xfId="15017"/>
    <cellStyle name="asd 40 7 2 8" xfId="18273"/>
    <cellStyle name="asd 40 7 2 9" xfId="20179"/>
    <cellStyle name="asd 40 7 20" xfId="37991"/>
    <cellStyle name="asd 40 7 21" xfId="40074"/>
    <cellStyle name="asd 40 7 22" xfId="41738"/>
    <cellStyle name="asd 40 7 23" xfId="43349"/>
    <cellStyle name="asd 40 7 3" xfId="6682"/>
    <cellStyle name="asd 40 7 4" xfId="8136"/>
    <cellStyle name="asd 40 7 5" xfId="10046"/>
    <cellStyle name="asd 40 7 6" xfId="10985"/>
    <cellStyle name="asd 40 7 7" xfId="14060"/>
    <cellStyle name="asd 40 7 8" xfId="15963"/>
    <cellStyle name="asd 40 7 9" xfId="17665"/>
    <cellStyle name="asd 40 8" xfId="3216"/>
    <cellStyle name="asd 40 9" xfId="3242"/>
    <cellStyle name="asd 41" xfId="989"/>
    <cellStyle name="asd 41 10" xfId="3119"/>
    <cellStyle name="asd 41 11" xfId="2603"/>
    <cellStyle name="asd 41 12" xfId="3912"/>
    <cellStyle name="asd 41 13" xfId="13301"/>
    <cellStyle name="asd 41 14" xfId="6143"/>
    <cellStyle name="asd 41 15" xfId="2432"/>
    <cellStyle name="asd 41 16" xfId="12824"/>
    <cellStyle name="asd 41 17" xfId="2623"/>
    <cellStyle name="asd 41 18" xfId="22693"/>
    <cellStyle name="asd 41 19" xfId="29404"/>
    <cellStyle name="asd 41 2" xfId="3474"/>
    <cellStyle name="asd 41 2 10" xfId="13139"/>
    <cellStyle name="asd 41 2 11" xfId="15044"/>
    <cellStyle name="asd 41 2 12" xfId="16909"/>
    <cellStyle name="asd 41 2 13" xfId="18816"/>
    <cellStyle name="asd 41 2 14" xfId="20728"/>
    <cellStyle name="asd 41 2 15" xfId="22672"/>
    <cellStyle name="asd 41 2 16" xfId="24530"/>
    <cellStyle name="asd 41 2 17" xfId="26818"/>
    <cellStyle name="asd 41 2 18" xfId="29510"/>
    <cellStyle name="asd 41 2 19" xfId="30417"/>
    <cellStyle name="asd 41 2 2" xfId="3654"/>
    <cellStyle name="asd 41 2 2 10" xfId="17545"/>
    <cellStyle name="asd 41 2 2 11" xfId="19451"/>
    <cellStyle name="asd 41 2 2 12" xfId="21363"/>
    <cellStyle name="asd 41 2 2 13" xfId="23909"/>
    <cellStyle name="asd 41 2 2 14" xfId="25165"/>
    <cellStyle name="asd 41 2 2 15" xfId="27248"/>
    <cellStyle name="asd 41 2 2 16" xfId="28157"/>
    <cellStyle name="asd 41 2 2 17" xfId="30839"/>
    <cellStyle name="asd 41 2 2 18" xfId="32545"/>
    <cellStyle name="asd 41 2 2 19" xfId="34833"/>
    <cellStyle name="asd 41 2 2 2" xfId="5634"/>
    <cellStyle name="asd 41 2 2 2 10" xfId="21884"/>
    <cellStyle name="asd 41 2 2 2 11" xfId="22656"/>
    <cellStyle name="asd 41 2 2 2 12" xfId="25686"/>
    <cellStyle name="asd 41 2 2 2 13" xfId="27221"/>
    <cellStyle name="asd 41 2 2 2 14" xfId="29061"/>
    <cellStyle name="asd 41 2 2 2 15" xfId="30812"/>
    <cellStyle name="asd 41 2 2 2 16" xfId="32223"/>
    <cellStyle name="asd 41 2 2 2 17" xfId="33726"/>
    <cellStyle name="asd 41 2 2 2 18" xfId="36513"/>
    <cellStyle name="asd 41 2 2 2 19" xfId="38392"/>
    <cellStyle name="asd 41 2 2 2 2" xfId="7083"/>
    <cellStyle name="asd 41 2 2 2 20" xfId="39442"/>
    <cellStyle name="asd 41 2 2 2 21" xfId="41118"/>
    <cellStyle name="asd 41 2 2 2 22" xfId="42462"/>
    <cellStyle name="asd 41 2 2 2 3" xfId="8537"/>
    <cellStyle name="asd 41 2 2 2 4" xfId="10447"/>
    <cellStyle name="asd 41 2 2 2 5" xfId="12314"/>
    <cellStyle name="asd 41 2 2 2 6" xfId="13123"/>
    <cellStyle name="asd 41 2 2 2 7" xfId="15028"/>
    <cellStyle name="asd 41 2 2 2 8" xfId="18066"/>
    <cellStyle name="asd 41 2 2 2 9" xfId="19972"/>
    <cellStyle name="asd 41 2 2 20" xfId="35992"/>
    <cellStyle name="asd 41 2 2 21" xfId="37871"/>
    <cellStyle name="asd 41 2 2 22" xfId="39758"/>
    <cellStyle name="asd 41 2 2 23" xfId="41430"/>
    <cellStyle name="asd 41 2 2 24" xfId="43655"/>
    <cellStyle name="asd 41 2 2 3" xfId="5115"/>
    <cellStyle name="asd 41 2 2 4" xfId="6565"/>
    <cellStyle name="asd 41 2 2 5" xfId="8016"/>
    <cellStyle name="asd 41 2 2 6" xfId="9926"/>
    <cellStyle name="asd 41 2 2 7" xfId="11868"/>
    <cellStyle name="asd 41 2 2 8" xfId="14377"/>
    <cellStyle name="asd 41 2 2 9" xfId="16283"/>
    <cellStyle name="asd 41 2 20" xfId="32585"/>
    <cellStyle name="asd 41 2 21" xfId="33966"/>
    <cellStyle name="asd 41 2 22" xfId="35358"/>
    <cellStyle name="asd 41 2 23" xfId="37236"/>
    <cellStyle name="asd 41 2 24" xfId="39796"/>
    <cellStyle name="asd 41 2 25" xfId="41465"/>
    <cellStyle name="asd 41 2 26" xfId="42477"/>
    <cellStyle name="asd 41 2 3" xfId="3823"/>
    <cellStyle name="asd 41 2 3 10" xfId="19551"/>
    <cellStyle name="asd 41 2 3 11" xfId="21463"/>
    <cellStyle name="asd 41 2 3 12" xfId="23176"/>
    <cellStyle name="asd 41 2 3 13" xfId="25265"/>
    <cellStyle name="asd 41 2 3 14" xfId="27974"/>
    <cellStyle name="asd 41 2 3 15" xfId="28361"/>
    <cellStyle name="asd 41 2 3 16" xfId="31554"/>
    <cellStyle name="asd 41 2 3 17" xfId="30917"/>
    <cellStyle name="asd 41 2 3 18" xfId="28020"/>
    <cellStyle name="asd 41 2 3 19" xfId="36092"/>
    <cellStyle name="asd 41 2 3 2" xfId="5821"/>
    <cellStyle name="asd 41 2 3 2 10" xfId="22071"/>
    <cellStyle name="asd 41 2 3 2 11" xfId="22583"/>
    <cellStyle name="asd 41 2 3 2 12" xfId="25873"/>
    <cellStyle name="asd 41 2 3 2 13" xfId="26606"/>
    <cellStyle name="asd 41 2 3 2 14" xfId="29375"/>
    <cellStyle name="asd 41 2 3 2 15" xfId="30208"/>
    <cellStyle name="asd 41 2 3 2 16" xfId="31677"/>
    <cellStyle name="asd 41 2 3 2 17" xfId="33690"/>
    <cellStyle name="asd 41 2 3 2 18" xfId="36700"/>
    <cellStyle name="asd 41 2 3 2 19" xfId="38579"/>
    <cellStyle name="asd 41 2 3 2 2" xfId="7270"/>
    <cellStyle name="asd 41 2 3 2 20" xfId="38920"/>
    <cellStyle name="asd 41 2 3 2 21" xfId="40604"/>
    <cellStyle name="asd 41 2 3 2 22" xfId="42392"/>
    <cellStyle name="asd 41 2 3 2 3" xfId="8724"/>
    <cellStyle name="asd 41 2 3 2 4" xfId="10634"/>
    <cellStyle name="asd 41 2 3 2 5" xfId="11727"/>
    <cellStyle name="asd 41 2 3 2 6" xfId="13051"/>
    <cellStyle name="asd 41 2 3 2 7" xfId="14955"/>
    <cellStyle name="asd 41 2 3 2 8" xfId="18253"/>
    <cellStyle name="asd 41 2 3 2 9" xfId="20159"/>
    <cellStyle name="asd 41 2 3 20" xfId="37971"/>
    <cellStyle name="asd 41 2 3 21" xfId="31792"/>
    <cellStyle name="asd 41 2 3 22" xfId="39782"/>
    <cellStyle name="asd 41 2 3 23" xfId="42954"/>
    <cellStyle name="asd 41 2 3 3" xfId="5215"/>
    <cellStyle name="asd 41 2 3 4" xfId="8116"/>
    <cellStyle name="asd 41 2 3 5" xfId="10026"/>
    <cellStyle name="asd 41 2 3 6" xfId="11003"/>
    <cellStyle name="asd 41 2 3 7" xfId="13647"/>
    <cellStyle name="asd 41 2 3 8" xfId="15550"/>
    <cellStyle name="asd 41 2 3 9" xfId="17645"/>
    <cellStyle name="asd 41 2 4" xfId="4106"/>
    <cellStyle name="asd 41 2 4 10" xfId="19741"/>
    <cellStyle name="asd 41 2 4 11" xfId="21653"/>
    <cellStyle name="asd 41 2 4 12" xfId="22750"/>
    <cellStyle name="asd 41 2 4 13" xfId="25455"/>
    <cellStyle name="asd 41 2 4 14" xfId="26624"/>
    <cellStyle name="asd 41 2 4 15" xfId="28666"/>
    <cellStyle name="asd 41 2 4 16" xfId="30227"/>
    <cellStyle name="asd 41 2 4 17" xfId="31908"/>
    <cellStyle name="asd 41 2 4 18" xfId="33792"/>
    <cellStyle name="asd 41 2 4 19" xfId="36282"/>
    <cellStyle name="asd 41 2 4 2" xfId="6011"/>
    <cellStyle name="asd 41 2 4 2 10" xfId="22261"/>
    <cellStyle name="asd 41 2 4 2 11" xfId="22860"/>
    <cellStyle name="asd 41 2 4 2 12" xfId="26063"/>
    <cellStyle name="asd 41 2 4 2 13" xfId="27722"/>
    <cellStyle name="asd 41 2 4 2 14" xfId="29253"/>
    <cellStyle name="asd 41 2 4 2 15" xfId="31300"/>
    <cellStyle name="asd 41 2 4 2 16" xfId="32017"/>
    <cellStyle name="asd 41 2 4 2 17" xfId="34375"/>
    <cellStyle name="asd 41 2 4 2 18" xfId="36890"/>
    <cellStyle name="asd 41 2 4 2 19" xfId="38769"/>
    <cellStyle name="asd 41 2 4 2 2" xfId="7460"/>
    <cellStyle name="asd 41 2 4 2 20" xfId="39247"/>
    <cellStyle name="asd 41 2 4 2 21" xfId="40924"/>
    <cellStyle name="asd 41 2 4 2 22" xfId="42648"/>
    <cellStyle name="asd 41 2 4 2 3" xfId="8914"/>
    <cellStyle name="asd 41 2 4 2 4" xfId="10824"/>
    <cellStyle name="asd 41 2 4 2 5" xfId="12375"/>
    <cellStyle name="asd 41 2 4 2 6" xfId="13329"/>
    <cellStyle name="asd 41 2 4 2 7" xfId="15233"/>
    <cellStyle name="asd 41 2 4 2 8" xfId="18443"/>
    <cellStyle name="asd 41 2 4 2 9" xfId="20349"/>
    <cellStyle name="asd 41 2 4 20" xfId="38161"/>
    <cellStyle name="asd 41 2 4 21" xfId="39140"/>
    <cellStyle name="asd 41 2 4 22" xfId="40821"/>
    <cellStyle name="asd 41 2 4 23" xfId="42547"/>
    <cellStyle name="asd 41 2 4 3" xfId="6852"/>
    <cellStyle name="asd 41 2 4 4" xfId="8306"/>
    <cellStyle name="asd 41 2 4 5" xfId="10216"/>
    <cellStyle name="asd 41 2 4 6" xfId="12383"/>
    <cellStyle name="asd 41 2 4 7" xfId="13219"/>
    <cellStyle name="asd 41 2 4 8" xfId="15122"/>
    <cellStyle name="asd 41 2 4 9" xfId="17835"/>
    <cellStyle name="asd 41 2 5" xfId="4958"/>
    <cellStyle name="asd 41 2 5 10" xfId="21206"/>
    <cellStyle name="asd 41 2 5 11" xfId="22677"/>
    <cellStyle name="asd 41 2 5 12" xfId="25008"/>
    <cellStyle name="asd 41 2 5 13" xfId="27586"/>
    <cellStyle name="asd 41 2 5 14" xfId="29065"/>
    <cellStyle name="asd 41 2 5 15" xfId="31165"/>
    <cellStyle name="asd 41 2 5 16" xfId="33104"/>
    <cellStyle name="asd 41 2 5 17" xfId="34565"/>
    <cellStyle name="asd 41 2 5 18" xfId="35835"/>
    <cellStyle name="asd 41 2 5 19" xfId="37714"/>
    <cellStyle name="asd 41 2 5 2" xfId="6408"/>
    <cellStyle name="asd 41 2 5 20" xfId="40299"/>
    <cellStyle name="asd 41 2 5 21" xfId="41955"/>
    <cellStyle name="asd 41 2 5 22" xfId="42482"/>
    <cellStyle name="asd 41 2 5 3" xfId="7859"/>
    <cellStyle name="asd 41 2 5 4" xfId="9769"/>
    <cellStyle name="asd 41 2 5 5" xfId="11354"/>
    <cellStyle name="asd 41 2 5 6" xfId="13144"/>
    <cellStyle name="asd 41 2 5 7" xfId="15049"/>
    <cellStyle name="asd 41 2 5 8" xfId="17388"/>
    <cellStyle name="asd 41 2 5 9" xfId="19294"/>
    <cellStyle name="asd 41 2 6" xfId="5630"/>
    <cellStyle name="asd 41 2 6 10" xfId="21880"/>
    <cellStyle name="asd 41 2 6 11" xfId="23936"/>
    <cellStyle name="asd 41 2 6 12" xfId="25682"/>
    <cellStyle name="asd 41 2 6 13" xfId="26461"/>
    <cellStyle name="asd 41 2 6 14" xfId="29206"/>
    <cellStyle name="asd 41 2 6 15" xfId="30067"/>
    <cellStyle name="asd 41 2 6 16" xfId="33125"/>
    <cellStyle name="asd 41 2 6 17" xfId="34895"/>
    <cellStyle name="asd 41 2 6 18" xfId="36509"/>
    <cellStyle name="asd 41 2 6 19" xfId="38388"/>
    <cellStyle name="asd 41 2 6 2" xfId="7079"/>
    <cellStyle name="asd 41 2 6 20" xfId="40319"/>
    <cellStyle name="asd 41 2 6 21" xfId="41975"/>
    <cellStyle name="asd 41 2 6 22" xfId="43682"/>
    <cellStyle name="asd 41 2 6 3" xfId="8533"/>
    <cellStyle name="asd 41 2 6 4" xfId="10443"/>
    <cellStyle name="asd 41 2 6 5" xfId="11896"/>
    <cellStyle name="asd 41 2 6 6" xfId="14406"/>
    <cellStyle name="asd 41 2 6 7" xfId="16312"/>
    <cellStyle name="asd 41 2 6 8" xfId="18062"/>
    <cellStyle name="asd 41 2 6 9" xfId="19968"/>
    <cellStyle name="asd 41 2 7" xfId="3868"/>
    <cellStyle name="asd 41 2 8" xfId="9290"/>
    <cellStyle name="asd 41 2 9" xfId="11810"/>
    <cellStyle name="asd 41 20" xfId="8965"/>
    <cellStyle name="asd 41 21" xfId="30974"/>
    <cellStyle name="asd 41 22" xfId="3130"/>
    <cellStyle name="asd 41 23" xfId="3122"/>
    <cellStyle name="asd 41 24" xfId="30097"/>
    <cellStyle name="asd 41 25" xfId="32576"/>
    <cellStyle name="asd 41 26" xfId="38944"/>
    <cellStyle name="asd 41 27" xfId="39792"/>
    <cellStyle name="asd 41 3" xfId="3404"/>
    <cellStyle name="asd 41 3 10" xfId="13197"/>
    <cellStyle name="asd 41 3 11" xfId="15100"/>
    <cellStyle name="asd 41 3 12" xfId="16753"/>
    <cellStyle name="asd 41 3 13" xfId="18660"/>
    <cellStyle name="asd 41 3 14" xfId="20572"/>
    <cellStyle name="asd 41 3 15" xfId="22728"/>
    <cellStyle name="asd 41 3 16" xfId="24374"/>
    <cellStyle name="asd 41 3 17" xfId="27857"/>
    <cellStyle name="asd 41 3 18" xfId="28560"/>
    <cellStyle name="asd 41 3 19" xfId="31436"/>
    <cellStyle name="asd 41 3 2" xfId="3584"/>
    <cellStyle name="asd 41 3 2 10" xfId="17475"/>
    <cellStyle name="asd 41 3 2 11" xfId="19381"/>
    <cellStyle name="asd 41 3 2 12" xfId="21293"/>
    <cellStyle name="asd 41 3 2 13" xfId="24073"/>
    <cellStyle name="asd 41 3 2 14" xfId="25095"/>
    <cellStyle name="asd 41 3 2 15" xfId="26161"/>
    <cellStyle name="asd 41 3 2 16" xfId="29652"/>
    <cellStyle name="asd 41 3 2 17" xfId="29775"/>
    <cellStyle name="asd 41 3 2 18" xfId="32869"/>
    <cellStyle name="asd 41 3 2 19" xfId="34950"/>
    <cellStyle name="asd 41 3 2 2" xfId="5559"/>
    <cellStyle name="asd 41 3 2 2 10" xfId="21809"/>
    <cellStyle name="asd 41 3 2 2 11" xfId="22513"/>
    <cellStyle name="asd 41 3 2 2 12" xfId="25611"/>
    <cellStyle name="asd 41 3 2 2 13" xfId="27098"/>
    <cellStyle name="asd 41 3 2 2 14" xfId="29195"/>
    <cellStyle name="asd 41 3 2 2 15" xfId="30689"/>
    <cellStyle name="asd 41 3 2 2 16" xfId="31958"/>
    <cellStyle name="asd 41 3 2 2 17" xfId="34459"/>
    <cellStyle name="asd 41 3 2 2 18" xfId="36438"/>
    <cellStyle name="asd 41 3 2 2 19" xfId="38317"/>
    <cellStyle name="asd 41 3 2 2 2" xfId="7008"/>
    <cellStyle name="asd 41 3 2 2 20" xfId="39187"/>
    <cellStyle name="asd 41 3 2 2 21" xfId="40868"/>
    <cellStyle name="asd 41 3 2 2 22" xfId="42323"/>
    <cellStyle name="asd 41 3 2 2 3" xfId="8462"/>
    <cellStyle name="asd 41 3 2 2 4" xfId="10372"/>
    <cellStyle name="asd 41 3 2 2 5" xfId="11054"/>
    <cellStyle name="asd 41 3 2 2 6" xfId="12981"/>
    <cellStyle name="asd 41 3 2 2 7" xfId="14885"/>
    <cellStyle name="asd 41 3 2 2 8" xfId="17991"/>
    <cellStyle name="asd 41 3 2 2 9" xfId="19897"/>
    <cellStyle name="asd 41 3 2 20" xfId="35922"/>
    <cellStyle name="asd 41 3 2 21" xfId="37801"/>
    <cellStyle name="asd 41 3 2 22" xfId="40075"/>
    <cellStyle name="asd 41 3 2 23" xfId="41739"/>
    <cellStyle name="asd 41 3 2 24" xfId="43817"/>
    <cellStyle name="asd 41 3 2 3" xfId="5045"/>
    <cellStyle name="asd 41 3 2 4" xfId="6495"/>
    <cellStyle name="asd 41 3 2 5" xfId="7946"/>
    <cellStyle name="asd 41 3 2 6" xfId="9856"/>
    <cellStyle name="asd 41 3 2 7" xfId="12032"/>
    <cellStyle name="asd 41 3 2 8" xfId="14543"/>
    <cellStyle name="asd 41 3 2 9" xfId="16449"/>
    <cellStyle name="asd 41 3 20" xfId="32719"/>
    <cellStyle name="asd 41 3 21" xfId="34511"/>
    <cellStyle name="asd 41 3 22" xfId="35202"/>
    <cellStyle name="asd 41 3 23" xfId="37080"/>
    <cellStyle name="asd 41 3 24" xfId="39929"/>
    <cellStyle name="asd 41 3 25" xfId="41595"/>
    <cellStyle name="asd 41 3 26" xfId="42526"/>
    <cellStyle name="asd 41 3 3" xfId="3760"/>
    <cellStyle name="asd 41 3 3 10" xfId="19507"/>
    <cellStyle name="asd 41 3 3 11" xfId="21419"/>
    <cellStyle name="asd 41 3 3 12" xfId="22996"/>
    <cellStyle name="asd 41 3 3 13" xfId="25221"/>
    <cellStyle name="asd 41 3 3 14" xfId="26323"/>
    <cellStyle name="asd 41 3 3 15" xfId="24176"/>
    <cellStyle name="asd 41 3 3 16" xfId="29931"/>
    <cellStyle name="asd 41 3 3 17" xfId="32580"/>
    <cellStyle name="asd 41 3 3 18" xfId="1842"/>
    <cellStyle name="asd 41 3 3 19" xfId="36048"/>
    <cellStyle name="asd 41 3 3 2" xfId="5777"/>
    <cellStyle name="asd 41 3 3 2 10" xfId="22027"/>
    <cellStyle name="asd 41 3 3 2 11" xfId="23633"/>
    <cellStyle name="asd 41 3 3 2 12" xfId="25829"/>
    <cellStyle name="asd 41 3 3 2 13" xfId="26673"/>
    <cellStyle name="asd 41 3 3 2 14" xfId="28099"/>
    <cellStyle name="asd 41 3 3 2 15" xfId="30273"/>
    <cellStyle name="asd 41 3 3 2 16" xfId="32219"/>
    <cellStyle name="asd 41 3 3 2 17" xfId="34564"/>
    <cellStyle name="asd 41 3 3 2 18" xfId="36656"/>
    <cellStyle name="asd 41 3 3 2 19" xfId="38535"/>
    <cellStyle name="asd 41 3 3 2 2" xfId="7226"/>
    <cellStyle name="asd 41 3 3 2 20" xfId="39438"/>
    <cellStyle name="asd 41 3 3 2 21" xfId="41114"/>
    <cellStyle name="asd 41 3 3 2 22" xfId="43391"/>
    <cellStyle name="asd 41 3 3 2 3" xfId="8680"/>
    <cellStyle name="asd 41 3 3 2 4" xfId="10590"/>
    <cellStyle name="asd 41 3 3 2 5" xfId="11369"/>
    <cellStyle name="asd 41 3 3 2 6" xfId="14103"/>
    <cellStyle name="asd 41 3 3 2 7" xfId="16006"/>
    <cellStyle name="asd 41 3 3 2 8" xfId="18209"/>
    <cellStyle name="asd 41 3 3 2 9" xfId="20115"/>
    <cellStyle name="asd 41 3 3 20" xfId="37927"/>
    <cellStyle name="asd 41 3 3 21" xfId="39790"/>
    <cellStyle name="asd 41 3 3 22" xfId="41460"/>
    <cellStyle name="asd 41 3 3 23" xfId="42781"/>
    <cellStyle name="asd 41 3 3 3" xfId="5171"/>
    <cellStyle name="asd 41 3 3 4" xfId="8072"/>
    <cellStyle name="asd 41 3 3 5" xfId="9982"/>
    <cellStyle name="asd 41 3 3 6" xfId="10970"/>
    <cellStyle name="asd 41 3 3 7" xfId="13465"/>
    <cellStyle name="asd 41 3 3 8" xfId="15370"/>
    <cellStyle name="asd 41 3 3 9" xfId="17601"/>
    <cellStyle name="asd 41 3 4" xfId="4036"/>
    <cellStyle name="asd 41 3 4 10" xfId="19671"/>
    <cellStyle name="asd 41 3 4 11" xfId="21583"/>
    <cellStyle name="asd 41 3 4 12" xfId="24011"/>
    <cellStyle name="asd 41 3 4 13" xfId="25385"/>
    <cellStyle name="asd 41 3 4 14" xfId="26338"/>
    <cellStyle name="asd 41 3 4 15" xfId="29717"/>
    <cellStyle name="asd 41 3 4 16" xfId="29946"/>
    <cellStyle name="asd 41 3 4 17" xfId="33182"/>
    <cellStyle name="asd 41 3 4 18" xfId="33619"/>
    <cellStyle name="asd 41 3 4 19" xfId="36212"/>
    <cellStyle name="asd 41 3 4 2" xfId="5941"/>
    <cellStyle name="asd 41 3 4 2 10" xfId="22191"/>
    <cellStyle name="asd 41 3 4 2 11" xfId="15591"/>
    <cellStyle name="asd 41 3 4 2 12" xfId="25993"/>
    <cellStyle name="asd 41 3 4 2 13" xfId="2735"/>
    <cellStyle name="asd 41 3 4 2 14" xfId="3900"/>
    <cellStyle name="asd 41 3 4 2 15" xfId="27533"/>
    <cellStyle name="asd 41 3 4 2 16" xfId="29764"/>
    <cellStyle name="asd 41 3 4 2 17" xfId="6722"/>
    <cellStyle name="asd 41 3 4 2 18" xfId="36820"/>
    <cellStyle name="asd 41 3 4 2 19" xfId="38699"/>
    <cellStyle name="asd 41 3 4 2 2" xfId="7390"/>
    <cellStyle name="asd 41 3 4 2 20" xfId="33788"/>
    <cellStyle name="asd 41 3 4 2 21" xfId="38826"/>
    <cellStyle name="asd 41 3 4 2 22" xfId="29116"/>
    <cellStyle name="asd 41 3 4 2 3" xfId="8844"/>
    <cellStyle name="asd 41 3 4 2 4" xfId="10754"/>
    <cellStyle name="asd 41 3 4 2 5" xfId="11063"/>
    <cellStyle name="asd 41 3 4 2 6" xfId="2134"/>
    <cellStyle name="asd 41 3 4 2 7" xfId="2319"/>
    <cellStyle name="asd 41 3 4 2 8" xfId="18373"/>
    <cellStyle name="asd 41 3 4 2 9" xfId="20279"/>
    <cellStyle name="asd 41 3 4 20" xfId="38091"/>
    <cellStyle name="asd 41 3 4 21" xfId="40373"/>
    <cellStyle name="asd 41 3 4 22" xfId="42029"/>
    <cellStyle name="asd 41 3 4 23" xfId="43755"/>
    <cellStyle name="asd 41 3 4 3" xfId="6782"/>
    <cellStyle name="asd 41 3 4 4" xfId="8236"/>
    <cellStyle name="asd 41 3 4 5" xfId="10146"/>
    <cellStyle name="asd 41 3 4 6" xfId="11970"/>
    <cellStyle name="asd 41 3 4 7" xfId="14481"/>
    <cellStyle name="asd 41 3 4 8" xfId="16387"/>
    <cellStyle name="asd 41 3 4 9" xfId="17765"/>
    <cellStyle name="asd 41 3 5" xfId="4901"/>
    <cellStyle name="asd 41 3 5 10" xfId="21149"/>
    <cellStyle name="asd 41 3 5 11" xfId="22691"/>
    <cellStyle name="asd 41 3 5 12" xfId="24951"/>
    <cellStyle name="asd 41 3 5 13" xfId="26607"/>
    <cellStyle name="asd 41 3 5 14" xfId="29710"/>
    <cellStyle name="asd 41 3 5 15" xfId="30209"/>
    <cellStyle name="asd 41 3 5 16" xfId="32101"/>
    <cellStyle name="asd 41 3 5 17" xfId="33990"/>
    <cellStyle name="asd 41 3 5 18" xfId="35778"/>
    <cellStyle name="asd 41 3 5 19" xfId="37657"/>
    <cellStyle name="asd 41 3 5 2" xfId="6351"/>
    <cellStyle name="asd 41 3 5 20" xfId="39325"/>
    <cellStyle name="asd 41 3 5 21" xfId="41001"/>
    <cellStyle name="asd 41 3 5 22" xfId="42494"/>
    <cellStyle name="asd 41 3 5 3" xfId="7802"/>
    <cellStyle name="asd 41 3 5 4" xfId="9712"/>
    <cellStyle name="asd 41 3 5 5" xfId="11299"/>
    <cellStyle name="asd 41 3 5 6" xfId="13158"/>
    <cellStyle name="asd 41 3 5 7" xfId="15063"/>
    <cellStyle name="asd 41 3 5 8" xfId="17331"/>
    <cellStyle name="asd 41 3 5 9" xfId="19237"/>
    <cellStyle name="asd 41 3 6" xfId="4584"/>
    <cellStyle name="asd 41 3 6 10" xfId="20829"/>
    <cellStyle name="asd 41 3 6 11" xfId="22465"/>
    <cellStyle name="asd 41 3 6 12" xfId="24631"/>
    <cellStyle name="asd 41 3 6 13" xfId="26895"/>
    <cellStyle name="asd 41 3 6 14" xfId="28718"/>
    <cellStyle name="asd 41 3 6 15" xfId="30491"/>
    <cellStyle name="asd 41 3 6 16" xfId="31663"/>
    <cellStyle name="asd 41 3 6 17" xfId="34080"/>
    <cellStyle name="asd 41 3 6 18" xfId="35459"/>
    <cellStyle name="asd 41 3 6 19" xfId="37337"/>
    <cellStyle name="asd 41 3 6 2" xfId="2011"/>
    <cellStyle name="asd 41 3 6 20" xfId="38907"/>
    <cellStyle name="asd 41 3 6 21" xfId="40591"/>
    <cellStyle name="asd 41 3 6 22" xfId="42276"/>
    <cellStyle name="asd 41 3 6 3" xfId="3740"/>
    <cellStyle name="asd 41 3 6 4" xfId="9391"/>
    <cellStyle name="asd 41 3 6 5" xfId="11069"/>
    <cellStyle name="asd 41 3 6 6" xfId="12933"/>
    <cellStyle name="asd 41 3 6 7" xfId="14838"/>
    <cellStyle name="asd 41 3 6 8" xfId="17010"/>
    <cellStyle name="asd 41 3 6 9" xfId="18917"/>
    <cellStyle name="asd 41 3 7" xfId="2679"/>
    <cellStyle name="asd 41 3 8" xfId="9134"/>
    <cellStyle name="asd 41 3 9" xfId="11845"/>
    <cellStyle name="asd 41 4" xfId="3502"/>
    <cellStyle name="asd 41 4 10" xfId="15186"/>
    <cellStyle name="asd 41 4 11" xfId="16965"/>
    <cellStyle name="asd 41 4 12" xfId="18872"/>
    <cellStyle name="asd 41 4 13" xfId="20784"/>
    <cellStyle name="asd 41 4 14" xfId="22812"/>
    <cellStyle name="asd 41 4 15" xfId="24586"/>
    <cellStyle name="asd 41 4 16" xfId="26683"/>
    <cellStyle name="asd 41 4 17" xfId="29497"/>
    <cellStyle name="asd 41 4 18" xfId="30283"/>
    <cellStyle name="asd 41 4 19" xfId="32244"/>
    <cellStyle name="asd 41 4 2" xfId="3682"/>
    <cellStyle name="asd 41 4 2 10" xfId="17573"/>
    <cellStyle name="asd 41 4 2 11" xfId="19479"/>
    <cellStyle name="asd 41 4 2 12" xfId="21391"/>
    <cellStyle name="asd 41 4 2 13" xfId="23110"/>
    <cellStyle name="asd 41 4 2 14" xfId="25193"/>
    <cellStyle name="asd 41 4 2 15" xfId="27820"/>
    <cellStyle name="asd 41 4 2 16" xfId="29183"/>
    <cellStyle name="asd 41 4 2 17" xfId="31398"/>
    <cellStyle name="asd 41 4 2 18" xfId="32455"/>
    <cellStyle name="asd 41 4 2 19" xfId="34507"/>
    <cellStyle name="asd 41 4 2 2" xfId="5749"/>
    <cellStyle name="asd 41 4 2 2 10" xfId="21999"/>
    <cellStyle name="asd 41 4 2 2 11" xfId="22829"/>
    <cellStyle name="asd 41 4 2 2 12" xfId="25801"/>
    <cellStyle name="asd 41 4 2 2 13" xfId="27679"/>
    <cellStyle name="asd 41 4 2 2 14" xfId="10920"/>
    <cellStyle name="asd 41 4 2 2 15" xfId="31254"/>
    <cellStyle name="asd 41 4 2 2 16" xfId="31976"/>
    <cellStyle name="asd 41 4 2 2 17" xfId="33430"/>
    <cellStyle name="asd 41 4 2 2 18" xfId="36628"/>
    <cellStyle name="asd 41 4 2 2 19" xfId="38507"/>
    <cellStyle name="asd 41 4 2 2 2" xfId="7198"/>
    <cellStyle name="asd 41 4 2 2 20" xfId="39206"/>
    <cellStyle name="asd 41 4 2 2 21" xfId="40887"/>
    <cellStyle name="asd 41 4 2 2 22" xfId="42621"/>
    <cellStyle name="asd 41 4 2 2 3" xfId="8652"/>
    <cellStyle name="asd 41 4 2 2 4" xfId="10562"/>
    <cellStyle name="asd 41 4 2 2 5" xfId="12279"/>
    <cellStyle name="asd 41 4 2 2 6" xfId="13298"/>
    <cellStyle name="asd 41 4 2 2 7" xfId="15203"/>
    <cellStyle name="asd 41 4 2 2 8" xfId="18181"/>
    <cellStyle name="asd 41 4 2 2 9" xfId="20087"/>
    <cellStyle name="asd 41 4 2 20" xfId="36020"/>
    <cellStyle name="asd 41 4 2 21" xfId="37899"/>
    <cellStyle name="asd 41 4 2 22" xfId="39673"/>
    <cellStyle name="asd 41 4 2 23" xfId="41346"/>
    <cellStyle name="asd 41 4 2 24" xfId="42890"/>
    <cellStyle name="asd 41 4 2 3" xfId="5143"/>
    <cellStyle name="asd 41 4 2 4" xfId="6593"/>
    <cellStyle name="asd 41 4 2 5" xfId="8044"/>
    <cellStyle name="asd 41 4 2 6" xfId="9954"/>
    <cellStyle name="asd 41 4 2 7" xfId="12725"/>
    <cellStyle name="asd 41 4 2 8" xfId="13581"/>
    <cellStyle name="asd 41 4 2 9" xfId="15484"/>
    <cellStyle name="asd 41 4 20" xfId="33601"/>
    <cellStyle name="asd 41 4 21" xfId="35414"/>
    <cellStyle name="asd 41 4 22" xfId="37292"/>
    <cellStyle name="asd 41 4 23" xfId="39462"/>
    <cellStyle name="asd 41 4 24" xfId="41137"/>
    <cellStyle name="asd 41 4 25" xfId="42605"/>
    <cellStyle name="asd 41 4 3" xfId="3869"/>
    <cellStyle name="asd 41 4 3 10" xfId="19582"/>
    <cellStyle name="asd 41 4 3 11" xfId="21494"/>
    <cellStyle name="asd 41 4 3 12" xfId="23330"/>
    <cellStyle name="asd 41 4 3 13" xfId="25296"/>
    <cellStyle name="asd 41 4 3 14" xfId="26985"/>
    <cellStyle name="asd 41 4 3 15" xfId="29126"/>
    <cellStyle name="asd 41 4 3 16" xfId="30579"/>
    <cellStyle name="asd 41 4 3 17" xfId="31874"/>
    <cellStyle name="asd 41 4 3 18" xfId="34562"/>
    <cellStyle name="asd 41 4 3 19" xfId="36123"/>
    <cellStyle name="asd 41 4 3 2" xfId="5852"/>
    <cellStyle name="asd 41 4 3 2 10" xfId="22102"/>
    <cellStyle name="asd 41 4 3 2 11" xfId="23832"/>
    <cellStyle name="asd 41 4 3 2 12" xfId="25904"/>
    <cellStyle name="asd 41 4 3 2 13" xfId="26767"/>
    <cellStyle name="asd 41 4 3 2 14" xfId="28866"/>
    <cellStyle name="asd 41 4 3 2 15" xfId="30366"/>
    <cellStyle name="asd 41 4 3 2 16" xfId="32849"/>
    <cellStyle name="asd 41 4 3 2 17" xfId="34894"/>
    <cellStyle name="asd 41 4 3 2 18" xfId="36731"/>
    <cellStyle name="asd 41 4 3 2 19" xfId="38610"/>
    <cellStyle name="asd 41 4 3 2 2" xfId="7301"/>
    <cellStyle name="asd 41 4 3 2 20" xfId="40056"/>
    <cellStyle name="asd 41 4 3 2 21" xfId="41720"/>
    <cellStyle name="asd 41 4 3 2 22" xfId="43583"/>
    <cellStyle name="asd 41 4 3 2 3" xfId="8755"/>
    <cellStyle name="asd 41 4 3 2 4" xfId="10665"/>
    <cellStyle name="asd 41 4 3 2 5" xfId="11540"/>
    <cellStyle name="asd 41 4 3 2 6" xfId="14302"/>
    <cellStyle name="asd 41 4 3 2 7" xfId="16206"/>
    <cellStyle name="asd 41 4 3 2 8" xfId="18284"/>
    <cellStyle name="asd 41 4 3 2 9" xfId="20190"/>
    <cellStyle name="asd 41 4 3 20" xfId="38002"/>
    <cellStyle name="asd 41 4 3 21" xfId="39109"/>
    <cellStyle name="asd 41 4 3 22" xfId="40790"/>
    <cellStyle name="asd 41 4 3 23" xfId="43100"/>
    <cellStyle name="asd 41 4 3 3" xfId="5246"/>
    <cellStyle name="asd 41 4 3 4" xfId="8147"/>
    <cellStyle name="asd 41 4 3 5" xfId="10057"/>
    <cellStyle name="asd 41 4 3 6" xfId="12332"/>
    <cellStyle name="asd 41 4 3 7" xfId="13802"/>
    <cellStyle name="asd 41 4 3 8" xfId="15704"/>
    <cellStyle name="asd 41 4 3 9" xfId="17676"/>
    <cellStyle name="asd 41 4 4" xfId="4134"/>
    <cellStyle name="asd 41 4 4 10" xfId="19769"/>
    <cellStyle name="asd 41 4 4 11" xfId="21681"/>
    <cellStyle name="asd 41 4 4 12" xfId="23441"/>
    <cellStyle name="asd 41 4 4 13" xfId="25483"/>
    <cellStyle name="asd 41 4 4 14" xfId="27796"/>
    <cellStyle name="asd 41 4 4 15" xfId="29547"/>
    <cellStyle name="asd 41 4 4 16" xfId="31373"/>
    <cellStyle name="asd 41 4 4 17" xfId="31930"/>
    <cellStyle name="asd 41 4 4 18" xfId="34280"/>
    <cellStyle name="asd 41 4 4 19" xfId="36310"/>
    <cellStyle name="asd 41 4 4 2" xfId="6039"/>
    <cellStyle name="asd 41 4 4 2 10" xfId="22289"/>
    <cellStyle name="asd 41 4 4 2 11" xfId="22605"/>
    <cellStyle name="asd 41 4 4 2 12" xfId="26091"/>
    <cellStyle name="asd 41 4 4 2 13" xfId="26190"/>
    <cellStyle name="asd 41 4 4 2 14" xfId="28038"/>
    <cellStyle name="asd 41 4 4 2 15" xfId="29803"/>
    <cellStyle name="asd 41 4 4 2 16" xfId="32091"/>
    <cellStyle name="asd 41 4 4 2 17" xfId="34776"/>
    <cellStyle name="asd 41 4 4 2 18" xfId="36918"/>
    <cellStyle name="asd 41 4 4 2 19" xfId="38797"/>
    <cellStyle name="asd 41 4 4 2 2" xfId="7488"/>
    <cellStyle name="asd 41 4 4 2 20" xfId="39315"/>
    <cellStyle name="asd 41 4 4 2 21" xfId="40991"/>
    <cellStyle name="asd 41 4 4 2 22" xfId="42413"/>
    <cellStyle name="asd 41 4 4 2 3" xfId="8942"/>
    <cellStyle name="asd 41 4 4 2 4" xfId="10852"/>
    <cellStyle name="asd 41 4 4 2 5" xfId="3067"/>
    <cellStyle name="asd 41 4 4 2 6" xfId="13073"/>
    <cellStyle name="asd 41 4 4 2 7" xfId="14977"/>
    <cellStyle name="asd 41 4 4 2 8" xfId="18471"/>
    <cellStyle name="asd 41 4 4 2 9" xfId="20377"/>
    <cellStyle name="asd 41 4 4 20" xfId="38189"/>
    <cellStyle name="asd 41 4 4 21" xfId="39160"/>
    <cellStyle name="asd 41 4 4 22" xfId="40841"/>
    <cellStyle name="asd 41 4 4 23" xfId="43208"/>
    <cellStyle name="asd 41 4 4 3" xfId="6880"/>
    <cellStyle name="asd 41 4 4 4" xfId="8334"/>
    <cellStyle name="asd 41 4 4 5" xfId="10244"/>
    <cellStyle name="asd 41 4 4 6" xfId="12559"/>
    <cellStyle name="asd 41 4 4 7" xfId="13913"/>
    <cellStyle name="asd 41 4 4 8" xfId="15814"/>
    <cellStyle name="asd 41 4 4 9" xfId="17863"/>
    <cellStyle name="asd 41 4 5" xfId="5504"/>
    <cellStyle name="asd 41 4 5 10" xfId="21754"/>
    <cellStyle name="asd 41 4 5 11" xfId="23125"/>
    <cellStyle name="asd 41 4 5 12" xfId="25556"/>
    <cellStyle name="asd 41 4 5 13" xfId="26468"/>
    <cellStyle name="asd 41 4 5 14" xfId="29213"/>
    <cellStyle name="asd 41 4 5 15" xfId="30073"/>
    <cellStyle name="asd 41 4 5 16" xfId="33187"/>
    <cellStyle name="asd 41 4 5 17" xfId="34892"/>
    <cellStyle name="asd 41 4 5 18" xfId="36383"/>
    <cellStyle name="asd 41 4 5 19" xfId="38262"/>
    <cellStyle name="asd 41 4 5 2" xfId="6953"/>
    <cellStyle name="asd 41 4 5 20" xfId="40378"/>
    <cellStyle name="asd 41 4 5 21" xfId="42034"/>
    <cellStyle name="asd 41 4 5 22" xfId="42904"/>
    <cellStyle name="asd 41 4 5 3" xfId="8407"/>
    <cellStyle name="asd 41 4 5 4" xfId="10317"/>
    <cellStyle name="asd 41 4 5 5" xfId="12746"/>
    <cellStyle name="asd 41 4 5 6" xfId="13596"/>
    <cellStyle name="asd 41 4 5 7" xfId="15499"/>
    <cellStyle name="asd 41 4 5 8" xfId="17936"/>
    <cellStyle name="asd 41 4 5 9" xfId="19842"/>
    <cellStyle name="asd 41 4 6" xfId="4604"/>
    <cellStyle name="asd 41 4 7" xfId="9346"/>
    <cellStyle name="asd 41 4 8" xfId="12408"/>
    <cellStyle name="asd 41 4 9" xfId="13282"/>
    <cellStyle name="asd 41 5" xfId="3176"/>
    <cellStyle name="asd 41 5 10" xfId="17267"/>
    <cellStyle name="asd 41 5 11" xfId="19173"/>
    <cellStyle name="asd 41 5 12" xfId="21085"/>
    <cellStyle name="asd 41 5 13" xfId="23105"/>
    <cellStyle name="asd 41 5 14" xfId="24887"/>
    <cellStyle name="asd 41 5 15" xfId="26481"/>
    <cellStyle name="asd 41 5 16" xfId="28587"/>
    <cellStyle name="asd 41 5 17" xfId="30087"/>
    <cellStyle name="asd 41 5 18" xfId="31682"/>
    <cellStyle name="asd 41 5 19" xfId="33897"/>
    <cellStyle name="asd 41 5 2" xfId="4532"/>
    <cellStyle name="asd 41 5 2 10" xfId="20777"/>
    <cellStyle name="asd 41 5 2 11" xfId="22967"/>
    <cellStyle name="asd 41 5 2 12" xfId="24579"/>
    <cellStyle name="asd 41 5 2 13" xfId="27731"/>
    <cellStyle name="asd 41 5 2 14" xfId="28794"/>
    <cellStyle name="asd 41 5 2 15" xfId="31309"/>
    <cellStyle name="asd 41 5 2 16" xfId="32136"/>
    <cellStyle name="asd 41 5 2 17" xfId="33620"/>
    <cellStyle name="asd 41 5 2 18" xfId="35407"/>
    <cellStyle name="asd 41 5 2 19" xfId="37285"/>
    <cellStyle name="asd 41 5 2 2" xfId="5434"/>
    <cellStyle name="asd 41 5 2 20" xfId="39359"/>
    <cellStyle name="asd 41 5 2 21" xfId="41035"/>
    <cellStyle name="asd 41 5 2 22" xfId="42753"/>
    <cellStyle name="asd 41 5 2 3" xfId="6101"/>
    <cellStyle name="asd 41 5 2 4" xfId="9339"/>
    <cellStyle name="asd 41 5 2 5" xfId="12309"/>
    <cellStyle name="asd 41 5 2 6" xfId="13436"/>
    <cellStyle name="asd 41 5 2 7" xfId="15341"/>
    <cellStyle name="asd 41 5 2 8" xfId="16958"/>
    <cellStyle name="asd 41 5 2 9" xfId="18865"/>
    <cellStyle name="asd 41 5 20" xfId="35714"/>
    <cellStyle name="asd 41 5 21" xfId="37593"/>
    <cellStyle name="asd 41 5 22" xfId="38925"/>
    <cellStyle name="asd 41 5 23" xfId="40609"/>
    <cellStyle name="asd 41 5 24" xfId="42885"/>
    <cellStyle name="asd 41 5 3" xfId="4837"/>
    <cellStyle name="asd 41 5 4" xfId="6287"/>
    <cellStyle name="asd 41 5 5" xfId="7738"/>
    <cellStyle name="asd 41 5 6" xfId="9648"/>
    <cellStyle name="asd 41 5 7" xfId="12718"/>
    <cellStyle name="asd 41 5 8" xfId="13576"/>
    <cellStyle name="asd 41 5 9" xfId="15479"/>
    <cellStyle name="asd 41 6" xfId="2781"/>
    <cellStyle name="asd 41 6 10" xfId="19109"/>
    <cellStyle name="asd 41 6 11" xfId="21021"/>
    <cellStyle name="asd 41 6 12" xfId="23591"/>
    <cellStyle name="asd 41 6 13" xfId="24823"/>
    <cellStyle name="asd 41 6 14" xfId="27509"/>
    <cellStyle name="asd 41 6 15" xfId="3253"/>
    <cellStyle name="asd 41 6 16" xfId="31094"/>
    <cellStyle name="asd 41 6 17" xfId="31774"/>
    <cellStyle name="asd 41 6 18" xfId="33204"/>
    <cellStyle name="asd 41 6 19" xfId="35650"/>
    <cellStyle name="asd 41 6 2" xfId="5499"/>
    <cellStyle name="asd 41 6 2 10" xfId="21749"/>
    <cellStyle name="asd 41 6 2 11" xfId="22907"/>
    <cellStyle name="asd 41 6 2 12" xfId="25551"/>
    <cellStyle name="asd 41 6 2 13" xfId="2359"/>
    <cellStyle name="asd 41 6 2 14" xfId="26408"/>
    <cellStyle name="asd 41 6 2 15" xfId="26555"/>
    <cellStyle name="asd 41 6 2 16" xfId="31588"/>
    <cellStyle name="asd 41 6 2 17" xfId="31840"/>
    <cellStyle name="asd 41 6 2 18" xfId="36378"/>
    <cellStyle name="asd 41 6 2 19" xfId="38257"/>
    <cellStyle name="asd 41 6 2 2" xfId="6948"/>
    <cellStyle name="asd 41 6 2 20" xfId="38837"/>
    <cellStyle name="asd 41 6 2 21" xfId="40524"/>
    <cellStyle name="asd 41 6 2 22" xfId="42693"/>
    <cellStyle name="asd 41 6 2 3" xfId="8402"/>
    <cellStyle name="asd 41 6 2 4" xfId="10312"/>
    <cellStyle name="asd 41 6 2 5" xfId="12358"/>
    <cellStyle name="asd 41 6 2 6" xfId="13375"/>
    <cellStyle name="asd 41 6 2 7" xfId="15280"/>
    <cellStyle name="asd 41 6 2 8" xfId="17931"/>
    <cellStyle name="asd 41 6 2 9" xfId="19837"/>
    <cellStyle name="asd 41 6 20" xfId="37529"/>
    <cellStyle name="asd 41 6 21" xfId="39013"/>
    <cellStyle name="asd 41 6 22" xfId="40695"/>
    <cellStyle name="asd 41 6 23" xfId="43350"/>
    <cellStyle name="asd 41 6 3" xfId="4774"/>
    <cellStyle name="asd 41 6 4" xfId="7674"/>
    <cellStyle name="asd 41 6 5" xfId="9584"/>
    <cellStyle name="asd 41 6 6" xfId="11186"/>
    <cellStyle name="asd 41 6 7" xfId="14061"/>
    <cellStyle name="asd 41 6 8" xfId="15964"/>
    <cellStyle name="asd 41 6 9" xfId="17203"/>
    <cellStyle name="asd 41 7" xfId="1996"/>
    <cellStyle name="asd 41 7 10" xfId="18997"/>
    <cellStyle name="asd 41 7 11" xfId="20909"/>
    <cellStyle name="asd 41 7 12" xfId="23867"/>
    <cellStyle name="asd 41 7 13" xfId="24711"/>
    <cellStyle name="asd 41 7 14" xfId="27899"/>
    <cellStyle name="asd 41 7 15" xfId="28703"/>
    <cellStyle name="asd 41 7 16" xfId="31481"/>
    <cellStyle name="asd 41 7 17" xfId="32028"/>
    <cellStyle name="asd 41 7 18" xfId="33796"/>
    <cellStyle name="asd 41 7 19" xfId="35538"/>
    <cellStyle name="asd 41 7 2" xfId="5710"/>
    <cellStyle name="asd 41 7 2 10" xfId="21960"/>
    <cellStyle name="asd 41 7 2 11" xfId="1999"/>
    <cellStyle name="asd 41 7 2 12" xfId="25762"/>
    <cellStyle name="asd 41 7 2 13" xfId="2684"/>
    <cellStyle name="asd 41 7 2 14" xfId="1983"/>
    <cellStyle name="asd 41 7 2 15" xfId="3066"/>
    <cellStyle name="asd 41 7 2 16" xfId="26123"/>
    <cellStyle name="asd 41 7 2 17" xfId="29719"/>
    <cellStyle name="asd 41 7 2 18" xfId="36589"/>
    <cellStyle name="asd 41 7 2 19" xfId="38468"/>
    <cellStyle name="asd 41 7 2 2" xfId="7159"/>
    <cellStyle name="asd 41 7 2 20" xfId="29574"/>
    <cellStyle name="asd 41 7 2 21" xfId="38821"/>
    <cellStyle name="asd 41 7 2 22" xfId="39672"/>
    <cellStyle name="asd 41 7 2 3" xfId="8613"/>
    <cellStyle name="asd 41 7 2 4" xfId="10523"/>
    <cellStyle name="asd 41 7 2 5" xfId="12369"/>
    <cellStyle name="asd 41 7 2 6" xfId="2922"/>
    <cellStyle name="asd 41 7 2 7" xfId="2173"/>
    <cellStyle name="asd 41 7 2 8" xfId="18142"/>
    <cellStyle name="asd 41 7 2 9" xfId="20048"/>
    <cellStyle name="asd 41 7 20" xfId="37417"/>
    <cellStyle name="asd 41 7 21" xfId="39258"/>
    <cellStyle name="asd 41 7 22" xfId="40935"/>
    <cellStyle name="asd 41 7 23" xfId="43617"/>
    <cellStyle name="asd 41 7 3" xfId="6111"/>
    <cellStyle name="asd 41 7 4" xfId="7562"/>
    <cellStyle name="asd 41 7 5" xfId="9472"/>
    <cellStyle name="asd 41 7 6" xfId="11392"/>
    <cellStyle name="asd 41 7 7" xfId="14337"/>
    <cellStyle name="asd 41 7 8" xfId="16241"/>
    <cellStyle name="asd 41 7 9" xfId="17091"/>
    <cellStyle name="asd 41 8" xfId="3938"/>
    <cellStyle name="asd 41 9" xfId="2328"/>
    <cellStyle name="asd 42" xfId="997"/>
    <cellStyle name="asd 42 10" xfId="2411"/>
    <cellStyle name="asd 42 11" xfId="12825"/>
    <cellStyle name="asd 42 12" xfId="14730"/>
    <cellStyle name="asd 42 13" xfId="6236"/>
    <cellStyle name="asd 42 14" xfId="3703"/>
    <cellStyle name="asd 42 15" xfId="16357"/>
    <cellStyle name="asd 42 16" xfId="22358"/>
    <cellStyle name="asd 42 17" xfId="14902"/>
    <cellStyle name="asd 42 18" xfId="3831"/>
    <cellStyle name="asd 42 19" xfId="3002"/>
    <cellStyle name="asd 42 2" xfId="3463"/>
    <cellStyle name="asd 42 2 10" xfId="12843"/>
    <cellStyle name="asd 42 2 11" xfId="14748"/>
    <cellStyle name="asd 42 2 12" xfId="16876"/>
    <cellStyle name="asd 42 2 13" xfId="18783"/>
    <cellStyle name="asd 42 2 14" xfId="20695"/>
    <cellStyle name="asd 42 2 15" xfId="22376"/>
    <cellStyle name="asd 42 2 16" xfId="24497"/>
    <cellStyle name="asd 42 2 17" xfId="26923"/>
    <cellStyle name="asd 42 2 18" xfId="28277"/>
    <cellStyle name="asd 42 2 19" xfId="30518"/>
    <cellStyle name="asd 42 2 2" xfId="3643"/>
    <cellStyle name="asd 42 2 2 10" xfId="17534"/>
    <cellStyle name="asd 42 2 2 11" xfId="19440"/>
    <cellStyle name="asd 42 2 2 12" xfId="21352"/>
    <cellStyle name="asd 42 2 2 13" xfId="23948"/>
    <cellStyle name="asd 42 2 2 14" xfId="25154"/>
    <cellStyle name="asd 42 2 2 15" xfId="27876"/>
    <cellStyle name="asd 42 2 2 16" xfId="29712"/>
    <cellStyle name="asd 42 2 2 17" xfId="31457"/>
    <cellStyle name="asd 42 2 2 18" xfId="32834"/>
    <cellStyle name="asd 42 2 2 19" xfId="33645"/>
    <cellStyle name="asd 42 2 2 2" xfId="5452"/>
    <cellStyle name="asd 42 2 2 2 10" xfId="21702"/>
    <cellStyle name="asd 42 2 2 2 11" xfId="23002"/>
    <cellStyle name="asd 42 2 2 2 12" xfId="25504"/>
    <cellStyle name="asd 42 2 2 2 13" xfId="27025"/>
    <cellStyle name="asd 42 2 2 2 14" xfId="29425"/>
    <cellStyle name="asd 42 2 2 2 15" xfId="30618"/>
    <cellStyle name="asd 42 2 2 2 16" xfId="31635"/>
    <cellStyle name="asd 42 2 2 2 17" xfId="34283"/>
    <cellStyle name="asd 42 2 2 2 18" xfId="36331"/>
    <cellStyle name="asd 42 2 2 2 19" xfId="38210"/>
    <cellStyle name="asd 42 2 2 2 2" xfId="6901"/>
    <cellStyle name="asd 42 2 2 2 20" xfId="38882"/>
    <cellStyle name="asd 42 2 2 2 21" xfId="40567"/>
    <cellStyle name="asd 42 2 2 2 22" xfId="42786"/>
    <cellStyle name="asd 42 2 2 2 3" xfId="8355"/>
    <cellStyle name="asd 42 2 2 2 4" xfId="10265"/>
    <cellStyle name="asd 42 2 2 2 5" xfId="11036"/>
    <cellStyle name="asd 42 2 2 2 6" xfId="13472"/>
    <cellStyle name="asd 42 2 2 2 7" xfId="15377"/>
    <cellStyle name="asd 42 2 2 2 8" xfId="17884"/>
    <cellStyle name="asd 42 2 2 2 9" xfId="19790"/>
    <cellStyle name="asd 42 2 2 20" xfId="35981"/>
    <cellStyle name="asd 42 2 2 21" xfId="37860"/>
    <cellStyle name="asd 42 2 2 22" xfId="40042"/>
    <cellStyle name="asd 42 2 2 23" xfId="41706"/>
    <cellStyle name="asd 42 2 2 24" xfId="43694"/>
    <cellStyle name="asd 42 2 2 3" xfId="5104"/>
    <cellStyle name="asd 42 2 2 4" xfId="6554"/>
    <cellStyle name="asd 42 2 2 5" xfId="8005"/>
    <cellStyle name="asd 42 2 2 6" xfId="9915"/>
    <cellStyle name="asd 42 2 2 7" xfId="11908"/>
    <cellStyle name="asd 42 2 2 8" xfId="14418"/>
    <cellStyle name="asd 42 2 2 9" xfId="16324"/>
    <cellStyle name="asd 42 2 20" xfId="32686"/>
    <cellStyle name="asd 42 2 21" xfId="34709"/>
    <cellStyle name="asd 42 2 22" xfId="35325"/>
    <cellStyle name="asd 42 2 23" xfId="37203"/>
    <cellStyle name="asd 42 2 24" xfId="39894"/>
    <cellStyle name="asd 42 2 25" xfId="41563"/>
    <cellStyle name="asd 42 2 26" xfId="42187"/>
    <cellStyle name="asd 42 2 3" xfId="1831"/>
    <cellStyle name="asd 42 2 3 10" xfId="18975"/>
    <cellStyle name="asd 42 2 3 11" xfId="20887"/>
    <cellStyle name="asd 42 2 3 12" xfId="23058"/>
    <cellStyle name="asd 42 2 3 13" xfId="24689"/>
    <cellStyle name="asd 42 2 3 14" xfId="26988"/>
    <cellStyle name="asd 42 2 3 15" xfId="28840"/>
    <cellStyle name="asd 42 2 3 16" xfId="30582"/>
    <cellStyle name="asd 42 2 3 17" xfId="33210"/>
    <cellStyle name="asd 42 2 3 18" xfId="33378"/>
    <cellStyle name="asd 42 2 3 19" xfId="35516"/>
    <cellStyle name="asd 42 2 3 2" xfId="3199"/>
    <cellStyle name="asd 42 2 3 2 10" xfId="20502"/>
    <cellStyle name="asd 42 2 3 2 11" xfId="23497"/>
    <cellStyle name="asd 42 2 3 2 12" xfId="24304"/>
    <cellStyle name="asd 42 2 3 2 13" xfId="2888"/>
    <cellStyle name="asd 42 2 3 2 14" xfId="14049"/>
    <cellStyle name="asd 42 2 3 2 15" xfId="27681"/>
    <cellStyle name="asd 42 2 3 2 16" xfId="28383"/>
    <cellStyle name="asd 42 2 3 2 17" xfId="34230"/>
    <cellStyle name="asd 42 2 3 2 18" xfId="35132"/>
    <cellStyle name="asd 42 2 3 2 19" xfId="37010"/>
    <cellStyle name="asd 42 2 3 2 2" xfId="4648"/>
    <cellStyle name="asd 42 2 3 2 20" xfId="33363"/>
    <cellStyle name="asd 42 2 3 2 21" xfId="31085"/>
    <cellStyle name="asd 42 2 3 2 22" xfId="43263"/>
    <cellStyle name="asd 42 2 3 2 3" xfId="6188"/>
    <cellStyle name="asd 42 2 3 2 4" xfId="9064"/>
    <cellStyle name="asd 42 2 3 2 5" xfId="12543"/>
    <cellStyle name="asd 42 2 3 2 6" xfId="13969"/>
    <cellStyle name="asd 42 2 3 2 7" xfId="15870"/>
    <cellStyle name="asd 42 2 3 2 8" xfId="16683"/>
    <cellStyle name="asd 42 2 3 2 9" xfId="18590"/>
    <cellStyle name="asd 42 2 3 20" xfId="37395"/>
    <cellStyle name="asd 42 2 3 21" xfId="40399"/>
    <cellStyle name="asd 42 2 3 22" xfId="42055"/>
    <cellStyle name="asd 42 2 3 23" xfId="42841"/>
    <cellStyle name="asd 42 2 3 3" xfId="4643"/>
    <cellStyle name="asd 42 2 3 4" xfId="7540"/>
    <cellStyle name="asd 42 2 3 5" xfId="9450"/>
    <cellStyle name="asd 42 2 3 6" xfId="12661"/>
    <cellStyle name="asd 42 2 3 7" xfId="13529"/>
    <cellStyle name="asd 42 2 3 8" xfId="15432"/>
    <cellStyle name="asd 42 2 3 9" xfId="17069"/>
    <cellStyle name="asd 42 2 4" xfId="4095"/>
    <cellStyle name="asd 42 2 4 10" xfId="19730"/>
    <cellStyle name="asd 42 2 4 11" xfId="21642"/>
    <cellStyle name="asd 42 2 4 12" xfId="22726"/>
    <cellStyle name="asd 42 2 4 13" xfId="25444"/>
    <cellStyle name="asd 42 2 4 14" xfId="27633"/>
    <cellStyle name="asd 42 2 4 15" xfId="28341"/>
    <cellStyle name="asd 42 2 4 16" xfId="31210"/>
    <cellStyle name="asd 42 2 4 17" xfId="32880"/>
    <cellStyle name="asd 42 2 4 18" xfId="34751"/>
    <cellStyle name="asd 42 2 4 19" xfId="36271"/>
    <cellStyle name="asd 42 2 4 2" xfId="6000"/>
    <cellStyle name="asd 42 2 4 2 10" xfId="22250"/>
    <cellStyle name="asd 42 2 4 2 11" xfId="24035"/>
    <cellStyle name="asd 42 2 4 2 12" xfId="26052"/>
    <cellStyle name="asd 42 2 4 2 13" xfId="26454"/>
    <cellStyle name="asd 42 2 4 2 14" xfId="29371"/>
    <cellStyle name="asd 42 2 4 2 15" xfId="30060"/>
    <cellStyle name="asd 42 2 4 2 16" xfId="32896"/>
    <cellStyle name="asd 42 2 4 2 17" xfId="33743"/>
    <cellStyle name="asd 42 2 4 2 18" xfId="36879"/>
    <cellStyle name="asd 42 2 4 2 19" xfId="38758"/>
    <cellStyle name="asd 42 2 4 2 2" xfId="7449"/>
    <cellStyle name="asd 42 2 4 2 20" xfId="40099"/>
    <cellStyle name="asd 42 2 4 2 21" xfId="41761"/>
    <cellStyle name="asd 42 2 4 2 22" xfId="43779"/>
    <cellStyle name="asd 42 2 4 2 3" xfId="8903"/>
    <cellStyle name="asd 42 2 4 2 4" xfId="10813"/>
    <cellStyle name="asd 42 2 4 2 5" xfId="11994"/>
    <cellStyle name="asd 42 2 4 2 6" xfId="14505"/>
    <cellStyle name="asd 42 2 4 2 7" xfId="16411"/>
    <cellStyle name="asd 42 2 4 2 8" xfId="18432"/>
    <cellStyle name="asd 42 2 4 2 9" xfId="20338"/>
    <cellStyle name="asd 42 2 4 20" xfId="38150"/>
    <cellStyle name="asd 42 2 4 21" xfId="40085"/>
    <cellStyle name="asd 42 2 4 22" xfId="41748"/>
    <cellStyle name="asd 42 2 4 23" xfId="42524"/>
    <cellStyle name="asd 42 2 4 3" xfId="6841"/>
    <cellStyle name="asd 42 2 4 4" xfId="8295"/>
    <cellStyle name="asd 42 2 4 5" xfId="10205"/>
    <cellStyle name="asd 42 2 4 6" xfId="11838"/>
    <cellStyle name="asd 42 2 4 7" xfId="13195"/>
    <cellStyle name="asd 42 2 4 8" xfId="15098"/>
    <cellStyle name="asd 42 2 4 9" xfId="17824"/>
    <cellStyle name="asd 42 2 5" xfId="4948"/>
    <cellStyle name="asd 42 2 5 10" xfId="21196"/>
    <cellStyle name="asd 42 2 5 11" xfId="24020"/>
    <cellStyle name="asd 42 2 5 12" xfId="24998"/>
    <cellStyle name="asd 42 2 5 13" xfId="26367"/>
    <cellStyle name="asd 42 2 5 14" xfId="28501"/>
    <cellStyle name="asd 42 2 5 15" xfId="29975"/>
    <cellStyle name="asd 42 2 5 16" xfId="32444"/>
    <cellStyle name="asd 42 2 5 17" xfId="34231"/>
    <cellStyle name="asd 42 2 5 18" xfId="35825"/>
    <cellStyle name="asd 42 2 5 19" xfId="37704"/>
    <cellStyle name="asd 42 2 5 2" xfId="6398"/>
    <cellStyle name="asd 42 2 5 20" xfId="39661"/>
    <cellStyle name="asd 42 2 5 21" xfId="41335"/>
    <cellStyle name="asd 42 2 5 22" xfId="43764"/>
    <cellStyle name="asd 42 2 5 3" xfId="7849"/>
    <cellStyle name="asd 42 2 5 4" xfId="9759"/>
    <cellStyle name="asd 42 2 5 5" xfId="11979"/>
    <cellStyle name="asd 42 2 5 6" xfId="14490"/>
    <cellStyle name="asd 42 2 5 7" xfId="16396"/>
    <cellStyle name="asd 42 2 5 8" xfId="17378"/>
    <cellStyle name="asd 42 2 5 9" xfId="19284"/>
    <cellStyle name="asd 42 2 6" xfId="4607"/>
    <cellStyle name="asd 42 2 6 10" xfId="20852"/>
    <cellStyle name="asd 42 2 6 11" xfId="23168"/>
    <cellStyle name="asd 42 2 6 12" xfId="24654"/>
    <cellStyle name="asd 42 2 6 13" xfId="22348"/>
    <cellStyle name="asd 42 2 6 14" xfId="2580"/>
    <cellStyle name="asd 42 2 6 15" xfId="29288"/>
    <cellStyle name="asd 42 2 6 16" xfId="3121"/>
    <cellStyle name="asd 42 2 6 17" xfId="33338"/>
    <cellStyle name="asd 42 2 6 18" xfId="35482"/>
    <cellStyle name="asd 42 2 6 19" xfId="37360"/>
    <cellStyle name="asd 42 2 6 2" xfId="3973"/>
    <cellStyle name="asd 42 2 6 20" xfId="3092"/>
    <cellStyle name="asd 42 2 6 21" xfId="35079"/>
    <cellStyle name="asd 42 2 6 22" xfId="42946"/>
    <cellStyle name="asd 42 2 6 3" xfId="2372"/>
    <cellStyle name="asd 42 2 6 4" xfId="9414"/>
    <cellStyle name="asd 42 2 6 5" xfId="10980"/>
    <cellStyle name="asd 42 2 6 6" xfId="13639"/>
    <cellStyle name="asd 42 2 6 7" xfId="15542"/>
    <cellStyle name="asd 42 2 6 8" xfId="17033"/>
    <cellStyle name="asd 42 2 6 9" xfId="18940"/>
    <cellStyle name="asd 42 2 7" xfId="6134"/>
    <cellStyle name="asd 42 2 8" xfId="9257"/>
    <cellStyle name="asd 42 2 9" xfId="11722"/>
    <cellStyle name="asd 42 20" xfId="1884"/>
    <cellStyle name="asd 42 21" xfId="31830"/>
    <cellStyle name="asd 42 22" xfId="33405"/>
    <cellStyle name="asd 42 23" xfId="2749"/>
    <cellStyle name="asd 42 24" xfId="23587"/>
    <cellStyle name="asd 42 25" xfId="39068"/>
    <cellStyle name="asd 42 26" xfId="40750"/>
    <cellStyle name="asd 42 27" xfId="42170"/>
    <cellStyle name="asd 42 3" xfId="3406"/>
    <cellStyle name="asd 42 3 10" xfId="13125"/>
    <cellStyle name="asd 42 3 11" xfId="15030"/>
    <cellStyle name="asd 42 3 12" xfId="16755"/>
    <cellStyle name="asd 42 3 13" xfId="18662"/>
    <cellStyle name="asd 42 3 14" xfId="20574"/>
    <cellStyle name="asd 42 3 15" xfId="22658"/>
    <cellStyle name="asd 42 3 16" xfId="24376"/>
    <cellStyle name="asd 42 3 17" xfId="27176"/>
    <cellStyle name="asd 42 3 18" xfId="28149"/>
    <cellStyle name="asd 42 3 19" xfId="30767"/>
    <cellStyle name="asd 42 3 2" xfId="3586"/>
    <cellStyle name="asd 42 3 2 10" xfId="17477"/>
    <cellStyle name="asd 42 3 2 11" xfId="19383"/>
    <cellStyle name="asd 42 3 2 12" xfId="21295"/>
    <cellStyle name="asd 42 3 2 13" xfId="24029"/>
    <cellStyle name="asd 42 3 2 14" xfId="25097"/>
    <cellStyle name="asd 42 3 2 15" xfId="27945"/>
    <cellStyle name="asd 42 3 2 16" xfId="28934"/>
    <cellStyle name="asd 42 3 2 17" xfId="31525"/>
    <cellStyle name="asd 42 3 2 18" xfId="32559"/>
    <cellStyle name="asd 42 3 2 19" xfId="34596"/>
    <cellStyle name="asd 42 3 2 2" xfId="5544"/>
    <cellStyle name="asd 42 3 2 2 10" xfId="21794"/>
    <cellStyle name="asd 42 3 2 2 11" xfId="22572"/>
    <cellStyle name="asd 42 3 2 2 12" xfId="25596"/>
    <cellStyle name="asd 42 3 2 2 13" xfId="26534"/>
    <cellStyle name="asd 42 3 2 2 14" xfId="12544"/>
    <cellStyle name="asd 42 3 2 2 15" xfId="30140"/>
    <cellStyle name="asd 42 3 2 2 16" xfId="32542"/>
    <cellStyle name="asd 42 3 2 2 17" xfId="33991"/>
    <cellStyle name="asd 42 3 2 2 18" xfId="36423"/>
    <cellStyle name="asd 42 3 2 2 19" xfId="38302"/>
    <cellStyle name="asd 42 3 2 2 2" xfId="6993"/>
    <cellStyle name="asd 42 3 2 2 20" xfId="39755"/>
    <cellStyle name="asd 42 3 2 2 21" xfId="41427"/>
    <cellStyle name="asd 42 3 2 2 22" xfId="42381"/>
    <cellStyle name="asd 42 3 2 2 3" xfId="8447"/>
    <cellStyle name="asd 42 3 2 2 4" xfId="10357"/>
    <cellStyle name="asd 42 3 2 2 5" xfId="2133"/>
    <cellStyle name="asd 42 3 2 2 6" xfId="13040"/>
    <cellStyle name="asd 42 3 2 2 7" xfId="14944"/>
    <cellStyle name="asd 42 3 2 2 8" xfId="17976"/>
    <cellStyle name="asd 42 3 2 2 9" xfId="19882"/>
    <cellStyle name="asd 42 3 2 20" xfId="35924"/>
    <cellStyle name="asd 42 3 2 21" xfId="37803"/>
    <cellStyle name="asd 42 3 2 22" xfId="39772"/>
    <cellStyle name="asd 42 3 2 23" xfId="41442"/>
    <cellStyle name="asd 42 3 2 24" xfId="43773"/>
    <cellStyle name="asd 42 3 2 3" xfId="5047"/>
    <cellStyle name="asd 42 3 2 4" xfId="6497"/>
    <cellStyle name="asd 42 3 2 5" xfId="7948"/>
    <cellStyle name="asd 42 3 2 6" xfId="9858"/>
    <cellStyle name="asd 42 3 2 7" xfId="11988"/>
    <cellStyle name="asd 42 3 2 8" xfId="14499"/>
    <cellStyle name="asd 42 3 2 9" xfId="16405"/>
    <cellStyle name="asd 42 3 20" xfId="32490"/>
    <cellStyle name="asd 42 3 21" xfId="34803"/>
    <cellStyle name="asd 42 3 22" xfId="35204"/>
    <cellStyle name="asd 42 3 23" xfId="37082"/>
    <cellStyle name="asd 42 3 24" xfId="39705"/>
    <cellStyle name="asd 42 3 25" xfId="41377"/>
    <cellStyle name="asd 42 3 26" xfId="42464"/>
    <cellStyle name="asd 42 3 3" xfId="3883"/>
    <cellStyle name="asd 42 3 3 10" xfId="19592"/>
    <cellStyle name="asd 42 3 3 11" xfId="21504"/>
    <cellStyle name="asd 42 3 3 12" xfId="23008"/>
    <cellStyle name="asd 42 3 3 13" xfId="25306"/>
    <cellStyle name="asd 42 3 3 14" xfId="26732"/>
    <cellStyle name="asd 42 3 3 15" xfId="10921"/>
    <cellStyle name="asd 42 3 3 16" xfId="30332"/>
    <cellStyle name="asd 42 3 3 17" xfId="31801"/>
    <cellStyle name="asd 42 3 3 18" xfId="34364"/>
    <cellStyle name="asd 42 3 3 19" xfId="36133"/>
    <cellStyle name="asd 42 3 3 2" xfId="5862"/>
    <cellStyle name="asd 42 3 3 2 10" xfId="22112"/>
    <cellStyle name="asd 42 3 3 2 11" xfId="23340"/>
    <cellStyle name="asd 42 3 3 2 12" xfId="25914"/>
    <cellStyle name="asd 42 3 3 2 13" xfId="27881"/>
    <cellStyle name="asd 42 3 3 2 14" xfId="29074"/>
    <cellStyle name="asd 42 3 3 2 15" xfId="31462"/>
    <cellStyle name="asd 42 3 3 2 16" xfId="32030"/>
    <cellStyle name="asd 42 3 3 2 17" xfId="33911"/>
    <cellStyle name="asd 42 3 3 2 18" xfId="36741"/>
    <cellStyle name="asd 42 3 3 2 19" xfId="38620"/>
    <cellStyle name="asd 42 3 3 2 2" xfId="7311"/>
    <cellStyle name="asd 42 3 3 2 20" xfId="39260"/>
    <cellStyle name="asd 42 3 3 2 21" xfId="40937"/>
    <cellStyle name="asd 42 3 3 2 22" xfId="43110"/>
    <cellStyle name="asd 42 3 3 2 3" xfId="8765"/>
    <cellStyle name="asd 42 3 3 2 4" xfId="10675"/>
    <cellStyle name="asd 42 3 3 2 5" xfId="12198"/>
    <cellStyle name="asd 42 3 3 2 6" xfId="13812"/>
    <cellStyle name="asd 42 3 3 2 7" xfId="15714"/>
    <cellStyle name="asd 42 3 3 2 8" xfId="18294"/>
    <cellStyle name="asd 42 3 3 2 9" xfId="20200"/>
    <cellStyle name="asd 42 3 3 20" xfId="38012"/>
    <cellStyle name="asd 42 3 3 21" xfId="39039"/>
    <cellStyle name="asd 42 3 3 22" xfId="40721"/>
    <cellStyle name="asd 42 3 3 23" xfId="42792"/>
    <cellStyle name="asd 42 3 3 3" xfId="5256"/>
    <cellStyle name="asd 42 3 3 4" xfId="8157"/>
    <cellStyle name="asd 42 3 3 5" xfId="10067"/>
    <cellStyle name="asd 42 3 3 6" xfId="12247"/>
    <cellStyle name="asd 42 3 3 7" xfId="13478"/>
    <cellStyle name="asd 42 3 3 8" xfId="15383"/>
    <cellStyle name="asd 42 3 3 9" xfId="17686"/>
    <cellStyle name="asd 42 3 4" xfId="4038"/>
    <cellStyle name="asd 42 3 4 10" xfId="19673"/>
    <cellStyle name="asd 42 3 4 11" xfId="21585"/>
    <cellStyle name="asd 42 3 4 12" xfId="23617"/>
    <cellStyle name="asd 42 3 4 13" xfId="25387"/>
    <cellStyle name="asd 42 3 4 14" xfId="26498"/>
    <cellStyle name="asd 42 3 4 15" xfId="29588"/>
    <cellStyle name="asd 42 3 4 16" xfId="30103"/>
    <cellStyle name="asd 42 3 4 17" xfId="31775"/>
    <cellStyle name="asd 42 3 4 18" xfId="34683"/>
    <cellStyle name="asd 42 3 4 19" xfId="36214"/>
    <cellStyle name="asd 42 3 4 2" xfId="5943"/>
    <cellStyle name="asd 42 3 4 2 10" xfId="22193"/>
    <cellStyle name="asd 42 3 4 2 11" xfId="22928"/>
    <cellStyle name="asd 42 3 4 2 12" xfId="25995"/>
    <cellStyle name="asd 42 3 4 2 13" xfId="27689"/>
    <cellStyle name="asd 42 3 4 2 14" xfId="29047"/>
    <cellStyle name="asd 42 3 4 2 15" xfId="31263"/>
    <cellStyle name="asd 42 3 4 2 16" xfId="32241"/>
    <cellStyle name="asd 42 3 4 2 17" xfId="33769"/>
    <cellStyle name="asd 42 3 4 2 18" xfId="36822"/>
    <cellStyle name="asd 42 3 4 2 19" xfId="38701"/>
    <cellStyle name="asd 42 3 4 2 2" xfId="7392"/>
    <cellStyle name="asd 42 3 4 2 20" xfId="39459"/>
    <cellStyle name="asd 42 3 4 2 21" xfId="41134"/>
    <cellStyle name="asd 42 3 4 2 22" xfId="42714"/>
    <cellStyle name="asd 42 3 4 2 3" xfId="8846"/>
    <cellStyle name="asd 42 3 4 2 4" xfId="10756"/>
    <cellStyle name="asd 42 3 4 2 5" xfId="12196"/>
    <cellStyle name="asd 42 3 4 2 6" xfId="13396"/>
    <cellStyle name="asd 42 3 4 2 7" xfId="15301"/>
    <cellStyle name="asd 42 3 4 2 8" xfId="18375"/>
    <cellStyle name="asd 42 3 4 2 9" xfId="20281"/>
    <cellStyle name="asd 42 3 4 20" xfId="38093"/>
    <cellStyle name="asd 42 3 4 21" xfId="39014"/>
    <cellStyle name="asd 42 3 4 22" xfId="40696"/>
    <cellStyle name="asd 42 3 4 23" xfId="43375"/>
    <cellStyle name="asd 42 3 4 3" xfId="6784"/>
    <cellStyle name="asd 42 3 4 4" xfId="8238"/>
    <cellStyle name="asd 42 3 4 5" xfId="10148"/>
    <cellStyle name="asd 42 3 4 6" xfId="11814"/>
    <cellStyle name="asd 42 3 4 7" xfId="14087"/>
    <cellStyle name="asd 42 3 4 8" xfId="15990"/>
    <cellStyle name="asd 42 3 4 9" xfId="17767"/>
    <cellStyle name="asd 42 3 5" xfId="4902"/>
    <cellStyle name="asd 42 3 5 10" xfId="21150"/>
    <cellStyle name="asd 42 3 5 11" xfId="22734"/>
    <cellStyle name="asd 42 3 5 12" xfId="24952"/>
    <cellStyle name="asd 42 3 5 13" xfId="26262"/>
    <cellStyle name="asd 42 3 5 14" xfId="29360"/>
    <cellStyle name="asd 42 3 5 15" xfId="29872"/>
    <cellStyle name="asd 42 3 5 16" xfId="32303"/>
    <cellStyle name="asd 42 3 5 17" xfId="33444"/>
    <cellStyle name="asd 42 3 5 18" xfId="35779"/>
    <cellStyle name="asd 42 3 5 19" xfId="37658"/>
    <cellStyle name="asd 42 3 5 2" xfId="6352"/>
    <cellStyle name="asd 42 3 5 20" xfId="39522"/>
    <cellStyle name="asd 42 3 5 21" xfId="41196"/>
    <cellStyle name="asd 42 3 5 22" xfId="42532"/>
    <cellStyle name="asd 42 3 5 3" xfId="7803"/>
    <cellStyle name="asd 42 3 5 4" xfId="9713"/>
    <cellStyle name="asd 42 3 5 5" xfId="11617"/>
    <cellStyle name="asd 42 3 5 6" xfId="13203"/>
    <cellStyle name="asd 42 3 5 7" xfId="15106"/>
    <cellStyle name="asd 42 3 5 8" xfId="17332"/>
    <cellStyle name="asd 42 3 5 9" xfId="19238"/>
    <cellStyle name="asd 42 3 6" xfId="5557"/>
    <cellStyle name="asd 42 3 6 10" xfId="21807"/>
    <cellStyle name="asd 42 3 6 11" xfId="23665"/>
    <cellStyle name="asd 42 3 6 12" xfId="25609"/>
    <cellStyle name="asd 42 3 6 13" xfId="26667"/>
    <cellStyle name="asd 42 3 6 14" xfId="1960"/>
    <cellStyle name="asd 42 3 6 15" xfId="30267"/>
    <cellStyle name="asd 42 3 6 16" xfId="29097"/>
    <cellStyle name="asd 42 3 6 17" xfId="32715"/>
    <cellStyle name="asd 42 3 6 18" xfId="36436"/>
    <cellStyle name="asd 42 3 6 19" xfId="38315"/>
    <cellStyle name="asd 42 3 6 2" xfId="7006"/>
    <cellStyle name="asd 42 3 6 20" xfId="35070"/>
    <cellStyle name="asd 42 3 6 21" xfId="32886"/>
    <cellStyle name="asd 42 3 6 22" xfId="43423"/>
    <cellStyle name="asd 42 3 6 3" xfId="8460"/>
    <cellStyle name="asd 42 3 6 4" xfId="10370"/>
    <cellStyle name="asd 42 3 6 5" xfId="11773"/>
    <cellStyle name="asd 42 3 6 6" xfId="14136"/>
    <cellStyle name="asd 42 3 6 7" xfId="16039"/>
    <cellStyle name="asd 42 3 6 8" xfId="17989"/>
    <cellStyle name="asd 42 3 6 9" xfId="19895"/>
    <cellStyle name="asd 42 3 7" xfId="6252"/>
    <cellStyle name="asd 42 3 8" xfId="9136"/>
    <cellStyle name="asd 42 3 9" xfId="2230"/>
    <cellStyle name="asd 42 4" xfId="3407"/>
    <cellStyle name="asd 42 4 10" xfId="15238"/>
    <cellStyle name="asd 42 4 11" xfId="16762"/>
    <cellStyle name="asd 42 4 12" xfId="18669"/>
    <cellStyle name="asd 42 4 13" xfId="20581"/>
    <cellStyle name="asd 42 4 14" xfId="22865"/>
    <cellStyle name="asd 42 4 15" xfId="24383"/>
    <cellStyle name="asd 42 4 16" xfId="27567"/>
    <cellStyle name="asd 42 4 17" xfId="28721"/>
    <cellStyle name="asd 42 4 18" xfId="31147"/>
    <cellStyle name="asd 42 4 19" xfId="32905"/>
    <cellStyle name="asd 42 4 2" xfId="3587"/>
    <cellStyle name="asd 42 4 2 10" xfId="17478"/>
    <cellStyle name="asd 42 4 2 11" xfId="19384"/>
    <cellStyle name="asd 42 4 2 12" xfId="21296"/>
    <cellStyle name="asd 42 4 2 13" xfId="23425"/>
    <cellStyle name="asd 42 4 2 14" xfId="25098"/>
    <cellStyle name="asd 42 4 2 15" xfId="27275"/>
    <cellStyle name="asd 42 4 2 16" xfId="29154"/>
    <cellStyle name="asd 42 4 2 17" xfId="30867"/>
    <cellStyle name="asd 42 4 2 18" xfId="32958"/>
    <cellStyle name="asd 42 4 2 19" xfId="34151"/>
    <cellStyle name="asd 42 4 2 2" xfId="5645"/>
    <cellStyle name="asd 42 4 2 2 10" xfId="21895"/>
    <cellStyle name="asd 42 4 2 2 11" xfId="23628"/>
    <cellStyle name="asd 42 4 2 2 12" xfId="25697"/>
    <cellStyle name="asd 42 4 2 2 13" xfId="26220"/>
    <cellStyle name="asd 42 4 2 2 14" xfId="28891"/>
    <cellStyle name="asd 42 4 2 2 15" xfId="29831"/>
    <cellStyle name="asd 42 4 2 2 16" xfId="32995"/>
    <cellStyle name="asd 42 4 2 2 17" xfId="34730"/>
    <cellStyle name="asd 42 4 2 2 18" xfId="36524"/>
    <cellStyle name="asd 42 4 2 2 19" xfId="38403"/>
    <cellStyle name="asd 42 4 2 2 2" xfId="7094"/>
    <cellStyle name="asd 42 4 2 2 20" xfId="40196"/>
    <cellStyle name="asd 42 4 2 2 21" xfId="41855"/>
    <cellStyle name="asd 42 4 2 2 22" xfId="43386"/>
    <cellStyle name="asd 42 4 2 2 3" xfId="8548"/>
    <cellStyle name="asd 42 4 2 2 4" xfId="10458"/>
    <cellStyle name="asd 42 4 2 2 5" xfId="11555"/>
    <cellStyle name="asd 42 4 2 2 6" xfId="14098"/>
    <cellStyle name="asd 42 4 2 2 7" xfId="16001"/>
    <cellStyle name="asd 42 4 2 2 8" xfId="18077"/>
    <cellStyle name="asd 42 4 2 2 9" xfId="19983"/>
    <cellStyle name="asd 42 4 2 20" xfId="35925"/>
    <cellStyle name="asd 42 4 2 21" xfId="37804"/>
    <cellStyle name="asd 42 4 2 22" xfId="40160"/>
    <cellStyle name="asd 42 4 2 23" xfId="41819"/>
    <cellStyle name="asd 42 4 2 24" xfId="43192"/>
    <cellStyle name="asd 42 4 2 3" xfId="5048"/>
    <cellStyle name="asd 42 4 2 4" xfId="6498"/>
    <cellStyle name="asd 42 4 2 5" xfId="7949"/>
    <cellStyle name="asd 42 4 2 6" xfId="9859"/>
    <cellStyle name="asd 42 4 2 7" xfId="12244"/>
    <cellStyle name="asd 42 4 2 8" xfId="13897"/>
    <cellStyle name="asd 42 4 2 9" xfId="15798"/>
    <cellStyle name="asd 42 4 20" xfId="33999"/>
    <cellStyle name="asd 42 4 21" xfId="35211"/>
    <cellStyle name="asd 42 4 22" xfId="37089"/>
    <cellStyle name="asd 42 4 23" xfId="40109"/>
    <cellStyle name="asd 42 4 24" xfId="41769"/>
    <cellStyle name="asd 42 4 25" xfId="42652"/>
    <cellStyle name="asd 42 4 3" xfId="2617"/>
    <cellStyle name="asd 42 4 3 10" xfId="19089"/>
    <cellStyle name="asd 42 4 3 11" xfId="21001"/>
    <cellStyle name="asd 42 4 3 12" xfId="23298"/>
    <cellStyle name="asd 42 4 3 13" xfId="24803"/>
    <cellStyle name="asd 42 4 3 14" xfId="26435"/>
    <cellStyle name="asd 42 4 3 15" xfId="28379"/>
    <cellStyle name="asd 42 4 3 16" xfId="30041"/>
    <cellStyle name="asd 42 4 3 17" xfId="33232"/>
    <cellStyle name="asd 42 4 3 18" xfId="34478"/>
    <cellStyle name="asd 42 4 3 19" xfId="35630"/>
    <cellStyle name="asd 42 4 3 2" xfId="4591"/>
    <cellStyle name="asd 42 4 3 2 10" xfId="20836"/>
    <cellStyle name="asd 42 4 3 2 11" xfId="22751"/>
    <cellStyle name="asd 42 4 3 2 12" xfId="24638"/>
    <cellStyle name="asd 42 4 3 2 13" xfId="26386"/>
    <cellStyle name="asd 42 4 3 2 14" xfId="29103"/>
    <cellStyle name="asd 42 4 3 2 15" xfId="29994"/>
    <cellStyle name="asd 42 4 3 2 16" xfId="33224"/>
    <cellStyle name="asd 42 4 3 2 17" xfId="33505"/>
    <cellStyle name="asd 42 4 3 2 18" xfId="35466"/>
    <cellStyle name="asd 42 4 3 2 19" xfId="37344"/>
    <cellStyle name="asd 42 4 3 2 2" xfId="4453"/>
    <cellStyle name="asd 42 4 3 2 20" xfId="40414"/>
    <cellStyle name="asd 42 4 3 2 21" xfId="42070"/>
    <cellStyle name="asd 42 4 3 2 22" xfId="42548"/>
    <cellStyle name="asd 42 4 3 2 3" xfId="4335"/>
    <cellStyle name="asd 42 4 3 2 4" xfId="9398"/>
    <cellStyle name="asd 42 4 3 2 5" xfId="11812"/>
    <cellStyle name="asd 42 4 3 2 6" xfId="13220"/>
    <cellStyle name="asd 42 4 3 2 7" xfId="15123"/>
    <cellStyle name="asd 42 4 3 2 8" xfId="17017"/>
    <cellStyle name="asd 42 4 3 2 9" xfId="18924"/>
    <cellStyle name="asd 42 4 3 20" xfId="37509"/>
    <cellStyle name="asd 42 4 3 21" xfId="40421"/>
    <cellStyle name="asd 42 4 3 22" xfId="42077"/>
    <cellStyle name="asd 42 4 3 23" xfId="43070"/>
    <cellStyle name="asd 42 4 3 3" xfId="4754"/>
    <cellStyle name="asd 42 4 3 4" xfId="7654"/>
    <cellStyle name="asd 42 4 3 5" xfId="9564"/>
    <cellStyle name="asd 42 4 3 6" xfId="11273"/>
    <cellStyle name="asd 42 4 3 7" xfId="13770"/>
    <cellStyle name="asd 42 4 3 8" xfId="15672"/>
    <cellStyle name="asd 42 4 3 9" xfId="17183"/>
    <cellStyle name="asd 42 4 4" xfId="4039"/>
    <cellStyle name="asd 42 4 4 10" xfId="19674"/>
    <cellStyle name="asd 42 4 4 11" xfId="21586"/>
    <cellStyle name="asd 42 4 4 12" xfId="23247"/>
    <cellStyle name="asd 42 4 4 13" xfId="25388"/>
    <cellStyle name="asd 42 4 4 14" xfId="26475"/>
    <cellStyle name="asd 42 4 4 15" xfId="26154"/>
    <cellStyle name="asd 42 4 4 16" xfId="30080"/>
    <cellStyle name="asd 42 4 4 17" xfId="2675"/>
    <cellStyle name="asd 42 4 4 18" xfId="3024"/>
    <cellStyle name="asd 42 4 4 19" xfId="36215"/>
    <cellStyle name="asd 42 4 4 2" xfId="5944"/>
    <cellStyle name="asd 42 4 4 2 10" xfId="22194"/>
    <cellStyle name="asd 42 4 4 2 11" xfId="23635"/>
    <cellStyle name="asd 42 4 4 2 12" xfId="25996"/>
    <cellStyle name="asd 42 4 4 2 13" xfId="26674"/>
    <cellStyle name="asd 42 4 4 2 14" xfId="28561"/>
    <cellStyle name="asd 42 4 4 2 15" xfId="30274"/>
    <cellStyle name="asd 42 4 4 2 16" xfId="32921"/>
    <cellStyle name="asd 42 4 4 2 17" xfId="34968"/>
    <cellStyle name="asd 42 4 4 2 18" xfId="36823"/>
    <cellStyle name="asd 42 4 4 2 19" xfId="38702"/>
    <cellStyle name="asd 42 4 4 2 2" xfId="7393"/>
    <cellStyle name="asd 42 4 4 2 20" xfId="40125"/>
    <cellStyle name="asd 42 4 4 2 21" xfId="41785"/>
    <cellStyle name="asd 42 4 4 2 22" xfId="43393"/>
    <cellStyle name="asd 42 4 4 2 3" xfId="8847"/>
    <cellStyle name="asd 42 4 4 2 4" xfId="10757"/>
    <cellStyle name="asd 42 4 4 2 5" xfId="11420"/>
    <cellStyle name="asd 42 4 4 2 6" xfId="14105"/>
    <cellStyle name="asd 42 4 4 2 7" xfId="16008"/>
    <cellStyle name="asd 42 4 4 2 8" xfId="18376"/>
    <cellStyle name="asd 42 4 4 2 9" xfId="20282"/>
    <cellStyle name="asd 42 4 4 20" xfId="38094"/>
    <cellStyle name="asd 42 4 4 21" xfId="33623"/>
    <cellStyle name="asd 42 4 4 22" xfId="2633"/>
    <cellStyle name="asd 42 4 4 23" xfId="43024"/>
    <cellStyle name="asd 42 4 4 3" xfId="6785"/>
    <cellStyle name="asd 42 4 4 4" xfId="8239"/>
    <cellStyle name="asd 42 4 4 5" xfId="10149"/>
    <cellStyle name="asd 42 4 4 6" xfId="11157"/>
    <cellStyle name="asd 42 4 4 7" xfId="13719"/>
    <cellStyle name="asd 42 4 4 8" xfId="15621"/>
    <cellStyle name="asd 42 4 4 9" xfId="17768"/>
    <cellStyle name="asd 42 4 5" xfId="4482"/>
    <cellStyle name="asd 42 4 5 10" xfId="20727"/>
    <cellStyle name="asd 42 4 5 11" xfId="23361"/>
    <cellStyle name="asd 42 4 5 12" xfId="24529"/>
    <cellStyle name="asd 42 4 5 13" xfId="27137"/>
    <cellStyle name="asd 42 4 5 14" xfId="28521"/>
    <cellStyle name="asd 42 4 5 15" xfId="30728"/>
    <cellStyle name="asd 42 4 5 16" xfId="32411"/>
    <cellStyle name="asd 42 4 5 17" xfId="34227"/>
    <cellStyle name="asd 42 4 5 18" xfId="35357"/>
    <cellStyle name="asd 42 4 5 19" xfId="37235"/>
    <cellStyle name="asd 42 4 5 2" xfId="5451"/>
    <cellStyle name="asd 42 4 5 20" xfId="39628"/>
    <cellStyle name="asd 42 4 5 21" xfId="41302"/>
    <cellStyle name="asd 42 4 5 22" xfId="43131"/>
    <cellStyle name="asd 42 4 5 3" xfId="6084"/>
    <cellStyle name="asd 42 4 5 4" xfId="9289"/>
    <cellStyle name="asd 42 4 5 5" xfId="11235"/>
    <cellStyle name="asd 42 4 5 6" xfId="13833"/>
    <cellStyle name="asd 42 4 5 7" xfId="15735"/>
    <cellStyle name="asd 42 4 5 8" xfId="16908"/>
    <cellStyle name="asd 42 4 5 9" xfId="18815"/>
    <cellStyle name="asd 42 4 6" xfId="2824"/>
    <cellStyle name="asd 42 4 7" xfId="9143"/>
    <cellStyle name="asd 42 4 8" xfId="11047"/>
    <cellStyle name="asd 42 4 9" xfId="13333"/>
    <cellStyle name="asd 42 5" xfId="3016"/>
    <cellStyle name="asd 42 5 10" xfId="17233"/>
    <cellStyle name="asd 42 5 11" xfId="19139"/>
    <cellStyle name="asd 42 5 12" xfId="21051"/>
    <cellStyle name="asd 42 5 13" xfId="22486"/>
    <cellStyle name="asd 42 5 14" xfId="24853"/>
    <cellStyle name="asd 42 5 15" xfId="26756"/>
    <cellStyle name="asd 42 5 16" xfId="28497"/>
    <cellStyle name="asd 42 5 17" xfId="30355"/>
    <cellStyle name="asd 42 5 18" xfId="31970"/>
    <cellStyle name="asd 42 5 19" xfId="34936"/>
    <cellStyle name="asd 42 5 2" xfId="5500"/>
    <cellStyle name="asd 42 5 2 10" xfId="21750"/>
    <cellStyle name="asd 42 5 2 11" xfId="23796"/>
    <cellStyle name="asd 42 5 2 12" xfId="25552"/>
    <cellStyle name="asd 42 5 2 13" xfId="26540"/>
    <cellStyle name="asd 42 5 2 14" xfId="28106"/>
    <cellStyle name="asd 42 5 2 15" xfId="30146"/>
    <cellStyle name="asd 42 5 2 16" xfId="32084"/>
    <cellStyle name="asd 42 5 2 17" xfId="34123"/>
    <cellStyle name="asd 42 5 2 18" xfId="36379"/>
    <cellStyle name="asd 42 5 2 19" xfId="38258"/>
    <cellStyle name="asd 42 5 2 2" xfId="6949"/>
    <cellStyle name="asd 42 5 2 20" xfId="39308"/>
    <cellStyle name="asd 42 5 2 21" xfId="40984"/>
    <cellStyle name="asd 42 5 2 22" xfId="43549"/>
    <cellStyle name="asd 42 5 2 3" xfId="8403"/>
    <cellStyle name="asd 42 5 2 4" xfId="10313"/>
    <cellStyle name="asd 42 5 2 5" xfId="11736"/>
    <cellStyle name="asd 42 5 2 6" xfId="14266"/>
    <cellStyle name="asd 42 5 2 7" xfId="16170"/>
    <cellStyle name="asd 42 5 2 8" xfId="17932"/>
    <cellStyle name="asd 42 5 2 9" xfId="19838"/>
    <cellStyle name="asd 42 5 20" xfId="35680"/>
    <cellStyle name="asd 42 5 21" xfId="37559"/>
    <cellStyle name="asd 42 5 22" xfId="39200"/>
    <cellStyle name="asd 42 5 23" xfId="40881"/>
    <cellStyle name="asd 42 5 24" xfId="42296"/>
    <cellStyle name="asd 42 5 3" xfId="4803"/>
    <cellStyle name="asd 42 5 4" xfId="6253"/>
    <cellStyle name="asd 42 5 5" xfId="7704"/>
    <cellStyle name="asd 42 5 6" xfId="9614"/>
    <cellStyle name="asd 42 5 7" xfId="11707"/>
    <cellStyle name="asd 42 5 8" xfId="12954"/>
    <cellStyle name="asd 42 5 9" xfId="14858"/>
    <cellStyle name="asd 42 6" xfId="2897"/>
    <cellStyle name="asd 42 6 10" xfId="19123"/>
    <cellStyle name="asd 42 6 11" xfId="21035"/>
    <cellStyle name="asd 42 6 12" xfId="22575"/>
    <cellStyle name="asd 42 6 13" xfId="24837"/>
    <cellStyle name="asd 42 6 14" xfId="27223"/>
    <cellStyle name="asd 42 6 15" xfId="29507"/>
    <cellStyle name="asd 42 6 16" xfId="30814"/>
    <cellStyle name="asd 42 6 17" xfId="32060"/>
    <cellStyle name="asd 42 6 18" xfId="33963"/>
    <cellStyle name="asd 42 6 19" xfId="35664"/>
    <cellStyle name="asd 42 6 2" xfId="5644"/>
    <cellStyle name="asd 42 6 2 10" xfId="21894"/>
    <cellStyle name="asd 42 6 2 11" xfId="13482"/>
    <cellStyle name="asd 42 6 2 12" xfId="25696"/>
    <cellStyle name="asd 42 6 2 13" xfId="2627"/>
    <cellStyle name="asd 42 6 2 14" xfId="4203"/>
    <cellStyle name="asd 42 6 2 15" xfId="15671"/>
    <cellStyle name="asd 42 6 2 16" xfId="22780"/>
    <cellStyle name="asd 42 6 2 17" xfId="27929"/>
    <cellStyle name="asd 42 6 2 18" xfId="36523"/>
    <cellStyle name="asd 42 6 2 19" xfId="38402"/>
    <cellStyle name="asd 42 6 2 2" xfId="7093"/>
    <cellStyle name="asd 42 6 2 20" xfId="31566"/>
    <cellStyle name="asd 42 6 2 21" xfId="38820"/>
    <cellStyle name="asd 42 6 2 22" xfId="10909"/>
    <cellStyle name="asd 42 6 2 3" xfId="8547"/>
    <cellStyle name="asd 42 6 2 4" xfId="10457"/>
    <cellStyle name="asd 42 6 2 5" xfId="12189"/>
    <cellStyle name="asd 42 6 2 6" xfId="2445"/>
    <cellStyle name="asd 42 6 2 7" xfId="2878"/>
    <cellStyle name="asd 42 6 2 8" xfId="18076"/>
    <cellStyle name="asd 42 6 2 9" xfId="19982"/>
    <cellStyle name="asd 42 6 20" xfId="37543"/>
    <cellStyle name="asd 42 6 21" xfId="39286"/>
    <cellStyle name="asd 42 6 22" xfId="40962"/>
    <cellStyle name="asd 42 6 23" xfId="42384"/>
    <cellStyle name="asd 42 6 3" xfId="4788"/>
    <cellStyle name="asd 42 6 4" xfId="7688"/>
    <cellStyle name="asd 42 6 5" xfId="9598"/>
    <cellStyle name="asd 42 6 6" xfId="2070"/>
    <cellStyle name="asd 42 6 7" xfId="13043"/>
    <cellStyle name="asd 42 6 8" xfId="14947"/>
    <cellStyle name="asd 42 6 9" xfId="17217"/>
    <cellStyle name="asd 42 7" xfId="1902"/>
    <cellStyle name="asd 42 7 10" xfId="18985"/>
    <cellStyle name="asd 42 7 11" xfId="20897"/>
    <cellStyle name="asd 42 7 12" xfId="24050"/>
    <cellStyle name="asd 42 7 13" xfId="24699"/>
    <cellStyle name="asd 42 7 14" xfId="27196"/>
    <cellStyle name="asd 42 7 15" xfId="29412"/>
    <cellStyle name="asd 42 7 16" xfId="30787"/>
    <cellStyle name="asd 42 7 17" xfId="32992"/>
    <cellStyle name="asd 42 7 18" xfId="34084"/>
    <cellStyle name="asd 42 7 19" xfId="35526"/>
    <cellStyle name="asd 42 7 2" xfId="4391"/>
    <cellStyle name="asd 42 7 2 10" xfId="20635"/>
    <cellStyle name="asd 42 7 2 11" xfId="23440"/>
    <cellStyle name="asd 42 7 2 12" xfId="24437"/>
    <cellStyle name="asd 42 7 2 13" xfId="27260"/>
    <cellStyle name="asd 42 7 2 14" xfId="28797"/>
    <cellStyle name="asd 42 7 2 15" xfId="30851"/>
    <cellStyle name="asd 42 7 2 16" xfId="33278"/>
    <cellStyle name="asd 42 7 2 17" xfId="34538"/>
    <cellStyle name="asd 42 7 2 18" xfId="35265"/>
    <cellStyle name="asd 42 7 2 19" xfId="37143"/>
    <cellStyle name="asd 42 7 2 2" xfId="5316"/>
    <cellStyle name="asd 42 7 2 20" xfId="40464"/>
    <cellStyle name="asd 42 7 2 21" xfId="42119"/>
    <cellStyle name="asd 42 7 2 22" xfId="43207"/>
    <cellStyle name="asd 42 7 2 3" xfId="6645"/>
    <cellStyle name="asd 42 7 2 4" xfId="9197"/>
    <cellStyle name="asd 42 7 2 5" xfId="12520"/>
    <cellStyle name="asd 42 7 2 6" xfId="13912"/>
    <cellStyle name="asd 42 7 2 7" xfId="15813"/>
    <cellStyle name="asd 42 7 2 8" xfId="16816"/>
    <cellStyle name="asd 42 7 2 9" xfId="18723"/>
    <cellStyle name="asd 42 7 20" xfId="37405"/>
    <cellStyle name="asd 42 7 21" xfId="40193"/>
    <cellStyle name="asd 42 7 22" xfId="41852"/>
    <cellStyle name="asd 42 7 23" xfId="43794"/>
    <cellStyle name="asd 42 7 3" xfId="6100"/>
    <cellStyle name="asd 42 7 4" xfId="7550"/>
    <cellStyle name="asd 42 7 5" xfId="9460"/>
    <cellStyle name="asd 42 7 6" xfId="12009"/>
    <cellStyle name="asd 42 7 7" xfId="14520"/>
    <cellStyle name="asd 42 7 8" xfId="16426"/>
    <cellStyle name="asd 42 7 9" xfId="17079"/>
    <cellStyle name="asd 42 8" xfId="2269"/>
    <cellStyle name="asd 42 9" xfId="2570"/>
    <cellStyle name="asd 43" xfId="1005"/>
    <cellStyle name="asd 43 10" xfId="2510"/>
    <cellStyle name="asd 43 11" xfId="12770"/>
    <cellStyle name="asd 43 12" xfId="14676"/>
    <cellStyle name="asd 43 13" xfId="5435"/>
    <cellStyle name="asd 43 14" xfId="2185"/>
    <cellStyle name="asd 43 15" xfId="14714"/>
    <cellStyle name="asd 43 16" xfId="22311"/>
    <cellStyle name="asd 43 17" xfId="14054"/>
    <cellStyle name="asd 43 18" xfId="3044"/>
    <cellStyle name="asd 43 19" xfId="8993"/>
    <cellStyle name="asd 43 2" xfId="3441"/>
    <cellStyle name="asd 43 2 10" xfId="14126"/>
    <cellStyle name="asd 43 2 11" xfId="16029"/>
    <cellStyle name="asd 43 2 12" xfId="16825"/>
    <cellStyle name="asd 43 2 13" xfId="18732"/>
    <cellStyle name="asd 43 2 14" xfId="20644"/>
    <cellStyle name="asd 43 2 15" xfId="23656"/>
    <cellStyle name="asd 43 2 16" xfId="24446"/>
    <cellStyle name="asd 43 2 17" xfId="27364"/>
    <cellStyle name="asd 43 2 18" xfId="28696"/>
    <cellStyle name="asd 43 2 19" xfId="30951"/>
    <cellStyle name="asd 43 2 2" xfId="3621"/>
    <cellStyle name="asd 43 2 2 10" xfId="17512"/>
    <cellStyle name="asd 43 2 2 11" xfId="19418"/>
    <cellStyle name="asd 43 2 2 12" xfId="21330"/>
    <cellStyle name="asd 43 2 2 13" xfId="22403"/>
    <cellStyle name="asd 43 2 2 14" xfId="25132"/>
    <cellStyle name="asd 43 2 2 15" xfId="27138"/>
    <cellStyle name="asd 43 2 2 16" xfId="28859"/>
    <cellStyle name="asd 43 2 2 17" xfId="30729"/>
    <cellStyle name="asd 43 2 2 18" xfId="31748"/>
    <cellStyle name="asd 43 2 2 19" xfId="33386"/>
    <cellStyle name="asd 43 2 2 2" xfId="5462"/>
    <cellStyle name="asd 43 2 2 2 10" xfId="21712"/>
    <cellStyle name="asd 43 2 2 2 11" xfId="23052"/>
    <cellStyle name="asd 43 2 2 2 12" xfId="25514"/>
    <cellStyle name="asd 43 2 2 2 13" xfId="26845"/>
    <cellStyle name="asd 43 2 2 2 14" xfId="2656"/>
    <cellStyle name="asd 43 2 2 2 15" xfId="30442"/>
    <cellStyle name="asd 43 2 2 2 16" xfId="31913"/>
    <cellStyle name="asd 43 2 2 2 17" xfId="33785"/>
    <cellStyle name="asd 43 2 2 2 18" xfId="36341"/>
    <cellStyle name="asd 43 2 2 2 19" xfId="38220"/>
    <cellStyle name="asd 43 2 2 2 2" xfId="6911"/>
    <cellStyle name="asd 43 2 2 2 20" xfId="39145"/>
    <cellStyle name="asd 43 2 2 2 21" xfId="40826"/>
    <cellStyle name="asd 43 2 2 2 22" xfId="42835"/>
    <cellStyle name="asd 43 2 2 2 3" xfId="8365"/>
    <cellStyle name="asd 43 2 2 2 4" xfId="10275"/>
    <cellStyle name="asd 43 2 2 2 5" xfId="12654"/>
    <cellStyle name="asd 43 2 2 2 6" xfId="13523"/>
    <cellStyle name="asd 43 2 2 2 7" xfId="15426"/>
    <cellStyle name="asd 43 2 2 2 8" xfId="17894"/>
    <cellStyle name="asd 43 2 2 2 9" xfId="19800"/>
    <cellStyle name="asd 43 2 2 20" xfId="35959"/>
    <cellStyle name="asd 43 2 2 21" xfId="37838"/>
    <cellStyle name="asd 43 2 2 22" xfId="38988"/>
    <cellStyle name="asd 43 2 2 23" xfId="40671"/>
    <cellStyle name="asd 43 2 2 24" xfId="42214"/>
    <cellStyle name="asd 43 2 2 3" xfId="5082"/>
    <cellStyle name="asd 43 2 2 4" xfId="6532"/>
    <cellStyle name="asd 43 2 2 5" xfId="7983"/>
    <cellStyle name="asd 43 2 2 6" xfId="9893"/>
    <cellStyle name="asd 43 2 2 7" xfId="11751"/>
    <cellStyle name="asd 43 2 2 8" xfId="12870"/>
    <cellStyle name="asd 43 2 2 9" xfId="14775"/>
    <cellStyle name="asd 43 2 20" xfId="32231"/>
    <cellStyle name="asd 43 2 21" xfId="34412"/>
    <cellStyle name="asd 43 2 22" xfId="35274"/>
    <cellStyle name="asd 43 2 23" xfId="37152"/>
    <cellStyle name="asd 43 2 24" xfId="39450"/>
    <cellStyle name="asd 43 2 25" xfId="41125"/>
    <cellStyle name="asd 43 2 26" xfId="43414"/>
    <cellStyle name="asd 43 2 3" xfId="3851"/>
    <cellStyle name="asd 43 2 3 10" xfId="19573"/>
    <cellStyle name="asd 43 2 3 11" xfId="21485"/>
    <cellStyle name="asd 43 2 3 12" xfId="22994"/>
    <cellStyle name="asd 43 2 3 13" xfId="25287"/>
    <cellStyle name="asd 43 2 3 14" xfId="27056"/>
    <cellStyle name="asd 43 2 3 15" xfId="28315"/>
    <cellStyle name="asd 43 2 3 16" xfId="30648"/>
    <cellStyle name="asd 43 2 3 17" xfId="31846"/>
    <cellStyle name="asd 43 2 3 18" xfId="33834"/>
    <cellStyle name="asd 43 2 3 19" xfId="36114"/>
    <cellStyle name="asd 43 2 3 2" xfId="5843"/>
    <cellStyle name="asd 43 2 3 2 10" xfId="22093"/>
    <cellStyle name="asd 43 2 3 2 11" xfId="23758"/>
    <cellStyle name="asd 43 2 3 2 12" xfId="25895"/>
    <cellStyle name="asd 43 2 3 2 13" xfId="26980"/>
    <cellStyle name="asd 43 2 3 2 14" xfId="28121"/>
    <cellStyle name="asd 43 2 3 2 15" xfId="30574"/>
    <cellStyle name="asd 43 2 3 2 16" xfId="32734"/>
    <cellStyle name="asd 43 2 3 2 17" xfId="33960"/>
    <cellStyle name="asd 43 2 3 2 18" xfId="36722"/>
    <cellStyle name="asd 43 2 3 2 19" xfId="38601"/>
    <cellStyle name="asd 43 2 3 2 2" xfId="7292"/>
    <cellStyle name="asd 43 2 3 2 20" xfId="39943"/>
    <cellStyle name="asd 43 2 3 2 21" xfId="41609"/>
    <cellStyle name="asd 43 2 3 2 22" xfId="43511"/>
    <cellStyle name="asd 43 2 3 2 3" xfId="8746"/>
    <cellStyle name="asd 43 2 3 2 4" xfId="10656"/>
    <cellStyle name="asd 43 2 3 2 5" xfId="11487"/>
    <cellStyle name="asd 43 2 3 2 6" xfId="14228"/>
    <cellStyle name="asd 43 2 3 2 7" xfId="16132"/>
    <cellStyle name="asd 43 2 3 2 8" xfId="18275"/>
    <cellStyle name="asd 43 2 3 2 9" xfId="20181"/>
    <cellStyle name="asd 43 2 3 20" xfId="37993"/>
    <cellStyle name="asd 43 2 3 21" xfId="39083"/>
    <cellStyle name="asd 43 2 3 22" xfId="40764"/>
    <cellStyle name="asd 43 2 3 23" xfId="42780"/>
    <cellStyle name="asd 43 2 3 3" xfId="5237"/>
    <cellStyle name="asd 43 2 3 4" xfId="8138"/>
    <cellStyle name="asd 43 2 3 5" xfId="10048"/>
    <cellStyle name="asd 43 2 3 6" xfId="12467"/>
    <cellStyle name="asd 43 2 3 7" xfId="13463"/>
    <cellStyle name="asd 43 2 3 8" xfId="15368"/>
    <cellStyle name="asd 43 2 3 9" xfId="17667"/>
    <cellStyle name="asd 43 2 4" xfId="4073"/>
    <cellStyle name="asd 43 2 4 10" xfId="19708"/>
    <cellStyle name="asd 43 2 4 11" xfId="21620"/>
    <cellStyle name="asd 43 2 4 12" xfId="22532"/>
    <cellStyle name="asd 43 2 4 13" xfId="25422"/>
    <cellStyle name="asd 43 2 4 14" xfId="27884"/>
    <cellStyle name="asd 43 2 4 15" xfId="14204"/>
    <cellStyle name="asd 43 2 4 16" xfId="31465"/>
    <cellStyle name="asd 43 2 4 17" xfId="31706"/>
    <cellStyle name="asd 43 2 4 18" xfId="34869"/>
    <cellStyle name="asd 43 2 4 19" xfId="36249"/>
    <cellStyle name="asd 43 2 4 2" xfId="5978"/>
    <cellStyle name="asd 43 2 4 2 10" xfId="22228"/>
    <cellStyle name="asd 43 2 4 2 11" xfId="22978"/>
    <cellStyle name="asd 43 2 4 2 12" xfId="26030"/>
    <cellStyle name="asd 43 2 4 2 13" xfId="26720"/>
    <cellStyle name="asd 43 2 4 2 14" xfId="29645"/>
    <cellStyle name="asd 43 2 4 2 15" xfId="30320"/>
    <cellStyle name="asd 43 2 4 2 16" xfId="32100"/>
    <cellStyle name="asd 43 2 4 2 17" xfId="34761"/>
    <cellStyle name="asd 43 2 4 2 18" xfId="36857"/>
    <cellStyle name="asd 43 2 4 2 19" xfId="38736"/>
    <cellStyle name="asd 43 2 4 2 2" xfId="7427"/>
    <cellStyle name="asd 43 2 4 2 20" xfId="39324"/>
    <cellStyle name="asd 43 2 4 2 21" xfId="41000"/>
    <cellStyle name="asd 43 2 4 2 22" xfId="42764"/>
    <cellStyle name="asd 43 2 4 2 3" xfId="8881"/>
    <cellStyle name="asd 43 2 4 2 4" xfId="10791"/>
    <cellStyle name="asd 43 2 4 2 5" xfId="11163"/>
    <cellStyle name="asd 43 2 4 2 6" xfId="13447"/>
    <cellStyle name="asd 43 2 4 2 7" xfId="15352"/>
    <cellStyle name="asd 43 2 4 2 8" xfId="18410"/>
    <cellStyle name="asd 43 2 4 2 9" xfId="20316"/>
    <cellStyle name="asd 43 2 4 20" xfId="38128"/>
    <cellStyle name="asd 43 2 4 21" xfId="38947"/>
    <cellStyle name="asd 43 2 4 22" xfId="40630"/>
    <cellStyle name="asd 43 2 4 23" xfId="42341"/>
    <cellStyle name="asd 43 2 4 3" xfId="6819"/>
    <cellStyle name="asd 43 2 4 4" xfId="8273"/>
    <cellStyle name="asd 43 2 4 5" xfId="10183"/>
    <cellStyle name="asd 43 2 4 6" xfId="12166"/>
    <cellStyle name="asd 43 2 4 7" xfId="13000"/>
    <cellStyle name="asd 43 2 4 8" xfId="14904"/>
    <cellStyle name="asd 43 2 4 9" xfId="17802"/>
    <cellStyle name="asd 43 2 5" xfId="4930"/>
    <cellStyle name="asd 43 2 5 10" xfId="21178"/>
    <cellStyle name="asd 43 2 5 11" xfId="22665"/>
    <cellStyle name="asd 43 2 5 12" xfId="24980"/>
    <cellStyle name="asd 43 2 5 13" xfId="27312"/>
    <cellStyle name="asd 43 2 5 14" xfId="28674"/>
    <cellStyle name="asd 43 2 5 15" xfId="30902"/>
    <cellStyle name="asd 43 2 5 16" xfId="32851"/>
    <cellStyle name="asd 43 2 5 17" xfId="33722"/>
    <cellStyle name="asd 43 2 5 18" xfId="35807"/>
    <cellStyle name="asd 43 2 5 19" xfId="37686"/>
    <cellStyle name="asd 43 2 5 2" xfId="6380"/>
    <cellStyle name="asd 43 2 5 20" xfId="40058"/>
    <cellStyle name="asd 43 2 5 21" xfId="41722"/>
    <cellStyle name="asd 43 2 5 22" xfId="42471"/>
    <cellStyle name="asd 43 2 5 3" xfId="7831"/>
    <cellStyle name="asd 43 2 5 4" xfId="9741"/>
    <cellStyle name="asd 43 2 5 5" xfId="11576"/>
    <cellStyle name="asd 43 2 5 6" xfId="13132"/>
    <cellStyle name="asd 43 2 5 7" xfId="15037"/>
    <cellStyle name="asd 43 2 5 8" xfId="17360"/>
    <cellStyle name="asd 43 2 5 9" xfId="19266"/>
    <cellStyle name="asd 43 2 6" xfId="3035"/>
    <cellStyle name="asd 43 2 6 10" xfId="20619"/>
    <cellStyle name="asd 43 2 6 11" xfId="23398"/>
    <cellStyle name="asd 43 2 6 12" xfId="24421"/>
    <cellStyle name="asd 43 2 6 13" xfId="6285"/>
    <cellStyle name="asd 43 2 6 14" xfId="22344"/>
    <cellStyle name="asd 43 2 6 15" xfId="22333"/>
    <cellStyle name="asd 43 2 6 16" xfId="28436"/>
    <cellStyle name="asd 43 2 6 17" xfId="29530"/>
    <cellStyle name="asd 43 2 6 18" xfId="35249"/>
    <cellStyle name="asd 43 2 6 19" xfId="37127"/>
    <cellStyle name="asd 43 2 6 2" xfId="5409"/>
    <cellStyle name="asd 43 2 6 20" xfId="26916"/>
    <cellStyle name="asd 43 2 6 21" xfId="2750"/>
    <cellStyle name="asd 43 2 6 22" xfId="43165"/>
    <cellStyle name="asd 43 2 6 3" xfId="6184"/>
    <cellStyle name="asd 43 2 6 4" xfId="9181"/>
    <cellStyle name="asd 43 2 6 5" xfId="10945"/>
    <cellStyle name="asd 43 2 6 6" xfId="13870"/>
    <cellStyle name="asd 43 2 6 7" xfId="15771"/>
    <cellStyle name="asd 43 2 6 8" xfId="16800"/>
    <cellStyle name="asd 43 2 6 9" xfId="18707"/>
    <cellStyle name="asd 43 2 7" xfId="4793"/>
    <cellStyle name="asd 43 2 8" xfId="9206"/>
    <cellStyle name="asd 43 2 9" xfId="11545"/>
    <cellStyle name="asd 43 20" xfId="2775"/>
    <cellStyle name="asd 43 21" xfId="16582"/>
    <cellStyle name="asd 43 22" xfId="29363"/>
    <cellStyle name="asd 43 23" xfId="27935"/>
    <cellStyle name="asd 43 24" xfId="28825"/>
    <cellStyle name="asd 43 25" xfId="13769"/>
    <cellStyle name="asd 43 26" xfId="29245"/>
    <cellStyle name="asd 43 27" xfId="42165"/>
    <cellStyle name="asd 43 3" xfId="3472"/>
    <cellStyle name="asd 43 3 10" xfId="14147"/>
    <cellStyle name="asd 43 3 11" xfId="16051"/>
    <cellStyle name="asd 43 3 12" xfId="16900"/>
    <cellStyle name="asd 43 3 13" xfId="18807"/>
    <cellStyle name="asd 43 3 14" xfId="20719"/>
    <cellStyle name="asd 43 3 15" xfId="23677"/>
    <cellStyle name="asd 43 3 16" xfId="24521"/>
    <cellStyle name="asd 43 3 17" xfId="26878"/>
    <cellStyle name="asd 43 3 18" xfId="29406"/>
    <cellStyle name="asd 43 3 19" xfId="30475"/>
    <cellStyle name="asd 43 3 2" xfId="3652"/>
    <cellStyle name="asd 43 3 2 10" xfId="17543"/>
    <cellStyle name="asd 43 3 2 11" xfId="19449"/>
    <cellStyle name="asd 43 3 2 12" xfId="21361"/>
    <cellStyle name="asd 43 3 2 13" xfId="22620"/>
    <cellStyle name="asd 43 3 2 14" xfId="25163"/>
    <cellStyle name="asd 43 3 2 15" xfId="26661"/>
    <cellStyle name="asd 43 3 2 16" xfId="28908"/>
    <cellStyle name="asd 43 3 2 17" xfId="30261"/>
    <cellStyle name="asd 43 3 2 18" xfId="32641"/>
    <cellStyle name="asd 43 3 2 19" xfId="33419"/>
    <cellStyle name="asd 43 3 2 2" xfId="5574"/>
    <cellStyle name="asd 43 3 2 2 10" xfId="21824"/>
    <cellStyle name="asd 43 3 2 2 11" xfId="23331"/>
    <cellStyle name="asd 43 3 2 2 12" xfId="25626"/>
    <cellStyle name="asd 43 3 2 2 13" xfId="26268"/>
    <cellStyle name="asd 43 3 2 2 14" xfId="2122"/>
    <cellStyle name="asd 43 3 2 2 15" xfId="29877"/>
    <cellStyle name="asd 43 3 2 2 16" xfId="32453"/>
    <cellStyle name="asd 43 3 2 2 17" xfId="33460"/>
    <cellStyle name="asd 43 3 2 2 18" xfId="36453"/>
    <cellStyle name="asd 43 3 2 2 19" xfId="38332"/>
    <cellStyle name="asd 43 3 2 2 2" xfId="7023"/>
    <cellStyle name="asd 43 3 2 2 20" xfId="39670"/>
    <cellStyle name="asd 43 3 2 2 21" xfId="41344"/>
    <cellStyle name="asd 43 3 2 2 22" xfId="43101"/>
    <cellStyle name="asd 43 3 2 2 3" xfId="8477"/>
    <cellStyle name="asd 43 3 2 2 4" xfId="10387"/>
    <cellStyle name="asd 43 3 2 2 5" xfId="12420"/>
    <cellStyle name="asd 43 3 2 2 6" xfId="13803"/>
    <cellStyle name="asd 43 3 2 2 7" xfId="15705"/>
    <cellStyle name="asd 43 3 2 2 8" xfId="18006"/>
    <cellStyle name="asd 43 3 2 2 9" xfId="19912"/>
    <cellStyle name="asd 43 3 2 20" xfId="35990"/>
    <cellStyle name="asd 43 3 2 21" xfId="37869"/>
    <cellStyle name="asd 43 3 2 22" xfId="39848"/>
    <cellStyle name="asd 43 3 2 23" xfId="41517"/>
    <cellStyle name="asd 43 3 2 24" xfId="42426"/>
    <cellStyle name="asd 43 3 2 3" xfId="5113"/>
    <cellStyle name="asd 43 3 2 4" xfId="6563"/>
    <cellStyle name="asd 43 3 2 5" xfId="8014"/>
    <cellStyle name="asd 43 3 2 6" xfId="9924"/>
    <cellStyle name="asd 43 3 2 7" xfId="11563"/>
    <cellStyle name="asd 43 3 2 8" xfId="13087"/>
    <cellStyle name="asd 43 3 2 9" xfId="14992"/>
    <cellStyle name="asd 43 3 20" xfId="32939"/>
    <cellStyle name="asd 43 3 21" xfId="34422"/>
    <cellStyle name="asd 43 3 22" xfId="35349"/>
    <cellStyle name="asd 43 3 23" xfId="37227"/>
    <cellStyle name="asd 43 3 24" xfId="40142"/>
    <cellStyle name="asd 43 3 25" xfId="41801"/>
    <cellStyle name="asd 43 3 26" xfId="43434"/>
    <cellStyle name="asd 43 3 3" xfId="3896"/>
    <cellStyle name="asd 43 3 3 10" xfId="19603"/>
    <cellStyle name="asd 43 3 3 11" xfId="21515"/>
    <cellStyle name="asd 43 3 3 12" xfId="24152"/>
    <cellStyle name="asd 43 3 3 13" xfId="25317"/>
    <cellStyle name="asd 43 3 3 14" xfId="12107"/>
    <cellStyle name="asd 43 3 3 15" xfId="2534"/>
    <cellStyle name="asd 43 3 3 16" xfId="2972"/>
    <cellStyle name="asd 43 3 3 17" xfId="31217"/>
    <cellStyle name="asd 43 3 3 18" xfId="30654"/>
    <cellStyle name="asd 43 3 3 19" xfId="36144"/>
    <cellStyle name="asd 43 3 3 2" xfId="5873"/>
    <cellStyle name="asd 43 3 3 2 10" xfId="22123"/>
    <cellStyle name="asd 43 3 3 2 11" xfId="23241"/>
    <cellStyle name="asd 43 3 3 2 12" xfId="25925"/>
    <cellStyle name="asd 43 3 3 2 13" xfId="27953"/>
    <cellStyle name="asd 43 3 3 2 14" xfId="28268"/>
    <cellStyle name="asd 43 3 3 2 15" xfId="31533"/>
    <cellStyle name="asd 43 3 3 2 16" xfId="32607"/>
    <cellStyle name="asd 43 3 3 2 17" xfId="34880"/>
    <cellStyle name="asd 43 3 3 2 18" xfId="36752"/>
    <cellStyle name="asd 43 3 3 2 19" xfId="38631"/>
    <cellStyle name="asd 43 3 3 2 2" xfId="7322"/>
    <cellStyle name="asd 43 3 3 2 20" xfId="39817"/>
    <cellStyle name="asd 43 3 3 2 21" xfId="41486"/>
    <cellStyle name="asd 43 3 3 2 22" xfId="43018"/>
    <cellStyle name="asd 43 3 3 2 3" xfId="8776"/>
    <cellStyle name="asd 43 3 3 2 4" xfId="10686"/>
    <cellStyle name="asd 43 3 3 2 5" xfId="11133"/>
    <cellStyle name="asd 43 3 3 2 6" xfId="13713"/>
    <cellStyle name="asd 43 3 3 2 7" xfId="15615"/>
    <cellStyle name="asd 43 3 3 2 8" xfId="18305"/>
    <cellStyle name="asd 43 3 3 2 9" xfId="20211"/>
    <cellStyle name="asd 43 3 3 20" xfId="38023"/>
    <cellStyle name="asd 43 3 3 21" xfId="16092"/>
    <cellStyle name="asd 43 3 3 22" xfId="39594"/>
    <cellStyle name="asd 43 3 3 23" xfId="43894"/>
    <cellStyle name="asd 43 3 3 3" xfId="5267"/>
    <cellStyle name="asd 43 3 3 4" xfId="8168"/>
    <cellStyle name="asd 43 3 3 5" xfId="10078"/>
    <cellStyle name="asd 43 3 3 6" xfId="12112"/>
    <cellStyle name="asd 43 3 3 7" xfId="14623"/>
    <cellStyle name="asd 43 3 3 8" xfId="16529"/>
    <cellStyle name="asd 43 3 3 9" xfId="17697"/>
    <cellStyle name="asd 43 3 4" xfId="4104"/>
    <cellStyle name="asd 43 3 4 10" xfId="19739"/>
    <cellStyle name="asd 43 3 4 11" xfId="21651"/>
    <cellStyle name="asd 43 3 4 12" xfId="23913"/>
    <cellStyle name="asd 43 3 4 13" xfId="25453"/>
    <cellStyle name="asd 43 3 4 14" xfId="26965"/>
    <cellStyle name="asd 43 3 4 15" xfId="28226"/>
    <cellStyle name="asd 43 3 4 16" xfId="30559"/>
    <cellStyle name="asd 43 3 4 17" xfId="31665"/>
    <cellStyle name="asd 43 3 4 18" xfId="34500"/>
    <cellStyle name="asd 43 3 4 19" xfId="36280"/>
    <cellStyle name="asd 43 3 4 2" xfId="6009"/>
    <cellStyle name="asd 43 3 4 2 10" xfId="22259"/>
    <cellStyle name="asd 43 3 4 2 11" xfId="22969"/>
    <cellStyle name="asd 43 3 4 2 12" xfId="26061"/>
    <cellStyle name="asd 43 3 4 2 13" xfId="26411"/>
    <cellStyle name="asd 43 3 4 2 14" xfId="28966"/>
    <cellStyle name="asd 43 3 4 2 15" xfId="30018"/>
    <cellStyle name="asd 43 3 4 2 16" xfId="31625"/>
    <cellStyle name="asd 43 3 4 2 17" xfId="34629"/>
    <cellStyle name="asd 43 3 4 2 18" xfId="36888"/>
    <cellStyle name="asd 43 3 4 2 19" xfId="38767"/>
    <cellStyle name="asd 43 3 4 2 2" xfId="7458"/>
    <cellStyle name="asd 43 3 4 2 20" xfId="38872"/>
    <cellStyle name="asd 43 3 4 2 21" xfId="40557"/>
    <cellStyle name="asd 43 3 4 2 22" xfId="42755"/>
    <cellStyle name="asd 43 3 4 2 3" xfId="8912"/>
    <cellStyle name="asd 43 3 4 2 4" xfId="10822"/>
    <cellStyle name="asd 43 3 4 2 5" xfId="12425"/>
    <cellStyle name="asd 43 3 4 2 6" xfId="13438"/>
    <cellStyle name="asd 43 3 4 2 7" xfId="15343"/>
    <cellStyle name="asd 43 3 4 2 8" xfId="18441"/>
    <cellStyle name="asd 43 3 4 2 9" xfId="20347"/>
    <cellStyle name="asd 43 3 4 20" xfId="38159"/>
    <cellStyle name="asd 43 3 4 21" xfId="38909"/>
    <cellStyle name="asd 43 3 4 22" xfId="40593"/>
    <cellStyle name="asd 43 3 4 23" xfId="43659"/>
    <cellStyle name="asd 43 3 4 3" xfId="6850"/>
    <cellStyle name="asd 43 3 4 4" xfId="8304"/>
    <cellStyle name="asd 43 3 4 5" xfId="10214"/>
    <cellStyle name="asd 43 3 4 6" xfId="11872"/>
    <cellStyle name="asd 43 3 4 7" xfId="14381"/>
    <cellStyle name="asd 43 3 4 8" xfId="16287"/>
    <cellStyle name="asd 43 3 4 9" xfId="17833"/>
    <cellStyle name="asd 43 3 5" xfId="4956"/>
    <cellStyle name="asd 43 3 5 10" xfId="21204"/>
    <cellStyle name="asd 43 3 5 11" xfId="22687"/>
    <cellStyle name="asd 43 3 5 12" xfId="25006"/>
    <cellStyle name="asd 43 3 5 13" xfId="26248"/>
    <cellStyle name="asd 43 3 5 14" xfId="28229"/>
    <cellStyle name="asd 43 3 5 15" xfId="29858"/>
    <cellStyle name="asd 43 3 5 16" xfId="32144"/>
    <cellStyle name="asd 43 3 5 17" xfId="34458"/>
    <cellStyle name="asd 43 3 5 18" xfId="35833"/>
    <cellStyle name="asd 43 3 5 19" xfId="37712"/>
    <cellStyle name="asd 43 3 5 2" xfId="6406"/>
    <cellStyle name="asd 43 3 5 20" xfId="39367"/>
    <cellStyle name="asd 43 3 5 21" xfId="41043"/>
    <cellStyle name="asd 43 3 5 22" xfId="42490"/>
    <cellStyle name="asd 43 3 5 3" xfId="7857"/>
    <cellStyle name="asd 43 3 5 4" xfId="9767"/>
    <cellStyle name="asd 43 3 5 5" xfId="11518"/>
    <cellStyle name="asd 43 3 5 6" xfId="13154"/>
    <cellStyle name="asd 43 3 5 7" xfId="15059"/>
    <cellStyle name="asd 43 3 5 8" xfId="17386"/>
    <cellStyle name="asd 43 3 5 9" xfId="19292"/>
    <cellStyle name="asd 43 3 6" xfId="4248"/>
    <cellStyle name="asd 43 3 6 10" xfId="20561"/>
    <cellStyle name="asd 43 3 6 11" xfId="23977"/>
    <cellStyle name="asd 43 3 6 12" xfId="24363"/>
    <cellStyle name="asd 43 3 6 13" xfId="26958"/>
    <cellStyle name="asd 43 3 6 14" xfId="29291"/>
    <cellStyle name="asd 43 3 6 15" xfId="30552"/>
    <cellStyle name="asd 43 3 6 16" xfId="32524"/>
    <cellStyle name="asd 43 3 6 17" xfId="33566"/>
    <cellStyle name="asd 43 3 6 18" xfId="35191"/>
    <cellStyle name="asd 43 3 6 19" xfId="37069"/>
    <cellStyle name="asd 43 3 6 2" xfId="5334"/>
    <cellStyle name="asd 43 3 6 20" xfId="39737"/>
    <cellStyle name="asd 43 3 6 21" xfId="41409"/>
    <cellStyle name="asd 43 3 6 22" xfId="43722"/>
    <cellStyle name="asd 43 3 6 3" xfId="6621"/>
    <cellStyle name="asd 43 3 6 4" xfId="9123"/>
    <cellStyle name="asd 43 3 6 5" xfId="11937"/>
    <cellStyle name="asd 43 3 6 6" xfId="14447"/>
    <cellStyle name="asd 43 3 6 7" xfId="16353"/>
    <cellStyle name="asd 43 3 6 8" xfId="16742"/>
    <cellStyle name="asd 43 3 6 9" xfId="18649"/>
    <cellStyle name="asd 43 3 7" xfId="6689"/>
    <cellStyle name="asd 43 3 8" xfId="9281"/>
    <cellStyle name="asd 43 3 9" xfId="11758"/>
    <cellStyle name="asd 43 4" xfId="3425"/>
    <cellStyle name="asd 43 4 10" xfId="16416"/>
    <cellStyle name="asd 43 4 11" xfId="16797"/>
    <cellStyle name="asd 43 4 12" xfId="18704"/>
    <cellStyle name="asd 43 4 13" xfId="20616"/>
    <cellStyle name="asd 43 4 14" xfId="24040"/>
    <cellStyle name="asd 43 4 15" xfId="24418"/>
    <cellStyle name="asd 43 4 16" xfId="26567"/>
    <cellStyle name="asd 43 4 17" xfId="29419"/>
    <cellStyle name="asd 43 4 18" xfId="30169"/>
    <cellStyle name="asd 43 4 19" xfId="32520"/>
    <cellStyle name="asd 43 4 2" xfId="3605"/>
    <cellStyle name="asd 43 4 2 10" xfId="17496"/>
    <cellStyle name="asd 43 4 2 11" xfId="19402"/>
    <cellStyle name="asd 43 4 2 12" xfId="21314"/>
    <cellStyle name="asd 43 4 2 13" xfId="22671"/>
    <cellStyle name="asd 43 4 2 14" xfId="25116"/>
    <cellStyle name="asd 43 4 2 15" xfId="26216"/>
    <cellStyle name="asd 43 4 2 16" xfId="28225"/>
    <cellStyle name="asd 43 4 2 17" xfId="29827"/>
    <cellStyle name="asd 43 4 2 18" xfId="31897"/>
    <cellStyle name="asd 43 4 2 19" xfId="34374"/>
    <cellStyle name="asd 43 4 2 2" xfId="2610"/>
    <cellStyle name="asd 43 4 2 2 10" xfId="20514"/>
    <cellStyle name="asd 43 4 2 2 11" xfId="22427"/>
    <cellStyle name="asd 43 4 2 2 12" xfId="24316"/>
    <cellStyle name="asd 43 4 2 2 13" xfId="27544"/>
    <cellStyle name="asd 43 4 2 2 14" xfId="29422"/>
    <cellStyle name="asd 43 4 2 2 15" xfId="31125"/>
    <cellStyle name="asd 43 4 2 2 16" xfId="33025"/>
    <cellStyle name="asd 43 4 2 2 17" xfId="34443"/>
    <cellStyle name="asd 43 4 2 2 18" xfId="35144"/>
    <cellStyle name="asd 43 4 2 2 19" xfId="37022"/>
    <cellStyle name="asd 43 4 2 2 2" xfId="4449"/>
    <cellStyle name="asd 43 4 2 2 20" xfId="40225"/>
    <cellStyle name="asd 43 4 2 2 21" xfId="41884"/>
    <cellStyle name="asd 43 4 2 2 22" xfId="42238"/>
    <cellStyle name="asd 43 4 2 2 3" xfId="4865"/>
    <cellStyle name="asd 43 4 2 2 4" xfId="9076"/>
    <cellStyle name="asd 43 4 2 2 5" xfId="11579"/>
    <cellStyle name="asd 43 4 2 2 6" xfId="12894"/>
    <cellStyle name="asd 43 4 2 2 7" xfId="14799"/>
    <cellStyle name="asd 43 4 2 2 8" xfId="16695"/>
    <cellStyle name="asd 43 4 2 2 9" xfId="18602"/>
    <cellStyle name="asd 43 4 2 20" xfId="35943"/>
    <cellStyle name="asd 43 4 2 21" xfId="37822"/>
    <cellStyle name="asd 43 4 2 22" xfId="39130"/>
    <cellStyle name="asd 43 4 2 23" xfId="40811"/>
    <cellStyle name="asd 43 4 2 24" xfId="42476"/>
    <cellStyle name="asd 43 4 2 3" xfId="5066"/>
    <cellStyle name="asd 43 4 2 4" xfId="6516"/>
    <cellStyle name="asd 43 4 2 5" xfId="7967"/>
    <cellStyle name="asd 43 4 2 6" xfId="9877"/>
    <cellStyle name="asd 43 4 2 7" xfId="12165"/>
    <cellStyle name="asd 43 4 2 8" xfId="13138"/>
    <cellStyle name="asd 43 4 2 9" xfId="15043"/>
    <cellStyle name="asd 43 4 20" xfId="33969"/>
    <cellStyle name="asd 43 4 21" xfId="35246"/>
    <cellStyle name="asd 43 4 22" xfId="37124"/>
    <cellStyle name="asd 43 4 23" xfId="39734"/>
    <cellStyle name="asd 43 4 24" xfId="41406"/>
    <cellStyle name="asd 43 4 25" xfId="43784"/>
    <cellStyle name="asd 43 4 3" xfId="3920"/>
    <cellStyle name="asd 43 4 3 10" xfId="19615"/>
    <cellStyle name="asd 43 4 3 11" xfId="21527"/>
    <cellStyle name="asd 43 4 3 12" xfId="23396"/>
    <cellStyle name="asd 43 4 3 13" xfId="25329"/>
    <cellStyle name="asd 43 4 3 14" xfId="27064"/>
    <cellStyle name="asd 43 4 3 15" xfId="29008"/>
    <cellStyle name="asd 43 4 3 16" xfId="30655"/>
    <cellStyle name="asd 43 4 3 17" xfId="33067"/>
    <cellStyle name="asd 43 4 3 18" xfId="34778"/>
    <cellStyle name="asd 43 4 3 19" xfId="36156"/>
    <cellStyle name="asd 43 4 3 2" xfId="5885"/>
    <cellStyle name="asd 43 4 3 2 10" xfId="22135"/>
    <cellStyle name="asd 43 4 3 2 11" xfId="23999"/>
    <cellStyle name="asd 43 4 3 2 12" xfId="25937"/>
    <cellStyle name="asd 43 4 3 2 13" xfId="26769"/>
    <cellStyle name="asd 43 4 3 2 14" xfId="29352"/>
    <cellStyle name="asd 43 4 3 2 15" xfId="30368"/>
    <cellStyle name="asd 43 4 3 2 16" xfId="32888"/>
    <cellStyle name="asd 43 4 3 2 17" xfId="33862"/>
    <cellStyle name="asd 43 4 3 2 18" xfId="36764"/>
    <cellStyle name="asd 43 4 3 2 19" xfId="38643"/>
    <cellStyle name="asd 43 4 3 2 2" xfId="7334"/>
    <cellStyle name="asd 43 4 3 2 20" xfId="40093"/>
    <cellStyle name="asd 43 4 3 2 21" xfId="41755"/>
    <cellStyle name="asd 43 4 3 2 22" xfId="43743"/>
    <cellStyle name="asd 43 4 3 2 3" xfId="8788"/>
    <cellStyle name="asd 43 4 3 2 4" xfId="10698"/>
    <cellStyle name="asd 43 4 3 2 5" xfId="11958"/>
    <cellStyle name="asd 43 4 3 2 6" xfId="14469"/>
    <cellStyle name="asd 43 4 3 2 7" xfId="16375"/>
    <cellStyle name="asd 43 4 3 2 8" xfId="18317"/>
    <cellStyle name="asd 43 4 3 2 9" xfId="20223"/>
    <cellStyle name="asd 43 4 3 20" xfId="38035"/>
    <cellStyle name="asd 43 4 3 21" xfId="40263"/>
    <cellStyle name="asd 43 4 3 22" xfId="41921"/>
    <cellStyle name="asd 43 4 3 23" xfId="43163"/>
    <cellStyle name="asd 43 4 3 3" xfId="5279"/>
    <cellStyle name="asd 43 4 3 4" xfId="8180"/>
    <cellStyle name="asd 43 4 3 5" xfId="10090"/>
    <cellStyle name="asd 43 4 3 6" xfId="11091"/>
    <cellStyle name="asd 43 4 3 7" xfId="13868"/>
    <cellStyle name="asd 43 4 3 8" xfId="15769"/>
    <cellStyle name="asd 43 4 3 9" xfId="17709"/>
    <cellStyle name="asd 43 4 4" xfId="4057"/>
    <cellStyle name="asd 43 4 4 10" xfId="19692"/>
    <cellStyle name="asd 43 4 4 11" xfId="21604"/>
    <cellStyle name="asd 43 4 4 12" xfId="22555"/>
    <cellStyle name="asd 43 4 4 13" xfId="25406"/>
    <cellStyle name="asd 43 4 4 14" xfId="27656"/>
    <cellStyle name="asd 43 4 4 15" xfId="29334"/>
    <cellStyle name="asd 43 4 4 16" xfId="31233"/>
    <cellStyle name="asd 43 4 4 17" xfId="31779"/>
    <cellStyle name="asd 43 4 4 18" xfId="33473"/>
    <cellStyle name="asd 43 4 4 19" xfId="36233"/>
    <cellStyle name="asd 43 4 4 2" xfId="5962"/>
    <cellStyle name="asd 43 4 4 2 10" xfId="22212"/>
    <cellStyle name="asd 43 4 4 2 11" xfId="22774"/>
    <cellStyle name="asd 43 4 4 2 12" xfId="26014"/>
    <cellStyle name="asd 43 4 4 2 13" xfId="27018"/>
    <cellStyle name="asd 43 4 4 2 14" xfId="3822"/>
    <cellStyle name="asd 43 4 4 2 15" xfId="30611"/>
    <cellStyle name="asd 43 4 4 2 16" xfId="31594"/>
    <cellStyle name="asd 43 4 4 2 17" xfId="28602"/>
    <cellStyle name="asd 43 4 4 2 18" xfId="36841"/>
    <cellStyle name="asd 43 4 4 2 19" xfId="38720"/>
    <cellStyle name="asd 43 4 4 2 2" xfId="7411"/>
    <cellStyle name="asd 43 4 4 2 20" xfId="38841"/>
    <cellStyle name="asd 43 4 4 2 21" xfId="40527"/>
    <cellStyle name="asd 43 4 4 2 22" xfId="42569"/>
    <cellStyle name="asd 43 4 4 2 3" xfId="8865"/>
    <cellStyle name="asd 43 4 4 2 4" xfId="10775"/>
    <cellStyle name="asd 43 4 4 2 5" xfId="11759"/>
    <cellStyle name="asd 43 4 4 2 6" xfId="13244"/>
    <cellStyle name="asd 43 4 4 2 7" xfId="15147"/>
    <cellStyle name="asd 43 4 4 2 8" xfId="18394"/>
    <cellStyle name="asd 43 4 4 2 9" xfId="20300"/>
    <cellStyle name="asd 43 4 4 20" xfId="38112"/>
    <cellStyle name="asd 43 4 4 21" xfId="39018"/>
    <cellStyle name="asd 43 4 4 22" xfId="40700"/>
    <cellStyle name="asd 43 4 4 23" xfId="42364"/>
    <cellStyle name="asd 43 4 4 3" xfId="6803"/>
    <cellStyle name="asd 43 4 4 4" xfId="8257"/>
    <cellStyle name="asd 43 4 4 5" xfId="10167"/>
    <cellStyle name="asd 43 4 4 6" xfId="12637"/>
    <cellStyle name="asd 43 4 4 7" xfId="13023"/>
    <cellStyle name="asd 43 4 4 8" xfId="14927"/>
    <cellStyle name="asd 43 4 4 9" xfId="17786"/>
    <cellStyle name="asd 43 4 5" xfId="5456"/>
    <cellStyle name="asd 43 4 5 10" xfId="21706"/>
    <cellStyle name="asd 43 4 5 11" xfId="23674"/>
    <cellStyle name="asd 43 4 5 12" xfId="25508"/>
    <cellStyle name="asd 43 4 5 13" xfId="26960"/>
    <cellStyle name="asd 43 4 5 14" xfId="28250"/>
    <cellStyle name="asd 43 4 5 15" xfId="30554"/>
    <cellStyle name="asd 43 4 5 16" xfId="32436"/>
    <cellStyle name="asd 43 4 5 17" xfId="33687"/>
    <cellStyle name="asd 43 4 5 18" xfId="36335"/>
    <cellStyle name="asd 43 4 5 19" xfId="38214"/>
    <cellStyle name="asd 43 4 5 2" xfId="6905"/>
    <cellStyle name="asd 43 4 5 20" xfId="39653"/>
    <cellStyle name="asd 43 4 5 21" xfId="41327"/>
    <cellStyle name="asd 43 4 5 22" xfId="43432"/>
    <cellStyle name="asd 43 4 5 3" xfId="8359"/>
    <cellStyle name="asd 43 4 5 4" xfId="10269"/>
    <cellStyle name="asd 43 4 5 5" xfId="11400"/>
    <cellStyle name="asd 43 4 5 6" xfId="14145"/>
    <cellStyle name="asd 43 4 5 7" xfId="16048"/>
    <cellStyle name="asd 43 4 5 8" xfId="17888"/>
    <cellStyle name="asd 43 4 5 9" xfId="19794"/>
    <cellStyle name="asd 43 4 6" xfId="5431"/>
    <cellStyle name="asd 43 4 7" xfId="9178"/>
    <cellStyle name="asd 43 4 8" xfId="11999"/>
    <cellStyle name="asd 43 4 9" xfId="14510"/>
    <cellStyle name="asd 43 5" xfId="2800"/>
    <cellStyle name="asd 43 5 10" xfId="17205"/>
    <cellStyle name="asd 43 5 11" xfId="19111"/>
    <cellStyle name="asd 43 5 12" xfId="21023"/>
    <cellStyle name="asd 43 5 13" xfId="22889"/>
    <cellStyle name="asd 43 5 14" xfId="24825"/>
    <cellStyle name="asd 43 5 15" xfId="27652"/>
    <cellStyle name="asd 43 5 16" xfId="28307"/>
    <cellStyle name="asd 43 5 17" xfId="31229"/>
    <cellStyle name="asd 43 5 18" xfId="32954"/>
    <cellStyle name="asd 43 5 19" xfId="34416"/>
    <cellStyle name="asd 43 5 2" xfId="5742"/>
    <cellStyle name="asd 43 5 2 10" xfId="21992"/>
    <cellStyle name="asd 43 5 2 11" xfId="22744"/>
    <cellStyle name="asd 43 5 2 12" xfId="25794"/>
    <cellStyle name="asd 43 5 2 13" xfId="16524"/>
    <cellStyle name="asd 43 5 2 14" xfId="11170"/>
    <cellStyle name="asd 43 5 2 15" xfId="8997"/>
    <cellStyle name="asd 43 5 2 16" xfId="27181"/>
    <cellStyle name="asd 43 5 2 17" xfId="30253"/>
    <cellStyle name="asd 43 5 2 18" xfId="36621"/>
    <cellStyle name="asd 43 5 2 19" xfId="38500"/>
    <cellStyle name="asd 43 5 2 2" xfId="7191"/>
    <cellStyle name="asd 43 5 2 20" xfId="11426"/>
    <cellStyle name="asd 43 5 2 21" xfId="33406"/>
    <cellStyle name="asd 43 5 2 22" xfId="42542"/>
    <cellStyle name="asd 43 5 2 3" xfId="8645"/>
    <cellStyle name="asd 43 5 2 4" xfId="10555"/>
    <cellStyle name="asd 43 5 2 5" xfId="3327"/>
    <cellStyle name="asd 43 5 2 6" xfId="13213"/>
    <cellStyle name="asd 43 5 2 7" xfId="15116"/>
    <cellStyle name="asd 43 5 2 8" xfId="18174"/>
    <cellStyle name="asd 43 5 2 9" xfId="20080"/>
    <cellStyle name="asd 43 5 20" xfId="35652"/>
    <cellStyle name="asd 43 5 21" xfId="37531"/>
    <cellStyle name="asd 43 5 22" xfId="40156"/>
    <cellStyle name="asd 43 5 23" xfId="41815"/>
    <cellStyle name="asd 43 5 24" xfId="42675"/>
    <cellStyle name="asd 43 5 3" xfId="4776"/>
    <cellStyle name="asd 43 5 4" xfId="6225"/>
    <cellStyle name="asd 43 5 5" xfId="7676"/>
    <cellStyle name="asd 43 5 6" xfId="9586"/>
    <cellStyle name="asd 43 5 7" xfId="12468"/>
    <cellStyle name="asd 43 5 8" xfId="13357"/>
    <cellStyle name="asd 43 5 9" xfId="15262"/>
    <cellStyle name="asd 43 6" xfId="2577"/>
    <cellStyle name="asd 43 6 10" xfId="19085"/>
    <cellStyle name="asd 43 6 11" xfId="20997"/>
    <cellStyle name="asd 43 6 12" xfId="23588"/>
    <cellStyle name="asd 43 6 13" xfId="24799"/>
    <cellStyle name="asd 43 6 14" xfId="26860"/>
    <cellStyle name="asd 43 6 15" xfId="12296"/>
    <cellStyle name="asd 43 6 16" xfId="30457"/>
    <cellStyle name="asd 43 6 17" xfId="32548"/>
    <cellStyle name="asd 43 6 18" xfId="34127"/>
    <cellStyle name="asd 43 6 19" xfId="35626"/>
    <cellStyle name="asd 43 6 2" xfId="5584"/>
    <cellStyle name="asd 43 6 2 10" xfId="21834"/>
    <cellStyle name="asd 43 6 2 11" xfId="22898"/>
    <cellStyle name="asd 43 6 2 12" xfId="25636"/>
    <cellStyle name="asd 43 6 2 13" xfId="27563"/>
    <cellStyle name="asd 43 6 2 14" xfId="2809"/>
    <cellStyle name="asd 43 6 2 15" xfId="31143"/>
    <cellStyle name="asd 43 6 2 16" xfId="32518"/>
    <cellStyle name="asd 43 6 2 17" xfId="28306"/>
    <cellStyle name="asd 43 6 2 18" xfId="36463"/>
    <cellStyle name="asd 43 6 2 19" xfId="38342"/>
    <cellStyle name="asd 43 6 2 2" xfId="7033"/>
    <cellStyle name="asd 43 6 2 20" xfId="39732"/>
    <cellStyle name="asd 43 6 2 21" xfId="41404"/>
    <cellStyle name="asd 43 6 2 22" xfId="42684"/>
    <cellStyle name="asd 43 6 2 3" xfId="8487"/>
    <cellStyle name="asd 43 6 2 4" xfId="10397"/>
    <cellStyle name="asd 43 6 2 5" xfId="12453"/>
    <cellStyle name="asd 43 6 2 6" xfId="13366"/>
    <cellStyle name="asd 43 6 2 7" xfId="15271"/>
    <cellStyle name="asd 43 6 2 8" xfId="18016"/>
    <cellStyle name="asd 43 6 2 9" xfId="19922"/>
    <cellStyle name="asd 43 6 20" xfId="37505"/>
    <cellStyle name="asd 43 6 21" xfId="39761"/>
    <cellStyle name="asd 43 6 22" xfId="41433"/>
    <cellStyle name="asd 43 6 23" xfId="43347"/>
    <cellStyle name="asd 43 6 3" xfId="4750"/>
    <cellStyle name="asd 43 6 4" xfId="7650"/>
    <cellStyle name="asd 43 6 5" xfId="9560"/>
    <cellStyle name="asd 43 6 6" xfId="12231"/>
    <cellStyle name="asd 43 6 7" xfId="14058"/>
    <cellStyle name="asd 43 6 8" xfId="15961"/>
    <cellStyle name="asd 43 6 9" xfId="17179"/>
    <cellStyle name="asd 43 7" xfId="2247"/>
    <cellStyle name="asd 43 7 10" xfId="19039"/>
    <cellStyle name="asd 43 7 11" xfId="20951"/>
    <cellStyle name="asd 43 7 12" xfId="22397"/>
    <cellStyle name="asd 43 7 13" xfId="24753"/>
    <cellStyle name="asd 43 7 14" xfId="26163"/>
    <cellStyle name="asd 43 7 15" xfId="28831"/>
    <cellStyle name="asd 43 7 16" xfId="29777"/>
    <cellStyle name="asd 43 7 17" xfId="32827"/>
    <cellStyle name="asd 43 7 18" xfId="33651"/>
    <cellStyle name="asd 43 7 19" xfId="35580"/>
    <cellStyle name="asd 43 7 2" xfId="5540"/>
    <cellStyle name="asd 43 7 2 10" xfId="21790"/>
    <cellStyle name="asd 43 7 2 11" xfId="24015"/>
    <cellStyle name="asd 43 7 2 12" xfId="25592"/>
    <cellStyle name="asd 43 7 2 13" xfId="27318"/>
    <cellStyle name="asd 43 7 2 14" xfId="29647"/>
    <cellStyle name="asd 43 7 2 15" xfId="30908"/>
    <cellStyle name="asd 43 7 2 16" xfId="31606"/>
    <cellStyle name="asd 43 7 2 17" xfId="34773"/>
    <cellStyle name="asd 43 7 2 18" xfId="36419"/>
    <cellStyle name="asd 43 7 2 19" xfId="38298"/>
    <cellStyle name="asd 43 7 2 2" xfId="6989"/>
    <cellStyle name="asd 43 7 2 20" xfId="38853"/>
    <cellStyle name="asd 43 7 2 21" xfId="40539"/>
    <cellStyle name="asd 43 7 2 22" xfId="43759"/>
    <cellStyle name="asd 43 7 2 3" xfId="8443"/>
    <cellStyle name="asd 43 7 2 4" xfId="10353"/>
    <cellStyle name="asd 43 7 2 5" xfId="11974"/>
    <cellStyle name="asd 43 7 2 6" xfId="14485"/>
    <cellStyle name="asd 43 7 2 7" xfId="16391"/>
    <cellStyle name="asd 43 7 2 8" xfId="17972"/>
    <cellStyle name="asd 43 7 2 9" xfId="19878"/>
    <cellStyle name="asd 43 7 20" xfId="37459"/>
    <cellStyle name="asd 43 7 21" xfId="40036"/>
    <cellStyle name="asd 43 7 22" xfId="41700"/>
    <cellStyle name="asd 43 7 23" xfId="42208"/>
    <cellStyle name="asd 43 7 3" xfId="6153"/>
    <cellStyle name="asd 43 7 4" xfId="7604"/>
    <cellStyle name="asd 43 7 5" xfId="9514"/>
    <cellStyle name="asd 43 7 6" xfId="12321"/>
    <cellStyle name="asd 43 7 7" xfId="12864"/>
    <cellStyle name="asd 43 7 8" xfId="14769"/>
    <cellStyle name="asd 43 7 9" xfId="17133"/>
    <cellStyle name="asd 43 8" xfId="4595"/>
    <cellStyle name="asd 43 9" xfId="2716"/>
    <cellStyle name="asd 44" xfId="1013"/>
    <cellStyle name="asd 44 10" xfId="4195"/>
    <cellStyle name="asd 44 11" xfId="2575"/>
    <cellStyle name="asd 44 12" xfId="3716"/>
    <cellStyle name="asd 44 13" xfId="3298"/>
    <cellStyle name="asd 44 14" xfId="14073"/>
    <cellStyle name="asd 44 15" xfId="13841"/>
    <cellStyle name="asd 44 16" xfId="16613"/>
    <cellStyle name="asd 44 17" xfId="1871"/>
    <cellStyle name="asd 44 18" xfId="15174"/>
    <cellStyle name="asd 44 19" xfId="3952"/>
    <cellStyle name="asd 44 2" xfId="3450"/>
    <cellStyle name="asd 44 2 10" xfId="14438"/>
    <cellStyle name="asd 44 2 11" xfId="16344"/>
    <cellStyle name="asd 44 2 12" xfId="16841"/>
    <cellStyle name="asd 44 2 13" xfId="18748"/>
    <cellStyle name="asd 44 2 14" xfId="20660"/>
    <cellStyle name="asd 44 2 15" xfId="23968"/>
    <cellStyle name="asd 44 2 16" xfId="24462"/>
    <cellStyle name="asd 44 2 17" xfId="26954"/>
    <cellStyle name="asd 44 2 18" xfId="29427"/>
    <cellStyle name="asd 44 2 19" xfId="30548"/>
    <cellStyle name="asd 44 2 2" xfId="3630"/>
    <cellStyle name="asd 44 2 2 10" xfId="17521"/>
    <cellStyle name="asd 44 2 2 11" xfId="19427"/>
    <cellStyle name="asd 44 2 2 12" xfId="21339"/>
    <cellStyle name="asd 44 2 2 13" xfId="22942"/>
    <cellStyle name="asd 44 2 2 14" xfId="25141"/>
    <cellStyle name="asd 44 2 2 15" xfId="26686"/>
    <cellStyle name="asd 44 2 2 16" xfId="1776"/>
    <cellStyle name="asd 44 2 2 17" xfId="30286"/>
    <cellStyle name="asd 44 2 2 18" xfId="33069"/>
    <cellStyle name="asd 44 2 2 19" xfId="1793"/>
    <cellStyle name="asd 44 2 2 2" xfId="4463"/>
    <cellStyle name="asd 44 2 2 2 10" xfId="20708"/>
    <cellStyle name="asd 44 2 2 2 11" xfId="22393"/>
    <cellStyle name="asd 44 2 2 2 12" xfId="24510"/>
    <cellStyle name="asd 44 2 2 2 13" xfId="27511"/>
    <cellStyle name="asd 44 2 2 2 14" xfId="28760"/>
    <cellStyle name="asd 44 2 2 2 15" xfId="31096"/>
    <cellStyle name="asd 44 2 2 2 16" xfId="32806"/>
    <cellStyle name="asd 44 2 2 2 17" xfId="33423"/>
    <cellStyle name="asd 44 2 2 2 18" xfId="35338"/>
    <cellStyle name="asd 44 2 2 2 19" xfId="37216"/>
    <cellStyle name="asd 44 2 2 2 2" xfId="4529"/>
    <cellStyle name="asd 44 2 2 2 20" xfId="40015"/>
    <cellStyle name="asd 44 2 2 2 21" xfId="41679"/>
    <cellStyle name="asd 44 2 2 2 22" xfId="42204"/>
    <cellStyle name="asd 44 2 2 2 3" xfId="4657"/>
    <cellStyle name="asd 44 2 2 2 4" xfId="9270"/>
    <cellStyle name="asd 44 2 2 2 5" xfId="11356"/>
    <cellStyle name="asd 44 2 2 2 6" xfId="12860"/>
    <cellStyle name="asd 44 2 2 2 7" xfId="14765"/>
    <cellStyle name="asd 44 2 2 2 8" xfId="16889"/>
    <cellStyle name="asd 44 2 2 2 9" xfId="18796"/>
    <cellStyle name="asd 44 2 2 20" xfId="35968"/>
    <cellStyle name="asd 44 2 2 21" xfId="37847"/>
    <cellStyle name="asd 44 2 2 22" xfId="40265"/>
    <cellStyle name="asd 44 2 2 23" xfId="41923"/>
    <cellStyle name="asd 44 2 2 24" xfId="42728"/>
    <cellStyle name="asd 44 2 2 3" xfId="5091"/>
    <cellStyle name="asd 44 2 2 4" xfId="6541"/>
    <cellStyle name="asd 44 2 2 5" xfId="7992"/>
    <cellStyle name="asd 44 2 2 6" xfId="9902"/>
    <cellStyle name="asd 44 2 2 7" xfId="11156"/>
    <cellStyle name="asd 44 2 2 8" xfId="13410"/>
    <cellStyle name="asd 44 2 2 9" xfId="15315"/>
    <cellStyle name="asd 44 2 20" xfId="32289"/>
    <cellStyle name="asd 44 2 21" xfId="34068"/>
    <cellStyle name="asd 44 2 22" xfId="35290"/>
    <cellStyle name="asd 44 2 23" xfId="37168"/>
    <cellStyle name="asd 44 2 24" xfId="39509"/>
    <cellStyle name="asd 44 2 25" xfId="41183"/>
    <cellStyle name="asd 44 2 26" xfId="43714"/>
    <cellStyle name="asd 44 2 3" xfId="3800"/>
    <cellStyle name="asd 44 2 3 10" xfId="19535"/>
    <cellStyle name="asd 44 2 3 11" xfId="21447"/>
    <cellStyle name="asd 44 2 3 12" xfId="22413"/>
    <cellStyle name="asd 44 2 3 13" xfId="25249"/>
    <cellStyle name="asd 44 2 3 14" xfId="27636"/>
    <cellStyle name="asd 44 2 3 15" xfId="28651"/>
    <cellStyle name="asd 44 2 3 16" xfId="31213"/>
    <cellStyle name="asd 44 2 3 17" xfId="32646"/>
    <cellStyle name="asd 44 2 3 18" xfId="33767"/>
    <cellStyle name="asd 44 2 3 19" xfId="36076"/>
    <cellStyle name="asd 44 2 3 2" xfId="5805"/>
    <cellStyle name="asd 44 2 3 2 10" xfId="22055"/>
    <cellStyle name="asd 44 2 3 2 11" xfId="22926"/>
    <cellStyle name="asd 44 2 3 2 12" xfId="25857"/>
    <cellStyle name="asd 44 2 3 2 13" xfId="26419"/>
    <cellStyle name="asd 44 2 3 2 14" xfId="28108"/>
    <cellStyle name="asd 44 2 3 2 15" xfId="30026"/>
    <cellStyle name="asd 44 2 3 2 16" xfId="32659"/>
    <cellStyle name="asd 44 2 3 2 17" xfId="35013"/>
    <cellStyle name="asd 44 2 3 2 18" xfId="36684"/>
    <cellStyle name="asd 44 2 3 2 19" xfId="38563"/>
    <cellStyle name="asd 44 2 3 2 2" xfId="7254"/>
    <cellStyle name="asd 44 2 3 2 20" xfId="39866"/>
    <cellStyle name="asd 44 2 3 2 21" xfId="41535"/>
    <cellStyle name="asd 44 2 3 2 22" xfId="42712"/>
    <cellStyle name="asd 44 2 3 2 3" xfId="8708"/>
    <cellStyle name="asd 44 2 3 2 4" xfId="10618"/>
    <cellStyle name="asd 44 2 3 2 5" xfId="11296"/>
    <cellStyle name="asd 44 2 3 2 6" xfId="13394"/>
    <cellStyle name="asd 44 2 3 2 7" xfId="15299"/>
    <cellStyle name="asd 44 2 3 2 8" xfId="18237"/>
    <cellStyle name="asd 44 2 3 2 9" xfId="20143"/>
    <cellStyle name="asd 44 2 3 20" xfId="37955"/>
    <cellStyle name="asd 44 2 3 21" xfId="39853"/>
    <cellStyle name="asd 44 2 3 22" xfId="41522"/>
    <cellStyle name="asd 44 2 3 23" xfId="42224"/>
    <cellStyle name="asd 44 2 3 3" xfId="5199"/>
    <cellStyle name="asd 44 2 3 4" xfId="8100"/>
    <cellStyle name="asd 44 2 3 5" xfId="10010"/>
    <cellStyle name="asd 44 2 3 6" xfId="11665"/>
    <cellStyle name="asd 44 2 3 7" xfId="12880"/>
    <cellStyle name="asd 44 2 3 8" xfId="14785"/>
    <cellStyle name="asd 44 2 3 9" xfId="17629"/>
    <cellStyle name="asd 44 2 4" xfId="4082"/>
    <cellStyle name="asd 44 2 4 10" xfId="19717"/>
    <cellStyle name="asd 44 2 4 11" xfId="21629"/>
    <cellStyle name="asd 44 2 4 12" xfId="22725"/>
    <cellStyle name="asd 44 2 4 13" xfId="25431"/>
    <cellStyle name="asd 44 2 4 14" xfId="26442"/>
    <cellStyle name="asd 44 2 4 15" xfId="2036"/>
    <cellStyle name="asd 44 2 4 16" xfId="30048"/>
    <cellStyle name="asd 44 2 4 17" xfId="10899"/>
    <cellStyle name="asd 44 2 4 18" xfId="2726"/>
    <cellStyle name="asd 44 2 4 19" xfId="36258"/>
    <cellStyle name="asd 44 2 4 2" xfId="5987"/>
    <cellStyle name="asd 44 2 4 2 10" xfId="22237"/>
    <cellStyle name="asd 44 2 4 2 11" xfId="23233"/>
    <cellStyle name="asd 44 2 4 2 12" xfId="26039"/>
    <cellStyle name="asd 44 2 4 2 13" xfId="14698"/>
    <cellStyle name="asd 44 2 4 2 14" xfId="14618"/>
    <cellStyle name="asd 44 2 4 2 15" xfId="22329"/>
    <cellStyle name="asd 44 2 4 2 16" xfId="2678"/>
    <cellStyle name="asd 44 2 4 2 17" xfId="28402"/>
    <cellStyle name="asd 44 2 4 2 18" xfId="36866"/>
    <cellStyle name="asd 44 2 4 2 19" xfId="38745"/>
    <cellStyle name="asd 44 2 4 2 2" xfId="7436"/>
    <cellStyle name="asd 44 2 4 2 20" xfId="2119"/>
    <cellStyle name="asd 44 2 4 2 21" xfId="34082"/>
    <cellStyle name="asd 44 2 4 2 22" xfId="43010"/>
    <cellStyle name="asd 44 2 4 2 3" xfId="8890"/>
    <cellStyle name="asd 44 2 4 2 4" xfId="10800"/>
    <cellStyle name="asd 44 2 4 2 5" xfId="11117"/>
    <cellStyle name="asd 44 2 4 2 6" xfId="13705"/>
    <cellStyle name="asd 44 2 4 2 7" xfId="15607"/>
    <cellStyle name="asd 44 2 4 2 8" xfId="18419"/>
    <cellStyle name="asd 44 2 4 2 9" xfId="20325"/>
    <cellStyle name="asd 44 2 4 20" xfId="38137"/>
    <cellStyle name="asd 44 2 4 21" xfId="16599"/>
    <cellStyle name="asd 44 2 4 22" xfId="18503"/>
    <cellStyle name="asd 44 2 4 23" xfId="42523"/>
    <cellStyle name="asd 44 2 4 3" xfId="6828"/>
    <cellStyle name="asd 44 2 4 4" xfId="8282"/>
    <cellStyle name="asd 44 2 4 5" xfId="10192"/>
    <cellStyle name="asd 44 2 4 6" xfId="3236"/>
    <cellStyle name="asd 44 2 4 7" xfId="13194"/>
    <cellStyle name="asd 44 2 4 8" xfId="15097"/>
    <cellStyle name="asd 44 2 4 9" xfId="17811"/>
    <cellStyle name="asd 44 2 5" xfId="4937"/>
    <cellStyle name="asd 44 2 5 10" xfId="21185"/>
    <cellStyle name="asd 44 2 5 11" xfId="24169"/>
    <cellStyle name="asd 44 2 5 12" xfId="24987"/>
    <cellStyle name="asd 44 2 5 13" xfId="27937"/>
    <cellStyle name="asd 44 2 5 14" xfId="28312"/>
    <cellStyle name="asd 44 2 5 15" xfId="31518"/>
    <cellStyle name="asd 44 2 5 16" xfId="32605"/>
    <cellStyle name="asd 44 2 5 17" xfId="34966"/>
    <cellStyle name="asd 44 2 5 18" xfId="35814"/>
    <cellStyle name="asd 44 2 5 19" xfId="37693"/>
    <cellStyle name="asd 44 2 5 2" xfId="6387"/>
    <cellStyle name="asd 44 2 5 20" xfId="39815"/>
    <cellStyle name="asd 44 2 5 21" xfId="41484"/>
    <cellStyle name="asd 44 2 5 22" xfId="43911"/>
    <cellStyle name="asd 44 2 5 3" xfId="7838"/>
    <cellStyle name="asd 44 2 5 4" xfId="9748"/>
    <cellStyle name="asd 44 2 5 5" xfId="12129"/>
    <cellStyle name="asd 44 2 5 6" xfId="14640"/>
    <cellStyle name="asd 44 2 5 7" xfId="16546"/>
    <cellStyle name="asd 44 2 5 8" xfId="17367"/>
    <cellStyle name="asd 44 2 5 9" xfId="19273"/>
    <cellStyle name="asd 44 2 6" xfId="1864"/>
    <cellStyle name="asd 44 2 6 10" xfId="20590"/>
    <cellStyle name="asd 44 2 6 11" xfId="22401"/>
    <cellStyle name="asd 44 2 6 12" xfId="24392"/>
    <cellStyle name="asd 44 2 6 13" xfId="27361"/>
    <cellStyle name="asd 44 2 6 14" xfId="29681"/>
    <cellStyle name="asd 44 2 6 15" xfId="30949"/>
    <cellStyle name="asd 44 2 6 16" xfId="32361"/>
    <cellStyle name="asd 44 2 6 17" xfId="34453"/>
    <cellStyle name="asd 44 2 6 18" xfId="35220"/>
    <cellStyle name="asd 44 2 6 19" xfId="37098"/>
    <cellStyle name="asd 44 2 6 2" xfId="4807"/>
    <cellStyle name="asd 44 2 6 20" xfId="39580"/>
    <cellStyle name="asd 44 2 6 21" xfId="41254"/>
    <cellStyle name="asd 44 2 6 22" xfId="42212"/>
    <cellStyle name="asd 44 2 6 3" xfId="6229"/>
    <cellStyle name="asd 44 2 6 4" xfId="9152"/>
    <cellStyle name="asd 44 2 6 5" xfId="11344"/>
    <cellStyle name="asd 44 2 6 6" xfId="12868"/>
    <cellStyle name="asd 44 2 6 7" xfId="14773"/>
    <cellStyle name="asd 44 2 6 8" xfId="16771"/>
    <cellStyle name="asd 44 2 6 9" xfId="18678"/>
    <cellStyle name="asd 44 2 7" xfId="5284"/>
    <cellStyle name="asd 44 2 8" xfId="9222"/>
    <cellStyle name="asd 44 2 9" xfId="11928"/>
    <cellStyle name="asd 44 20" xfId="3308"/>
    <cellStyle name="asd 44 21" xfId="16624"/>
    <cellStyle name="asd 44 22" xfId="28397"/>
    <cellStyle name="asd 44 23" xfId="31098"/>
    <cellStyle name="asd 44 24" xfId="33249"/>
    <cellStyle name="asd 44 25" xfId="6156"/>
    <cellStyle name="asd 44 26" xfId="18508"/>
    <cellStyle name="asd 44 27" xfId="29014"/>
    <cellStyle name="asd 44 3" xfId="3519"/>
    <cellStyle name="asd 44 3 10" xfId="14531"/>
    <cellStyle name="asd 44 3 11" xfId="16437"/>
    <cellStyle name="asd 44 3 12" xfId="17028"/>
    <cellStyle name="asd 44 3 13" xfId="18935"/>
    <cellStyle name="asd 44 3 14" xfId="20847"/>
    <cellStyle name="asd 44 3 15" xfId="24061"/>
    <cellStyle name="asd 44 3 16" xfId="24649"/>
    <cellStyle name="asd 44 3 17" xfId="27574"/>
    <cellStyle name="asd 44 3 18" xfId="28542"/>
    <cellStyle name="asd 44 3 19" xfId="31153"/>
    <cellStyle name="asd 44 3 2" xfId="3699"/>
    <cellStyle name="asd 44 3 2 10" xfId="17590"/>
    <cellStyle name="asd 44 3 2 11" xfId="19496"/>
    <cellStyle name="asd 44 3 2 12" xfId="21408"/>
    <cellStyle name="asd 44 3 2 13" xfId="23509"/>
    <cellStyle name="asd 44 3 2 14" xfId="25210"/>
    <cellStyle name="asd 44 3 2 15" xfId="27469"/>
    <cellStyle name="asd 44 3 2 16" xfId="29377"/>
    <cellStyle name="asd 44 3 2 17" xfId="31056"/>
    <cellStyle name="asd 44 3 2 18" xfId="32292"/>
    <cellStyle name="asd 44 3 2 19" xfId="33728"/>
    <cellStyle name="asd 44 3 2 2" xfId="5766"/>
    <cellStyle name="asd 44 3 2 2 10" xfId="22016"/>
    <cellStyle name="asd 44 3 2 2 11" xfId="22425"/>
    <cellStyle name="asd 44 3 2 2 12" xfId="25818"/>
    <cellStyle name="asd 44 3 2 2 13" xfId="27907"/>
    <cellStyle name="asd 44 3 2 2 14" xfId="16607"/>
    <cellStyle name="asd 44 3 2 2 15" xfId="31489"/>
    <cellStyle name="asd 44 3 2 2 16" xfId="31780"/>
    <cellStyle name="asd 44 3 2 2 17" xfId="33841"/>
    <cellStyle name="asd 44 3 2 2 18" xfId="36645"/>
    <cellStyle name="asd 44 3 2 2 19" xfId="38524"/>
    <cellStyle name="asd 44 3 2 2 2" xfId="7215"/>
    <cellStyle name="asd 44 3 2 2 20" xfId="39019"/>
    <cellStyle name="asd 44 3 2 2 21" xfId="40701"/>
    <cellStyle name="asd 44 3 2 2 22" xfId="42236"/>
    <cellStyle name="asd 44 3 2 2 3" xfId="8669"/>
    <cellStyle name="asd 44 3 2 2 4" xfId="10579"/>
    <cellStyle name="asd 44 3 2 2 5" xfId="12388"/>
    <cellStyle name="asd 44 3 2 2 6" xfId="12892"/>
    <cellStyle name="asd 44 3 2 2 7" xfId="14797"/>
    <cellStyle name="asd 44 3 2 2 8" xfId="18198"/>
    <cellStyle name="asd 44 3 2 2 9" xfId="20104"/>
    <cellStyle name="asd 44 3 2 20" xfId="36037"/>
    <cellStyle name="asd 44 3 2 21" xfId="37916"/>
    <cellStyle name="asd 44 3 2 22" xfId="39512"/>
    <cellStyle name="asd 44 3 2 23" xfId="41186"/>
    <cellStyle name="asd 44 3 2 24" xfId="43274"/>
    <cellStyle name="asd 44 3 2 3" xfId="5160"/>
    <cellStyle name="asd 44 3 2 4" xfId="6610"/>
    <cellStyle name="asd 44 3 2 5" xfId="8061"/>
    <cellStyle name="asd 44 3 2 6" xfId="9971"/>
    <cellStyle name="asd 44 3 2 7" xfId="12533"/>
    <cellStyle name="asd 44 3 2 8" xfId="13981"/>
    <cellStyle name="asd 44 3 2 9" xfId="15882"/>
    <cellStyle name="asd 44 3 20" xfId="32404"/>
    <cellStyle name="asd 44 3 21" xfId="34541"/>
    <cellStyle name="asd 44 3 22" xfId="35477"/>
    <cellStyle name="asd 44 3 23" xfId="37355"/>
    <cellStyle name="asd 44 3 24" xfId="39621"/>
    <cellStyle name="asd 44 3 25" xfId="41295"/>
    <cellStyle name="asd 44 3 26" xfId="43805"/>
    <cellStyle name="asd 44 3 3" xfId="2731"/>
    <cellStyle name="asd 44 3 3 10" xfId="19100"/>
    <cellStyle name="asd 44 3 3 11" xfId="21012"/>
    <cellStyle name="asd 44 3 3 12" xfId="23438"/>
    <cellStyle name="asd 44 3 3 13" xfId="24814"/>
    <cellStyle name="asd 44 3 3 14" xfId="27587"/>
    <cellStyle name="asd 44 3 3 15" xfId="28952"/>
    <cellStyle name="asd 44 3 3 16" xfId="31166"/>
    <cellStyle name="asd 44 3 3 17" xfId="32541"/>
    <cellStyle name="asd 44 3 3 18" xfId="34642"/>
    <cellStyle name="asd 44 3 3 19" xfId="35641"/>
    <cellStyle name="asd 44 3 3 2" xfId="4538"/>
    <cellStyle name="asd 44 3 3 2 10" xfId="20783"/>
    <cellStyle name="asd 44 3 3 2 11" xfId="23700"/>
    <cellStyle name="asd 44 3 3 2 12" xfId="24585"/>
    <cellStyle name="asd 44 3 3 2 13" xfId="26603"/>
    <cellStyle name="asd 44 3 3 2 14" xfId="2415"/>
    <cellStyle name="asd 44 3 3 2 15" xfId="30205"/>
    <cellStyle name="asd 44 3 3 2 16" xfId="31074"/>
    <cellStyle name="asd 44 3 3 2 17" xfId="33340"/>
    <cellStyle name="asd 44 3 3 2 18" xfId="35413"/>
    <cellStyle name="asd 44 3 3 2 19" xfId="37291"/>
    <cellStyle name="asd 44 3 3 2 2" xfId="5301"/>
    <cellStyle name="asd 44 3 3 2 20" xfId="33366"/>
    <cellStyle name="asd 44 3 3 2 21" xfId="39784"/>
    <cellStyle name="asd 44 3 3 2 22" xfId="43457"/>
    <cellStyle name="asd 44 3 3 2 3" xfId="6636"/>
    <cellStyle name="asd 44 3 3 2 4" xfId="9345"/>
    <cellStyle name="asd 44 3 3 2 5" xfId="11376"/>
    <cellStyle name="asd 44 3 3 2 6" xfId="14170"/>
    <cellStyle name="asd 44 3 3 2 7" xfId="16074"/>
    <cellStyle name="asd 44 3 3 2 8" xfId="16964"/>
    <cellStyle name="asd 44 3 3 2 9" xfId="18871"/>
    <cellStyle name="asd 44 3 3 20" xfId="37520"/>
    <cellStyle name="asd 44 3 3 21" xfId="39754"/>
    <cellStyle name="asd 44 3 3 22" xfId="41426"/>
    <cellStyle name="asd 44 3 3 23" xfId="43205"/>
    <cellStyle name="asd 44 3 3 3" xfId="4765"/>
    <cellStyle name="asd 44 3 3 4" xfId="7665"/>
    <cellStyle name="asd 44 3 3 5" xfId="9575"/>
    <cellStyle name="asd 44 3 3 6" xfId="12362"/>
    <cellStyle name="asd 44 3 3 7" xfId="13910"/>
    <cellStyle name="asd 44 3 3 8" xfId="15811"/>
    <cellStyle name="asd 44 3 3 9" xfId="17194"/>
    <cellStyle name="asd 44 3 4" xfId="4151"/>
    <cellStyle name="asd 44 3 4 10" xfId="19786"/>
    <cellStyle name="asd 44 3 4 11" xfId="21698"/>
    <cellStyle name="asd 44 3 4 12" xfId="23015"/>
    <cellStyle name="asd 44 3 4 13" xfId="25500"/>
    <cellStyle name="asd 44 3 4 14" xfId="26698"/>
    <cellStyle name="asd 44 3 4 15" xfId="29139"/>
    <cellStyle name="asd 44 3 4 16" xfId="30298"/>
    <cellStyle name="asd 44 3 4 17" xfId="32489"/>
    <cellStyle name="asd 44 3 4 18" xfId="33635"/>
    <cellStyle name="asd 44 3 4 19" xfId="36327"/>
    <cellStyle name="asd 44 3 4 2" xfId="6056"/>
    <cellStyle name="asd 44 3 4 2 10" xfId="22306"/>
    <cellStyle name="asd 44 3 4 2 11" xfId="3960"/>
    <cellStyle name="asd 44 3 4 2 12" xfId="26108"/>
    <cellStyle name="asd 44 3 4 2 13" xfId="10913"/>
    <cellStyle name="asd 44 3 4 2 14" xfId="29039"/>
    <cellStyle name="asd 44 3 4 2 15" xfId="27331"/>
    <cellStyle name="asd 44 3 4 2 16" xfId="31756"/>
    <cellStyle name="asd 44 3 4 2 17" xfId="34587"/>
    <cellStyle name="asd 44 3 4 2 18" xfId="36935"/>
    <cellStyle name="asd 44 3 4 2 19" xfId="38814"/>
    <cellStyle name="asd 44 3 4 2 2" xfId="7505"/>
    <cellStyle name="asd 44 3 4 2 20" xfId="38996"/>
    <cellStyle name="asd 44 3 4 2 21" xfId="40679"/>
    <cellStyle name="asd 44 3 4 2 22" xfId="41578"/>
    <cellStyle name="asd 44 3 4 2 3" xfId="8959"/>
    <cellStyle name="asd 44 3 4 2 4" xfId="10869"/>
    <cellStyle name="asd 44 3 4 2 5" xfId="2238"/>
    <cellStyle name="asd 44 3 4 2 6" xfId="11285"/>
    <cellStyle name="asd 44 3 4 2 7" xfId="12998"/>
    <cellStyle name="asd 44 3 4 2 8" xfId="18488"/>
    <cellStyle name="asd 44 3 4 2 9" xfId="20394"/>
    <cellStyle name="asd 44 3 4 20" xfId="38206"/>
    <cellStyle name="asd 44 3 4 21" xfId="39704"/>
    <cellStyle name="asd 44 3 4 22" xfId="41376"/>
    <cellStyle name="asd 44 3 4 23" xfId="42798"/>
    <cellStyle name="asd 44 3 4 3" xfId="6897"/>
    <cellStyle name="asd 44 3 4 4" xfId="8351"/>
    <cellStyle name="asd 44 3 4 5" xfId="10261"/>
    <cellStyle name="asd 44 3 4 6" xfId="11094"/>
    <cellStyle name="asd 44 3 4 7" xfId="13485"/>
    <cellStyle name="asd 44 3 4 8" xfId="15389"/>
    <cellStyle name="asd 44 3 4 9" xfId="17880"/>
    <cellStyle name="asd 44 3 5" xfId="4991"/>
    <cellStyle name="asd 44 3 5 10" xfId="21239"/>
    <cellStyle name="asd 44 3 5 11" xfId="23684"/>
    <cellStyle name="asd 44 3 5 12" xfId="25041"/>
    <cellStyle name="asd 44 3 5 13" xfId="26356"/>
    <cellStyle name="asd 44 3 5 14" xfId="28236"/>
    <cellStyle name="asd 44 3 5 15" xfId="29964"/>
    <cellStyle name="asd 44 3 5 16" xfId="32197"/>
    <cellStyle name="asd 44 3 5 17" xfId="33477"/>
    <cellStyle name="asd 44 3 5 18" xfId="35868"/>
    <cellStyle name="asd 44 3 5 19" xfId="37747"/>
    <cellStyle name="asd 44 3 5 2" xfId="6441"/>
    <cellStyle name="asd 44 3 5 20" xfId="39419"/>
    <cellStyle name="asd 44 3 5 21" xfId="41095"/>
    <cellStyle name="asd 44 3 5 22" xfId="43441"/>
    <cellStyle name="asd 44 3 5 3" xfId="7892"/>
    <cellStyle name="asd 44 3 5 4" xfId="9802"/>
    <cellStyle name="asd 44 3 5 5" xfId="11497"/>
    <cellStyle name="asd 44 3 5 6" xfId="14154"/>
    <cellStyle name="asd 44 3 5 7" xfId="16058"/>
    <cellStyle name="asd 44 3 5 8" xfId="17421"/>
    <cellStyle name="asd 44 3 5 9" xfId="19327"/>
    <cellStyle name="asd 44 3 6" xfId="4238"/>
    <cellStyle name="asd 44 3 6 10" xfId="20579"/>
    <cellStyle name="asd 44 3 6 11" xfId="22962"/>
    <cellStyle name="asd 44 3 6 12" xfId="24381"/>
    <cellStyle name="asd 44 3 6 13" xfId="26546"/>
    <cellStyle name="asd 44 3 6 14" xfId="28089"/>
    <cellStyle name="asd 44 3 6 15" xfId="30151"/>
    <cellStyle name="asd 44 3 6 16" xfId="33198"/>
    <cellStyle name="asd 44 3 6 17" xfId="34686"/>
    <cellStyle name="asd 44 3 6 18" xfId="35209"/>
    <cellStyle name="asd 44 3 6 19" xfId="37087"/>
    <cellStyle name="asd 44 3 6 2" xfId="5363"/>
    <cellStyle name="asd 44 3 6 20" xfId="40388"/>
    <cellStyle name="asd 44 3 6 21" xfId="42044"/>
    <cellStyle name="asd 44 3 6 22" xfId="42748"/>
    <cellStyle name="asd 44 3 6 3" xfId="6655"/>
    <cellStyle name="asd 44 3 6 4" xfId="9141"/>
    <cellStyle name="asd 44 3 6 5" xfId="11027"/>
    <cellStyle name="asd 44 3 6 6" xfId="13431"/>
    <cellStyle name="asd 44 3 6 7" xfId="15336"/>
    <cellStyle name="asd 44 3 6 8" xfId="16760"/>
    <cellStyle name="asd 44 3 6 9" xfId="18667"/>
    <cellStyle name="asd 44 3 7" xfId="2896"/>
    <cellStyle name="asd 44 3 8" xfId="9409"/>
    <cellStyle name="asd 44 3 9" xfId="12020"/>
    <cellStyle name="asd 44 4" xfId="3364"/>
    <cellStyle name="asd 44 4 10" xfId="3976"/>
    <cellStyle name="asd 44 4 11" xfId="16660"/>
    <cellStyle name="asd 44 4 12" xfId="18567"/>
    <cellStyle name="asd 44 4 13" xfId="20479"/>
    <cellStyle name="asd 44 4 14" xfId="2991"/>
    <cellStyle name="asd 44 4 15" xfId="24281"/>
    <cellStyle name="asd 44 4 16" xfId="12814"/>
    <cellStyle name="asd 44 4 17" xfId="29230"/>
    <cellStyle name="asd 44 4 18" xfId="1980"/>
    <cellStyle name="asd 44 4 19" xfId="28998"/>
    <cellStyle name="asd 44 4 2" xfId="3544"/>
    <cellStyle name="asd 44 4 2 10" xfId="17435"/>
    <cellStyle name="asd 44 4 2 11" xfId="19341"/>
    <cellStyle name="asd 44 4 2 12" xfId="21253"/>
    <cellStyle name="asd 44 4 2 13" xfId="22618"/>
    <cellStyle name="asd 44 4 2 14" xfId="25055"/>
    <cellStyle name="asd 44 4 2 15" xfId="26775"/>
    <cellStyle name="asd 44 4 2 16" xfId="28502"/>
    <cellStyle name="asd 44 4 2 17" xfId="30374"/>
    <cellStyle name="asd 44 4 2 18" xfId="32679"/>
    <cellStyle name="asd 44 4 2 19" xfId="33557"/>
    <cellStyle name="asd 44 4 2 2" xfId="5543"/>
    <cellStyle name="asd 44 4 2 2 10" xfId="21793"/>
    <cellStyle name="asd 44 4 2 2 11" xfId="23242"/>
    <cellStyle name="asd 44 4 2 2 12" xfId="25595"/>
    <cellStyle name="asd 44 4 2 2 13" xfId="27363"/>
    <cellStyle name="asd 44 4 2 2 14" xfId="28919"/>
    <cellStyle name="asd 44 4 2 2 15" xfId="30950"/>
    <cellStyle name="asd 44 4 2 2 16" xfId="32929"/>
    <cellStyle name="asd 44 4 2 2 17" xfId="34069"/>
    <cellStyle name="asd 44 4 2 2 18" xfId="36422"/>
    <cellStyle name="asd 44 4 2 2 19" xfId="38301"/>
    <cellStyle name="asd 44 4 2 2 2" xfId="6992"/>
    <cellStyle name="asd 44 4 2 2 20" xfId="40133"/>
    <cellStyle name="asd 44 4 2 2 21" xfId="41792"/>
    <cellStyle name="asd 44 4 2 2 22" xfId="43019"/>
    <cellStyle name="asd 44 4 2 2 3" xfId="8446"/>
    <cellStyle name="asd 44 4 2 2 4" xfId="10356"/>
    <cellStyle name="asd 44 4 2 2 5" xfId="11135"/>
    <cellStyle name="asd 44 4 2 2 6" xfId="13714"/>
    <cellStyle name="asd 44 4 2 2 7" xfId="15616"/>
    <cellStyle name="asd 44 4 2 2 8" xfId="17975"/>
    <cellStyle name="asd 44 4 2 2 9" xfId="19881"/>
    <cellStyle name="asd 44 4 2 20" xfId="35882"/>
    <cellStyle name="asd 44 4 2 21" xfId="37761"/>
    <cellStyle name="asd 44 4 2 22" xfId="39887"/>
    <cellStyle name="asd 44 4 2 23" xfId="41556"/>
    <cellStyle name="asd 44 4 2 24" xfId="42424"/>
    <cellStyle name="asd 44 4 2 3" xfId="5005"/>
    <cellStyle name="asd 44 4 2 4" xfId="6455"/>
    <cellStyle name="asd 44 4 2 5" xfId="7906"/>
    <cellStyle name="asd 44 4 2 6" xfId="9816"/>
    <cellStyle name="asd 44 4 2 7" xfId="11488"/>
    <cellStyle name="asd 44 4 2 8" xfId="13085"/>
    <cellStyle name="asd 44 4 2 9" xfId="14990"/>
    <cellStyle name="asd 44 4 20" xfId="3719"/>
    <cellStyle name="asd 44 4 21" xfId="35109"/>
    <cellStyle name="asd 44 4 22" xfId="36987"/>
    <cellStyle name="asd 44 4 23" xfId="2339"/>
    <cellStyle name="asd 44 4 24" xfId="31572"/>
    <cellStyle name="asd 44 4 25" xfId="41343"/>
    <cellStyle name="asd 44 4 3" xfId="3905"/>
    <cellStyle name="asd 44 4 3 10" xfId="19608"/>
    <cellStyle name="asd 44 4 3 11" xfId="21520"/>
    <cellStyle name="asd 44 4 3 12" xfId="23259"/>
    <cellStyle name="asd 44 4 3 13" xfId="25322"/>
    <cellStyle name="asd 44 4 3 14" xfId="27967"/>
    <cellStyle name="asd 44 4 3 15" xfId="2002"/>
    <cellStyle name="asd 44 4 3 16" xfId="31547"/>
    <cellStyle name="asd 44 4 3 17" xfId="23971"/>
    <cellStyle name="asd 44 4 3 18" xfId="5358"/>
    <cellStyle name="asd 44 4 3 19" xfId="36149"/>
    <cellStyle name="asd 44 4 3 2" xfId="5878"/>
    <cellStyle name="asd 44 4 3 2 10" xfId="22128"/>
    <cellStyle name="asd 44 4 3 2 11" xfId="23818"/>
    <cellStyle name="asd 44 4 3 2 12" xfId="25930"/>
    <cellStyle name="asd 44 4 3 2 13" xfId="26907"/>
    <cellStyle name="asd 44 4 3 2 14" xfId="29157"/>
    <cellStyle name="asd 44 4 3 2 15" xfId="30503"/>
    <cellStyle name="asd 44 4 3 2 16" xfId="32539"/>
    <cellStyle name="asd 44 4 3 2 17" xfId="34205"/>
    <cellStyle name="asd 44 4 3 2 18" xfId="36757"/>
    <cellStyle name="asd 44 4 3 2 19" xfId="38636"/>
    <cellStyle name="asd 44 4 3 2 2" xfId="7327"/>
    <cellStyle name="asd 44 4 3 2 20" xfId="39752"/>
    <cellStyle name="asd 44 4 3 2 21" xfId="41424"/>
    <cellStyle name="asd 44 4 3 2 22" xfId="43569"/>
    <cellStyle name="asd 44 4 3 2 3" xfId="8781"/>
    <cellStyle name="asd 44 4 3 2 4" xfId="10691"/>
    <cellStyle name="asd 44 4 3 2 5" xfId="11542"/>
    <cellStyle name="asd 44 4 3 2 6" xfId="14288"/>
    <cellStyle name="asd 44 4 3 2 7" xfId="16192"/>
    <cellStyle name="asd 44 4 3 2 8" xfId="18310"/>
    <cellStyle name="asd 44 4 3 2 9" xfId="20216"/>
    <cellStyle name="asd 44 4 3 20" xfId="38028"/>
    <cellStyle name="asd 44 4 3 21" xfId="31537"/>
    <cellStyle name="asd 44 4 3 22" xfId="26819"/>
    <cellStyle name="asd 44 4 3 23" xfId="43035"/>
    <cellStyle name="asd 44 4 3 3" xfId="5272"/>
    <cellStyle name="asd 44 4 3 4" xfId="8173"/>
    <cellStyle name="asd 44 4 3 5" xfId="10083"/>
    <cellStyle name="asd 44 4 3 6" xfId="11180"/>
    <cellStyle name="asd 44 4 3 7" xfId="13731"/>
    <cellStyle name="asd 44 4 3 8" xfId="15633"/>
    <cellStyle name="asd 44 4 3 9" xfId="17702"/>
    <cellStyle name="asd 44 4 4" xfId="3996"/>
    <cellStyle name="asd 44 4 4 10" xfId="19631"/>
    <cellStyle name="asd 44 4 4 11" xfId="21543"/>
    <cellStyle name="asd 44 4 4 12" xfId="23054"/>
    <cellStyle name="asd 44 4 4 13" xfId="25345"/>
    <cellStyle name="asd 44 4 4 14" xfId="27270"/>
    <cellStyle name="asd 44 4 4 15" xfId="29058"/>
    <cellStyle name="asd 44 4 4 16" xfId="30862"/>
    <cellStyle name="asd 44 4 4 17" xfId="33151"/>
    <cellStyle name="asd 44 4 4 18" xfId="33543"/>
    <cellStyle name="asd 44 4 4 19" xfId="36172"/>
    <cellStyle name="asd 44 4 4 2" xfId="5901"/>
    <cellStyle name="asd 44 4 4 2 10" xfId="22151"/>
    <cellStyle name="asd 44 4 4 2 11" xfId="24160"/>
    <cellStyle name="asd 44 4 4 2 12" xfId="25953"/>
    <cellStyle name="asd 44 4 4 2 13" xfId="27879"/>
    <cellStyle name="asd 44 4 4 2 14" xfId="3135"/>
    <cellStyle name="asd 44 4 4 2 15" xfId="31460"/>
    <cellStyle name="asd 44 4 4 2 16" xfId="32660"/>
    <cellStyle name="asd 44 4 4 2 17" xfId="34461"/>
    <cellStyle name="asd 44 4 4 2 18" xfId="36780"/>
    <cellStyle name="asd 44 4 4 2 19" xfId="38659"/>
    <cellStyle name="asd 44 4 4 2 2" xfId="7350"/>
    <cellStyle name="asd 44 4 4 2 20" xfId="39867"/>
    <cellStyle name="asd 44 4 4 2 21" xfId="41536"/>
    <cellStyle name="asd 44 4 4 2 22" xfId="43902"/>
    <cellStyle name="asd 44 4 4 2 3" xfId="8804"/>
    <cellStyle name="asd 44 4 4 2 4" xfId="10714"/>
    <cellStyle name="asd 44 4 4 2 5" xfId="12120"/>
    <cellStyle name="asd 44 4 4 2 6" xfId="14631"/>
    <cellStyle name="asd 44 4 4 2 7" xfId="16537"/>
    <cellStyle name="asd 44 4 4 2 8" xfId="18333"/>
    <cellStyle name="asd 44 4 4 2 9" xfId="20239"/>
    <cellStyle name="asd 44 4 4 20" xfId="38051"/>
    <cellStyle name="asd 44 4 4 21" xfId="40344"/>
    <cellStyle name="asd 44 4 4 22" xfId="42000"/>
    <cellStyle name="asd 44 4 4 23" xfId="42837"/>
    <cellStyle name="asd 44 4 4 3" xfId="6742"/>
    <cellStyle name="asd 44 4 4 4" xfId="8196"/>
    <cellStyle name="asd 44 4 4 5" xfId="10106"/>
    <cellStyle name="asd 44 4 4 6" xfId="11750"/>
    <cellStyle name="asd 44 4 4 7" xfId="13525"/>
    <cellStyle name="asd 44 4 4 8" xfId="15428"/>
    <cellStyle name="asd 44 4 4 9" xfId="17725"/>
    <cellStyle name="asd 44 4 5" xfId="5617"/>
    <cellStyle name="asd 44 4 5 10" xfId="21867"/>
    <cellStyle name="asd 44 4 5 11" xfId="22903"/>
    <cellStyle name="asd 44 4 5 12" xfId="25669"/>
    <cellStyle name="asd 44 4 5 13" xfId="26647"/>
    <cellStyle name="asd 44 4 5 14" xfId="28311"/>
    <cellStyle name="asd 44 4 5 15" xfId="30249"/>
    <cellStyle name="asd 44 4 5 16" xfId="32358"/>
    <cellStyle name="asd 44 4 5 17" xfId="34770"/>
    <cellStyle name="asd 44 4 5 18" xfId="36496"/>
    <cellStyle name="asd 44 4 5 19" xfId="38375"/>
    <cellStyle name="asd 44 4 5 2" xfId="7066"/>
    <cellStyle name="asd 44 4 5 20" xfId="39577"/>
    <cellStyle name="asd 44 4 5 21" xfId="41251"/>
    <cellStyle name="asd 44 4 5 22" xfId="42689"/>
    <cellStyle name="asd 44 4 5 3" xfId="8520"/>
    <cellStyle name="asd 44 4 5 4" xfId="10430"/>
    <cellStyle name="asd 44 4 5 5" xfId="11048"/>
    <cellStyle name="asd 44 4 5 6" xfId="13371"/>
    <cellStyle name="asd 44 4 5 7" xfId="15276"/>
    <cellStyle name="asd 44 4 5 8" xfId="18049"/>
    <cellStyle name="asd 44 4 5 9" xfId="19955"/>
    <cellStyle name="asd 44 4 6" xfId="6696"/>
    <cellStyle name="asd 44 4 7" xfId="9041"/>
    <cellStyle name="asd 44 4 8" xfId="1787"/>
    <cellStyle name="asd 44 4 9" xfId="10912"/>
    <cellStyle name="asd 44 5" xfId="3155"/>
    <cellStyle name="asd 44 5 10" xfId="17261"/>
    <cellStyle name="asd 44 5 11" xfId="19167"/>
    <cellStyle name="asd 44 5 12" xfId="21079"/>
    <cellStyle name="asd 44 5 13" xfId="24031"/>
    <cellStyle name="asd 44 5 14" xfId="24881"/>
    <cellStyle name="asd 44 5 15" xfId="27777"/>
    <cellStyle name="asd 44 5 16" xfId="28231"/>
    <cellStyle name="asd 44 5 17" xfId="31354"/>
    <cellStyle name="asd 44 5 18" xfId="32185"/>
    <cellStyle name="asd 44 5 19" xfId="34632"/>
    <cellStyle name="asd 44 5 2" xfId="4269"/>
    <cellStyle name="asd 44 5 2 10" xfId="20532"/>
    <cellStyle name="asd 44 5 2 11" xfId="22700"/>
    <cellStyle name="asd 44 5 2 12" xfId="24334"/>
    <cellStyle name="asd 44 5 2 13" xfId="27613"/>
    <cellStyle name="asd 44 5 2 14" xfId="28424"/>
    <cellStyle name="asd 44 5 2 15" xfId="31191"/>
    <cellStyle name="asd 44 5 2 16" xfId="32199"/>
    <cellStyle name="asd 44 5 2 17" xfId="35025"/>
    <cellStyle name="asd 44 5 2 18" xfId="35162"/>
    <cellStyle name="asd 44 5 2 19" xfId="37040"/>
    <cellStyle name="asd 44 5 2 2" xfId="4424"/>
    <cellStyle name="asd 44 5 2 20" xfId="39421"/>
    <cellStyle name="asd 44 5 2 21" xfId="41097"/>
    <cellStyle name="asd 44 5 2 22" xfId="42501"/>
    <cellStyle name="asd 44 5 2 3" xfId="4394"/>
    <cellStyle name="asd 44 5 2 4" xfId="9094"/>
    <cellStyle name="asd 44 5 2 5" xfId="10927"/>
    <cellStyle name="asd 44 5 2 6" xfId="13168"/>
    <cellStyle name="asd 44 5 2 7" xfId="15072"/>
    <cellStyle name="asd 44 5 2 8" xfId="16713"/>
    <cellStyle name="asd 44 5 2 9" xfId="18620"/>
    <cellStyle name="asd 44 5 20" xfId="35708"/>
    <cellStyle name="asd 44 5 21" xfId="37587"/>
    <cellStyle name="asd 44 5 22" xfId="39407"/>
    <cellStyle name="asd 44 5 23" xfId="41083"/>
    <cellStyle name="asd 44 5 24" xfId="43775"/>
    <cellStyle name="asd 44 5 3" xfId="4831"/>
    <cellStyle name="asd 44 5 4" xfId="6281"/>
    <cellStyle name="asd 44 5 5" xfId="7732"/>
    <cellStyle name="asd 44 5 6" xfId="9642"/>
    <cellStyle name="asd 44 5 7" xfId="11990"/>
    <cellStyle name="asd 44 5 8" xfId="14501"/>
    <cellStyle name="asd 44 5 9" xfId="16407"/>
    <cellStyle name="asd 44 6" xfId="3101"/>
    <cellStyle name="asd 44 6 10" xfId="19155"/>
    <cellStyle name="asd 44 6 11" xfId="21067"/>
    <cellStyle name="asd 44 6 12" xfId="23239"/>
    <cellStyle name="asd 44 6 13" xfId="24869"/>
    <cellStyle name="asd 44 6 14" xfId="26735"/>
    <cellStyle name="asd 44 6 15" xfId="3068"/>
    <cellStyle name="asd 44 6 16" xfId="30335"/>
    <cellStyle name="asd 44 6 17" xfId="32104"/>
    <cellStyle name="asd 44 6 18" xfId="34809"/>
    <cellStyle name="asd 44 6 19" xfId="35696"/>
    <cellStyle name="asd 44 6 2" xfId="5665"/>
    <cellStyle name="asd 44 6 2 10" xfId="21915"/>
    <cellStyle name="asd 44 6 2 11" xfId="22578"/>
    <cellStyle name="asd 44 6 2 12" xfId="25717"/>
    <cellStyle name="asd 44 6 2 13" xfId="27477"/>
    <cellStyle name="asd 44 6 2 14" xfId="2883"/>
    <cellStyle name="asd 44 6 2 15" xfId="31064"/>
    <cellStyle name="asd 44 6 2 16" xfId="29704"/>
    <cellStyle name="asd 44 6 2 17" xfId="33365"/>
    <cellStyle name="asd 44 6 2 18" xfId="36544"/>
    <cellStyle name="asd 44 6 2 19" xfId="38423"/>
    <cellStyle name="asd 44 6 2 2" xfId="7114"/>
    <cellStyle name="asd 44 6 2 20" xfId="3033"/>
    <cellStyle name="asd 44 6 2 21" xfId="33980"/>
    <cellStyle name="asd 44 6 2 22" xfId="42387"/>
    <cellStyle name="asd 44 6 2 3" xfId="8568"/>
    <cellStyle name="asd 44 6 2 4" xfId="10478"/>
    <cellStyle name="asd 44 6 2 5" xfId="11776"/>
    <cellStyle name="asd 44 6 2 6" xfId="13046"/>
    <cellStyle name="asd 44 6 2 7" xfId="14950"/>
    <cellStyle name="asd 44 6 2 8" xfId="18097"/>
    <cellStyle name="asd 44 6 2 9" xfId="20003"/>
    <cellStyle name="asd 44 6 20" xfId="37575"/>
    <cellStyle name="asd 44 6 21" xfId="39328"/>
    <cellStyle name="asd 44 6 22" xfId="41004"/>
    <cellStyle name="asd 44 6 23" xfId="43016"/>
    <cellStyle name="asd 44 6 3" xfId="4819"/>
    <cellStyle name="asd 44 6 4" xfId="7720"/>
    <cellStyle name="asd 44 6 5" xfId="9630"/>
    <cellStyle name="asd 44 6 6" xfId="11130"/>
    <cellStyle name="asd 44 6 7" xfId="13711"/>
    <cellStyle name="asd 44 6 8" xfId="15613"/>
    <cellStyle name="asd 44 6 9" xfId="17249"/>
    <cellStyle name="asd 44 7" xfId="2530"/>
    <cellStyle name="asd 44 7 10" xfId="19077"/>
    <cellStyle name="asd 44 7 11" xfId="20989"/>
    <cellStyle name="asd 44 7 12" xfId="23923"/>
    <cellStyle name="asd 44 7 13" xfId="24791"/>
    <cellStyle name="asd 44 7 14" xfId="1928"/>
    <cellStyle name="asd 44 7 15" xfId="27640"/>
    <cellStyle name="asd 44 7 16" xfId="14391"/>
    <cellStyle name="asd 44 7 17" xfId="10916"/>
    <cellStyle name="asd 44 7 18" xfId="31282"/>
    <cellStyle name="asd 44 7 19" xfId="35618"/>
    <cellStyle name="asd 44 7 2" xfId="5636"/>
    <cellStyle name="asd 44 7 2 10" xfId="21886"/>
    <cellStyle name="asd 44 7 2 11" xfId="23059"/>
    <cellStyle name="asd 44 7 2 12" xfId="25688"/>
    <cellStyle name="asd 44 7 2 13" xfId="26276"/>
    <cellStyle name="asd 44 7 2 14" xfId="28638"/>
    <cellStyle name="asd 44 7 2 15" xfId="29885"/>
    <cellStyle name="asd 44 7 2 16" xfId="31948"/>
    <cellStyle name="asd 44 7 2 17" xfId="34956"/>
    <cellStyle name="asd 44 7 2 18" xfId="36515"/>
    <cellStyle name="asd 44 7 2 19" xfId="38394"/>
    <cellStyle name="asd 44 7 2 2" xfId="7085"/>
    <cellStyle name="asd 44 7 2 20" xfId="39178"/>
    <cellStyle name="asd 44 7 2 21" xfId="40859"/>
    <cellStyle name="asd 44 7 2 22" xfId="42842"/>
    <cellStyle name="asd 44 7 2 3" xfId="8539"/>
    <cellStyle name="asd 44 7 2 4" xfId="10449"/>
    <cellStyle name="asd 44 7 2 5" xfId="12662"/>
    <cellStyle name="asd 44 7 2 6" xfId="13530"/>
    <cellStyle name="asd 44 7 2 7" xfId="15433"/>
    <cellStyle name="asd 44 7 2 8" xfId="18068"/>
    <cellStyle name="asd 44 7 2 9" xfId="19974"/>
    <cellStyle name="asd 44 7 20" xfId="37497"/>
    <cellStyle name="asd 44 7 21" xfId="8970"/>
    <cellStyle name="asd 44 7 22" xfId="2120"/>
    <cellStyle name="asd 44 7 23" xfId="43669"/>
    <cellStyle name="asd 44 7 3" xfId="6191"/>
    <cellStyle name="asd 44 7 4" xfId="7642"/>
    <cellStyle name="asd 44 7 5" xfId="9552"/>
    <cellStyle name="asd 44 7 6" xfId="11882"/>
    <cellStyle name="asd 44 7 7" xfId="14392"/>
    <cellStyle name="asd 44 7 8" xfId="16298"/>
    <cellStyle name="asd 44 7 9" xfId="17171"/>
    <cellStyle name="asd 44 8" xfId="2831"/>
    <cellStyle name="asd 44 9" xfId="2146"/>
    <cellStyle name="asd 45" xfId="1020"/>
    <cellStyle name="asd 45 10" xfId="1979"/>
    <cellStyle name="asd 45 11" xfId="2506"/>
    <cellStyle name="asd 45 12" xfId="3315"/>
    <cellStyle name="asd 45 13" xfId="2545"/>
    <cellStyle name="asd 45 14" xfId="11862"/>
    <cellStyle name="asd 45 15" xfId="12674"/>
    <cellStyle name="asd 45 16" xfId="2643"/>
    <cellStyle name="asd 45 17" xfId="3329"/>
    <cellStyle name="asd 45 18" xfId="23898"/>
    <cellStyle name="asd 45 19" xfId="16590"/>
    <cellStyle name="asd 45 2" xfId="3455"/>
    <cellStyle name="asd 45 2 10" xfId="13907"/>
    <cellStyle name="asd 45 2 11" xfId="15808"/>
    <cellStyle name="asd 45 2 12" xfId="16849"/>
    <cellStyle name="asd 45 2 13" xfId="18756"/>
    <cellStyle name="asd 45 2 14" xfId="20668"/>
    <cellStyle name="asd 45 2 15" xfId="23435"/>
    <cellStyle name="asd 45 2 16" xfId="24470"/>
    <cellStyle name="asd 45 2 17" xfId="26640"/>
    <cellStyle name="asd 45 2 18" xfId="29573"/>
    <cellStyle name="asd 45 2 19" xfId="30243"/>
    <cellStyle name="asd 45 2 2" xfId="3635"/>
    <cellStyle name="asd 45 2 2 10" xfId="17526"/>
    <cellStyle name="asd 45 2 2 11" xfId="19432"/>
    <cellStyle name="asd 45 2 2 12" xfId="21344"/>
    <cellStyle name="asd 45 2 2 13" xfId="22816"/>
    <cellStyle name="asd 45 2 2 14" xfId="25146"/>
    <cellStyle name="asd 45 2 2 15" xfId="26559"/>
    <cellStyle name="asd 45 2 2 16" xfId="29567"/>
    <cellStyle name="asd 45 2 2 17" xfId="30163"/>
    <cellStyle name="asd 45 2 2 18" xfId="33019"/>
    <cellStyle name="asd 45 2 2 19" xfId="33388"/>
    <cellStyle name="asd 45 2 2 2" xfId="5563"/>
    <cellStyle name="asd 45 2 2 2 10" xfId="21813"/>
    <cellStyle name="asd 45 2 2 2 11" xfId="23471"/>
    <cellStyle name="asd 45 2 2 2 12" xfId="25615"/>
    <cellStyle name="asd 45 2 2 2 13" xfId="27638"/>
    <cellStyle name="asd 45 2 2 2 14" xfId="28785"/>
    <cellStyle name="asd 45 2 2 2 15" xfId="31215"/>
    <cellStyle name="asd 45 2 2 2 16" xfId="32018"/>
    <cellStyle name="asd 45 2 2 2 17" xfId="34586"/>
    <cellStyle name="asd 45 2 2 2 18" xfId="36442"/>
    <cellStyle name="asd 45 2 2 2 19" xfId="38321"/>
    <cellStyle name="asd 45 2 2 2 2" xfId="7012"/>
    <cellStyle name="asd 45 2 2 2 20" xfId="39248"/>
    <cellStyle name="asd 45 2 2 2 21" xfId="40925"/>
    <cellStyle name="asd 45 2 2 2 22" xfId="43238"/>
    <cellStyle name="asd 45 2 2 2 3" xfId="8466"/>
    <cellStyle name="asd 45 2 2 2 4" xfId="10376"/>
    <cellStyle name="asd 45 2 2 2 5" xfId="12516"/>
    <cellStyle name="asd 45 2 2 2 6" xfId="13943"/>
    <cellStyle name="asd 45 2 2 2 7" xfId="15844"/>
    <cellStyle name="asd 45 2 2 2 8" xfId="17995"/>
    <cellStyle name="asd 45 2 2 2 9" xfId="19901"/>
    <cellStyle name="asd 45 2 2 20" xfId="35973"/>
    <cellStyle name="asd 45 2 2 21" xfId="37852"/>
    <cellStyle name="asd 45 2 2 22" xfId="40219"/>
    <cellStyle name="asd 45 2 2 23" xfId="41878"/>
    <cellStyle name="asd 45 2 2 24" xfId="42609"/>
    <cellStyle name="asd 45 2 2 3" xfId="5096"/>
    <cellStyle name="asd 45 2 2 4" xfId="6546"/>
    <cellStyle name="asd 45 2 2 5" xfId="7997"/>
    <cellStyle name="asd 45 2 2 6" xfId="9907"/>
    <cellStyle name="asd 45 2 2 7" xfId="12456"/>
    <cellStyle name="asd 45 2 2 8" xfId="13286"/>
    <cellStyle name="asd 45 2 2 9" xfId="15190"/>
    <cellStyle name="asd 45 2 20" xfId="32213"/>
    <cellStyle name="asd 45 2 21" xfId="33553"/>
    <cellStyle name="asd 45 2 22" xfId="35298"/>
    <cellStyle name="asd 45 2 23" xfId="37176"/>
    <cellStyle name="asd 45 2 24" xfId="39433"/>
    <cellStyle name="asd 45 2 25" xfId="41109"/>
    <cellStyle name="asd 45 2 26" xfId="43202"/>
    <cellStyle name="asd 45 2 3" xfId="2968"/>
    <cellStyle name="asd 45 2 3 10" xfId="19133"/>
    <cellStyle name="asd 45 2 3 11" xfId="21045"/>
    <cellStyle name="asd 45 2 3 12" xfId="23443"/>
    <cellStyle name="asd 45 2 3 13" xfId="24847"/>
    <cellStyle name="asd 45 2 3 14" xfId="26849"/>
    <cellStyle name="asd 45 2 3 15" xfId="28143"/>
    <cellStyle name="asd 45 2 3 16" xfId="30446"/>
    <cellStyle name="asd 45 2 3 17" xfId="32661"/>
    <cellStyle name="asd 45 2 3 18" xfId="34891"/>
    <cellStyle name="asd 45 2 3 19" xfId="35674"/>
    <cellStyle name="asd 45 2 3 2" xfId="2455"/>
    <cellStyle name="asd 45 2 3 2 10" xfId="20618"/>
    <cellStyle name="asd 45 2 3 2 11" xfId="24002"/>
    <cellStyle name="asd 45 2 3 2 12" xfId="24420"/>
    <cellStyle name="asd 45 2 3 2 13" xfId="26211"/>
    <cellStyle name="asd 45 2 3 2 14" xfId="29190"/>
    <cellStyle name="asd 45 2 3 2 15" xfId="29823"/>
    <cellStyle name="asd 45 2 3 2 16" xfId="31740"/>
    <cellStyle name="asd 45 2 3 2 17" xfId="33718"/>
    <cellStyle name="asd 45 2 3 2 18" xfId="35248"/>
    <cellStyle name="asd 45 2 3 2 19" xfId="37126"/>
    <cellStyle name="asd 45 2 3 2 2" xfId="4512"/>
    <cellStyle name="asd 45 2 3 2 20" xfId="38981"/>
    <cellStyle name="asd 45 2 3 2 21" xfId="40664"/>
    <cellStyle name="asd 45 2 3 2 22" xfId="43746"/>
    <cellStyle name="asd 45 2 3 2 3" xfId="1903"/>
    <cellStyle name="asd 45 2 3 2 4" xfId="9180"/>
    <cellStyle name="asd 45 2 3 2 5" xfId="11961"/>
    <cellStyle name="asd 45 2 3 2 6" xfId="14472"/>
    <cellStyle name="asd 45 2 3 2 7" xfId="16378"/>
    <cellStyle name="asd 45 2 3 2 8" xfId="16799"/>
    <cellStyle name="asd 45 2 3 2 9" xfId="18706"/>
    <cellStyle name="asd 45 2 3 20" xfId="37553"/>
    <cellStyle name="asd 45 2 3 21" xfId="39868"/>
    <cellStyle name="asd 45 2 3 22" xfId="41537"/>
    <cellStyle name="asd 45 2 3 23" xfId="43210"/>
    <cellStyle name="asd 45 2 3 3" xfId="4797"/>
    <cellStyle name="asd 45 2 3 4" xfId="7698"/>
    <cellStyle name="asd 45 2 3 5" xfId="9608"/>
    <cellStyle name="asd 45 2 3 6" xfId="12587"/>
    <cellStyle name="asd 45 2 3 7" xfId="13915"/>
    <cellStyle name="asd 45 2 3 8" xfId="15816"/>
    <cellStyle name="asd 45 2 3 9" xfId="17227"/>
    <cellStyle name="asd 45 2 4" xfId="4087"/>
    <cellStyle name="asd 45 2 4 10" xfId="19722"/>
    <cellStyle name="asd 45 2 4 11" xfId="21634"/>
    <cellStyle name="asd 45 2 4 12" xfId="22844"/>
    <cellStyle name="asd 45 2 4 13" xfId="25436"/>
    <cellStyle name="asd 45 2 4 14" xfId="26536"/>
    <cellStyle name="asd 45 2 4 15" xfId="29035"/>
    <cellStyle name="asd 45 2 4 16" xfId="30142"/>
    <cellStyle name="asd 45 2 4 17" xfId="32443"/>
    <cellStyle name="asd 45 2 4 18" xfId="34783"/>
    <cellStyle name="asd 45 2 4 19" xfId="36263"/>
    <cellStyle name="asd 45 2 4 2" xfId="5992"/>
    <cellStyle name="asd 45 2 4 2 10" xfId="22242"/>
    <cellStyle name="asd 45 2 4 2 11" xfId="23474"/>
    <cellStyle name="asd 45 2 4 2 12" xfId="26044"/>
    <cellStyle name="asd 45 2 4 2 13" xfId="27804"/>
    <cellStyle name="asd 45 2 4 2 14" xfId="28625"/>
    <cellStyle name="asd 45 2 4 2 15" xfId="31381"/>
    <cellStyle name="asd 45 2 4 2 16" xfId="32920"/>
    <cellStyle name="asd 45 2 4 2 17" xfId="33491"/>
    <cellStyle name="asd 45 2 4 2 18" xfId="36871"/>
    <cellStyle name="asd 45 2 4 2 19" xfId="38750"/>
    <cellStyle name="asd 45 2 4 2 2" xfId="7441"/>
    <cellStyle name="asd 45 2 4 2 20" xfId="40124"/>
    <cellStyle name="asd 45 2 4 2 21" xfId="41784"/>
    <cellStyle name="asd 45 2 4 2 22" xfId="43241"/>
    <cellStyle name="asd 45 2 4 2 3" xfId="8895"/>
    <cellStyle name="asd 45 2 4 2 4" xfId="10805"/>
    <cellStyle name="asd 45 2 4 2 5" xfId="12172"/>
    <cellStyle name="asd 45 2 4 2 6" xfId="13946"/>
    <cellStyle name="asd 45 2 4 2 7" xfId="15847"/>
    <cellStyle name="asd 45 2 4 2 8" xfId="18424"/>
    <cellStyle name="asd 45 2 4 2 9" xfId="20330"/>
    <cellStyle name="asd 45 2 4 20" xfId="38142"/>
    <cellStyle name="asd 45 2 4 21" xfId="39660"/>
    <cellStyle name="asd 45 2 4 22" xfId="41334"/>
    <cellStyle name="asd 45 2 4 23" xfId="42635"/>
    <cellStyle name="asd 45 2 4 3" xfId="6833"/>
    <cellStyle name="asd 45 2 4 4" xfId="8287"/>
    <cellStyle name="asd 45 2 4 5" xfId="10197"/>
    <cellStyle name="asd 45 2 4 6" xfId="12343"/>
    <cellStyle name="asd 45 2 4 7" xfId="13313"/>
    <cellStyle name="asd 45 2 4 8" xfId="15217"/>
    <cellStyle name="asd 45 2 4 9" xfId="17816"/>
    <cellStyle name="asd 45 2 5" xfId="4941"/>
    <cellStyle name="asd 45 2 5 10" xfId="21189"/>
    <cellStyle name="asd 45 2 5 11" xfId="23754"/>
    <cellStyle name="asd 45 2 5 12" xfId="24991"/>
    <cellStyle name="asd 45 2 5 13" xfId="27263"/>
    <cellStyle name="asd 45 2 5 14" xfId="28046"/>
    <cellStyle name="asd 45 2 5 15" xfId="30854"/>
    <cellStyle name="asd 45 2 5 16" xfId="32603"/>
    <cellStyle name="asd 45 2 5 17" xfId="34591"/>
    <cellStyle name="asd 45 2 5 18" xfId="35818"/>
    <cellStyle name="asd 45 2 5 19" xfId="37697"/>
    <cellStyle name="asd 45 2 5 2" xfId="6391"/>
    <cellStyle name="asd 45 2 5 20" xfId="39813"/>
    <cellStyle name="asd 45 2 5 21" xfId="41482"/>
    <cellStyle name="asd 45 2 5 22" xfId="43507"/>
    <cellStyle name="asd 45 2 5 3" xfId="7842"/>
    <cellStyle name="asd 45 2 5 4" xfId="9752"/>
    <cellStyle name="asd 45 2 5 5" xfId="11843"/>
    <cellStyle name="asd 45 2 5 6" xfId="14224"/>
    <cellStyle name="asd 45 2 5 7" xfId="16128"/>
    <cellStyle name="asd 45 2 5 8" xfId="17371"/>
    <cellStyle name="asd 45 2 5 9" xfId="19277"/>
    <cellStyle name="asd 45 2 6" xfId="5600"/>
    <cellStyle name="asd 45 2 6 10" xfId="21850"/>
    <cellStyle name="asd 45 2 6 11" xfId="23178"/>
    <cellStyle name="asd 45 2 6 12" xfId="25652"/>
    <cellStyle name="asd 45 2 6 13" xfId="26570"/>
    <cellStyle name="asd 45 2 6 14" xfId="28144"/>
    <cellStyle name="asd 45 2 6 15" xfId="30172"/>
    <cellStyle name="asd 45 2 6 16" xfId="31763"/>
    <cellStyle name="asd 45 2 6 17" xfId="34168"/>
    <cellStyle name="asd 45 2 6 18" xfId="36479"/>
    <cellStyle name="asd 45 2 6 19" xfId="38358"/>
    <cellStyle name="asd 45 2 6 2" xfId="7049"/>
    <cellStyle name="asd 45 2 6 20" xfId="39003"/>
    <cellStyle name="asd 45 2 6 21" xfId="40686"/>
    <cellStyle name="asd 45 2 6 22" xfId="42956"/>
    <cellStyle name="asd 45 2 6 3" xfId="8503"/>
    <cellStyle name="asd 45 2 6 4" xfId="10413"/>
    <cellStyle name="asd 45 2 6 5" xfId="11006"/>
    <cellStyle name="asd 45 2 6 6" xfId="13649"/>
    <cellStyle name="asd 45 2 6 7" xfId="15552"/>
    <cellStyle name="asd 45 2 6 8" xfId="18032"/>
    <cellStyle name="asd 45 2 6 9" xfId="19938"/>
    <cellStyle name="asd 45 2 7" xfId="4639"/>
    <cellStyle name="asd 45 2 8" xfId="9230"/>
    <cellStyle name="asd 45 2 9" xfId="12535"/>
    <cellStyle name="asd 45 20" xfId="2589"/>
    <cellStyle name="asd 45 21" xfId="18502"/>
    <cellStyle name="asd 45 22" xfId="5446"/>
    <cellStyle name="asd 45 23" xfId="27940"/>
    <cellStyle name="asd 45 24" xfId="34301"/>
    <cellStyle name="asd 45 25" xfId="29164"/>
    <cellStyle name="asd 45 26" xfId="32388"/>
    <cellStyle name="asd 45 27" xfId="38828"/>
    <cellStyle name="asd 45 3" xfId="3512"/>
    <cellStyle name="asd 45 3 10" xfId="14112"/>
    <cellStyle name="asd 45 3 11" xfId="16015"/>
    <cellStyle name="asd 45 3 12" xfId="16994"/>
    <cellStyle name="asd 45 3 13" xfId="18901"/>
    <cellStyle name="asd 45 3 14" xfId="20813"/>
    <cellStyle name="asd 45 3 15" xfId="23642"/>
    <cellStyle name="asd 45 3 16" xfId="24615"/>
    <cellStyle name="asd 45 3 17" xfId="26973"/>
    <cellStyle name="asd 45 3 18" xfId="29095"/>
    <cellStyle name="asd 45 3 19" xfId="30567"/>
    <cellStyle name="asd 45 3 2" xfId="3692"/>
    <cellStyle name="asd 45 3 2 10" xfId="17583"/>
    <cellStyle name="asd 45 3 2 11" xfId="19489"/>
    <cellStyle name="asd 45 3 2 12" xfId="21401"/>
    <cellStyle name="asd 45 3 2 13" xfId="23312"/>
    <cellStyle name="asd 45 3 2 14" xfId="25203"/>
    <cellStyle name="asd 45 3 2 15" xfId="27014"/>
    <cellStyle name="asd 45 3 2 16" xfId="28943"/>
    <cellStyle name="asd 45 3 2 17" xfId="30607"/>
    <cellStyle name="asd 45 3 2 18" xfId="33171"/>
    <cellStyle name="asd 45 3 2 19" xfId="34325"/>
    <cellStyle name="asd 45 3 2 2" xfId="5759"/>
    <cellStyle name="asd 45 3 2 2 10" xfId="22009"/>
    <cellStyle name="asd 45 3 2 2 11" xfId="23033"/>
    <cellStyle name="asd 45 3 2 2 12" xfId="25811"/>
    <cellStyle name="asd 45 3 2 2 13" xfId="26586"/>
    <cellStyle name="asd 45 3 2 2 14" xfId="28544"/>
    <cellStyle name="asd 45 3 2 2 15" xfId="30188"/>
    <cellStyle name="asd 45 3 2 2 16" xfId="32265"/>
    <cellStyle name="asd 45 3 2 2 17" xfId="34145"/>
    <cellStyle name="asd 45 3 2 2 18" xfId="36638"/>
    <cellStyle name="asd 45 3 2 2 19" xfId="38517"/>
    <cellStyle name="asd 45 3 2 2 2" xfId="7208"/>
    <cellStyle name="asd 45 3 2 2 20" xfId="39483"/>
    <cellStyle name="asd 45 3 2 2 21" xfId="41158"/>
    <cellStyle name="asd 45 3 2 2 22" xfId="42816"/>
    <cellStyle name="asd 45 3 2 2 3" xfId="8662"/>
    <cellStyle name="asd 45 3 2 2 4" xfId="10572"/>
    <cellStyle name="asd 45 3 2 2 5" xfId="12627"/>
    <cellStyle name="asd 45 3 2 2 6" xfId="13503"/>
    <cellStyle name="asd 45 3 2 2 7" xfId="15407"/>
    <cellStyle name="asd 45 3 2 2 8" xfId="18191"/>
    <cellStyle name="asd 45 3 2 2 9" xfId="20097"/>
    <cellStyle name="asd 45 3 2 20" xfId="36030"/>
    <cellStyle name="asd 45 3 2 21" xfId="37909"/>
    <cellStyle name="asd 45 3 2 22" xfId="40362"/>
    <cellStyle name="asd 45 3 2 23" xfId="42018"/>
    <cellStyle name="asd 45 3 2 24" xfId="43084"/>
    <cellStyle name="asd 45 3 2 3" xfId="5153"/>
    <cellStyle name="asd 45 3 2 4" xfId="6603"/>
    <cellStyle name="asd 45 3 2 5" xfId="8054"/>
    <cellStyle name="asd 45 3 2 6" xfId="9964"/>
    <cellStyle name="asd 45 3 2 7" xfId="10930"/>
    <cellStyle name="asd 45 3 2 8" xfId="13784"/>
    <cellStyle name="asd 45 3 2 9" xfId="15686"/>
    <cellStyle name="asd 45 3 20" xfId="32125"/>
    <cellStyle name="asd 45 3 21" xfId="34918"/>
    <cellStyle name="asd 45 3 22" xfId="35443"/>
    <cellStyle name="asd 45 3 23" xfId="37321"/>
    <cellStyle name="asd 45 3 24" xfId="39348"/>
    <cellStyle name="asd 45 3 25" xfId="41024"/>
    <cellStyle name="asd 45 3 26" xfId="43400"/>
    <cellStyle name="asd 45 3 3" xfId="2502"/>
    <cellStyle name="asd 45 3 3 10" xfId="19073"/>
    <cellStyle name="asd 45 3 3 11" xfId="20985"/>
    <cellStyle name="asd 45 3 3 12" xfId="23869"/>
    <cellStyle name="asd 45 3 3 13" xfId="24787"/>
    <cellStyle name="asd 45 3 3 14" xfId="27585"/>
    <cellStyle name="asd 45 3 3 15" xfId="28847"/>
    <cellStyle name="asd 45 3 3 16" xfId="31164"/>
    <cellStyle name="asd 45 3 3 17" xfId="32667"/>
    <cellStyle name="asd 45 3 3 18" xfId="34029"/>
    <cellStyle name="asd 45 3 3 19" xfId="35614"/>
    <cellStyle name="asd 45 3 3 2" xfId="4471"/>
    <cellStyle name="asd 45 3 3 2 10" xfId="20716"/>
    <cellStyle name="asd 45 3 3 2 11" xfId="23481"/>
    <cellStyle name="asd 45 3 3 2 12" xfId="24518"/>
    <cellStyle name="asd 45 3 3 2 13" xfId="27914"/>
    <cellStyle name="asd 45 3 3 2 14" xfId="1794"/>
    <cellStyle name="asd 45 3 3 2 15" xfId="31496"/>
    <cellStyle name="asd 45 3 3 2 16" xfId="32926"/>
    <cellStyle name="asd 45 3 3 2 17" xfId="34152"/>
    <cellStyle name="asd 45 3 3 2 18" xfId="35346"/>
    <cellStyle name="asd 45 3 3 2 19" xfId="37224"/>
    <cellStyle name="asd 45 3 3 2 2" xfId="4421"/>
    <cellStyle name="asd 45 3 3 2 20" xfId="40130"/>
    <cellStyle name="asd 45 3 3 2 21" xfId="41789"/>
    <cellStyle name="asd 45 3 3 2 22" xfId="43247"/>
    <cellStyle name="asd 45 3 3 2 3" xfId="5388"/>
    <cellStyle name="asd 45 3 3 2 4" xfId="9278"/>
    <cellStyle name="asd 45 3 3 2 5" xfId="12504"/>
    <cellStyle name="asd 45 3 3 2 6" xfId="13953"/>
    <cellStyle name="asd 45 3 3 2 7" xfId="15854"/>
    <cellStyle name="asd 45 3 3 2 8" xfId="16897"/>
    <cellStyle name="asd 45 3 3 2 9" xfId="18804"/>
    <cellStyle name="asd 45 3 3 20" xfId="37493"/>
    <cellStyle name="asd 45 3 3 21" xfId="39874"/>
    <cellStyle name="asd 45 3 3 22" xfId="41543"/>
    <cellStyle name="asd 45 3 3 23" xfId="43619"/>
    <cellStyle name="asd 45 3 3 3" xfId="4738"/>
    <cellStyle name="asd 45 3 3 4" xfId="7638"/>
    <cellStyle name="asd 45 3 3 5" xfId="9548"/>
    <cellStyle name="asd 45 3 3 6" xfId="11602"/>
    <cellStyle name="asd 45 3 3 7" xfId="14339"/>
    <cellStyle name="asd 45 3 3 8" xfId="16243"/>
    <cellStyle name="asd 45 3 3 9" xfId="17167"/>
    <cellStyle name="asd 45 3 4" xfId="4144"/>
    <cellStyle name="asd 45 3 4 10" xfId="19779"/>
    <cellStyle name="asd 45 3 4 11" xfId="21691"/>
    <cellStyle name="asd 45 3 4 12" xfId="23726"/>
    <cellStyle name="asd 45 3 4 13" xfId="25493"/>
    <cellStyle name="asd 45 3 4 14" xfId="26345"/>
    <cellStyle name="asd 45 3 4 15" xfId="4219"/>
    <cellStyle name="asd 45 3 4 16" xfId="29953"/>
    <cellStyle name="asd 45 3 4 17" xfId="15076"/>
    <cellStyle name="asd 45 3 4 18" xfId="29738"/>
    <cellStyle name="asd 45 3 4 19" xfId="36320"/>
    <cellStyle name="asd 45 3 4 2" xfId="6049"/>
    <cellStyle name="asd 45 3 4 2 10" xfId="22299"/>
    <cellStyle name="asd 45 3 4 2 11" xfId="20414"/>
    <cellStyle name="asd 45 3 4 2 12" xfId="26101"/>
    <cellStyle name="asd 45 3 4 2 13" xfId="12895"/>
    <cellStyle name="asd 45 3 4 2 14" xfId="6616"/>
    <cellStyle name="asd 45 3 4 2 15" xfId="12774"/>
    <cellStyle name="asd 45 3 4 2 16" xfId="3245"/>
    <cellStyle name="asd 45 3 4 2 17" xfId="20426"/>
    <cellStyle name="asd 45 3 4 2 18" xfId="36928"/>
    <cellStyle name="asd 45 3 4 2 19" xfId="38807"/>
    <cellStyle name="asd 45 3 4 2 2" xfId="7498"/>
    <cellStyle name="asd 45 3 4 2 20" xfId="32300"/>
    <cellStyle name="asd 45 3 4 2 21" xfId="3270"/>
    <cellStyle name="asd 45 3 4 2 22" xfId="34142"/>
    <cellStyle name="asd 45 3 4 2 3" xfId="8952"/>
    <cellStyle name="asd 45 3 4 2 4" xfId="10862"/>
    <cellStyle name="asd 45 3 4 2 5" xfId="1818"/>
    <cellStyle name="asd 45 3 4 2 6" xfId="2671"/>
    <cellStyle name="asd 45 3 4 2 7" xfId="2653"/>
    <cellStyle name="asd 45 3 4 2 8" xfId="18481"/>
    <cellStyle name="asd 45 3 4 2 9" xfId="20387"/>
    <cellStyle name="asd 45 3 4 20" xfId="38199"/>
    <cellStyle name="asd 45 3 4 21" xfId="30044"/>
    <cellStyle name="asd 45 3 4 22" xfId="33039"/>
    <cellStyle name="asd 45 3 4 23" xfId="43481"/>
    <cellStyle name="asd 45 3 4 3" xfId="6890"/>
    <cellStyle name="asd 45 3 4 4" xfId="8344"/>
    <cellStyle name="asd 45 3 4 5" xfId="10254"/>
    <cellStyle name="asd 45 3 4 6" xfId="11524"/>
    <cellStyle name="asd 45 3 4 7" xfId="14196"/>
    <cellStyle name="asd 45 3 4 8" xfId="16100"/>
    <cellStyle name="asd 45 3 4 9" xfId="17873"/>
    <cellStyle name="asd 45 3 5" xfId="4985"/>
    <cellStyle name="asd 45 3 5 10" xfId="21233"/>
    <cellStyle name="asd 45 3 5 11" xfId="22536"/>
    <cellStyle name="asd 45 3 5 12" xfId="25035"/>
    <cellStyle name="asd 45 3 5 13" xfId="26470"/>
    <cellStyle name="asd 45 3 5 14" xfId="28044"/>
    <cellStyle name="asd 45 3 5 15" xfId="30075"/>
    <cellStyle name="asd 45 3 5 16" xfId="33143"/>
    <cellStyle name="asd 45 3 5 17" xfId="34546"/>
    <cellStyle name="asd 45 3 5 18" xfId="35862"/>
    <cellStyle name="asd 45 3 5 19" xfId="37741"/>
    <cellStyle name="asd 45 3 5 2" xfId="6435"/>
    <cellStyle name="asd 45 3 5 20" xfId="40336"/>
    <cellStyle name="asd 45 3 5 21" xfId="41992"/>
    <cellStyle name="asd 45 3 5 22" xfId="42345"/>
    <cellStyle name="asd 45 3 5 3" xfId="7886"/>
    <cellStyle name="asd 45 3 5 4" xfId="9796"/>
    <cellStyle name="asd 45 3 5 5" xfId="2084"/>
    <cellStyle name="asd 45 3 5 6" xfId="13004"/>
    <cellStyle name="asd 45 3 5 7" xfId="14908"/>
    <cellStyle name="asd 45 3 5 8" xfId="17415"/>
    <cellStyle name="asd 45 3 5 9" xfId="19321"/>
    <cellStyle name="asd 45 3 6" xfId="5507"/>
    <cellStyle name="asd 45 3 6 10" xfId="21757"/>
    <cellStyle name="asd 45 3 6 11" xfId="23969"/>
    <cellStyle name="asd 45 3 6 12" xfId="25559"/>
    <cellStyle name="asd 45 3 6 13" xfId="26200"/>
    <cellStyle name="asd 45 3 6 14" xfId="28111"/>
    <cellStyle name="asd 45 3 6 15" xfId="29813"/>
    <cellStyle name="asd 45 3 6 16" xfId="33040"/>
    <cellStyle name="asd 45 3 6 17" xfId="34539"/>
    <cellStyle name="asd 45 3 6 18" xfId="36386"/>
    <cellStyle name="asd 45 3 6 19" xfId="38265"/>
    <cellStyle name="asd 45 3 6 2" xfId="6956"/>
    <cellStyle name="asd 45 3 6 20" xfId="40238"/>
    <cellStyle name="asd 45 3 6 21" xfId="41897"/>
    <cellStyle name="asd 45 3 6 22" xfId="43715"/>
    <cellStyle name="asd 45 3 6 3" xfId="8410"/>
    <cellStyle name="asd 45 3 6 4" xfId="10320"/>
    <cellStyle name="asd 45 3 6 5" xfId="11929"/>
    <cellStyle name="asd 45 3 6 6" xfId="14439"/>
    <cellStyle name="asd 45 3 6 7" xfId="16345"/>
    <cellStyle name="asd 45 3 6 8" xfId="17939"/>
    <cellStyle name="asd 45 3 6 9" xfId="19845"/>
    <cellStyle name="asd 45 3 7" xfId="3247"/>
    <cellStyle name="asd 45 3 8" xfId="9375"/>
    <cellStyle name="asd 45 3 9" xfId="12731"/>
    <cellStyle name="asd 45 4" xfId="3359"/>
    <cellStyle name="asd 45 4 10" xfId="16099"/>
    <cellStyle name="asd 45 4 11" xfId="16652"/>
    <cellStyle name="asd 45 4 12" xfId="18559"/>
    <cellStyle name="asd 45 4 13" xfId="20471"/>
    <cellStyle name="asd 45 4 14" xfId="23725"/>
    <cellStyle name="asd 45 4 15" xfId="24273"/>
    <cellStyle name="asd 45 4 16" xfId="27024"/>
    <cellStyle name="asd 45 4 17" xfId="28297"/>
    <cellStyle name="asd 45 4 18" xfId="30617"/>
    <cellStyle name="asd 45 4 19" xfId="32584"/>
    <cellStyle name="asd 45 4 2" xfId="3539"/>
    <cellStyle name="asd 45 4 2 10" xfId="17430"/>
    <cellStyle name="asd 45 4 2 11" xfId="19336"/>
    <cellStyle name="asd 45 4 2 12" xfId="21248"/>
    <cellStyle name="asd 45 4 2 13" xfId="22406"/>
    <cellStyle name="asd 45 4 2 14" xfId="25050"/>
    <cellStyle name="asd 45 4 2 15" xfId="26473"/>
    <cellStyle name="asd 45 4 2 16" xfId="29402"/>
    <cellStyle name="asd 45 4 2 17" xfId="30078"/>
    <cellStyle name="asd 45 4 2 18" xfId="32355"/>
    <cellStyle name="asd 45 4 2 19" xfId="34661"/>
    <cellStyle name="asd 45 4 2 2" xfId="4622"/>
    <cellStyle name="asd 45 4 2 2 10" xfId="20867"/>
    <cellStyle name="asd 45 4 2 2 11" xfId="23938"/>
    <cellStyle name="asd 45 4 2 2 12" xfId="24669"/>
    <cellStyle name="asd 45 4 2 2 13" xfId="26921"/>
    <cellStyle name="asd 45 4 2 2 14" xfId="28545"/>
    <cellStyle name="asd 45 4 2 2 15" xfId="30516"/>
    <cellStyle name="asd 45 4 2 2 16" xfId="32277"/>
    <cellStyle name="asd 45 4 2 2 17" xfId="34315"/>
    <cellStyle name="asd 45 4 2 2 18" xfId="35497"/>
    <cellStyle name="asd 45 4 2 2 19" xfId="37375"/>
    <cellStyle name="asd 45 4 2 2 2" xfId="6070"/>
    <cellStyle name="asd 45 4 2 2 20" xfId="39496"/>
    <cellStyle name="asd 45 4 2 2 21" xfId="41171"/>
    <cellStyle name="asd 45 4 2 2 22" xfId="43684"/>
    <cellStyle name="asd 45 4 2 2 3" xfId="7519"/>
    <cellStyle name="asd 45 4 2 2 4" xfId="9429"/>
    <cellStyle name="asd 45 4 2 2 5" xfId="11898"/>
    <cellStyle name="asd 45 4 2 2 6" xfId="14408"/>
    <cellStyle name="asd 45 4 2 2 7" xfId="16314"/>
    <cellStyle name="asd 45 4 2 2 8" xfId="17048"/>
    <cellStyle name="asd 45 4 2 2 9" xfId="18955"/>
    <cellStyle name="asd 45 4 2 20" xfId="35877"/>
    <cellStyle name="asd 45 4 2 21" xfId="37756"/>
    <cellStyle name="asd 45 4 2 22" xfId="39574"/>
    <cellStyle name="asd 45 4 2 23" xfId="41248"/>
    <cellStyle name="asd 45 4 2 24" xfId="42217"/>
    <cellStyle name="asd 45 4 2 3" xfId="5000"/>
    <cellStyle name="asd 45 4 2 4" xfId="6450"/>
    <cellStyle name="asd 45 4 2 5" xfId="7901"/>
    <cellStyle name="asd 45 4 2 6" xfId="9811"/>
    <cellStyle name="asd 45 4 2 7" xfId="12252"/>
    <cellStyle name="asd 45 4 2 8" xfId="12873"/>
    <cellStyle name="asd 45 4 2 9" xfId="14778"/>
    <cellStyle name="asd 45 4 20" xfId="34540"/>
    <cellStyle name="asd 45 4 21" xfId="35101"/>
    <cellStyle name="asd 45 4 22" xfId="36979"/>
    <cellStyle name="asd 45 4 23" xfId="39795"/>
    <cellStyle name="asd 45 4 24" xfId="41464"/>
    <cellStyle name="asd 45 4 25" xfId="43480"/>
    <cellStyle name="asd 45 4 3" xfId="3148"/>
    <cellStyle name="asd 45 4 3 10" xfId="19164"/>
    <cellStyle name="asd 45 4 3 11" xfId="21076"/>
    <cellStyle name="asd 45 4 3 12" xfId="23606"/>
    <cellStyle name="asd 45 4 3 13" xfId="24878"/>
    <cellStyle name="asd 45 4 3 14" xfId="27458"/>
    <cellStyle name="asd 45 4 3 15" xfId="29593"/>
    <cellStyle name="asd 45 4 3 16" xfId="31045"/>
    <cellStyle name="asd 45 4 3 17" xfId="32365"/>
    <cellStyle name="asd 45 4 3 18" xfId="34190"/>
    <cellStyle name="asd 45 4 3 19" xfId="35705"/>
    <cellStyle name="asd 45 4 3 2" xfId="5651"/>
    <cellStyle name="asd 45 4 3 2 10" xfId="21901"/>
    <cellStyle name="asd 45 4 3 2 11" xfId="23713"/>
    <cellStyle name="asd 45 4 3 2 12" xfId="25703"/>
    <cellStyle name="asd 45 4 3 2 13" xfId="27733"/>
    <cellStyle name="asd 45 4 3 2 14" xfId="28234"/>
    <cellStyle name="asd 45 4 3 2 15" xfId="31311"/>
    <cellStyle name="asd 45 4 3 2 16" xfId="32407"/>
    <cellStyle name="asd 45 4 3 2 17" xfId="35040"/>
    <cellStyle name="asd 45 4 3 2 18" xfId="36530"/>
    <cellStyle name="asd 45 4 3 2 19" xfId="38409"/>
    <cellStyle name="asd 45 4 3 2 2" xfId="7100"/>
    <cellStyle name="asd 45 4 3 2 20" xfId="39624"/>
    <cellStyle name="asd 45 4 3 2 21" xfId="41298"/>
    <cellStyle name="asd 45 4 3 2 22" xfId="43470"/>
    <cellStyle name="asd 45 4 3 2 3" xfId="8554"/>
    <cellStyle name="asd 45 4 3 2 4" xfId="10464"/>
    <cellStyle name="asd 45 4 3 2 5" xfId="12656"/>
    <cellStyle name="asd 45 4 3 2 6" xfId="14183"/>
    <cellStyle name="asd 45 4 3 2 7" xfId="16087"/>
    <cellStyle name="asd 45 4 3 2 8" xfId="18083"/>
    <cellStyle name="asd 45 4 3 2 9" xfId="19989"/>
    <cellStyle name="asd 45 4 3 20" xfId="37584"/>
    <cellStyle name="asd 45 4 3 21" xfId="39584"/>
    <cellStyle name="asd 45 4 3 22" xfId="41258"/>
    <cellStyle name="asd 45 4 3 23" xfId="43364"/>
    <cellStyle name="asd 45 4 3 3" xfId="4828"/>
    <cellStyle name="asd 45 4 3 4" xfId="7729"/>
    <cellStyle name="asd 45 4 3 5" xfId="9639"/>
    <cellStyle name="asd 45 4 3 6" xfId="12671"/>
    <cellStyle name="asd 45 4 3 7" xfId="14076"/>
    <cellStyle name="asd 45 4 3 8" xfId="15979"/>
    <cellStyle name="asd 45 4 3 9" xfId="17258"/>
    <cellStyle name="asd 45 4 4" xfId="3991"/>
    <cellStyle name="asd 45 4 4 10" xfId="19626"/>
    <cellStyle name="asd 45 4 4 11" xfId="21538"/>
    <cellStyle name="asd 45 4 4 12" xfId="23804"/>
    <cellStyle name="asd 45 4 4 13" xfId="25340"/>
    <cellStyle name="asd 45 4 4 14" xfId="27148"/>
    <cellStyle name="asd 45 4 4 15" xfId="28233"/>
    <cellStyle name="asd 45 4 4 16" xfId="30739"/>
    <cellStyle name="asd 45 4 4 17" xfId="32899"/>
    <cellStyle name="asd 45 4 4 18" xfId="34946"/>
    <cellStyle name="asd 45 4 4 19" xfId="36167"/>
    <cellStyle name="asd 45 4 4 2" xfId="5896"/>
    <cellStyle name="asd 45 4 4 2 10" xfId="22146"/>
    <cellStyle name="asd 45 4 4 2 11" xfId="22705"/>
    <cellStyle name="asd 45 4 4 2 12" xfId="25948"/>
    <cellStyle name="asd 45 4 4 2 13" xfId="27901"/>
    <cellStyle name="asd 45 4 4 2 14" xfId="29365"/>
    <cellStyle name="asd 45 4 4 2 15" xfId="31483"/>
    <cellStyle name="asd 45 4 4 2 16" xfId="33261"/>
    <cellStyle name="asd 45 4 4 2 17" xfId="34703"/>
    <cellStyle name="asd 45 4 4 2 18" xfId="36775"/>
    <cellStyle name="asd 45 4 4 2 19" xfId="38654"/>
    <cellStyle name="asd 45 4 4 2 2" xfId="7345"/>
    <cellStyle name="asd 45 4 4 2 20" xfId="40447"/>
    <cellStyle name="asd 45 4 4 2 21" xfId="42102"/>
    <cellStyle name="asd 45 4 4 2 22" xfId="42505"/>
    <cellStyle name="asd 45 4 4 2 3" xfId="8799"/>
    <cellStyle name="asd 45 4 4 2 4" xfId="10709"/>
    <cellStyle name="asd 45 4 4 2 5" xfId="11827"/>
    <cellStyle name="asd 45 4 4 2 6" xfId="13173"/>
    <cellStyle name="asd 45 4 4 2 7" xfId="15077"/>
    <cellStyle name="asd 45 4 4 2 8" xfId="18328"/>
    <cellStyle name="asd 45 4 4 2 9" xfId="20234"/>
    <cellStyle name="asd 45 4 4 20" xfId="38046"/>
    <cellStyle name="asd 45 4 4 21" xfId="40102"/>
    <cellStyle name="asd 45 4 4 22" xfId="41763"/>
    <cellStyle name="asd 45 4 4 23" xfId="43556"/>
    <cellStyle name="asd 45 4 4 3" xfId="6737"/>
    <cellStyle name="asd 45 4 4 4" xfId="8191"/>
    <cellStyle name="asd 45 4 4 5" xfId="10101"/>
    <cellStyle name="asd 45 4 4 6" xfId="12639"/>
    <cellStyle name="asd 45 4 4 7" xfId="14274"/>
    <cellStyle name="asd 45 4 4 8" xfId="16178"/>
    <cellStyle name="asd 45 4 4 9" xfId="17720"/>
    <cellStyle name="asd 45 4 5" xfId="4586"/>
    <cellStyle name="asd 45 4 5 10" xfId="20831"/>
    <cellStyle name="asd 45 4 5 11" xfId="23091"/>
    <cellStyle name="asd 45 4 5 12" xfId="24633"/>
    <cellStyle name="asd 45 4 5 13" xfId="27070"/>
    <cellStyle name="asd 45 4 5 14" xfId="28395"/>
    <cellStyle name="asd 45 4 5 15" xfId="30661"/>
    <cellStyle name="asd 45 4 5 16" xfId="32924"/>
    <cellStyle name="asd 45 4 5 17" xfId="33830"/>
    <cellStyle name="asd 45 4 5 18" xfId="35461"/>
    <cellStyle name="asd 45 4 5 19" xfId="37339"/>
    <cellStyle name="asd 45 4 5 2" xfId="5352"/>
    <cellStyle name="asd 45 4 5 20" xfId="40128"/>
    <cellStyle name="asd 45 4 5 21" xfId="41787"/>
    <cellStyle name="asd 45 4 5 22" xfId="42873"/>
    <cellStyle name="asd 45 4 5 3" xfId="6723"/>
    <cellStyle name="asd 45 4 5 4" xfId="9393"/>
    <cellStyle name="asd 45 4 5 5" xfId="12702"/>
    <cellStyle name="asd 45 4 5 6" xfId="13562"/>
    <cellStyle name="asd 45 4 5 7" xfId="15465"/>
    <cellStyle name="asd 45 4 5 8" xfId="17012"/>
    <cellStyle name="asd 45 4 5 9" xfId="18919"/>
    <cellStyle name="asd 45 4 6" xfId="6110"/>
    <cellStyle name="asd 45 4 7" xfId="9033"/>
    <cellStyle name="asd 45 4 8" xfId="11409"/>
    <cellStyle name="asd 45 4 9" xfId="14195"/>
    <cellStyle name="asd 45 5" xfId="2046"/>
    <cellStyle name="asd 45 5 10" xfId="17098"/>
    <cellStyle name="asd 45 5 11" xfId="19004"/>
    <cellStyle name="asd 45 5 12" xfId="20916"/>
    <cellStyle name="asd 45 5 13" xfId="23729"/>
    <cellStyle name="asd 45 5 14" xfId="24718"/>
    <cellStyle name="asd 45 5 15" xfId="26799"/>
    <cellStyle name="asd 45 5 16" xfId="2757"/>
    <cellStyle name="asd 45 5 17" xfId="30397"/>
    <cellStyle name="asd 45 5 18" xfId="29424"/>
    <cellStyle name="asd 45 5 19" xfId="33334"/>
    <cellStyle name="asd 45 5 2" xfId="4283"/>
    <cellStyle name="asd 45 5 2 10" xfId="20529"/>
    <cellStyle name="asd 45 5 2 11" xfId="22986"/>
    <cellStyle name="asd 45 5 2 12" xfId="24331"/>
    <cellStyle name="asd 45 5 2 13" xfId="26320"/>
    <cellStyle name="asd 45 5 2 14" xfId="29615"/>
    <cellStyle name="asd 45 5 2 15" xfId="29928"/>
    <cellStyle name="asd 45 5 2 16" xfId="33178"/>
    <cellStyle name="asd 45 5 2 17" xfId="33752"/>
    <cellStyle name="asd 45 5 2 18" xfId="35159"/>
    <cellStyle name="asd 45 5 2 19" xfId="37037"/>
    <cellStyle name="asd 45 5 2 2" xfId="5441"/>
    <cellStyle name="asd 45 5 2 20" xfId="40369"/>
    <cellStyle name="asd 45 5 2 21" xfId="42025"/>
    <cellStyle name="asd 45 5 2 22" xfId="42772"/>
    <cellStyle name="asd 45 5 2 3" xfId="6187"/>
    <cellStyle name="asd 45 5 2 4" xfId="9091"/>
    <cellStyle name="asd 45 5 2 5" xfId="12462"/>
    <cellStyle name="asd 45 5 2 6" xfId="13455"/>
    <cellStyle name="asd 45 5 2 7" xfId="15360"/>
    <cellStyle name="asd 45 5 2 8" xfId="16710"/>
    <cellStyle name="asd 45 5 2 9" xfId="18617"/>
    <cellStyle name="asd 45 5 20" xfId="35545"/>
    <cellStyle name="asd 45 5 21" xfId="37424"/>
    <cellStyle name="asd 45 5 22" xfId="34977"/>
    <cellStyle name="asd 45 5 23" xfId="32566"/>
    <cellStyle name="asd 45 5 24" xfId="43484"/>
    <cellStyle name="asd 45 5 3" xfId="4671"/>
    <cellStyle name="asd 45 5 4" xfId="6118"/>
    <cellStyle name="asd 45 5 5" xfId="7569"/>
    <cellStyle name="asd 45 5 6" xfId="9479"/>
    <cellStyle name="asd 45 5 7" xfId="11470"/>
    <cellStyle name="asd 45 5 8" xfId="14199"/>
    <cellStyle name="asd 45 5 9" xfId="16103"/>
    <cellStyle name="asd 45 6" xfId="2548"/>
    <cellStyle name="asd 45 6 10" xfId="19081"/>
    <cellStyle name="asd 45 6 11" xfId="20993"/>
    <cellStyle name="asd 45 6 12" xfId="22438"/>
    <cellStyle name="asd 45 6 13" xfId="24795"/>
    <cellStyle name="asd 45 6 14" xfId="27089"/>
    <cellStyle name="asd 45 6 15" xfId="28076"/>
    <cellStyle name="asd 45 6 16" xfId="30680"/>
    <cellStyle name="asd 45 6 17" xfId="32097"/>
    <cellStyle name="asd 45 6 18" xfId="33577"/>
    <cellStyle name="asd 45 6 19" xfId="35622"/>
    <cellStyle name="asd 45 6 2" xfId="4559"/>
    <cellStyle name="asd 45 6 2 10" xfId="20804"/>
    <cellStyle name="asd 45 6 2 11" xfId="23234"/>
    <cellStyle name="asd 45 6 2 12" xfId="24606"/>
    <cellStyle name="asd 45 6 2 13" xfId="26835"/>
    <cellStyle name="asd 45 6 2 14" xfId="29344"/>
    <cellStyle name="asd 45 6 2 15" xfId="30433"/>
    <cellStyle name="asd 45 6 2 16" xfId="32135"/>
    <cellStyle name="asd 45 6 2 17" xfId="34505"/>
    <cellStyle name="asd 45 6 2 18" xfId="35434"/>
    <cellStyle name="asd 45 6 2 19" xfId="37312"/>
    <cellStyle name="asd 45 6 2 2" xfId="4487"/>
    <cellStyle name="asd 45 6 2 20" xfId="39358"/>
    <cellStyle name="asd 45 6 2 21" xfId="41034"/>
    <cellStyle name="asd 45 6 2 22" xfId="43011"/>
    <cellStyle name="asd 45 6 2 3" xfId="4276"/>
    <cellStyle name="asd 45 6 2 4" xfId="9366"/>
    <cellStyle name="asd 45 6 2 5" xfId="11119"/>
    <cellStyle name="asd 45 6 2 6" xfId="13706"/>
    <cellStyle name="asd 45 6 2 7" xfId="15608"/>
    <cellStyle name="asd 45 6 2 8" xfId="16985"/>
    <cellStyle name="asd 45 6 2 9" xfId="18892"/>
    <cellStyle name="asd 45 6 20" xfId="37501"/>
    <cellStyle name="asd 45 6 21" xfId="39321"/>
    <cellStyle name="asd 45 6 22" xfId="40997"/>
    <cellStyle name="asd 45 6 23" xfId="42249"/>
    <cellStyle name="asd 45 6 3" xfId="4746"/>
    <cellStyle name="asd 45 6 4" xfId="7646"/>
    <cellStyle name="asd 45 6 5" xfId="9556"/>
    <cellStyle name="asd 45 6 6" xfId="12342"/>
    <cellStyle name="asd 45 6 7" xfId="12906"/>
    <cellStyle name="asd 45 6 8" xfId="14811"/>
    <cellStyle name="asd 45 6 9" xfId="17175"/>
    <cellStyle name="asd 45 7" xfId="2608"/>
    <cellStyle name="asd 45 7 10" xfId="19088"/>
    <cellStyle name="asd 45 7 11" xfId="21000"/>
    <cellStyle name="asd 45 7 12" xfId="23904"/>
    <cellStyle name="asd 45 7 13" xfId="24802"/>
    <cellStyle name="asd 45 7 14" xfId="27016"/>
    <cellStyle name="asd 45 7 15" xfId="28447"/>
    <cellStyle name="asd 45 7 16" xfId="30609"/>
    <cellStyle name="asd 45 7 17" xfId="32957"/>
    <cellStyle name="asd 45 7 18" xfId="34737"/>
    <cellStyle name="asd 45 7 19" xfId="35629"/>
    <cellStyle name="asd 45 7 2" xfId="4366"/>
    <cellStyle name="asd 45 7 2 10" xfId="20560"/>
    <cellStyle name="asd 45 7 2 11" xfId="23547"/>
    <cellStyle name="asd 45 7 2 12" xfId="24362"/>
    <cellStyle name="asd 45 7 2 13" xfId="27971"/>
    <cellStyle name="asd 45 7 2 14" xfId="10914"/>
    <cellStyle name="asd 45 7 2 15" xfId="31551"/>
    <cellStyle name="asd 45 7 2 16" xfId="14684"/>
    <cellStyle name="asd 45 7 2 17" xfId="16604"/>
    <cellStyle name="asd 45 7 2 18" xfId="35190"/>
    <cellStyle name="asd 45 7 2 19" xfId="37068"/>
    <cellStyle name="asd 45 7 2 2" xfId="4539"/>
    <cellStyle name="asd 45 7 2 20" xfId="33355"/>
    <cellStyle name="asd 45 7 2 21" xfId="14713"/>
    <cellStyle name="asd 45 7 2 22" xfId="43311"/>
    <cellStyle name="asd 45 7 2 3" xfId="4231"/>
    <cellStyle name="asd 45 7 2 4" xfId="9122"/>
    <cellStyle name="asd 45 7 2 5" xfId="12540"/>
    <cellStyle name="asd 45 7 2 6" xfId="14019"/>
    <cellStyle name="asd 45 7 2 7" xfId="15920"/>
    <cellStyle name="asd 45 7 2 8" xfId="16741"/>
    <cellStyle name="asd 45 7 2 9" xfId="18648"/>
    <cellStyle name="asd 45 7 20" xfId="37508"/>
    <cellStyle name="asd 45 7 21" xfId="40159"/>
    <cellStyle name="asd 45 7 22" xfId="41818"/>
    <cellStyle name="asd 45 7 23" xfId="43650"/>
    <cellStyle name="asd 45 7 3" xfId="6202"/>
    <cellStyle name="asd 45 7 4" xfId="7653"/>
    <cellStyle name="asd 45 7 5" xfId="9563"/>
    <cellStyle name="asd 45 7 6" xfId="11863"/>
    <cellStyle name="asd 45 7 7" xfId="14372"/>
    <cellStyle name="asd 45 7 8" xfId="16278"/>
    <cellStyle name="asd 45 7 9" xfId="17182"/>
    <cellStyle name="asd 45 8" xfId="3977"/>
    <cellStyle name="asd 45 9" xfId="3954"/>
    <cellStyle name="asd 46" xfId="1027"/>
    <cellStyle name="asd 46 10" xfId="1932"/>
    <cellStyle name="asd 46 11" xfId="12821"/>
    <cellStyle name="asd 46 12" xfId="14726"/>
    <cellStyle name="asd 46 13" xfId="4553"/>
    <cellStyle name="asd 46 14" xfId="3098"/>
    <cellStyle name="asd 46 15" xfId="2600"/>
    <cellStyle name="asd 46 16" xfId="22356"/>
    <cellStyle name="asd 46 17" xfId="3906"/>
    <cellStyle name="asd 46 18" xfId="3953"/>
    <cellStyle name="asd 46 19" xfId="18510"/>
    <cellStyle name="asd 46 2" xfId="3509"/>
    <cellStyle name="asd 46 2 10" xfId="12866"/>
    <cellStyle name="asd 46 2 11" xfId="14771"/>
    <cellStyle name="asd 46 2 12" xfId="16984"/>
    <cellStyle name="asd 46 2 13" xfId="18891"/>
    <cellStyle name="asd 46 2 14" xfId="20803"/>
    <cellStyle name="asd 46 2 15" xfId="22399"/>
    <cellStyle name="asd 46 2 16" xfId="24605"/>
    <cellStyle name="asd 46 2 17" xfId="27482"/>
    <cellStyle name="asd 46 2 18" xfId="29394"/>
    <cellStyle name="asd 46 2 19" xfId="31069"/>
    <cellStyle name="asd 46 2 2" xfId="3689"/>
    <cellStyle name="asd 46 2 2 10" xfId="17580"/>
    <cellStyle name="asd 46 2 2 11" xfId="19486"/>
    <cellStyle name="asd 46 2 2 12" xfId="21398"/>
    <cellStyle name="asd 46 2 2 13" xfId="22640"/>
    <cellStyle name="asd 46 2 2 14" xfId="25200"/>
    <cellStyle name="asd 46 2 2 15" xfId="27870"/>
    <cellStyle name="asd 46 2 2 16" xfId="29549"/>
    <cellStyle name="asd 46 2 2 17" xfId="31451"/>
    <cellStyle name="asd 46 2 2 18" xfId="32727"/>
    <cellStyle name="asd 46 2 2 19" xfId="35038"/>
    <cellStyle name="asd 46 2 2 2" xfId="5756"/>
    <cellStyle name="asd 46 2 2 2 10" xfId="22006"/>
    <cellStyle name="asd 46 2 2 2 11" xfId="23221"/>
    <cellStyle name="asd 46 2 2 2 12" xfId="25808"/>
    <cellStyle name="asd 46 2 2 2 13" xfId="27588"/>
    <cellStyle name="asd 46 2 2 2 14" xfId="28471"/>
    <cellStyle name="asd 46 2 2 2 15" xfId="31167"/>
    <cellStyle name="asd 46 2 2 2 16" xfId="32994"/>
    <cellStyle name="asd 46 2 2 2 17" xfId="34503"/>
    <cellStyle name="asd 46 2 2 2 18" xfId="36635"/>
    <cellStyle name="asd 46 2 2 2 19" xfId="38514"/>
    <cellStyle name="asd 46 2 2 2 2" xfId="7205"/>
    <cellStyle name="asd 46 2 2 2 20" xfId="40195"/>
    <cellStyle name="asd 46 2 2 2 21" xfId="41854"/>
    <cellStyle name="asd 46 2 2 2 22" xfId="42998"/>
    <cellStyle name="asd 46 2 2 2 3" xfId="8659"/>
    <cellStyle name="asd 46 2 2 2 4" xfId="10569"/>
    <cellStyle name="asd 46 2 2 2 5" xfId="11098"/>
    <cellStyle name="asd 46 2 2 2 6" xfId="13693"/>
    <cellStyle name="asd 46 2 2 2 7" xfId="15595"/>
    <cellStyle name="asd 46 2 2 2 8" xfId="18188"/>
    <cellStyle name="asd 46 2 2 2 9" xfId="20094"/>
    <cellStyle name="asd 46 2 2 20" xfId="36027"/>
    <cellStyle name="asd 46 2 2 21" xfId="37906"/>
    <cellStyle name="asd 46 2 2 22" xfId="39937"/>
    <cellStyle name="asd 46 2 2 23" xfId="41603"/>
    <cellStyle name="asd 46 2 2 24" xfId="42446"/>
    <cellStyle name="asd 46 2 2 3" xfId="5150"/>
    <cellStyle name="asd 46 2 2 4" xfId="6600"/>
    <cellStyle name="asd 46 2 2 5" xfId="8051"/>
    <cellStyle name="asd 46 2 2 6" xfId="9961"/>
    <cellStyle name="asd 46 2 2 7" xfId="2091"/>
    <cellStyle name="asd 46 2 2 8" xfId="13107"/>
    <cellStyle name="asd 46 2 2 9" xfId="15012"/>
    <cellStyle name="asd 46 2 20" xfId="32872"/>
    <cellStyle name="asd 46 2 21" xfId="34286"/>
    <cellStyle name="asd 46 2 22" xfId="35433"/>
    <cellStyle name="asd 46 2 23" xfId="37311"/>
    <cellStyle name="asd 46 2 24" xfId="40078"/>
    <cellStyle name="asd 46 2 25" xfId="41742"/>
    <cellStyle name="asd 46 2 26" xfId="42210"/>
    <cellStyle name="asd 46 2 3" xfId="2246"/>
    <cellStyle name="asd 46 2 3 10" xfId="19038"/>
    <cellStyle name="asd 46 2 3 11" xfId="20950"/>
    <cellStyle name="asd 46 2 3 12" xfId="23159"/>
    <cellStyle name="asd 46 2 3 13" xfId="24752"/>
    <cellStyle name="asd 46 2 3 14" xfId="27662"/>
    <cellStyle name="asd 46 2 3 15" xfId="29087"/>
    <cellStyle name="asd 46 2 3 16" xfId="31238"/>
    <cellStyle name="asd 46 2 3 17" xfId="32600"/>
    <cellStyle name="asd 46 2 3 18" xfId="34076"/>
    <cellStyle name="asd 46 2 3 19" xfId="35579"/>
    <cellStyle name="asd 46 2 3 2" xfId="5520"/>
    <cellStyle name="asd 46 2 3 2 10" xfId="21770"/>
    <cellStyle name="asd 46 2 3 2 11" xfId="24059"/>
    <cellStyle name="asd 46 2 3 2 12" xfId="25572"/>
    <cellStyle name="asd 46 2 3 2 13" xfId="27460"/>
    <cellStyle name="asd 46 2 3 2 14" xfId="29356"/>
    <cellStyle name="asd 46 2 3 2 15" xfId="31046"/>
    <cellStyle name="asd 46 2 3 2 16" xfId="31825"/>
    <cellStyle name="asd 46 2 3 2 17" xfId="34373"/>
    <cellStyle name="asd 46 2 3 2 18" xfId="36399"/>
    <cellStyle name="asd 46 2 3 2 19" xfId="38278"/>
    <cellStyle name="asd 46 2 3 2 2" xfId="6969"/>
    <cellStyle name="asd 46 2 3 2 20" xfId="39063"/>
    <cellStyle name="asd 46 2 3 2 21" xfId="40745"/>
    <cellStyle name="asd 46 2 3 2 22" xfId="43803"/>
    <cellStyle name="asd 46 2 3 2 3" xfId="8423"/>
    <cellStyle name="asd 46 2 3 2 4" xfId="10333"/>
    <cellStyle name="asd 46 2 3 2 5" xfId="12018"/>
    <cellStyle name="asd 46 2 3 2 6" xfId="14529"/>
    <cellStyle name="asd 46 2 3 2 7" xfId="16435"/>
    <cellStyle name="asd 46 2 3 2 8" xfId="17952"/>
    <cellStyle name="asd 46 2 3 2 9" xfId="19858"/>
    <cellStyle name="asd 46 2 3 20" xfId="37458"/>
    <cellStyle name="asd 46 2 3 21" xfId="39811"/>
    <cellStyle name="asd 46 2 3 22" xfId="41480"/>
    <cellStyle name="asd 46 2 3 23" xfId="42937"/>
    <cellStyle name="asd 46 2 3 3" xfId="4704"/>
    <cellStyle name="asd 46 2 3 4" xfId="7603"/>
    <cellStyle name="asd 46 2 3 5" xfId="9513"/>
    <cellStyle name="asd 46 2 3 6" xfId="10959"/>
    <cellStyle name="asd 46 2 3 7" xfId="13630"/>
    <cellStyle name="asd 46 2 3 8" xfId="15533"/>
    <cellStyle name="asd 46 2 3 9" xfId="17132"/>
    <cellStyle name="asd 46 2 4" xfId="4141"/>
    <cellStyle name="asd 46 2 4 10" xfId="19776"/>
    <cellStyle name="asd 46 2 4 11" xfId="21688"/>
    <cellStyle name="asd 46 2 4 12" xfId="23065"/>
    <cellStyle name="asd 46 2 4 13" xfId="25490"/>
    <cellStyle name="asd 46 2 4 14" xfId="27155"/>
    <cellStyle name="asd 46 2 4 15" xfId="28330"/>
    <cellStyle name="asd 46 2 4 16" xfId="30746"/>
    <cellStyle name="asd 46 2 4 17" xfId="32375"/>
    <cellStyle name="asd 46 2 4 18" xfId="35062"/>
    <cellStyle name="asd 46 2 4 19" xfId="36317"/>
    <cellStyle name="asd 46 2 4 2" xfId="6046"/>
    <cellStyle name="asd 46 2 4 2 10" xfId="22296"/>
    <cellStyle name="asd 46 2 4 2 11" xfId="14690"/>
    <cellStyle name="asd 46 2 4 2 12" xfId="26098"/>
    <cellStyle name="asd 46 2 4 2 13" xfId="2522"/>
    <cellStyle name="asd 46 2 4 2 14" xfId="20430"/>
    <cellStyle name="asd 46 2 4 2 15" xfId="15371"/>
    <cellStyle name="asd 46 2 4 2 16" xfId="3332"/>
    <cellStyle name="asd 46 2 4 2 17" xfId="31698"/>
    <cellStyle name="asd 46 2 4 2 18" xfId="36925"/>
    <cellStyle name="asd 46 2 4 2 19" xfId="38804"/>
    <cellStyle name="asd 46 2 4 2 2" xfId="7495"/>
    <cellStyle name="asd 46 2 4 2 20" xfId="29070"/>
    <cellStyle name="asd 46 2 4 2 21" xfId="3865"/>
    <cellStyle name="asd 46 2 4 2 22" xfId="31536"/>
    <cellStyle name="asd 46 2 4 2 3" xfId="8949"/>
    <cellStyle name="asd 46 2 4 2 4" xfId="10859"/>
    <cellStyle name="asd 46 2 4 2 5" xfId="2860"/>
    <cellStyle name="asd 46 2 4 2 6" xfId="3947"/>
    <cellStyle name="asd 46 2 4 2 7" xfId="3963"/>
    <cellStyle name="asd 46 2 4 2 8" xfId="18478"/>
    <cellStyle name="asd 46 2 4 2 9" xfId="20384"/>
    <cellStyle name="asd 46 2 4 20" xfId="38196"/>
    <cellStyle name="asd 46 2 4 21" xfId="39593"/>
    <cellStyle name="asd 46 2 4 22" xfId="41267"/>
    <cellStyle name="asd 46 2 4 23" xfId="42848"/>
    <cellStyle name="asd 46 2 4 3" xfId="6887"/>
    <cellStyle name="asd 46 2 4 4" xfId="8341"/>
    <cellStyle name="asd 46 2 4 5" xfId="10251"/>
    <cellStyle name="asd 46 2 4 6" xfId="12669"/>
    <cellStyle name="asd 46 2 4 7" xfId="13536"/>
    <cellStyle name="asd 46 2 4 8" xfId="15439"/>
    <cellStyle name="asd 46 2 4 9" xfId="17870"/>
    <cellStyle name="asd 46 2 5" xfId="4982"/>
    <cellStyle name="asd 46 2 5 10" xfId="21230"/>
    <cellStyle name="asd 46 2 5 11" xfId="23355"/>
    <cellStyle name="asd 46 2 5 12" xfId="25032"/>
    <cellStyle name="asd 46 2 5 13" xfId="26400"/>
    <cellStyle name="asd 46 2 5 14" xfId="27989"/>
    <cellStyle name="asd 46 2 5 15" xfId="30008"/>
    <cellStyle name="asd 46 2 5 16" xfId="32354"/>
    <cellStyle name="asd 46 2 5 17" xfId="33887"/>
    <cellStyle name="asd 46 2 5 18" xfId="35859"/>
    <cellStyle name="asd 46 2 5 19" xfId="37738"/>
    <cellStyle name="asd 46 2 5 2" xfId="6432"/>
    <cellStyle name="asd 46 2 5 20" xfId="39573"/>
    <cellStyle name="asd 46 2 5 21" xfId="41247"/>
    <cellStyle name="asd 46 2 5 22" xfId="43125"/>
    <cellStyle name="asd 46 2 5 3" xfId="7883"/>
    <cellStyle name="asd 46 2 5 4" xfId="9793"/>
    <cellStyle name="asd 46 2 5 5" xfId="12269"/>
    <cellStyle name="asd 46 2 5 6" xfId="13827"/>
    <cellStyle name="asd 46 2 5 7" xfId="15729"/>
    <cellStyle name="asd 46 2 5 8" xfId="17412"/>
    <cellStyle name="asd 46 2 5 9" xfId="19318"/>
    <cellStyle name="asd 46 2 6" xfId="5631"/>
    <cellStyle name="asd 46 2 6 10" xfId="21881"/>
    <cellStyle name="asd 46 2 6 11" xfId="23332"/>
    <cellStyle name="asd 46 2 6 12" xfId="25683"/>
    <cellStyle name="asd 46 2 6 13" xfId="3097"/>
    <cellStyle name="asd 46 2 6 14" xfId="4300"/>
    <cellStyle name="asd 46 2 6 15" xfId="29145"/>
    <cellStyle name="asd 46 2 6 16" xfId="29763"/>
    <cellStyle name="asd 46 2 6 17" xfId="28650"/>
    <cellStyle name="asd 46 2 6 18" xfId="36510"/>
    <cellStyle name="asd 46 2 6 19" xfId="38389"/>
    <cellStyle name="asd 46 2 6 2" xfId="7080"/>
    <cellStyle name="asd 46 2 6 20" xfId="31561"/>
    <cellStyle name="asd 46 2 6 21" xfId="33671"/>
    <cellStyle name="asd 46 2 6 22" xfId="43102"/>
    <cellStyle name="asd 46 2 6 3" xfId="8534"/>
    <cellStyle name="asd 46 2 6 4" xfId="10444"/>
    <cellStyle name="asd 46 2 6 5" xfId="11144"/>
    <cellStyle name="asd 46 2 6 6" xfId="13804"/>
    <cellStyle name="asd 46 2 6 7" xfId="15706"/>
    <cellStyle name="asd 46 2 6 8" xfId="18063"/>
    <cellStyle name="asd 46 2 6 9" xfId="19969"/>
    <cellStyle name="asd 46 2 7" xfId="6707"/>
    <cellStyle name="asd 46 2 8" xfId="9365"/>
    <cellStyle name="asd 46 2 9" xfId="11801"/>
    <cellStyle name="asd 46 20" xfId="5404"/>
    <cellStyle name="asd 46 21" xfId="13661"/>
    <cellStyle name="asd 46 22" xfId="26135"/>
    <cellStyle name="asd 46 23" xfId="28543"/>
    <cellStyle name="asd 46 24" xfId="3897"/>
    <cellStyle name="asd 46 25" xfId="28812"/>
    <cellStyle name="asd 46 26" xfId="23293"/>
    <cellStyle name="asd 46 27" xfId="42169"/>
    <cellStyle name="asd 46 3" xfId="3385"/>
    <cellStyle name="asd 46 3 10" xfId="13767"/>
    <cellStyle name="asd 46 3 11" xfId="15669"/>
    <cellStyle name="asd 46 3 12" xfId="16712"/>
    <cellStyle name="asd 46 3 13" xfId="18619"/>
    <cellStyle name="asd 46 3 14" xfId="20531"/>
    <cellStyle name="asd 46 3 15" xfId="23295"/>
    <cellStyle name="asd 46 3 16" xfId="24333"/>
    <cellStyle name="asd 46 3 17" xfId="26679"/>
    <cellStyle name="asd 46 3 18" xfId="28932"/>
    <cellStyle name="asd 46 3 19" xfId="30279"/>
    <cellStyle name="asd 46 3 2" xfId="3565"/>
    <cellStyle name="asd 46 3 2 10" xfId="17456"/>
    <cellStyle name="asd 46 3 2 11" xfId="19362"/>
    <cellStyle name="asd 46 3 2 12" xfId="21274"/>
    <cellStyle name="asd 46 3 2 13" xfId="22584"/>
    <cellStyle name="asd 46 3 2 14" xfId="25076"/>
    <cellStyle name="asd 46 3 2 15" xfId="27702"/>
    <cellStyle name="asd 46 3 2 16" xfId="2095"/>
    <cellStyle name="asd 46 3 2 17" xfId="31276"/>
    <cellStyle name="asd 46 3 2 18" xfId="32598"/>
    <cellStyle name="asd 46 3 2 19" xfId="34817"/>
    <cellStyle name="asd 46 3 2 2" xfId="4454"/>
    <cellStyle name="asd 46 3 2 2 10" xfId="20699"/>
    <cellStyle name="asd 46 3 2 2 11" xfId="23106"/>
    <cellStyle name="asd 46 3 2 2 12" xfId="24501"/>
    <cellStyle name="asd 46 3 2 2 13" xfId="26747"/>
    <cellStyle name="asd 46 3 2 2 14" xfId="22322"/>
    <cellStyle name="asd 46 3 2 2 15" xfId="30346"/>
    <cellStyle name="asd 46 3 2 2 16" xfId="31620"/>
    <cellStyle name="asd 46 3 2 2 17" xfId="32883"/>
    <cellStyle name="asd 46 3 2 2 18" xfId="35329"/>
    <cellStyle name="asd 46 3 2 2 19" xfId="37207"/>
    <cellStyle name="asd 46 3 2 2 2" xfId="5311"/>
    <cellStyle name="asd 46 3 2 2 20" xfId="38867"/>
    <cellStyle name="asd 46 3 2 2 21" xfId="40553"/>
    <cellStyle name="asd 46 3 2 2 22" xfId="42886"/>
    <cellStyle name="asd 46 3 2 2 3" xfId="6728"/>
    <cellStyle name="asd 46 3 2 2 4" xfId="9261"/>
    <cellStyle name="asd 46 3 2 2 5" xfId="12719"/>
    <cellStyle name="asd 46 3 2 2 6" xfId="13577"/>
    <cellStyle name="asd 46 3 2 2 7" xfId="15480"/>
    <cellStyle name="asd 46 3 2 2 8" xfId="16880"/>
    <cellStyle name="asd 46 3 2 2 9" xfId="18787"/>
    <cellStyle name="asd 46 3 2 20" xfId="35903"/>
    <cellStyle name="asd 46 3 2 21" xfId="37782"/>
    <cellStyle name="asd 46 3 2 22" xfId="39809"/>
    <cellStyle name="asd 46 3 2 23" xfId="41478"/>
    <cellStyle name="asd 46 3 2 24" xfId="42393"/>
    <cellStyle name="asd 46 3 2 3" xfId="5026"/>
    <cellStyle name="asd 46 3 2 4" xfId="6476"/>
    <cellStyle name="asd 46 3 2 5" xfId="7927"/>
    <cellStyle name="asd 46 3 2 6" xfId="9837"/>
    <cellStyle name="asd 46 3 2 7" xfId="12767"/>
    <cellStyle name="asd 46 3 2 8" xfId="13052"/>
    <cellStyle name="asd 46 3 2 9" xfId="14956"/>
    <cellStyle name="asd 46 3 20" xfId="31803"/>
    <cellStyle name="asd 46 3 21" xfId="34302"/>
    <cellStyle name="asd 46 3 22" xfId="35161"/>
    <cellStyle name="asd 46 3 23" xfId="37039"/>
    <cellStyle name="asd 46 3 24" xfId="39041"/>
    <cellStyle name="asd 46 3 25" xfId="40723"/>
    <cellStyle name="asd 46 3 26" xfId="43068"/>
    <cellStyle name="asd 46 3 3" xfId="3758"/>
    <cellStyle name="asd 46 3 3 10" xfId="19506"/>
    <cellStyle name="asd 46 3 3 11" xfId="21418"/>
    <cellStyle name="asd 46 3 3 12" xfId="23860"/>
    <cellStyle name="asd 46 3 3 13" xfId="25220"/>
    <cellStyle name="asd 46 3 3 14" xfId="27590"/>
    <cellStyle name="asd 46 3 3 15" xfId="28802"/>
    <cellStyle name="asd 46 3 3 16" xfId="31169"/>
    <cellStyle name="asd 46 3 3 17" xfId="31724"/>
    <cellStyle name="asd 46 3 3 18" xfId="33554"/>
    <cellStyle name="asd 46 3 3 19" xfId="36047"/>
    <cellStyle name="asd 46 3 3 2" xfId="5776"/>
    <cellStyle name="asd 46 3 3 2 10" xfId="22026"/>
    <cellStyle name="asd 46 3 3 2 11" xfId="2743"/>
    <cellStyle name="asd 46 3 3 2 12" xfId="25828"/>
    <cellStyle name="asd 46 3 3 2 13" xfId="2310"/>
    <cellStyle name="asd 46 3 3 2 14" xfId="1995"/>
    <cellStyle name="asd 46 3 3 2 15" xfId="29684"/>
    <cellStyle name="asd 46 3 3 2 16" xfId="13570"/>
    <cellStyle name="asd 46 3 3 2 17" xfId="29737"/>
    <cellStyle name="asd 46 3 3 2 18" xfId="36655"/>
    <cellStyle name="asd 46 3 3 2 19" xfId="38534"/>
    <cellStyle name="asd 46 3 3 2 2" xfId="7225"/>
    <cellStyle name="asd 46 3 3 2 20" xfId="4183"/>
    <cellStyle name="asd 46 3 3 2 21" xfId="26212"/>
    <cellStyle name="asd 46 3 3 2 22" xfId="32632"/>
    <cellStyle name="asd 46 3 3 2 3" xfId="8679"/>
    <cellStyle name="asd 46 3 3 2 4" xfId="10589"/>
    <cellStyle name="asd 46 3 3 2 5" xfId="12194"/>
    <cellStyle name="asd 46 3 3 2 6" xfId="3178"/>
    <cellStyle name="asd 46 3 3 2 7" xfId="3246"/>
    <cellStyle name="asd 46 3 3 2 8" xfId="18208"/>
    <cellStyle name="asd 46 3 3 2 9" xfId="20114"/>
    <cellStyle name="asd 46 3 3 20" xfId="37926"/>
    <cellStyle name="asd 46 3 3 21" xfId="38965"/>
    <cellStyle name="asd 46 3 3 22" xfId="40648"/>
    <cellStyle name="asd 46 3 3 23" xfId="43610"/>
    <cellStyle name="asd 46 3 3 3" xfId="5170"/>
    <cellStyle name="asd 46 3 3 4" xfId="8071"/>
    <cellStyle name="asd 46 3 3 5" xfId="9981"/>
    <cellStyle name="asd 46 3 3 6" xfId="11561"/>
    <cellStyle name="asd 46 3 3 7" xfId="14330"/>
    <cellStyle name="asd 46 3 3 8" xfId="16234"/>
    <cellStyle name="asd 46 3 3 9" xfId="17600"/>
    <cellStyle name="asd 46 3 4" xfId="4017"/>
    <cellStyle name="asd 46 3 4 10" xfId="19652"/>
    <cellStyle name="asd 46 3 4 11" xfId="21564"/>
    <cellStyle name="asd 46 3 4 12" xfId="1830"/>
    <cellStyle name="asd 46 3 4 13" xfId="25366"/>
    <cellStyle name="asd 46 3 4 14" xfId="2827"/>
    <cellStyle name="asd 46 3 4 15" xfId="2228"/>
    <cellStyle name="asd 46 3 4 16" xfId="16588"/>
    <cellStyle name="asd 46 3 4 17" xfId="6668"/>
    <cellStyle name="asd 46 3 4 18" xfId="18511"/>
    <cellStyle name="asd 46 3 4 19" xfId="36193"/>
    <cellStyle name="asd 46 3 4 2" xfId="5922"/>
    <cellStyle name="asd 46 3 4 2 10" xfId="22172"/>
    <cellStyle name="asd 46 3 4 2 11" xfId="22417"/>
    <cellStyle name="asd 46 3 4 2 12" xfId="25974"/>
    <cellStyle name="asd 46 3 4 2 13" xfId="8969"/>
    <cellStyle name="asd 46 3 4 2 14" xfId="16557"/>
    <cellStyle name="asd 46 3 4 2 15" xfId="4169"/>
    <cellStyle name="asd 46 3 4 2 16" xfId="29026"/>
    <cellStyle name="asd 46 3 4 2 17" xfId="23095"/>
    <cellStyle name="asd 46 3 4 2 18" xfId="36801"/>
    <cellStyle name="asd 46 3 4 2 19" xfId="38680"/>
    <cellStyle name="asd 46 3 4 2 2" xfId="7371"/>
    <cellStyle name="asd 46 3 4 2 20" xfId="31674"/>
    <cellStyle name="asd 46 3 4 2 21" xfId="18515"/>
    <cellStyle name="asd 46 3 4 2 22" xfId="42228"/>
    <cellStyle name="asd 46 3 4 2 3" xfId="8825"/>
    <cellStyle name="asd 46 3 4 2 4" xfId="10735"/>
    <cellStyle name="asd 46 3 4 2 5" xfId="12382"/>
    <cellStyle name="asd 46 3 4 2 6" xfId="12884"/>
    <cellStyle name="asd 46 3 4 2 7" xfId="14789"/>
    <cellStyle name="asd 46 3 4 2 8" xfId="18354"/>
    <cellStyle name="asd 46 3 4 2 9" xfId="20260"/>
    <cellStyle name="asd 46 3 4 20" xfId="38072"/>
    <cellStyle name="asd 46 3 4 21" xfId="2157"/>
    <cellStyle name="asd 46 3 4 22" xfId="36939"/>
    <cellStyle name="asd 46 3 4 23" xfId="33675"/>
    <cellStyle name="asd 46 3 4 3" xfId="6763"/>
    <cellStyle name="asd 46 3 4 4" xfId="8217"/>
    <cellStyle name="asd 46 3 4 5" xfId="10127"/>
    <cellStyle name="asd 46 3 4 6" xfId="11017"/>
    <cellStyle name="asd 46 3 4 7" xfId="2526"/>
    <cellStyle name="asd 46 3 4 8" xfId="2169"/>
    <cellStyle name="asd 46 3 4 9" xfId="17746"/>
    <cellStyle name="asd 46 3 5" xfId="4886"/>
    <cellStyle name="asd 46 3 5 10" xfId="21134"/>
    <cellStyle name="asd 46 3 5 11" xfId="22602"/>
    <cellStyle name="asd 46 3 5 12" xfId="24936"/>
    <cellStyle name="asd 46 3 5 13" xfId="26174"/>
    <cellStyle name="asd 46 3 5 14" xfId="29222"/>
    <cellStyle name="asd 46 3 5 15" xfId="29787"/>
    <cellStyle name="asd 46 3 5 16" xfId="32329"/>
    <cellStyle name="asd 46 3 5 17" xfId="34438"/>
    <cellStyle name="asd 46 3 5 18" xfId="35763"/>
    <cellStyle name="asd 46 3 5 19" xfId="37642"/>
    <cellStyle name="asd 46 3 5 2" xfId="6336"/>
    <cellStyle name="asd 46 3 5 20" xfId="39548"/>
    <cellStyle name="asd 46 3 5 21" xfId="41222"/>
    <cellStyle name="asd 46 3 5 22" xfId="42411"/>
    <cellStyle name="asd 46 3 5 3" xfId="7787"/>
    <cellStyle name="asd 46 3 5 4" xfId="9697"/>
    <cellStyle name="asd 46 3 5 5" xfId="4324"/>
    <cellStyle name="asd 46 3 5 6" xfId="13070"/>
    <cellStyle name="asd 46 3 5 7" xfId="14974"/>
    <cellStyle name="asd 46 3 5 8" xfId="17316"/>
    <cellStyle name="asd 46 3 5 9" xfId="19222"/>
    <cellStyle name="asd 46 3 6" xfId="5720"/>
    <cellStyle name="asd 46 3 6 10" xfId="21970"/>
    <cellStyle name="asd 46 3 6 11" xfId="23802"/>
    <cellStyle name="asd 46 3 6 12" xfId="25772"/>
    <cellStyle name="asd 46 3 6 13" xfId="27276"/>
    <cellStyle name="asd 46 3 6 14" xfId="29492"/>
    <cellStyle name="asd 46 3 6 15" xfId="30868"/>
    <cellStyle name="asd 46 3 6 16" xfId="32281"/>
    <cellStyle name="asd 46 3 6 17" xfId="33842"/>
    <cellStyle name="asd 46 3 6 18" xfId="36599"/>
    <cellStyle name="asd 46 3 6 19" xfId="38478"/>
    <cellStyle name="asd 46 3 6 2" xfId="7169"/>
    <cellStyle name="asd 46 3 6 20" xfId="39500"/>
    <cellStyle name="asd 46 3 6 21" xfId="41175"/>
    <cellStyle name="asd 46 3 6 22" xfId="43554"/>
    <cellStyle name="asd 46 3 6 3" xfId="8623"/>
    <cellStyle name="asd 46 3 6 4" xfId="10533"/>
    <cellStyle name="asd 46 3 6 5" xfId="11460"/>
    <cellStyle name="asd 46 3 6 6" xfId="14272"/>
    <cellStyle name="asd 46 3 6 7" xfId="16176"/>
    <cellStyle name="asd 46 3 6 8" xfId="18152"/>
    <cellStyle name="asd 46 3 6 9" xfId="20058"/>
    <cellStyle name="asd 46 3 7" xfId="6247"/>
    <cellStyle name="asd 46 3 8" xfId="9093"/>
    <cellStyle name="asd 46 3 9" xfId="11264"/>
    <cellStyle name="asd 46 4" xfId="3460"/>
    <cellStyle name="asd 46 4 10" xfId="15397"/>
    <cellStyle name="asd 46 4 11" xfId="16871"/>
    <cellStyle name="asd 46 4 12" xfId="18778"/>
    <cellStyle name="asd 46 4 13" xfId="20690"/>
    <cellStyle name="asd 46 4 14" xfId="23023"/>
    <cellStyle name="asd 46 4 15" xfId="24492"/>
    <cellStyle name="asd 46 4 16" xfId="27786"/>
    <cellStyle name="asd 46 4 17" xfId="29023"/>
    <cellStyle name="asd 46 4 18" xfId="31363"/>
    <cellStyle name="asd 46 4 19" xfId="32525"/>
    <cellStyle name="asd 46 4 2" xfId="3640"/>
    <cellStyle name="asd 46 4 2 10" xfId="17531"/>
    <cellStyle name="asd 46 4 2 11" xfId="19437"/>
    <cellStyle name="asd 46 4 2 12" xfId="21349"/>
    <cellStyle name="asd 46 4 2 13" xfId="23055"/>
    <cellStyle name="asd 46 4 2 14" xfId="25151"/>
    <cellStyle name="asd 46 4 2 15" xfId="27706"/>
    <cellStyle name="asd 46 4 2 16" xfId="28778"/>
    <cellStyle name="asd 46 4 2 17" xfId="31281"/>
    <cellStyle name="asd 46 4 2 18" xfId="32796"/>
    <cellStyle name="asd 46 4 2 19" xfId="33846"/>
    <cellStyle name="asd 46 4 2 2" xfId="4426"/>
    <cellStyle name="asd 46 4 2 2 10" xfId="20670"/>
    <cellStyle name="asd 46 4 2 2 11" xfId="23368"/>
    <cellStyle name="asd 46 4 2 2 12" xfId="24472"/>
    <cellStyle name="asd 46 4 2 2 13" xfId="27704"/>
    <cellStyle name="asd 46 4 2 2 14" xfId="29367"/>
    <cellStyle name="asd 46 4 2 2 15" xfId="31278"/>
    <cellStyle name="asd 46 4 2 2 16" xfId="32362"/>
    <cellStyle name="asd 46 4 2 2 17" xfId="34828"/>
    <cellStyle name="asd 46 4 2 2 18" xfId="35300"/>
    <cellStyle name="asd 46 4 2 2 19" xfId="37178"/>
    <cellStyle name="asd 46 4 2 2 2" xfId="4688"/>
    <cellStyle name="asd 46 4 2 2 20" xfId="39581"/>
    <cellStyle name="asd 46 4 2 2 21" xfId="41255"/>
    <cellStyle name="asd 46 4 2 2 22" xfId="43137"/>
    <cellStyle name="asd 46 4 2 2 3" xfId="6150"/>
    <cellStyle name="asd 46 4 2 2 4" xfId="9232"/>
    <cellStyle name="asd 46 4 2 2 5" xfId="12256"/>
    <cellStyle name="asd 46 4 2 2 6" xfId="13840"/>
    <cellStyle name="asd 46 4 2 2 7" xfId="15741"/>
    <cellStyle name="asd 46 4 2 2 8" xfId="16851"/>
    <cellStyle name="asd 46 4 2 2 9" xfId="18758"/>
    <cellStyle name="asd 46 4 2 20" xfId="35978"/>
    <cellStyle name="asd 46 4 2 21" xfId="37857"/>
    <cellStyle name="asd 46 4 2 22" xfId="40005"/>
    <cellStyle name="asd 46 4 2 23" xfId="41669"/>
    <cellStyle name="asd 46 4 2 24" xfId="42838"/>
    <cellStyle name="asd 46 4 2 3" xfId="5101"/>
    <cellStyle name="asd 46 4 2 4" xfId="6551"/>
    <cellStyle name="asd 46 4 2 5" xfId="8002"/>
    <cellStyle name="asd 46 4 2 6" xfId="9912"/>
    <cellStyle name="asd 46 4 2 7" xfId="12658"/>
    <cellStyle name="asd 46 4 2 8" xfId="13526"/>
    <cellStyle name="asd 46 4 2 9" xfId="15429"/>
    <cellStyle name="asd 46 4 20" xfId="34980"/>
    <cellStyle name="asd 46 4 21" xfId="35320"/>
    <cellStyle name="asd 46 4 22" xfId="37198"/>
    <cellStyle name="asd 46 4 23" xfId="39738"/>
    <cellStyle name="asd 46 4 24" xfId="41410"/>
    <cellStyle name="asd 46 4 25" xfId="42806"/>
    <cellStyle name="asd 46 4 3" xfId="3801"/>
    <cellStyle name="asd 46 4 3 10" xfId="19536"/>
    <cellStyle name="asd 46 4 3 11" xfId="21448"/>
    <cellStyle name="asd 46 4 3 12" xfId="23098"/>
    <cellStyle name="asd 46 4 3 13" xfId="25250"/>
    <cellStyle name="asd 46 4 3 14" xfId="27204"/>
    <cellStyle name="asd 46 4 3 15" xfId="28420"/>
    <cellStyle name="asd 46 4 3 16" xfId="30795"/>
    <cellStyle name="asd 46 4 3 17" xfId="32720"/>
    <cellStyle name="asd 46 4 3 18" xfId="34554"/>
    <cellStyle name="asd 46 4 3 19" xfId="36077"/>
    <cellStyle name="asd 46 4 3 2" xfId="5806"/>
    <cellStyle name="asd 46 4 3 2 10" xfId="22056"/>
    <cellStyle name="asd 46 4 3 2 11" xfId="22731"/>
    <cellStyle name="asd 46 4 3 2 12" xfId="25858"/>
    <cellStyle name="asd 46 4 3 2 13" xfId="27142"/>
    <cellStyle name="asd 46 4 3 2 14" xfId="28551"/>
    <cellStyle name="asd 46 4 3 2 15" xfId="30733"/>
    <cellStyle name="asd 46 4 3 2 16" xfId="32714"/>
    <cellStyle name="asd 46 4 3 2 17" xfId="34217"/>
    <cellStyle name="asd 46 4 3 2 18" xfId="36685"/>
    <cellStyle name="asd 46 4 3 2 19" xfId="38564"/>
    <cellStyle name="asd 46 4 3 2 2" xfId="7255"/>
    <cellStyle name="asd 46 4 3 2 20" xfId="39925"/>
    <cellStyle name="asd 46 4 3 2 21" xfId="41591"/>
    <cellStyle name="asd 46 4 3 2 22" xfId="42529"/>
    <cellStyle name="asd 46 4 3 2 3" xfId="8709"/>
    <cellStyle name="asd 46 4 3 2 4" xfId="10619"/>
    <cellStyle name="asd 46 4 3 2 5" xfId="11775"/>
    <cellStyle name="asd 46 4 3 2 6" xfId="13200"/>
    <cellStyle name="asd 46 4 3 2 7" xfId="15103"/>
    <cellStyle name="asd 46 4 3 2 8" xfId="18238"/>
    <cellStyle name="asd 46 4 3 2 9" xfId="20144"/>
    <cellStyle name="asd 46 4 3 20" xfId="37956"/>
    <cellStyle name="asd 46 4 3 21" xfId="39930"/>
    <cellStyle name="asd 46 4 3 22" xfId="41596"/>
    <cellStyle name="asd 46 4 3 23" xfId="42879"/>
    <cellStyle name="asd 46 4 3 3" xfId="5200"/>
    <cellStyle name="asd 46 4 3 4" xfId="8101"/>
    <cellStyle name="asd 46 4 3 5" xfId="10011"/>
    <cellStyle name="asd 46 4 3 6" xfId="12710"/>
    <cellStyle name="asd 46 4 3 7" xfId="13569"/>
    <cellStyle name="asd 46 4 3 8" xfId="15472"/>
    <cellStyle name="asd 46 4 3 9" xfId="17630"/>
    <cellStyle name="asd 46 4 4" xfId="4092"/>
    <cellStyle name="asd 46 4 4 10" xfId="19727"/>
    <cellStyle name="asd 46 4 4 11" xfId="21639"/>
    <cellStyle name="asd 46 4 4 12" xfId="23561"/>
    <cellStyle name="asd 46 4 4 13" xfId="25441"/>
    <cellStyle name="asd 46 4 4 14" xfId="27074"/>
    <cellStyle name="asd 46 4 4 15" xfId="28813"/>
    <cellStyle name="asd 46 4 4 16" xfId="30665"/>
    <cellStyle name="asd 46 4 4 17" xfId="31697"/>
    <cellStyle name="asd 46 4 4 18" xfId="35021"/>
    <cellStyle name="asd 46 4 4 19" xfId="36268"/>
    <cellStyle name="asd 46 4 4 2" xfId="5997"/>
    <cellStyle name="asd 46 4 4 2 10" xfId="22247"/>
    <cellStyle name="asd 46 4 4 2 11" xfId="22457"/>
    <cellStyle name="asd 46 4 4 2 12" xfId="26049"/>
    <cellStyle name="asd 46 4 4 2 13" xfId="27970"/>
    <cellStyle name="asd 46 4 4 2 14" xfId="3062"/>
    <cellStyle name="asd 46 4 4 2 15" xfId="31550"/>
    <cellStyle name="asd 46 4 4 2 16" xfId="3743"/>
    <cellStyle name="asd 46 4 4 2 17" xfId="31279"/>
    <cellStyle name="asd 46 4 4 2 18" xfId="36876"/>
    <cellStyle name="asd 46 4 4 2 19" xfId="38755"/>
    <cellStyle name="asd 46 4 4 2 2" xfId="7446"/>
    <cellStyle name="asd 46 4 4 2 20" xfId="37383"/>
    <cellStyle name="asd 46 4 4 2 21" xfId="35045"/>
    <cellStyle name="asd 46 4 4 2 22" xfId="42268"/>
    <cellStyle name="asd 46 4 4 2 3" xfId="8900"/>
    <cellStyle name="asd 46 4 4 2 4" xfId="10810"/>
    <cellStyle name="asd 46 4 4 2 5" xfId="12185"/>
    <cellStyle name="asd 46 4 4 2 6" xfId="12925"/>
    <cellStyle name="asd 46 4 4 2 7" xfId="14830"/>
    <cellStyle name="asd 46 4 4 2 8" xfId="18429"/>
    <cellStyle name="asd 46 4 4 2 9" xfId="20335"/>
    <cellStyle name="asd 46 4 4 20" xfId="38147"/>
    <cellStyle name="asd 46 4 4 21" xfId="38939"/>
    <cellStyle name="asd 46 4 4 22" xfId="40623"/>
    <cellStyle name="asd 46 4 4 23" xfId="43325"/>
    <cellStyle name="asd 46 4 4 3" xfId="6838"/>
    <cellStyle name="asd 46 4 4 4" xfId="8292"/>
    <cellStyle name="asd 46 4 4 5" xfId="10202"/>
    <cellStyle name="asd 46 4 4 6" xfId="12555"/>
    <cellStyle name="asd 46 4 4 7" xfId="14033"/>
    <cellStyle name="asd 46 4 4 8" xfId="15934"/>
    <cellStyle name="asd 46 4 4 9" xfId="17821"/>
    <cellStyle name="asd 46 4 5" xfId="5619"/>
    <cellStyle name="asd 46 4 5 10" xfId="21869"/>
    <cellStyle name="asd 46 4 5 11" xfId="24094"/>
    <cellStyle name="asd 46 4 5 12" xfId="25671"/>
    <cellStyle name="asd 46 4 5 13" xfId="27528"/>
    <cellStyle name="asd 46 4 5 14" xfId="29449"/>
    <cellStyle name="asd 46 4 5 15" xfId="31110"/>
    <cellStyle name="asd 46 4 5 16" xfId="32647"/>
    <cellStyle name="asd 46 4 5 17" xfId="33480"/>
    <cellStyle name="asd 46 4 5 18" xfId="36498"/>
    <cellStyle name="asd 46 4 5 19" xfId="38377"/>
    <cellStyle name="asd 46 4 5 2" xfId="7068"/>
    <cellStyle name="asd 46 4 5 20" xfId="39854"/>
    <cellStyle name="asd 46 4 5 21" xfId="41523"/>
    <cellStyle name="asd 46 4 5 22" xfId="43837"/>
    <cellStyle name="asd 46 4 5 3" xfId="8522"/>
    <cellStyle name="asd 46 4 5 4" xfId="10432"/>
    <cellStyle name="asd 46 4 5 5" xfId="12053"/>
    <cellStyle name="asd 46 4 5 6" xfId="14564"/>
    <cellStyle name="asd 46 4 5 7" xfId="16470"/>
    <cellStyle name="asd 46 4 5 8" xfId="18051"/>
    <cellStyle name="asd 46 4 5 9" xfId="19957"/>
    <cellStyle name="asd 46 4 6" xfId="4443"/>
    <cellStyle name="asd 46 4 7" xfId="9252"/>
    <cellStyle name="asd 46 4 8" xfId="12611"/>
    <cellStyle name="asd 46 4 9" xfId="13493"/>
    <cellStyle name="asd 46 5" xfId="3309"/>
    <cellStyle name="asd 46 5 10" xfId="17289"/>
    <cellStyle name="asd 46 5 11" xfId="19195"/>
    <cellStyle name="asd 46 5 12" xfId="21107"/>
    <cellStyle name="asd 46 5 13" xfId="23650"/>
    <cellStyle name="asd 46 5 14" xfId="24909"/>
    <cellStyle name="asd 46 5 15" xfId="27579"/>
    <cellStyle name="asd 46 5 16" xfId="28705"/>
    <cellStyle name="asd 46 5 17" xfId="31158"/>
    <cellStyle name="asd 46 5 18" xfId="31966"/>
    <cellStyle name="asd 46 5 19" xfId="33838"/>
    <cellStyle name="asd 46 5 2" xfId="5737"/>
    <cellStyle name="asd 46 5 2 10" xfId="21987"/>
    <cellStyle name="asd 46 5 2 11" xfId="23595"/>
    <cellStyle name="asd 46 5 2 12" xfId="25789"/>
    <cellStyle name="asd 46 5 2 13" xfId="26318"/>
    <cellStyle name="asd 46 5 2 14" xfId="2965"/>
    <cellStyle name="asd 46 5 2 15" xfId="29926"/>
    <cellStyle name="asd 46 5 2 16" xfId="32013"/>
    <cellStyle name="asd 46 5 2 17" xfId="33514"/>
    <cellStyle name="asd 46 5 2 18" xfId="36616"/>
    <cellStyle name="asd 46 5 2 19" xfId="38495"/>
    <cellStyle name="asd 46 5 2 2" xfId="7186"/>
    <cellStyle name="asd 46 5 2 20" xfId="39244"/>
    <cellStyle name="asd 46 5 2 21" xfId="40921"/>
    <cellStyle name="asd 46 5 2 22" xfId="43354"/>
    <cellStyle name="asd 46 5 2 3" xfId="8640"/>
    <cellStyle name="asd 46 5 2 4" xfId="10550"/>
    <cellStyle name="asd 46 5 2 5" xfId="11226"/>
    <cellStyle name="asd 46 5 2 6" xfId="14065"/>
    <cellStyle name="asd 46 5 2 7" xfId="15968"/>
    <cellStyle name="asd 46 5 2 8" xfId="18169"/>
    <cellStyle name="asd 46 5 2 9" xfId="20075"/>
    <cellStyle name="asd 46 5 20" xfId="35736"/>
    <cellStyle name="asd 46 5 21" xfId="37615"/>
    <cellStyle name="asd 46 5 22" xfId="39195"/>
    <cellStyle name="asd 46 5 23" xfId="40876"/>
    <cellStyle name="asd 46 5 24" xfId="43408"/>
    <cellStyle name="asd 46 5 3" xfId="4859"/>
    <cellStyle name="asd 46 5 4" xfId="6309"/>
    <cellStyle name="asd 46 5 5" xfId="7760"/>
    <cellStyle name="asd 46 5 6" xfId="9670"/>
    <cellStyle name="asd 46 5 7" xfId="11519"/>
    <cellStyle name="asd 46 5 8" xfId="14120"/>
    <cellStyle name="asd 46 5 9" xfId="16023"/>
    <cellStyle name="asd 46 6" xfId="2205"/>
    <cellStyle name="asd 46 6 10" xfId="19032"/>
    <cellStyle name="asd 46 6 11" xfId="20944"/>
    <cellStyle name="asd 46 6 12" xfId="23836"/>
    <cellStyle name="asd 46 6 13" xfId="24746"/>
    <cellStyle name="asd 46 6 14" xfId="27710"/>
    <cellStyle name="asd 46 6 15" xfId="12822"/>
    <cellStyle name="asd 46 6 16" xfId="31286"/>
    <cellStyle name="asd 46 6 17" xfId="32182"/>
    <cellStyle name="asd 46 6 18" xfId="28364"/>
    <cellStyle name="asd 46 6 19" xfId="35573"/>
    <cellStyle name="asd 46 6 2" xfId="4515"/>
    <cellStyle name="asd 46 6 2 10" xfId="20760"/>
    <cellStyle name="asd 46 6 2 11" xfId="23379"/>
    <cellStyle name="asd 46 6 2 12" xfId="24562"/>
    <cellStyle name="asd 46 6 2 13" xfId="26160"/>
    <cellStyle name="asd 46 6 2 14" xfId="28368"/>
    <cellStyle name="asd 46 6 2 15" xfId="29774"/>
    <cellStyle name="asd 46 6 2 16" xfId="32211"/>
    <cellStyle name="asd 46 6 2 17" xfId="34526"/>
    <cellStyle name="asd 46 6 2 18" xfId="35390"/>
    <cellStyle name="asd 46 6 2 19" xfId="37268"/>
    <cellStyle name="asd 46 6 2 2" xfId="4402"/>
    <cellStyle name="asd 46 6 2 20" xfId="39431"/>
    <cellStyle name="asd 46 6 2 21" xfId="41107"/>
    <cellStyle name="asd 46 6 2 22" xfId="43146"/>
    <cellStyle name="asd 46 6 2 3" xfId="4743"/>
    <cellStyle name="asd 46 6 2 4" xfId="9322"/>
    <cellStyle name="asd 46 6 2 5" xfId="12266"/>
    <cellStyle name="asd 46 6 2 6" xfId="13851"/>
    <cellStyle name="asd 46 6 2 7" xfId="15752"/>
    <cellStyle name="asd 46 6 2 8" xfId="16941"/>
    <cellStyle name="asd 46 6 2 9" xfId="18848"/>
    <cellStyle name="asd 46 6 20" xfId="37452"/>
    <cellStyle name="asd 46 6 21" xfId="39404"/>
    <cellStyle name="asd 46 6 22" xfId="41080"/>
    <cellStyle name="asd 46 6 23" xfId="43587"/>
    <cellStyle name="asd 46 6 3" xfId="4698"/>
    <cellStyle name="asd 46 6 4" xfId="7597"/>
    <cellStyle name="asd 46 6 5" xfId="9507"/>
    <cellStyle name="asd 46 6 6" xfId="12615"/>
    <cellStyle name="asd 46 6 7" xfId="14306"/>
    <cellStyle name="asd 46 6 8" xfId="16210"/>
    <cellStyle name="asd 46 6 9" xfId="17126"/>
    <cellStyle name="asd 46 7" xfId="2868"/>
    <cellStyle name="asd 46 7 10" xfId="19121"/>
    <cellStyle name="asd 46 7 11" xfId="21033"/>
    <cellStyle name="asd 46 7 12" xfId="23712"/>
    <cellStyle name="asd 46 7 13" xfId="24835"/>
    <cellStyle name="asd 46 7 14" xfId="27259"/>
    <cellStyle name="asd 46 7 15" xfId="29181"/>
    <cellStyle name="asd 46 7 16" xfId="30850"/>
    <cellStyle name="asd 46 7 17" xfId="33005"/>
    <cellStyle name="asd 46 7 18" xfId="33778"/>
    <cellStyle name="asd 46 7 19" xfId="35662"/>
    <cellStyle name="asd 46 7 2" xfId="2272"/>
    <cellStyle name="asd 46 7 2 10" xfId="20482"/>
    <cellStyle name="asd 46 7 2 11" xfId="2527"/>
    <cellStyle name="asd 46 7 2 12" xfId="24284"/>
    <cellStyle name="asd 46 7 2 13" xfId="3080"/>
    <cellStyle name="asd 46 7 2 14" xfId="23899"/>
    <cellStyle name="asd 46 7 2 15" xfId="22349"/>
    <cellStyle name="asd 46 7 2 16" xfId="30226"/>
    <cellStyle name="asd 46 7 2 17" xfId="2353"/>
    <cellStyle name="asd 46 7 2 18" xfId="35112"/>
    <cellStyle name="asd 46 7 2 19" xfId="36990"/>
    <cellStyle name="asd 46 7 2 2" xfId="3078"/>
    <cellStyle name="asd 46 7 2 20" xfId="33358"/>
    <cellStyle name="asd 46 7 2 21" xfId="39699"/>
    <cellStyle name="asd 46 7 2 22" xfId="26115"/>
    <cellStyle name="asd 46 7 2 3" xfId="4664"/>
    <cellStyle name="asd 46 7 2 4" xfId="9044"/>
    <cellStyle name="asd 46 7 2 5" xfId="2475"/>
    <cellStyle name="asd 46 7 2 6" xfId="4159"/>
    <cellStyle name="asd 46 7 2 7" xfId="11566"/>
    <cellStyle name="asd 46 7 2 8" xfId="16663"/>
    <cellStyle name="asd 46 7 2 9" xfId="18570"/>
    <cellStyle name="asd 46 7 20" xfId="37541"/>
    <cellStyle name="asd 46 7 21" xfId="40205"/>
    <cellStyle name="asd 46 7 22" xfId="41864"/>
    <cellStyle name="asd 46 7 23" xfId="43469"/>
    <cellStyle name="asd 46 7 3" xfId="6235"/>
    <cellStyle name="asd 46 7 4" xfId="7686"/>
    <cellStyle name="asd 46 7 5" xfId="9596"/>
    <cellStyle name="asd 46 7 6" xfId="11811"/>
    <cellStyle name="asd 46 7 7" xfId="14182"/>
    <cellStyle name="asd 46 7 8" xfId="16086"/>
    <cellStyle name="asd 46 7 9" xfId="17215"/>
    <cellStyle name="asd 46 8" xfId="2733"/>
    <cellStyle name="asd 46 9" xfId="4193"/>
    <cellStyle name="asd 47" xfId="1034"/>
    <cellStyle name="asd 47 10" xfId="3925"/>
    <cellStyle name="asd 47 11" xfId="2739"/>
    <cellStyle name="asd 47 12" xfId="3525"/>
    <cellStyle name="asd 47 13" xfId="2692"/>
    <cellStyle name="asd 47 14" xfId="11033"/>
    <cellStyle name="asd 47 15" xfId="14680"/>
    <cellStyle name="asd 47 16" xfId="20410"/>
    <cellStyle name="asd 47 17" xfId="18519"/>
    <cellStyle name="asd 47 18" xfId="2939"/>
    <cellStyle name="asd 47 19" xfId="2366"/>
    <cellStyle name="asd 47 2" xfId="3382"/>
    <cellStyle name="asd 47 2 10" xfId="13712"/>
    <cellStyle name="asd 47 2 11" xfId="15614"/>
    <cellStyle name="asd 47 2 12" xfId="16703"/>
    <cellStyle name="asd 47 2 13" xfId="18610"/>
    <cellStyle name="asd 47 2 14" xfId="20522"/>
    <cellStyle name="asd 47 2 15" xfId="23240"/>
    <cellStyle name="asd 47 2 16" xfId="24324"/>
    <cellStyle name="asd 47 2 17" xfId="26390"/>
    <cellStyle name="asd 47 2 18" xfId="29185"/>
    <cellStyle name="asd 47 2 19" xfId="29998"/>
    <cellStyle name="asd 47 2 2" xfId="3562"/>
    <cellStyle name="asd 47 2 2 10" xfId="17453"/>
    <cellStyle name="asd 47 2 2 11" xfId="19359"/>
    <cellStyle name="asd 47 2 2 12" xfId="21271"/>
    <cellStyle name="asd 47 2 2 13" xfId="22931"/>
    <cellStyle name="asd 47 2 2 14" xfId="25073"/>
    <cellStyle name="asd 47 2 2 15" xfId="27532"/>
    <cellStyle name="asd 47 2 2 16" xfId="29565"/>
    <cellStyle name="asd 47 2 2 17" xfId="31114"/>
    <cellStyle name="asd 47 2 2 18" xfId="32377"/>
    <cellStyle name="asd 47 2 2 19" xfId="33755"/>
    <cellStyle name="asd 47 2 2 2" xfId="5459"/>
    <cellStyle name="asd 47 2 2 2 10" xfId="21709"/>
    <cellStyle name="asd 47 2 2 2 11" xfId="23153"/>
    <cellStyle name="asd 47 2 2 2 12" xfId="25511"/>
    <cellStyle name="asd 47 2 2 2 13" xfId="27305"/>
    <cellStyle name="asd 47 2 2 2 14" xfId="28752"/>
    <cellStyle name="asd 47 2 2 2 15" xfId="30895"/>
    <cellStyle name="asd 47 2 2 2 16" xfId="31630"/>
    <cellStyle name="asd 47 2 2 2 17" xfId="33914"/>
    <cellStyle name="asd 47 2 2 2 18" xfId="36338"/>
    <cellStyle name="asd 47 2 2 2 19" xfId="38217"/>
    <cellStyle name="asd 47 2 2 2 2" xfId="6908"/>
    <cellStyle name="asd 47 2 2 2 20" xfId="38877"/>
    <cellStyle name="asd 47 2 2 2 21" xfId="40562"/>
    <cellStyle name="asd 47 2 2 2 22" xfId="42931"/>
    <cellStyle name="asd 47 2 2 2 3" xfId="8362"/>
    <cellStyle name="asd 47 2 2 2 4" xfId="10272"/>
    <cellStyle name="asd 47 2 2 2 5" xfId="10948"/>
    <cellStyle name="asd 47 2 2 2 6" xfId="13624"/>
    <cellStyle name="asd 47 2 2 2 7" xfId="15527"/>
    <cellStyle name="asd 47 2 2 2 8" xfId="17891"/>
    <cellStyle name="asd 47 2 2 2 9" xfId="19797"/>
    <cellStyle name="asd 47 2 2 20" xfId="35900"/>
    <cellStyle name="asd 47 2 2 21" xfId="37779"/>
    <cellStyle name="asd 47 2 2 22" xfId="39595"/>
    <cellStyle name="asd 47 2 2 23" xfId="41269"/>
    <cellStyle name="asd 47 2 2 24" xfId="42717"/>
    <cellStyle name="asd 47 2 2 3" xfId="5023"/>
    <cellStyle name="asd 47 2 2 4" xfId="6473"/>
    <cellStyle name="asd 47 2 2 5" xfId="7924"/>
    <cellStyle name="asd 47 2 2 6" xfId="9834"/>
    <cellStyle name="asd 47 2 2 7" xfId="11286"/>
    <cellStyle name="asd 47 2 2 8" xfId="13399"/>
    <cellStyle name="asd 47 2 2 9" xfId="15304"/>
    <cellStyle name="asd 47 2 20" xfId="31621"/>
    <cellStyle name="asd 47 2 21" xfId="32452"/>
    <cellStyle name="asd 47 2 22" xfId="35152"/>
    <cellStyle name="asd 47 2 23" xfId="37030"/>
    <cellStyle name="asd 47 2 24" xfId="38868"/>
    <cellStyle name="asd 47 2 25" xfId="40554"/>
    <cellStyle name="asd 47 2 26" xfId="43017"/>
    <cellStyle name="asd 47 2 3" xfId="3794"/>
    <cellStyle name="asd 47 2 3 10" xfId="19529"/>
    <cellStyle name="asd 47 2 3 11" xfId="21441"/>
    <cellStyle name="asd 47 2 3 12" xfId="23503"/>
    <cellStyle name="asd 47 2 3 13" xfId="25243"/>
    <cellStyle name="asd 47 2 3 14" xfId="26712"/>
    <cellStyle name="asd 47 2 3 15" xfId="29271"/>
    <cellStyle name="asd 47 2 3 16" xfId="30312"/>
    <cellStyle name="asd 47 2 3 17" xfId="31987"/>
    <cellStyle name="asd 47 2 3 18" xfId="34823"/>
    <cellStyle name="asd 47 2 3 19" xfId="36070"/>
    <cellStyle name="asd 47 2 3 2" xfId="5799"/>
    <cellStyle name="asd 47 2 3 2 10" xfId="22049"/>
    <cellStyle name="asd 47 2 3 2 11" xfId="22698"/>
    <cellStyle name="asd 47 2 3 2 12" xfId="25851"/>
    <cellStyle name="asd 47 2 3 2 13" xfId="26425"/>
    <cellStyle name="asd 47 2 3 2 14" xfId="29146"/>
    <cellStyle name="asd 47 2 3 2 15" xfId="30031"/>
    <cellStyle name="asd 47 2 3 2 16" xfId="32293"/>
    <cellStyle name="asd 47 2 3 2 17" xfId="33953"/>
    <cellStyle name="asd 47 2 3 2 18" xfId="36678"/>
    <cellStyle name="asd 47 2 3 2 19" xfId="38557"/>
    <cellStyle name="asd 47 2 3 2 2" xfId="7248"/>
    <cellStyle name="asd 47 2 3 2 20" xfId="39513"/>
    <cellStyle name="asd 47 2 3 2 21" xfId="41187"/>
    <cellStyle name="asd 47 2 3 2 22" xfId="42499"/>
    <cellStyle name="asd 47 2 3 2 3" xfId="8702"/>
    <cellStyle name="asd 47 2 3 2 4" xfId="10612"/>
    <cellStyle name="asd 47 2 3 2 5" xfId="11216"/>
    <cellStyle name="asd 47 2 3 2 6" xfId="13166"/>
    <cellStyle name="asd 47 2 3 2 7" xfId="15070"/>
    <cellStyle name="asd 47 2 3 2 8" xfId="18231"/>
    <cellStyle name="asd 47 2 3 2 9" xfId="20137"/>
    <cellStyle name="asd 47 2 3 20" xfId="37949"/>
    <cellStyle name="asd 47 2 3 21" xfId="39218"/>
    <cellStyle name="asd 47 2 3 22" xfId="40896"/>
    <cellStyle name="asd 47 2 3 23" xfId="43269"/>
    <cellStyle name="asd 47 2 3 3" xfId="5193"/>
    <cellStyle name="asd 47 2 3 4" xfId="8094"/>
    <cellStyle name="asd 47 2 3 5" xfId="10004"/>
    <cellStyle name="asd 47 2 3 6" xfId="12573"/>
    <cellStyle name="asd 47 2 3 7" xfId="13975"/>
    <cellStyle name="asd 47 2 3 8" xfId="15876"/>
    <cellStyle name="asd 47 2 3 9" xfId="17623"/>
    <cellStyle name="asd 47 2 4" xfId="4014"/>
    <cellStyle name="asd 47 2 4 10" xfId="19649"/>
    <cellStyle name="asd 47 2 4 11" xfId="21561"/>
    <cellStyle name="asd 47 2 4 12" xfId="22405"/>
    <cellStyle name="asd 47 2 4 13" xfId="25363"/>
    <cellStyle name="asd 47 2 4 14" xfId="27080"/>
    <cellStyle name="asd 47 2 4 15" xfId="15051"/>
    <cellStyle name="asd 47 2 4 16" xfId="30671"/>
    <cellStyle name="asd 47 2 4 17" xfId="32582"/>
    <cellStyle name="asd 47 2 4 18" xfId="34804"/>
    <cellStyle name="asd 47 2 4 19" xfId="36190"/>
    <cellStyle name="asd 47 2 4 2" xfId="5919"/>
    <cellStyle name="asd 47 2 4 2 10" xfId="22169"/>
    <cellStyle name="asd 47 2 4 2 11" xfId="23378"/>
    <cellStyle name="asd 47 2 4 2 12" xfId="25971"/>
    <cellStyle name="asd 47 2 4 2 13" xfId="26939"/>
    <cellStyle name="asd 47 2 4 2 14" xfId="28713"/>
    <cellStyle name="asd 47 2 4 2 15" xfId="30533"/>
    <cellStyle name="asd 47 2 4 2 16" xfId="32876"/>
    <cellStyle name="asd 47 2 4 2 17" xfId="34032"/>
    <cellStyle name="asd 47 2 4 2 18" xfId="36798"/>
    <cellStyle name="asd 47 2 4 2 19" xfId="38677"/>
    <cellStyle name="asd 47 2 4 2 2" xfId="7368"/>
    <cellStyle name="asd 47 2 4 2 20" xfId="40081"/>
    <cellStyle name="asd 47 2 4 2 21" xfId="41744"/>
    <cellStyle name="asd 47 2 4 2 22" xfId="43145"/>
    <cellStyle name="asd 47 2 4 2 3" xfId="8822"/>
    <cellStyle name="asd 47 2 4 2 4" xfId="10732"/>
    <cellStyle name="asd 47 2 4 2 5" xfId="12336"/>
    <cellStyle name="asd 47 2 4 2 6" xfId="13850"/>
    <cellStyle name="asd 47 2 4 2 7" xfId="15751"/>
    <cellStyle name="asd 47 2 4 2 8" xfId="18351"/>
    <cellStyle name="asd 47 2 4 2 9" xfId="20257"/>
    <cellStyle name="asd 47 2 4 20" xfId="38069"/>
    <cellStyle name="asd 47 2 4 21" xfId="39793"/>
    <cellStyle name="asd 47 2 4 22" xfId="41462"/>
    <cellStyle name="asd 47 2 4 23" xfId="42216"/>
    <cellStyle name="asd 47 2 4 3" xfId="6760"/>
    <cellStyle name="asd 47 2 4 4" xfId="8214"/>
    <cellStyle name="asd 47 2 4 5" xfId="10124"/>
    <cellStyle name="asd 47 2 4 6" xfId="11770"/>
    <cellStyle name="asd 47 2 4 7" xfId="12872"/>
    <cellStyle name="asd 47 2 4 8" xfId="14777"/>
    <cellStyle name="asd 47 2 4 9" xfId="17743"/>
    <cellStyle name="asd 47 2 5" xfId="4884"/>
    <cellStyle name="asd 47 2 5 10" xfId="21132"/>
    <cellStyle name="asd 47 2 5 11" xfId="23602"/>
    <cellStyle name="asd 47 2 5 12" xfId="24934"/>
    <cellStyle name="asd 47 2 5 13" xfId="26797"/>
    <cellStyle name="asd 47 2 5 14" xfId="29568"/>
    <cellStyle name="asd 47 2 5 15" xfId="30395"/>
    <cellStyle name="asd 47 2 5 16" xfId="32428"/>
    <cellStyle name="asd 47 2 5 17" xfId="33417"/>
    <cellStyle name="asd 47 2 5 18" xfId="35761"/>
    <cellStyle name="asd 47 2 5 19" xfId="37640"/>
    <cellStyle name="asd 47 2 5 2" xfId="6334"/>
    <cellStyle name="asd 47 2 5 20" xfId="39645"/>
    <cellStyle name="asd 47 2 5 21" xfId="41319"/>
    <cellStyle name="asd 47 2 5 22" xfId="43361"/>
    <cellStyle name="asd 47 2 5 3" xfId="7785"/>
    <cellStyle name="asd 47 2 5 4" xfId="9695"/>
    <cellStyle name="asd 47 2 5 5" xfId="11819"/>
    <cellStyle name="asd 47 2 5 6" xfId="14072"/>
    <cellStyle name="asd 47 2 5 7" xfId="15975"/>
    <cellStyle name="asd 47 2 5 8" xfId="17314"/>
    <cellStyle name="asd 47 2 5 9" xfId="19220"/>
    <cellStyle name="asd 47 2 6" xfId="5635"/>
    <cellStyle name="asd 47 2 6 10" xfId="21885"/>
    <cellStyle name="asd 47 2 6 11" xfId="23752"/>
    <cellStyle name="asd 47 2 6 12" xfId="25687"/>
    <cellStyle name="asd 47 2 6 13" xfId="26839"/>
    <cellStyle name="asd 47 2 6 14" xfId="28632"/>
    <cellStyle name="asd 47 2 6 15" xfId="30437"/>
    <cellStyle name="asd 47 2 6 16" xfId="33314"/>
    <cellStyle name="asd 47 2 6 17" xfId="33604"/>
    <cellStyle name="asd 47 2 6 18" xfId="36514"/>
    <cellStyle name="asd 47 2 6 19" xfId="38393"/>
    <cellStyle name="asd 47 2 6 2" xfId="7084"/>
    <cellStyle name="asd 47 2 6 20" xfId="40495"/>
    <cellStyle name="asd 47 2 6 21" xfId="42148"/>
    <cellStyle name="asd 47 2 6 22" xfId="43505"/>
    <cellStyle name="asd 47 2 6 3" xfId="8538"/>
    <cellStyle name="asd 47 2 6 4" xfId="10448"/>
    <cellStyle name="asd 47 2 6 5" xfId="11626"/>
    <cellStyle name="asd 47 2 6 6" xfId="14222"/>
    <cellStyle name="asd 47 2 6 7" xfId="16126"/>
    <cellStyle name="asd 47 2 6 8" xfId="18067"/>
    <cellStyle name="asd 47 2 6 9" xfId="19973"/>
    <cellStyle name="asd 47 2 7" xfId="5385"/>
    <cellStyle name="asd 47 2 8" xfId="9084"/>
    <cellStyle name="asd 47 2 9" xfId="11132"/>
    <cellStyle name="asd 47 20" xfId="29212"/>
    <cellStyle name="asd 47 21" xfId="28122"/>
    <cellStyle name="asd 47 22" xfId="26122"/>
    <cellStyle name="asd 47 23" xfId="12494"/>
    <cellStyle name="asd 47 24" xfId="29866"/>
    <cellStyle name="asd 47 25" xfId="14678"/>
    <cellStyle name="asd 47 26" xfId="2438"/>
    <cellStyle name="asd 47 27" xfId="34267"/>
    <cellStyle name="asd 47 3" xfId="3462"/>
    <cellStyle name="asd 47 3 10" xfId="13824"/>
    <cellStyle name="asd 47 3 11" xfId="15726"/>
    <cellStyle name="asd 47 3 12" xfId="16875"/>
    <cellStyle name="asd 47 3 13" xfId="18782"/>
    <cellStyle name="asd 47 3 14" xfId="20694"/>
    <cellStyle name="asd 47 3 15" xfId="23352"/>
    <cellStyle name="asd 47 3 16" xfId="24496"/>
    <cellStyle name="asd 47 3 17" xfId="27171"/>
    <cellStyle name="asd 47 3 18" xfId="29381"/>
    <cellStyle name="asd 47 3 19" xfId="30763"/>
    <cellStyle name="asd 47 3 2" xfId="3642"/>
    <cellStyle name="asd 47 3 2 10" xfId="17533"/>
    <cellStyle name="asd 47 3 2 11" xfId="19439"/>
    <cellStyle name="asd 47 3 2 12" xfId="21351"/>
    <cellStyle name="asd 47 3 2 13" xfId="23491"/>
    <cellStyle name="asd 47 3 2 14" xfId="25153"/>
    <cellStyle name="asd 47 3 2 15" xfId="27303"/>
    <cellStyle name="asd 47 3 2 16" xfId="28178"/>
    <cellStyle name="asd 47 3 2 17" xfId="30893"/>
    <cellStyle name="asd 47 3 2 18" xfId="33071"/>
    <cellStyle name="asd 47 3 2 19" xfId="33758"/>
    <cellStyle name="asd 47 3 2 2" xfId="4599"/>
    <cellStyle name="asd 47 3 2 2 10" xfId="20844"/>
    <cellStyle name="asd 47 3 2 2 11" xfId="22566"/>
    <cellStyle name="asd 47 3 2 2 12" xfId="24646"/>
    <cellStyle name="asd 47 3 2 2 13" xfId="27323"/>
    <cellStyle name="asd 47 3 2 2 14" xfId="28074"/>
    <cellStyle name="asd 47 3 2 2 15" xfId="30913"/>
    <cellStyle name="asd 47 3 2 2 16" xfId="32174"/>
    <cellStyle name="asd 47 3 2 2 17" xfId="33502"/>
    <cellStyle name="asd 47 3 2 2 18" xfId="35474"/>
    <cellStyle name="asd 47 3 2 2 19" xfId="37352"/>
    <cellStyle name="asd 47 3 2 2 2" xfId="2121"/>
    <cellStyle name="asd 47 3 2 2 20" xfId="39396"/>
    <cellStyle name="asd 47 3 2 2 21" xfId="41072"/>
    <cellStyle name="asd 47 3 2 2 22" xfId="42375"/>
    <cellStyle name="asd 47 3 2 2 3" xfId="3230"/>
    <cellStyle name="asd 47 3 2 2 4" xfId="9406"/>
    <cellStyle name="asd 47 3 2 2 5" xfId="11395"/>
    <cellStyle name="asd 47 3 2 2 6" xfId="13034"/>
    <cellStyle name="asd 47 3 2 2 7" xfId="14938"/>
    <cellStyle name="asd 47 3 2 2 8" xfId="17025"/>
    <cellStyle name="asd 47 3 2 2 9" xfId="18932"/>
    <cellStyle name="asd 47 3 2 20" xfId="35980"/>
    <cellStyle name="asd 47 3 2 21" xfId="37859"/>
    <cellStyle name="asd 47 3 2 22" xfId="40267"/>
    <cellStyle name="asd 47 3 2 23" xfId="41925"/>
    <cellStyle name="asd 47 3 2 24" xfId="43257"/>
    <cellStyle name="asd 47 3 2 3" xfId="5103"/>
    <cellStyle name="asd 47 3 2 4" xfId="6553"/>
    <cellStyle name="asd 47 3 2 5" xfId="8004"/>
    <cellStyle name="asd 47 3 2 6" xfId="9914"/>
    <cellStyle name="asd 47 3 2 7" xfId="12511"/>
    <cellStyle name="asd 47 3 2 8" xfId="13963"/>
    <cellStyle name="asd 47 3 2 9" xfId="15864"/>
    <cellStyle name="asd 47 3 20" xfId="32332"/>
    <cellStyle name="asd 47 3 21" xfId="34174"/>
    <cellStyle name="asd 47 3 22" xfId="35324"/>
    <cellStyle name="asd 47 3 23" xfId="37202"/>
    <cellStyle name="asd 47 3 24" xfId="39551"/>
    <cellStyle name="asd 47 3 25" xfId="41225"/>
    <cellStyle name="asd 47 3 26" xfId="43122"/>
    <cellStyle name="asd 47 3 3" xfId="3791"/>
    <cellStyle name="asd 47 3 3 10" xfId="19526"/>
    <cellStyle name="asd 47 3 3 11" xfId="21438"/>
    <cellStyle name="asd 47 3 3 12" xfId="22798"/>
    <cellStyle name="asd 47 3 3 13" xfId="25240"/>
    <cellStyle name="asd 47 3 3 14" xfId="26999"/>
    <cellStyle name="asd 47 3 3 15" xfId="28824"/>
    <cellStyle name="asd 47 3 3 16" xfId="30593"/>
    <cellStyle name="asd 47 3 3 17" xfId="32083"/>
    <cellStyle name="asd 47 3 3 18" xfId="34523"/>
    <cellStyle name="asd 47 3 3 19" xfId="36067"/>
    <cellStyle name="asd 47 3 3 2" xfId="5796"/>
    <cellStyle name="asd 47 3 3 2 10" xfId="22046"/>
    <cellStyle name="asd 47 3 3 2 11" xfId="22802"/>
    <cellStyle name="asd 47 3 3 2 12" xfId="25848"/>
    <cellStyle name="asd 47 3 3 2 13" xfId="27234"/>
    <cellStyle name="asd 47 3 3 2 14" xfId="29454"/>
    <cellStyle name="asd 47 3 3 2 15" xfId="30825"/>
    <cellStyle name="asd 47 3 3 2 16" xfId="31928"/>
    <cellStyle name="asd 47 3 3 2 17" xfId="34450"/>
    <cellStyle name="asd 47 3 3 2 18" xfId="36675"/>
    <cellStyle name="asd 47 3 3 2 19" xfId="38554"/>
    <cellStyle name="asd 47 3 3 2 2" xfId="7245"/>
    <cellStyle name="asd 47 3 3 2 20" xfId="39158"/>
    <cellStyle name="asd 47 3 3 2 21" xfId="40839"/>
    <cellStyle name="asd 47 3 3 2 22" xfId="42595"/>
    <cellStyle name="asd 47 3 3 2 3" xfId="8699"/>
    <cellStyle name="asd 47 3 3 2 4" xfId="10609"/>
    <cellStyle name="asd 47 3 3 2 5" xfId="12461"/>
    <cellStyle name="asd 47 3 3 2 6" xfId="13272"/>
    <cellStyle name="asd 47 3 3 2 7" xfId="15176"/>
    <cellStyle name="asd 47 3 3 2 8" xfId="18228"/>
    <cellStyle name="asd 47 3 3 2 9" xfId="20134"/>
    <cellStyle name="asd 47 3 3 20" xfId="37946"/>
    <cellStyle name="asd 47 3 3 21" xfId="39307"/>
    <cellStyle name="asd 47 3 3 22" xfId="40983"/>
    <cellStyle name="asd 47 3 3 23" xfId="42591"/>
    <cellStyle name="asd 47 3 3 3" xfId="5190"/>
    <cellStyle name="asd 47 3 3 4" xfId="8091"/>
    <cellStyle name="asd 47 3 3 5" xfId="10001"/>
    <cellStyle name="asd 47 3 3 6" xfId="11128"/>
    <cellStyle name="asd 47 3 3 7" xfId="13267"/>
    <cellStyle name="asd 47 3 3 8" xfId="15171"/>
    <cellStyle name="asd 47 3 3 9" xfId="17620"/>
    <cellStyle name="asd 47 3 4" xfId="4094"/>
    <cellStyle name="asd 47 3 4 10" xfId="19729"/>
    <cellStyle name="asd 47 3 4 11" xfId="21641"/>
    <cellStyle name="asd 47 3 4 12" xfId="23388"/>
    <cellStyle name="asd 47 3 4 13" xfId="25443"/>
    <cellStyle name="asd 47 3 4 14" xfId="26509"/>
    <cellStyle name="asd 47 3 4 15" xfId="28470"/>
    <cellStyle name="asd 47 3 4 16" xfId="30115"/>
    <cellStyle name="asd 47 3 4 17" xfId="31967"/>
    <cellStyle name="asd 47 3 4 18" xfId="33447"/>
    <cellStyle name="asd 47 3 4 19" xfId="36270"/>
    <cellStyle name="asd 47 3 4 2" xfId="5999"/>
    <cellStyle name="asd 47 3 4 2 10" xfId="22249"/>
    <cellStyle name="asd 47 3 4 2 11" xfId="23017"/>
    <cellStyle name="asd 47 3 4 2 12" xfId="26051"/>
    <cellStyle name="asd 47 3 4 2 13" xfId="26991"/>
    <cellStyle name="asd 47 3 4 2 14" xfId="3311"/>
    <cellStyle name="asd 47 3 4 2 15" xfId="30585"/>
    <cellStyle name="asd 47 3 4 2 16" xfId="32606"/>
    <cellStyle name="asd 47 3 4 2 17" xfId="34415"/>
    <cellStyle name="asd 47 3 4 2 18" xfId="36878"/>
    <cellStyle name="asd 47 3 4 2 19" xfId="38757"/>
    <cellStyle name="asd 47 3 4 2 2" xfId="7448"/>
    <cellStyle name="asd 47 3 4 2 20" xfId="39816"/>
    <cellStyle name="asd 47 3 4 2 21" xfId="41485"/>
    <cellStyle name="asd 47 3 4 2 22" xfId="42800"/>
    <cellStyle name="asd 47 3 4 2 3" xfId="8902"/>
    <cellStyle name="asd 47 3 4 2 4" xfId="10812"/>
    <cellStyle name="asd 47 3 4 2 5" xfId="12598"/>
    <cellStyle name="asd 47 3 4 2 6" xfId="13487"/>
    <cellStyle name="asd 47 3 4 2 7" xfId="15391"/>
    <cellStyle name="asd 47 3 4 2 8" xfId="18431"/>
    <cellStyle name="asd 47 3 4 2 9" xfId="20337"/>
    <cellStyle name="asd 47 3 4 20" xfId="38149"/>
    <cellStyle name="asd 47 3 4 21" xfId="39196"/>
    <cellStyle name="asd 47 3 4 22" xfId="40877"/>
    <cellStyle name="asd 47 3 4 23" xfId="43155"/>
    <cellStyle name="asd 47 3 4 3" xfId="6840"/>
    <cellStyle name="asd 47 3 4 4" xfId="8294"/>
    <cellStyle name="asd 47 3 4 5" xfId="10204"/>
    <cellStyle name="asd 47 3 4 6" xfId="11291"/>
    <cellStyle name="asd 47 3 4 7" xfId="13860"/>
    <cellStyle name="asd 47 3 4 8" xfId="15761"/>
    <cellStyle name="asd 47 3 4 9" xfId="17823"/>
    <cellStyle name="asd 47 3 5" xfId="4947"/>
    <cellStyle name="asd 47 3 5 10" xfId="21195"/>
    <cellStyle name="asd 47 3 5 11" xfId="23463"/>
    <cellStyle name="asd 47 3 5 12" xfId="24997"/>
    <cellStyle name="asd 47 3 5 13" xfId="26305"/>
    <cellStyle name="asd 47 3 5 14" xfId="28131"/>
    <cellStyle name="asd 47 3 5 15" xfId="29914"/>
    <cellStyle name="asd 47 3 5 16" xfId="33325"/>
    <cellStyle name="asd 47 3 5 17" xfId="12809"/>
    <cellStyle name="asd 47 3 5 18" xfId="35824"/>
    <cellStyle name="asd 47 3 5 19" xfId="37703"/>
    <cellStyle name="asd 47 3 5 2" xfId="6397"/>
    <cellStyle name="asd 47 3 5 20" xfId="40505"/>
    <cellStyle name="asd 47 3 5 21" xfId="42157"/>
    <cellStyle name="asd 47 3 5 22" xfId="43230"/>
    <cellStyle name="asd 47 3 5 3" xfId="7848"/>
    <cellStyle name="asd 47 3 5 4" xfId="9758"/>
    <cellStyle name="asd 47 3 5 5" xfId="12583"/>
    <cellStyle name="asd 47 3 5 6" xfId="13935"/>
    <cellStyle name="asd 47 3 5 7" xfId="15836"/>
    <cellStyle name="asd 47 3 5 8" xfId="17377"/>
    <cellStyle name="asd 47 3 5 9" xfId="19283"/>
    <cellStyle name="asd 47 3 6" xfId="5610"/>
    <cellStyle name="asd 47 3 6 10" xfId="21860"/>
    <cellStyle name="asd 47 3 6 11" xfId="22460"/>
    <cellStyle name="asd 47 3 6 12" xfId="25662"/>
    <cellStyle name="asd 47 3 6 13" xfId="26743"/>
    <cellStyle name="asd 47 3 6 14" xfId="28251"/>
    <cellStyle name="asd 47 3 6 15" xfId="30343"/>
    <cellStyle name="asd 47 3 6 16" xfId="33163"/>
    <cellStyle name="asd 47 3 6 17" xfId="34712"/>
    <cellStyle name="asd 47 3 6 18" xfId="36489"/>
    <cellStyle name="asd 47 3 6 19" xfId="38368"/>
    <cellStyle name="asd 47 3 6 2" xfId="7059"/>
    <cellStyle name="asd 47 3 6 20" xfId="40355"/>
    <cellStyle name="asd 47 3 6 21" xfId="42011"/>
    <cellStyle name="asd 47 3 6 22" xfId="42271"/>
    <cellStyle name="asd 47 3 6 3" xfId="8513"/>
    <cellStyle name="asd 47 3 6 4" xfId="10423"/>
    <cellStyle name="asd 47 3 6 5" xfId="1977"/>
    <cellStyle name="asd 47 3 6 6" xfId="12928"/>
    <cellStyle name="asd 47 3 6 7" xfId="14833"/>
    <cellStyle name="asd 47 3 6 8" xfId="18042"/>
    <cellStyle name="asd 47 3 6 9" xfId="19948"/>
    <cellStyle name="asd 47 3 7" xfId="6083"/>
    <cellStyle name="asd 47 3 8" xfId="9256"/>
    <cellStyle name="asd 47 3 9" xfId="10938"/>
    <cellStyle name="asd 47 4" xfId="3369"/>
    <cellStyle name="asd 47 4 10" xfId="14737"/>
    <cellStyle name="asd 47 4 11" xfId="16670"/>
    <cellStyle name="asd 47 4 12" xfId="18577"/>
    <cellStyle name="asd 47 4 13" xfId="20489"/>
    <cellStyle name="asd 47 4 14" xfId="22365"/>
    <cellStyle name="asd 47 4 15" xfId="24291"/>
    <cellStyle name="asd 47 4 16" xfId="27451"/>
    <cellStyle name="asd 47 4 17" xfId="28362"/>
    <cellStyle name="asd 47 4 18" xfId="31038"/>
    <cellStyle name="asd 47 4 19" xfId="31880"/>
    <cellStyle name="asd 47 4 2" xfId="3549"/>
    <cellStyle name="asd 47 4 2 10" xfId="17440"/>
    <cellStyle name="asd 47 4 2 11" xfId="19346"/>
    <cellStyle name="asd 47 4 2 12" xfId="21258"/>
    <cellStyle name="asd 47 4 2 13" xfId="23878"/>
    <cellStyle name="asd 47 4 2 14" xfId="25060"/>
    <cellStyle name="asd 47 4 2 15" xfId="27207"/>
    <cellStyle name="asd 47 4 2 16" xfId="22355"/>
    <cellStyle name="asd 47 4 2 17" xfId="30798"/>
    <cellStyle name="asd 47 4 2 18" xfId="32324"/>
    <cellStyle name="asd 47 4 2 19" xfId="34228"/>
    <cellStyle name="asd 47 4 2 2" xfId="5637"/>
    <cellStyle name="asd 47 4 2 2 10" xfId="21887"/>
    <cellStyle name="asd 47 4 2 2 11" xfId="24099"/>
    <cellStyle name="asd 47 4 2 2 12" xfId="25689"/>
    <cellStyle name="asd 47 4 2 2 13" xfId="26252"/>
    <cellStyle name="asd 47 4 2 2 14" xfId="10880"/>
    <cellStyle name="asd 47 4 2 2 15" xfId="29862"/>
    <cellStyle name="asd 47 4 2 2 16" xfId="32036"/>
    <cellStyle name="asd 47 4 2 2 17" xfId="33468"/>
    <cellStyle name="asd 47 4 2 2 18" xfId="36516"/>
    <cellStyle name="asd 47 4 2 2 19" xfId="38395"/>
    <cellStyle name="asd 47 4 2 2 2" xfId="7086"/>
    <cellStyle name="asd 47 4 2 2 20" xfId="39266"/>
    <cellStyle name="asd 47 4 2 2 21" xfId="40943"/>
    <cellStyle name="asd 47 4 2 2 22" xfId="43842"/>
    <cellStyle name="asd 47 4 2 2 3" xfId="8540"/>
    <cellStyle name="asd 47 4 2 2 4" xfId="10450"/>
    <cellStyle name="asd 47 4 2 2 5" xfId="12058"/>
    <cellStyle name="asd 47 4 2 2 6" xfId="14569"/>
    <cellStyle name="asd 47 4 2 2 7" xfId="16475"/>
    <cellStyle name="asd 47 4 2 2 8" xfId="18069"/>
    <cellStyle name="asd 47 4 2 2 9" xfId="19975"/>
    <cellStyle name="asd 47 4 2 20" xfId="35887"/>
    <cellStyle name="asd 47 4 2 21" xfId="37766"/>
    <cellStyle name="asd 47 4 2 22" xfId="39543"/>
    <cellStyle name="asd 47 4 2 23" xfId="41217"/>
    <cellStyle name="asd 47 4 2 24" xfId="43628"/>
    <cellStyle name="asd 47 4 2 3" xfId="5010"/>
    <cellStyle name="asd 47 4 2 4" xfId="6460"/>
    <cellStyle name="asd 47 4 2 5" xfId="7911"/>
    <cellStyle name="asd 47 4 2 6" xfId="9821"/>
    <cellStyle name="asd 47 4 2 7" xfId="11652"/>
    <cellStyle name="asd 47 4 2 8" xfId="14348"/>
    <cellStyle name="asd 47 4 2 9" xfId="16253"/>
    <cellStyle name="asd 47 4 20" xfId="34872"/>
    <cellStyle name="asd 47 4 21" xfId="35119"/>
    <cellStyle name="asd 47 4 22" xfId="36997"/>
    <cellStyle name="asd 47 4 23" xfId="39115"/>
    <cellStyle name="asd 47 4 24" xfId="40796"/>
    <cellStyle name="asd 47 4 25" xfId="42177"/>
    <cellStyle name="asd 47 4 3" xfId="3890"/>
    <cellStyle name="asd 47 4 3 10" xfId="19598"/>
    <cellStyle name="asd 47 4 3 11" xfId="21510"/>
    <cellStyle name="asd 47 4 3 12" xfId="22682"/>
    <cellStyle name="asd 47 4 3 13" xfId="25312"/>
    <cellStyle name="asd 47 4 3 14" xfId="26779"/>
    <cellStyle name="asd 47 4 3 15" xfId="29535"/>
    <cellStyle name="asd 47 4 3 16" xfId="30378"/>
    <cellStyle name="asd 47 4 3 17" xfId="32412"/>
    <cellStyle name="asd 47 4 3 18" xfId="33663"/>
    <cellStyle name="asd 47 4 3 19" xfId="36139"/>
    <cellStyle name="asd 47 4 3 2" xfId="5868"/>
    <cellStyle name="asd 47 4 3 2 10" xfId="22118"/>
    <cellStyle name="asd 47 4 3 2 11" xfId="24134"/>
    <cellStyle name="asd 47 4 3 2 12" xfId="25920"/>
    <cellStyle name="asd 47 4 3 2 13" xfId="26225"/>
    <cellStyle name="asd 47 4 3 2 14" xfId="28528"/>
    <cellStyle name="asd 47 4 3 2 15" xfId="29835"/>
    <cellStyle name="asd 47 4 3 2 16" xfId="32822"/>
    <cellStyle name="asd 47 4 3 2 17" xfId="33673"/>
    <cellStyle name="asd 47 4 3 2 18" xfId="36747"/>
    <cellStyle name="asd 47 4 3 2 19" xfId="38626"/>
    <cellStyle name="asd 47 4 3 2 2" xfId="7317"/>
    <cellStyle name="asd 47 4 3 2 20" xfId="40031"/>
    <cellStyle name="asd 47 4 3 2 21" xfId="41695"/>
    <cellStyle name="asd 47 4 3 2 22" xfId="43877"/>
    <cellStyle name="asd 47 4 3 2 3" xfId="8771"/>
    <cellStyle name="asd 47 4 3 2 4" xfId="10681"/>
    <cellStyle name="asd 47 4 3 2 5" xfId="12094"/>
    <cellStyle name="asd 47 4 3 2 6" xfId="14605"/>
    <cellStyle name="asd 47 4 3 2 7" xfId="16511"/>
    <cellStyle name="asd 47 4 3 2 8" xfId="18300"/>
    <cellStyle name="asd 47 4 3 2 9" xfId="20206"/>
    <cellStyle name="asd 47 4 3 20" xfId="38018"/>
    <cellStyle name="asd 47 4 3 21" xfId="39629"/>
    <cellStyle name="asd 47 4 3 22" xfId="41303"/>
    <cellStyle name="asd 47 4 3 23" xfId="42486"/>
    <cellStyle name="asd 47 4 3 3" xfId="5262"/>
    <cellStyle name="asd 47 4 3 4" xfId="8163"/>
    <cellStyle name="asd 47 4 3 5" xfId="10073"/>
    <cellStyle name="asd 47 4 3 6" xfId="11787"/>
    <cellStyle name="asd 47 4 3 7" xfId="13149"/>
    <cellStyle name="asd 47 4 3 8" xfId="15054"/>
    <cellStyle name="asd 47 4 3 9" xfId="17692"/>
    <cellStyle name="asd 47 4 4" xfId="4001"/>
    <cellStyle name="asd 47 4 4 10" xfId="19636"/>
    <cellStyle name="asd 47 4 4 11" xfId="21548"/>
    <cellStyle name="asd 47 4 4 12" xfId="24157"/>
    <cellStyle name="asd 47 4 4 13" xfId="25350"/>
    <cellStyle name="asd 47 4 4 14" xfId="27596"/>
    <cellStyle name="asd 47 4 4 15" xfId="29218"/>
    <cellStyle name="asd 47 4 4 16" xfId="31174"/>
    <cellStyle name="asd 47 4 4 17" xfId="32527"/>
    <cellStyle name="asd 47 4 4 18" xfId="34890"/>
    <cellStyle name="asd 47 4 4 19" xfId="36177"/>
    <cellStyle name="asd 47 4 4 2" xfId="5906"/>
    <cellStyle name="asd 47 4 4 2 10" xfId="22156"/>
    <cellStyle name="asd 47 4 4 2 11" xfId="23267"/>
    <cellStyle name="asd 47 4 4 2 12" xfId="25958"/>
    <cellStyle name="asd 47 4 4 2 13" xfId="27423"/>
    <cellStyle name="asd 47 4 4 2 14" xfId="28792"/>
    <cellStyle name="asd 47 4 4 2 15" xfId="31009"/>
    <cellStyle name="asd 47 4 4 2 16" xfId="32648"/>
    <cellStyle name="asd 47 4 4 2 17" xfId="33899"/>
    <cellStyle name="asd 47 4 4 2 18" xfId="36785"/>
    <cellStyle name="asd 47 4 4 2 19" xfId="38664"/>
    <cellStyle name="asd 47 4 4 2 2" xfId="7355"/>
    <cellStyle name="asd 47 4 4 2 20" xfId="39855"/>
    <cellStyle name="asd 47 4 4 2 21" xfId="41524"/>
    <cellStyle name="asd 47 4 4 2 22" xfId="43043"/>
    <cellStyle name="asd 47 4 4 2 3" xfId="8809"/>
    <cellStyle name="asd 47 4 4 2 4" xfId="10719"/>
    <cellStyle name="asd 47 4 4 2 5" xfId="11202"/>
    <cellStyle name="asd 47 4 4 2 6" xfId="13739"/>
    <cellStyle name="asd 47 4 4 2 7" xfId="15641"/>
    <cellStyle name="asd 47 4 4 2 8" xfId="18338"/>
    <cellStyle name="asd 47 4 4 2 9" xfId="20244"/>
    <cellStyle name="asd 47 4 4 20" xfId="38056"/>
    <cellStyle name="asd 47 4 4 21" xfId="39740"/>
    <cellStyle name="asd 47 4 4 22" xfId="41412"/>
    <cellStyle name="asd 47 4 4 23" xfId="43899"/>
    <cellStyle name="asd 47 4 4 3" xfId="6747"/>
    <cellStyle name="asd 47 4 4 4" xfId="8201"/>
    <cellStyle name="asd 47 4 4 5" xfId="10111"/>
    <cellStyle name="asd 47 4 4 6" xfId="12117"/>
    <cellStyle name="asd 47 4 4 7" xfId="14628"/>
    <cellStyle name="asd 47 4 4 8" xfId="16534"/>
    <cellStyle name="asd 47 4 4 9" xfId="17730"/>
    <cellStyle name="asd 47 4 5" xfId="5687"/>
    <cellStyle name="asd 47 4 5 10" xfId="21937"/>
    <cellStyle name="asd 47 4 5 11" xfId="23929"/>
    <cellStyle name="asd 47 4 5 12" xfId="25739"/>
    <cellStyle name="asd 47 4 5 13" xfId="26766"/>
    <cellStyle name="asd 47 4 5 14" xfId="23068"/>
    <cellStyle name="asd 47 4 5 15" xfId="30365"/>
    <cellStyle name="asd 47 4 5 16" xfId="27345"/>
    <cellStyle name="asd 47 4 5 17" xfId="30920"/>
    <cellStyle name="asd 47 4 5 18" xfId="36566"/>
    <cellStyle name="asd 47 4 5 19" xfId="38445"/>
    <cellStyle name="asd 47 4 5 2" xfId="7136"/>
    <cellStyle name="asd 47 4 5 20" xfId="2184"/>
    <cellStyle name="asd 47 4 5 21" xfId="4158"/>
    <cellStyle name="asd 47 4 5 22" xfId="43675"/>
    <cellStyle name="asd 47 4 5 3" xfId="8590"/>
    <cellStyle name="asd 47 4 5 4" xfId="10500"/>
    <cellStyle name="asd 47 4 5 5" xfId="11888"/>
    <cellStyle name="asd 47 4 5 6" xfId="14398"/>
    <cellStyle name="asd 47 4 5 7" xfId="16304"/>
    <cellStyle name="asd 47 4 5 8" xfId="18119"/>
    <cellStyle name="asd 47 4 5 9" xfId="20025"/>
    <cellStyle name="asd 47 4 6" xfId="6669"/>
    <cellStyle name="asd 47 4 7" xfId="9051"/>
    <cellStyle name="asd 47 4 8" xfId="11516"/>
    <cellStyle name="asd 47 4 9" xfId="12832"/>
    <cellStyle name="asd 47 5" xfId="3260"/>
    <cellStyle name="asd 47 5 10" xfId="17283"/>
    <cellStyle name="asd 47 5 11" xfId="19189"/>
    <cellStyle name="asd 47 5 12" xfId="21101"/>
    <cellStyle name="asd 47 5 13" xfId="22551"/>
    <cellStyle name="asd 47 5 14" xfId="24903"/>
    <cellStyle name="asd 47 5 15" xfId="27441"/>
    <cellStyle name="asd 47 5 16" xfId="28805"/>
    <cellStyle name="asd 47 5 17" xfId="31027"/>
    <cellStyle name="asd 47 5 18" xfId="32746"/>
    <cellStyle name="asd 47 5 19" xfId="33978"/>
    <cellStyle name="asd 47 5 2" xfId="5735"/>
    <cellStyle name="asd 47 5 2 10" xfId="21985"/>
    <cellStyle name="asd 47 5 2 11" xfId="23138"/>
    <cellStyle name="asd 47 5 2 12" xfId="25787"/>
    <cellStyle name="asd 47 5 2 13" xfId="26443"/>
    <cellStyle name="asd 47 5 2 14" xfId="28210"/>
    <cellStyle name="asd 47 5 2 15" xfId="30049"/>
    <cellStyle name="asd 47 5 2 16" xfId="33030"/>
    <cellStyle name="asd 47 5 2 17" xfId="34710"/>
    <cellStyle name="asd 47 5 2 18" xfId="36614"/>
    <cellStyle name="asd 47 5 2 19" xfId="38493"/>
    <cellStyle name="asd 47 5 2 2" xfId="7184"/>
    <cellStyle name="asd 47 5 2 20" xfId="40230"/>
    <cellStyle name="asd 47 5 2 21" xfId="41889"/>
    <cellStyle name="asd 47 5 2 22" xfId="42916"/>
    <cellStyle name="asd 47 5 2 3" xfId="8638"/>
    <cellStyle name="asd 47 5 2 4" xfId="10548"/>
    <cellStyle name="asd 47 5 2 5" xfId="12762"/>
    <cellStyle name="asd 47 5 2 6" xfId="13609"/>
    <cellStyle name="asd 47 5 2 7" xfId="15512"/>
    <cellStyle name="asd 47 5 2 8" xfId="18167"/>
    <cellStyle name="asd 47 5 2 9" xfId="20073"/>
    <cellStyle name="asd 47 5 20" xfId="35730"/>
    <cellStyle name="asd 47 5 21" xfId="37609"/>
    <cellStyle name="asd 47 5 22" xfId="39955"/>
    <cellStyle name="asd 47 5 23" xfId="41619"/>
    <cellStyle name="asd 47 5 24" xfId="42360"/>
    <cellStyle name="asd 47 5 3" xfId="4853"/>
    <cellStyle name="asd 47 5 4" xfId="6303"/>
    <cellStyle name="asd 47 5 5" xfId="7754"/>
    <cellStyle name="asd 47 5 6" xfId="9664"/>
    <cellStyle name="asd 47 5 7" xfId="2707"/>
    <cellStyle name="asd 47 5 8" xfId="13019"/>
    <cellStyle name="asd 47 5 9" xfId="14923"/>
    <cellStyle name="asd 47 6" xfId="3057"/>
    <cellStyle name="asd 47 6 10" xfId="19149"/>
    <cellStyle name="asd 47 6 11" xfId="21061"/>
    <cellStyle name="asd 47 6 12" xfId="23086"/>
    <cellStyle name="asd 47 6 13" xfId="24863"/>
    <cellStyle name="asd 47 6 14" xfId="27942"/>
    <cellStyle name="asd 47 6 15" xfId="28410"/>
    <cellStyle name="asd 47 6 16" xfId="31522"/>
    <cellStyle name="asd 47 6 17" xfId="33297"/>
    <cellStyle name="asd 47 6 18" xfId="34353"/>
    <cellStyle name="asd 47 6 19" xfId="35690"/>
    <cellStyle name="asd 47 6 2" xfId="4592"/>
    <cellStyle name="asd 47 6 2 10" xfId="20837"/>
    <cellStyle name="asd 47 6 2 11" xfId="23245"/>
    <cellStyle name="asd 47 6 2 12" xfId="24639"/>
    <cellStyle name="asd 47 6 2 13" xfId="27677"/>
    <cellStyle name="asd 47 6 2 14" xfId="28193"/>
    <cellStyle name="asd 47 6 2 15" xfId="31252"/>
    <cellStyle name="asd 47 6 2 16" xfId="32808"/>
    <cellStyle name="asd 47 6 2 17" xfId="34937"/>
    <cellStyle name="asd 47 6 2 18" xfId="35467"/>
    <cellStyle name="asd 47 6 2 19" xfId="37345"/>
    <cellStyle name="asd 47 6 2 2" xfId="1876"/>
    <cellStyle name="asd 47 6 2 20" xfId="40017"/>
    <cellStyle name="asd 47 6 2 21" xfId="41681"/>
    <cellStyle name="asd 47 6 2 22" xfId="43022"/>
    <cellStyle name="asd 47 6 2 3" xfId="3922"/>
    <cellStyle name="asd 47 6 2 4" xfId="9399"/>
    <cellStyle name="asd 47 6 2 5" xfId="11142"/>
    <cellStyle name="asd 47 6 2 6" xfId="13717"/>
    <cellStyle name="asd 47 6 2 7" xfId="15619"/>
    <cellStyle name="asd 47 6 2 8" xfId="17018"/>
    <cellStyle name="asd 47 6 2 9" xfId="18925"/>
    <cellStyle name="asd 47 6 20" xfId="37569"/>
    <cellStyle name="asd 47 6 21" xfId="40481"/>
    <cellStyle name="asd 47 6 22" xfId="42135"/>
    <cellStyle name="asd 47 6 23" xfId="42868"/>
    <cellStyle name="asd 47 6 3" xfId="4813"/>
    <cellStyle name="asd 47 6 4" xfId="7714"/>
    <cellStyle name="asd 47 6 5" xfId="9624"/>
    <cellStyle name="asd 47 6 6" xfId="12696"/>
    <cellStyle name="asd 47 6 7" xfId="13557"/>
    <cellStyle name="asd 47 6 8" xfId="15460"/>
    <cellStyle name="asd 47 6 9" xfId="17243"/>
    <cellStyle name="asd 47 7" xfId="3158"/>
    <cellStyle name="asd 47 7 10" xfId="19169"/>
    <cellStyle name="asd 47 7 11" xfId="21081"/>
    <cellStyle name="asd 47 7 12" xfId="22422"/>
    <cellStyle name="asd 47 7 13" xfId="24883"/>
    <cellStyle name="asd 47 7 14" xfId="26223"/>
    <cellStyle name="asd 47 7 15" xfId="28063"/>
    <cellStyle name="asd 47 7 16" xfId="29834"/>
    <cellStyle name="asd 47 7 17" xfId="32914"/>
    <cellStyle name="asd 47 7 18" xfId="34769"/>
    <cellStyle name="asd 47 7 19" xfId="35710"/>
    <cellStyle name="asd 47 7 2" xfId="5703"/>
    <cellStyle name="asd 47 7 2 10" xfId="21953"/>
    <cellStyle name="asd 47 7 2 11" xfId="24070"/>
    <cellStyle name="asd 47 7 2 12" xfId="25755"/>
    <cellStyle name="asd 47 7 2 13" xfId="26877"/>
    <cellStyle name="asd 47 7 2 14" xfId="2167"/>
    <cellStyle name="asd 47 7 2 15" xfId="30474"/>
    <cellStyle name="asd 47 7 2 16" xfId="2504"/>
    <cellStyle name="asd 47 7 2 17" xfId="2331"/>
    <cellStyle name="asd 47 7 2 18" xfId="36582"/>
    <cellStyle name="asd 47 7 2 19" xfId="38461"/>
    <cellStyle name="asd 47 7 2 2" xfId="7152"/>
    <cellStyle name="asd 47 7 2 20" xfId="33798"/>
    <cellStyle name="asd 47 7 2 21" xfId="3839"/>
    <cellStyle name="asd 47 7 2 22" xfId="43814"/>
    <cellStyle name="asd 47 7 2 3" xfId="8606"/>
    <cellStyle name="asd 47 7 2 4" xfId="10516"/>
    <cellStyle name="asd 47 7 2 5" xfId="12029"/>
    <cellStyle name="asd 47 7 2 6" xfId="14540"/>
    <cellStyle name="asd 47 7 2 7" xfId="16446"/>
    <cellStyle name="asd 47 7 2 8" xfId="18135"/>
    <cellStyle name="asd 47 7 2 9" xfId="20041"/>
    <cellStyle name="asd 47 7 20" xfId="37589"/>
    <cellStyle name="asd 47 7 21" xfId="40118"/>
    <cellStyle name="asd 47 7 22" xfId="41778"/>
    <cellStyle name="asd 47 7 23" xfId="42233"/>
    <cellStyle name="asd 47 7 3" xfId="6283"/>
    <cellStyle name="asd 47 7 4" xfId="7734"/>
    <cellStyle name="asd 47 7 5" xfId="9644"/>
    <cellStyle name="asd 47 7 6" xfId="11781"/>
    <cellStyle name="asd 47 7 7" xfId="12889"/>
    <cellStyle name="asd 47 7 8" xfId="14794"/>
    <cellStyle name="asd 47 7 9" xfId="17263"/>
    <cellStyle name="asd 47 8" xfId="4245"/>
    <cellStyle name="asd 47 9" xfId="2508"/>
    <cellStyle name="asd 48" xfId="1041"/>
    <cellStyle name="asd 48 10" xfId="2609"/>
    <cellStyle name="asd 48 11" xfId="1909"/>
    <cellStyle name="asd 48 12" xfId="2584"/>
    <cellStyle name="asd 48 13" xfId="10892"/>
    <cellStyle name="asd 48 14" xfId="13172"/>
    <cellStyle name="asd 48 15" xfId="2823"/>
    <cellStyle name="asd 48 16" xfId="2409"/>
    <cellStyle name="asd 48 17" xfId="2793"/>
    <cellStyle name="asd 48 18" xfId="26488"/>
    <cellStyle name="asd 48 19" xfId="28704"/>
    <cellStyle name="asd 48 2" xfId="3435"/>
    <cellStyle name="asd 48 2 10" xfId="13208"/>
    <cellStyle name="asd 48 2 11" xfId="15111"/>
    <cellStyle name="asd 48 2 12" xfId="16813"/>
    <cellStyle name="asd 48 2 13" xfId="18720"/>
    <cellStyle name="asd 48 2 14" xfId="20632"/>
    <cellStyle name="asd 48 2 15" xfId="22739"/>
    <cellStyle name="asd 48 2 16" xfId="24434"/>
    <cellStyle name="asd 48 2 17" xfId="27741"/>
    <cellStyle name="asd 48 2 18" xfId="22679"/>
    <cellStyle name="asd 48 2 19" xfId="31319"/>
    <cellStyle name="asd 48 2 2" xfId="3615"/>
    <cellStyle name="asd 48 2 2 10" xfId="17506"/>
    <cellStyle name="asd 48 2 2 11" xfId="19412"/>
    <cellStyle name="asd 48 2 2 12" xfId="21324"/>
    <cellStyle name="asd 48 2 2 13" xfId="23655"/>
    <cellStyle name="asd 48 2 2 14" xfId="25126"/>
    <cellStyle name="asd 48 2 2 15" xfId="27954"/>
    <cellStyle name="asd 48 2 2 16" xfId="24147"/>
    <cellStyle name="asd 48 2 2 17" xfId="31534"/>
    <cellStyle name="asd 48 2 2 18" xfId="31789"/>
    <cellStyle name="asd 48 2 2 19" xfId="33711"/>
    <cellStyle name="asd 48 2 2 2" xfId="5670"/>
    <cellStyle name="asd 48 2 2 2 10" xfId="21920"/>
    <cellStyle name="asd 48 2 2 2 11" xfId="24165"/>
    <cellStyle name="asd 48 2 2 2 12" xfId="25722"/>
    <cellStyle name="asd 48 2 2 2 13" xfId="27006"/>
    <cellStyle name="asd 48 2 2 2 14" xfId="28064"/>
    <cellStyle name="asd 48 2 2 2 15" xfId="30599"/>
    <cellStyle name="asd 48 2 2 2 16" xfId="32157"/>
    <cellStyle name="asd 48 2 2 2 17" xfId="34663"/>
    <cellStyle name="asd 48 2 2 2 18" xfId="36549"/>
    <cellStyle name="asd 48 2 2 2 19" xfId="38428"/>
    <cellStyle name="asd 48 2 2 2 2" xfId="7119"/>
    <cellStyle name="asd 48 2 2 2 20" xfId="39380"/>
    <cellStyle name="asd 48 2 2 2 21" xfId="41056"/>
    <cellStyle name="asd 48 2 2 2 22" xfId="43907"/>
    <cellStyle name="asd 48 2 2 2 3" xfId="8573"/>
    <cellStyle name="asd 48 2 2 2 4" xfId="10483"/>
    <cellStyle name="asd 48 2 2 2 5" xfId="12125"/>
    <cellStyle name="asd 48 2 2 2 6" xfId="14636"/>
    <cellStyle name="asd 48 2 2 2 7" xfId="16542"/>
    <cellStyle name="asd 48 2 2 2 8" xfId="18102"/>
    <cellStyle name="asd 48 2 2 2 9" xfId="20008"/>
    <cellStyle name="asd 48 2 2 20" xfId="35953"/>
    <cellStyle name="asd 48 2 2 21" xfId="37832"/>
    <cellStyle name="asd 48 2 2 22" xfId="39028"/>
    <cellStyle name="asd 48 2 2 23" xfId="40710"/>
    <cellStyle name="asd 48 2 2 24" xfId="43413"/>
    <cellStyle name="asd 48 2 2 3" xfId="5076"/>
    <cellStyle name="asd 48 2 2 4" xfId="6526"/>
    <cellStyle name="asd 48 2 2 5" xfId="7977"/>
    <cellStyle name="asd 48 2 2 6" xfId="9887"/>
    <cellStyle name="asd 48 2 2 7" xfId="11609"/>
    <cellStyle name="asd 48 2 2 8" xfId="14125"/>
    <cellStyle name="asd 48 2 2 9" xfId="16028"/>
    <cellStyle name="asd 48 2 20" xfId="32103"/>
    <cellStyle name="asd 48 2 21" xfId="34392"/>
    <cellStyle name="asd 48 2 22" xfId="35262"/>
    <cellStyle name="asd 48 2 23" xfId="37140"/>
    <cellStyle name="asd 48 2 24" xfId="39327"/>
    <cellStyle name="asd 48 2 25" xfId="41003"/>
    <cellStyle name="asd 48 2 26" xfId="42537"/>
    <cellStyle name="asd 48 2 3" xfId="2058"/>
    <cellStyle name="asd 48 2 3 10" xfId="19008"/>
    <cellStyle name="asd 48 2 3 11" xfId="20920"/>
    <cellStyle name="asd 48 2 3 12" xfId="23126"/>
    <cellStyle name="asd 48 2 3 13" xfId="24722"/>
    <cellStyle name="asd 48 2 3 14" xfId="27649"/>
    <cellStyle name="asd 48 2 3 15" xfId="29259"/>
    <cellStyle name="asd 48 2 3 16" xfId="31226"/>
    <cellStyle name="asd 48 2 3 17" xfId="31753"/>
    <cellStyle name="asd 48 2 3 18" xfId="33397"/>
    <cellStyle name="asd 48 2 3 19" xfId="35549"/>
    <cellStyle name="asd 48 2 3 2" xfId="2484"/>
    <cellStyle name="asd 48 2 3 2 10" xfId="20613"/>
    <cellStyle name="asd 48 2 3 2 11" xfId="22773"/>
    <cellStyle name="asd 48 2 3 2 12" xfId="24415"/>
    <cellStyle name="asd 48 2 3 2 13" xfId="26547"/>
    <cellStyle name="asd 48 2 3 2 14" xfId="28970"/>
    <cellStyle name="asd 48 2 3 2 15" xfId="30152"/>
    <cellStyle name="asd 48 2 3 2 16" xfId="32637"/>
    <cellStyle name="asd 48 2 3 2 17" xfId="34971"/>
    <cellStyle name="asd 48 2 3 2 18" xfId="35243"/>
    <cellStyle name="asd 48 2 3 2 19" xfId="37121"/>
    <cellStyle name="asd 48 2 3 2 2" xfId="3127"/>
    <cellStyle name="asd 48 2 3 2 20" xfId="39844"/>
    <cellStyle name="asd 48 2 3 2 21" xfId="41513"/>
    <cellStyle name="asd 48 2 3 2 22" xfId="42568"/>
    <cellStyle name="asd 48 2 3 2 3" xfId="2096"/>
    <cellStyle name="asd 48 2 3 2 4" xfId="9175"/>
    <cellStyle name="asd 48 2 3 2 5" xfId="11362"/>
    <cellStyle name="asd 48 2 3 2 6" xfId="13243"/>
    <cellStyle name="asd 48 2 3 2 7" xfId="15146"/>
    <cellStyle name="asd 48 2 3 2 8" xfId="16794"/>
    <cellStyle name="asd 48 2 3 2 9" xfId="18701"/>
    <cellStyle name="asd 48 2 3 20" xfId="37428"/>
    <cellStyle name="asd 48 2 3 21" xfId="38993"/>
    <cellStyle name="asd 48 2 3 22" xfId="40676"/>
    <cellStyle name="asd 48 2 3 23" xfId="42905"/>
    <cellStyle name="asd 48 2 3 3" xfId="4675"/>
    <cellStyle name="asd 48 2 3 4" xfId="7573"/>
    <cellStyle name="asd 48 2 3 5" xfId="9483"/>
    <cellStyle name="asd 48 2 3 6" xfId="12747"/>
    <cellStyle name="asd 48 2 3 7" xfId="13597"/>
    <cellStyle name="asd 48 2 3 8" xfId="15500"/>
    <cellStyle name="asd 48 2 3 9" xfId="17102"/>
    <cellStyle name="asd 48 2 4" xfId="4067"/>
    <cellStyle name="asd 48 2 4 10" xfId="19702"/>
    <cellStyle name="asd 48 2 4 11" xfId="21614"/>
    <cellStyle name="asd 48 2 4 12" xfId="24111"/>
    <cellStyle name="asd 48 2 4 13" xfId="25416"/>
    <cellStyle name="asd 48 2 4 14" xfId="26861"/>
    <cellStyle name="asd 48 2 4 15" xfId="28531"/>
    <cellStyle name="asd 48 2 4 16" xfId="30458"/>
    <cellStyle name="asd 48 2 4 17" xfId="32935"/>
    <cellStyle name="asd 48 2 4 18" xfId="33650"/>
    <cellStyle name="asd 48 2 4 19" xfId="36243"/>
    <cellStyle name="asd 48 2 4 2" xfId="5972"/>
    <cellStyle name="asd 48 2 4 2 10" xfId="22222"/>
    <cellStyle name="asd 48 2 4 2 11" xfId="23215"/>
    <cellStyle name="asd 48 2 4 2 12" xfId="26024"/>
    <cellStyle name="asd 48 2 4 2 13" xfId="27389"/>
    <cellStyle name="asd 48 2 4 2 14" xfId="29395"/>
    <cellStyle name="asd 48 2 4 2 15" xfId="30975"/>
    <cellStyle name="asd 48 2 4 2 16" xfId="33184"/>
    <cellStyle name="asd 48 2 4 2 17" xfId="34061"/>
    <cellStyle name="asd 48 2 4 2 18" xfId="36851"/>
    <cellStyle name="asd 48 2 4 2 19" xfId="38730"/>
    <cellStyle name="asd 48 2 4 2 2" xfId="7421"/>
    <cellStyle name="asd 48 2 4 2 20" xfId="40375"/>
    <cellStyle name="asd 48 2 4 2 21" xfId="42031"/>
    <cellStyle name="asd 48 2 4 2 22" xfId="42993"/>
    <cellStyle name="asd 48 2 4 2 3" xfId="8875"/>
    <cellStyle name="asd 48 2 4 2 4" xfId="10785"/>
    <cellStyle name="asd 48 2 4 2 5" xfId="11087"/>
    <cellStyle name="asd 48 2 4 2 6" xfId="13687"/>
    <cellStyle name="asd 48 2 4 2 7" xfId="15589"/>
    <cellStyle name="asd 48 2 4 2 8" xfId="18404"/>
    <cellStyle name="asd 48 2 4 2 9" xfId="20310"/>
    <cellStyle name="asd 48 2 4 20" xfId="38122"/>
    <cellStyle name="asd 48 2 4 21" xfId="40139"/>
    <cellStyle name="asd 48 2 4 22" xfId="41798"/>
    <cellStyle name="asd 48 2 4 23" xfId="43854"/>
    <cellStyle name="asd 48 2 4 3" xfId="6813"/>
    <cellStyle name="asd 48 2 4 4" xfId="8267"/>
    <cellStyle name="asd 48 2 4 5" xfId="10177"/>
    <cellStyle name="asd 48 2 4 6" xfId="12071"/>
    <cellStyle name="asd 48 2 4 7" xfId="14582"/>
    <cellStyle name="asd 48 2 4 8" xfId="16488"/>
    <cellStyle name="asd 48 2 4 9" xfId="17796"/>
    <cellStyle name="asd 48 2 5" xfId="4924"/>
    <cellStyle name="asd 48 2 5 10" xfId="21172"/>
    <cellStyle name="asd 48 2 5 11" xfId="22841"/>
    <cellStyle name="asd 48 2 5 12" xfId="24974"/>
    <cellStyle name="asd 48 2 5 13" xfId="10879"/>
    <cellStyle name="asd 48 2 5 14" xfId="29000"/>
    <cellStyle name="asd 48 2 5 15" xfId="27760"/>
    <cellStyle name="asd 48 2 5 16" xfId="26138"/>
    <cellStyle name="asd 48 2 5 17" xfId="33685"/>
    <cellStyle name="asd 48 2 5 18" xfId="35801"/>
    <cellStyle name="asd 48 2 5 19" xfId="37680"/>
    <cellStyle name="asd 48 2 5 2" xfId="6374"/>
    <cellStyle name="asd 48 2 5 20" xfId="34272"/>
    <cellStyle name="asd 48 2 5 21" xfId="32015"/>
    <cellStyle name="asd 48 2 5 22" xfId="42632"/>
    <cellStyle name="asd 48 2 5 3" xfId="7825"/>
    <cellStyle name="asd 48 2 5 4" xfId="9735"/>
    <cellStyle name="asd 48 2 5 5" xfId="11217"/>
    <cellStyle name="asd 48 2 5 6" xfId="13310"/>
    <cellStyle name="asd 48 2 5 7" xfId="15214"/>
    <cellStyle name="asd 48 2 5 8" xfId="17354"/>
    <cellStyle name="asd 48 2 5 9" xfId="19260"/>
    <cellStyle name="asd 48 2 6" xfId="4345"/>
    <cellStyle name="asd 48 2 6 10" xfId="20552"/>
    <cellStyle name="asd 48 2 6 11" xfId="22544"/>
    <cellStyle name="asd 48 2 6 12" xfId="24354"/>
    <cellStyle name="asd 48 2 6 13" xfId="27145"/>
    <cellStyle name="asd 48 2 6 14" xfId="28169"/>
    <cellStyle name="asd 48 2 6 15" xfId="30736"/>
    <cellStyle name="asd 48 2 6 16" xfId="31980"/>
    <cellStyle name="asd 48 2 6 17" xfId="34855"/>
    <cellStyle name="asd 48 2 6 18" xfId="35182"/>
    <cellStyle name="asd 48 2 6 19" xfId="37060"/>
    <cellStyle name="asd 48 2 6 2" xfId="4309"/>
    <cellStyle name="asd 48 2 6 20" xfId="39211"/>
    <cellStyle name="asd 48 2 6 21" xfId="40891"/>
    <cellStyle name="asd 48 2 6 22" xfId="42353"/>
    <cellStyle name="asd 48 2 6 3" xfId="2329"/>
    <cellStyle name="asd 48 2 6 4" xfId="9114"/>
    <cellStyle name="asd 48 2 6 5" xfId="11514"/>
    <cellStyle name="asd 48 2 6 6" xfId="13012"/>
    <cellStyle name="asd 48 2 6 7" xfId="14916"/>
    <cellStyle name="asd 48 2 6 8" xfId="16733"/>
    <cellStyle name="asd 48 2 6 9" xfId="18640"/>
    <cellStyle name="asd 48 2 7" xfId="5329"/>
    <cellStyle name="asd 48 2 8" xfId="9194"/>
    <cellStyle name="asd 48 2 9" xfId="11587"/>
    <cellStyle name="asd 48 20" xfId="30093"/>
    <cellStyle name="asd 48 21" xfId="31837"/>
    <cellStyle name="asd 48 22" xfId="34644"/>
    <cellStyle name="asd 48 23" xfId="29327"/>
    <cellStyle name="asd 48 24" xfId="28180"/>
    <cellStyle name="asd 48 25" xfId="39074"/>
    <cellStyle name="asd 48 26" xfId="40756"/>
    <cellStyle name="asd 48 27" xfId="22779"/>
    <cellStyle name="asd 48 3" xfId="3501"/>
    <cellStyle name="asd 48 3 10" xfId="13289"/>
    <cellStyle name="asd 48 3 11" xfId="15193"/>
    <cellStyle name="asd 48 3 12" xfId="16960"/>
    <cellStyle name="asd 48 3 13" xfId="18867"/>
    <cellStyle name="asd 48 3 14" xfId="20779"/>
    <cellStyle name="asd 48 3 15" xfId="22819"/>
    <cellStyle name="asd 48 3 16" xfId="24581"/>
    <cellStyle name="asd 48 3 17" xfId="26589"/>
    <cellStyle name="asd 48 3 18" xfId="28672"/>
    <cellStyle name="asd 48 3 19" xfId="30191"/>
    <cellStyle name="asd 48 3 2" xfId="3681"/>
    <cellStyle name="asd 48 3 2 10" xfId="17572"/>
    <cellStyle name="asd 48 3 2 11" xfId="19478"/>
    <cellStyle name="asd 48 3 2 12" xfId="21390"/>
    <cellStyle name="asd 48 3 2 13" xfId="23663"/>
    <cellStyle name="asd 48 3 2 14" xfId="25192"/>
    <cellStyle name="asd 48 3 2 15" xfId="26642"/>
    <cellStyle name="asd 48 3 2 16" xfId="28224"/>
    <cellStyle name="asd 48 3 2 17" xfId="30245"/>
    <cellStyle name="asd 48 3 2 18" xfId="33189"/>
    <cellStyle name="asd 48 3 2 19" xfId="34215"/>
    <cellStyle name="asd 48 3 2 2" xfId="5748"/>
    <cellStyle name="asd 48 3 2 2 10" xfId="21998"/>
    <cellStyle name="asd 48 3 2 2 11" xfId="22758"/>
    <cellStyle name="asd 48 3 2 2 12" xfId="25800"/>
    <cellStyle name="asd 48 3 2 2 13" xfId="26214"/>
    <cellStyle name="asd 48 3 2 2 14" xfId="28184"/>
    <cellStyle name="asd 48 3 2 2 15" xfId="29825"/>
    <cellStyle name="asd 48 3 2 2 16" xfId="32773"/>
    <cellStyle name="asd 48 3 2 2 17" xfId="33400"/>
    <cellStyle name="asd 48 3 2 2 18" xfId="36627"/>
    <cellStyle name="asd 48 3 2 2 19" xfId="38506"/>
    <cellStyle name="asd 48 3 2 2 2" xfId="7197"/>
    <cellStyle name="asd 48 3 2 2 20" xfId="39982"/>
    <cellStyle name="asd 48 3 2 2 21" xfId="41646"/>
    <cellStyle name="asd 48 3 2 2 22" xfId="42555"/>
    <cellStyle name="asd 48 3 2 2 3" xfId="8651"/>
    <cellStyle name="asd 48 3 2 2 4" xfId="10561"/>
    <cellStyle name="asd 48 3 2 2 5" xfId="11393"/>
    <cellStyle name="asd 48 3 2 2 6" xfId="13227"/>
    <cellStyle name="asd 48 3 2 2 7" xfId="15130"/>
    <cellStyle name="asd 48 3 2 2 8" xfId="18180"/>
    <cellStyle name="asd 48 3 2 2 9" xfId="20086"/>
    <cellStyle name="asd 48 3 2 20" xfId="36019"/>
    <cellStyle name="asd 48 3 2 21" xfId="37898"/>
    <cellStyle name="asd 48 3 2 22" xfId="40380"/>
    <cellStyle name="asd 48 3 2 23" xfId="42036"/>
    <cellStyle name="asd 48 3 2 24" xfId="43421"/>
    <cellStyle name="asd 48 3 2 3" xfId="5142"/>
    <cellStyle name="asd 48 3 2 4" xfId="6592"/>
    <cellStyle name="asd 48 3 2 5" xfId="8043"/>
    <cellStyle name="asd 48 3 2 6" xfId="9953"/>
    <cellStyle name="asd 48 3 2 7" xfId="11677"/>
    <cellStyle name="asd 48 3 2 8" xfId="14134"/>
    <cellStyle name="asd 48 3 2 9" xfId="16037"/>
    <cellStyle name="asd 48 3 20" xfId="32904"/>
    <cellStyle name="asd 48 3 21" xfId="33453"/>
    <cellStyle name="asd 48 3 22" xfId="35409"/>
    <cellStyle name="asd 48 3 23" xfId="37287"/>
    <cellStyle name="asd 48 3 24" xfId="40108"/>
    <cellStyle name="asd 48 3 25" xfId="41768"/>
    <cellStyle name="asd 48 3 26" xfId="42612"/>
    <cellStyle name="asd 48 3 3" xfId="3884"/>
    <cellStyle name="asd 48 3 3 10" xfId="19593"/>
    <cellStyle name="asd 48 3 3 11" xfId="21505"/>
    <cellStyle name="asd 48 3 3 12" xfId="23685"/>
    <cellStyle name="asd 48 3 3 13" xfId="25307"/>
    <cellStyle name="asd 48 3 3 14" xfId="26368"/>
    <cellStyle name="asd 48 3 3 15" xfId="27087"/>
    <cellStyle name="asd 48 3 3 16" xfId="29976"/>
    <cellStyle name="asd 48 3 3 17" xfId="31811"/>
    <cellStyle name="asd 48 3 3 18" xfId="34252"/>
    <cellStyle name="asd 48 3 3 19" xfId="36134"/>
    <cellStyle name="asd 48 3 3 2" xfId="5863"/>
    <cellStyle name="asd 48 3 3 2 10" xfId="22113"/>
    <cellStyle name="asd 48 3 3 2 11" xfId="23637"/>
    <cellStyle name="asd 48 3 3 2 12" xfId="25915"/>
    <cellStyle name="asd 48 3 3 2 13" xfId="27848"/>
    <cellStyle name="asd 48 3 3 2 14" xfId="28987"/>
    <cellStyle name="asd 48 3 3 2 15" xfId="31427"/>
    <cellStyle name="asd 48 3 3 2 16" xfId="32700"/>
    <cellStyle name="asd 48 3 3 2 17" xfId="33852"/>
    <cellStyle name="asd 48 3 3 2 18" xfId="36742"/>
    <cellStyle name="asd 48 3 3 2 19" xfId="38621"/>
    <cellStyle name="asd 48 3 3 2 2" xfId="7312"/>
    <cellStyle name="asd 48 3 3 2 20" xfId="39908"/>
    <cellStyle name="asd 48 3 3 2 21" xfId="41577"/>
    <cellStyle name="asd 48 3 3 2 22" xfId="43395"/>
    <cellStyle name="asd 48 3 3 2 3" xfId="8766"/>
    <cellStyle name="asd 48 3 3 2 4" xfId="10676"/>
    <cellStyle name="asd 48 3 3 2 5" xfId="11792"/>
    <cellStyle name="asd 48 3 3 2 6" xfId="14107"/>
    <cellStyle name="asd 48 3 3 2 7" xfId="16010"/>
    <cellStyle name="asd 48 3 3 2 8" xfId="18295"/>
    <cellStyle name="asd 48 3 3 2 9" xfId="20201"/>
    <cellStyle name="asd 48 3 3 20" xfId="38013"/>
    <cellStyle name="asd 48 3 3 21" xfId="39049"/>
    <cellStyle name="asd 48 3 3 22" xfId="40731"/>
    <cellStyle name="asd 48 3 3 23" xfId="43442"/>
    <cellStyle name="asd 48 3 3 3" xfId="5257"/>
    <cellStyle name="asd 48 3 3 4" xfId="8158"/>
    <cellStyle name="asd 48 3 3 5" xfId="10068"/>
    <cellStyle name="asd 48 3 3 6" xfId="12677"/>
    <cellStyle name="asd 48 3 3 7" xfId="14155"/>
    <cellStyle name="asd 48 3 3 8" xfId="16059"/>
    <cellStyle name="asd 48 3 3 9" xfId="17687"/>
    <cellStyle name="asd 48 3 4" xfId="4133"/>
    <cellStyle name="asd 48 3 4 10" xfId="19768"/>
    <cellStyle name="asd 48 3 4 11" xfId="21680"/>
    <cellStyle name="asd 48 3 4 12" xfId="24045"/>
    <cellStyle name="asd 48 3 4 13" xfId="25482"/>
    <cellStyle name="asd 48 3 4 14" xfId="26280"/>
    <cellStyle name="asd 48 3 4 15" xfId="29622"/>
    <cellStyle name="asd 48 3 4 16" xfId="29889"/>
    <cellStyle name="asd 48 3 4 17" xfId="32793"/>
    <cellStyle name="asd 48 3 4 18" xfId="34536"/>
    <cellStyle name="asd 48 3 4 19" xfId="36309"/>
    <cellStyle name="asd 48 3 4 2" xfId="6038"/>
    <cellStyle name="asd 48 3 4 2 10" xfId="22288"/>
    <cellStyle name="asd 48 3 4 2 11" xfId="23255"/>
    <cellStyle name="asd 48 3 4 2 12" xfId="26090"/>
    <cellStyle name="asd 48 3 4 2 13" xfId="26996"/>
    <cellStyle name="asd 48 3 4 2 14" xfId="22342"/>
    <cellStyle name="asd 48 3 4 2 15" xfId="30590"/>
    <cellStyle name="asd 48 3 4 2 16" xfId="31676"/>
    <cellStyle name="asd 48 3 4 2 17" xfId="34312"/>
    <cellStyle name="asd 48 3 4 2 18" xfId="36917"/>
    <cellStyle name="asd 48 3 4 2 19" xfId="38796"/>
    <cellStyle name="asd 48 3 4 2 2" xfId="7487"/>
    <cellStyle name="asd 48 3 4 2 20" xfId="38919"/>
    <cellStyle name="asd 48 3 4 2 21" xfId="40603"/>
    <cellStyle name="asd 48 3 4 2 22" xfId="43031"/>
    <cellStyle name="asd 48 3 4 2 3" xfId="8941"/>
    <cellStyle name="asd 48 3 4 2 4" xfId="10851"/>
    <cellStyle name="asd 48 3 4 2 5" xfId="11168"/>
    <cellStyle name="asd 48 3 4 2 6" xfId="13727"/>
    <cellStyle name="asd 48 3 4 2 7" xfId="15629"/>
    <cellStyle name="asd 48 3 4 2 8" xfId="18470"/>
    <cellStyle name="asd 48 3 4 2 9" xfId="20376"/>
    <cellStyle name="asd 48 3 4 20" xfId="38188"/>
    <cellStyle name="asd 48 3 4 21" xfId="40002"/>
    <cellStyle name="asd 48 3 4 22" xfId="41666"/>
    <cellStyle name="asd 48 3 4 23" xfId="43789"/>
    <cellStyle name="asd 48 3 4 3" xfId="6879"/>
    <cellStyle name="asd 48 3 4 4" xfId="8333"/>
    <cellStyle name="asd 48 3 4 5" xfId="10243"/>
    <cellStyle name="asd 48 3 4 6" xfId="12004"/>
    <cellStyle name="asd 48 3 4 7" xfId="14515"/>
    <cellStyle name="asd 48 3 4 8" xfId="16421"/>
    <cellStyle name="asd 48 3 4 9" xfId="17862"/>
    <cellStyle name="asd 48 3 5" xfId="4977"/>
    <cellStyle name="asd 48 3 5 10" xfId="21225"/>
    <cellStyle name="asd 48 3 5 11" xfId="23866"/>
    <cellStyle name="asd 48 3 5 12" xfId="25027"/>
    <cellStyle name="asd 48 3 5 13" xfId="26324"/>
    <cellStyle name="asd 48 3 5 14" xfId="28299"/>
    <cellStyle name="asd 48 3 5 15" xfId="29932"/>
    <cellStyle name="asd 48 3 5 16" xfId="31616"/>
    <cellStyle name="asd 48 3 5 17" xfId="33693"/>
    <cellStyle name="asd 48 3 5 18" xfId="35854"/>
    <cellStyle name="asd 48 3 5 19" xfId="37733"/>
    <cellStyle name="asd 48 3 5 2" xfId="6427"/>
    <cellStyle name="asd 48 3 5 20" xfId="38863"/>
    <cellStyle name="asd 48 3 5 21" xfId="40549"/>
    <cellStyle name="asd 48 3 5 22" xfId="43616"/>
    <cellStyle name="asd 48 3 5 3" xfId="7878"/>
    <cellStyle name="asd 48 3 5 4" xfId="9788"/>
    <cellStyle name="asd 48 3 5 5" xfId="11638"/>
    <cellStyle name="asd 48 3 5 6" xfId="14336"/>
    <cellStyle name="asd 48 3 5 7" xfId="16240"/>
    <cellStyle name="asd 48 3 5 8" xfId="17407"/>
    <cellStyle name="asd 48 3 5 9" xfId="19313"/>
    <cellStyle name="asd 48 3 6" xfId="4272"/>
    <cellStyle name="asd 48 3 6 10" xfId="20551"/>
    <cellStyle name="asd 48 3 6 11" xfId="23596"/>
    <cellStyle name="asd 48 3 6 12" xfId="24353"/>
    <cellStyle name="asd 48 3 6 13" xfId="3734"/>
    <cellStyle name="asd 48 3 6 14" xfId="22334"/>
    <cellStyle name="asd 48 3 6 15" xfId="16612"/>
    <cellStyle name="asd 48 3 6 16" xfId="31564"/>
    <cellStyle name="asd 48 3 6 17" xfId="29421"/>
    <cellStyle name="asd 48 3 6 18" xfId="35181"/>
    <cellStyle name="asd 48 3 6 19" xfId="37059"/>
    <cellStyle name="asd 48 3 6 2" xfId="5337"/>
    <cellStyle name="asd 48 3 6 20" xfId="38823"/>
    <cellStyle name="asd 48 3 6 21" xfId="40516"/>
    <cellStyle name="asd 48 3 6 22" xfId="43355"/>
    <cellStyle name="asd 48 3 6 3" xfId="6203"/>
    <cellStyle name="asd 48 3 6 4" xfId="9113"/>
    <cellStyle name="asd 48 3 6 5" xfId="11107"/>
    <cellStyle name="asd 48 3 6 6" xfId="14066"/>
    <cellStyle name="asd 48 3 6 7" xfId="15969"/>
    <cellStyle name="asd 48 3 6 8" xfId="16732"/>
    <cellStyle name="asd 48 3 6 9" xfId="18639"/>
    <cellStyle name="asd 48 3 7" xfId="6224"/>
    <cellStyle name="asd 48 3 8" xfId="9341"/>
    <cellStyle name="asd 48 3 9" xfId="11014"/>
    <cellStyle name="asd 48 4" xfId="2004"/>
    <cellStyle name="asd 48 4 10" xfId="10910"/>
    <cellStyle name="asd 48 4 11" xfId="3330"/>
    <cellStyle name="asd 48 4 12" xfId="2348"/>
    <cellStyle name="asd 48 4 13" xfId="1892"/>
    <cellStyle name="asd 48 4 14" xfId="4204"/>
    <cellStyle name="asd 48 4 15" xfId="2193"/>
    <cellStyle name="asd 48 4 16" xfId="4354"/>
    <cellStyle name="asd 48 4 17" xfId="26514"/>
    <cellStyle name="asd 48 4 18" xfId="27709"/>
    <cellStyle name="asd 48 4 19" xfId="28282"/>
    <cellStyle name="asd 48 4 2" xfId="2622"/>
    <cellStyle name="asd 48 4 2 10" xfId="17184"/>
    <cellStyle name="asd 48 4 2 11" xfId="19090"/>
    <cellStyle name="asd 48 4 2 12" xfId="21002"/>
    <cellStyle name="asd 48 4 2 13" xfId="22709"/>
    <cellStyle name="asd 48 4 2 14" xfId="24804"/>
    <cellStyle name="asd 48 4 2 15" xfId="26195"/>
    <cellStyle name="asd 48 4 2 16" xfId="29468"/>
    <cellStyle name="asd 48 4 2 17" xfId="29808"/>
    <cellStyle name="asd 48 4 2 18" xfId="32858"/>
    <cellStyle name="asd 48 4 2 19" xfId="34618"/>
    <cellStyle name="asd 48 4 2 2" xfId="5580"/>
    <cellStyle name="asd 48 4 2 2 10" xfId="21830"/>
    <cellStyle name="asd 48 4 2 2 11" xfId="23004"/>
    <cellStyle name="asd 48 4 2 2 12" xfId="25632"/>
    <cellStyle name="asd 48 4 2 2 13" xfId="2488"/>
    <cellStyle name="asd 48 4 2 2 14" xfId="2818"/>
    <cellStyle name="asd 48 4 2 2 15" xfId="4210"/>
    <cellStyle name="asd 48 4 2 2 16" xfId="31556"/>
    <cellStyle name="asd 48 4 2 2 17" xfId="24207"/>
    <cellStyle name="asd 48 4 2 2 18" xfId="36459"/>
    <cellStyle name="asd 48 4 2 2 19" xfId="38338"/>
    <cellStyle name="asd 48 4 2 2 2" xfId="7029"/>
    <cellStyle name="asd 48 4 2 2 20" xfId="38818"/>
    <cellStyle name="asd 48 4 2 2 21" xfId="40513"/>
    <cellStyle name="asd 48 4 2 2 22" xfId="42788"/>
    <cellStyle name="asd 48 4 2 2 3" xfId="8483"/>
    <cellStyle name="asd 48 4 2 2 4" xfId="10393"/>
    <cellStyle name="asd 48 4 2 2 5" xfId="11275"/>
    <cellStyle name="asd 48 4 2 2 6" xfId="13474"/>
    <cellStyle name="asd 48 4 2 2 7" xfId="15379"/>
    <cellStyle name="asd 48 4 2 2 8" xfId="18012"/>
    <cellStyle name="asd 48 4 2 2 9" xfId="19918"/>
    <cellStyle name="asd 48 4 2 20" xfId="35631"/>
    <cellStyle name="asd 48 4 2 21" xfId="37510"/>
    <cellStyle name="asd 48 4 2 22" xfId="40065"/>
    <cellStyle name="asd 48 4 2 23" xfId="41729"/>
    <cellStyle name="asd 48 4 2 24" xfId="42509"/>
    <cellStyle name="asd 48 4 2 3" xfId="4755"/>
    <cellStyle name="asd 48 4 2 4" xfId="6204"/>
    <cellStyle name="asd 48 4 2 5" xfId="7655"/>
    <cellStyle name="asd 48 4 2 6" xfId="9565"/>
    <cellStyle name="asd 48 4 2 7" xfId="2520"/>
    <cellStyle name="asd 48 4 2 8" xfId="13177"/>
    <cellStyle name="asd 48 4 2 9" xfId="15081"/>
    <cellStyle name="asd 48 4 20" xfId="6141"/>
    <cellStyle name="asd 48 4 21" xfId="29516"/>
    <cellStyle name="asd 48 4 22" xfId="33364"/>
    <cellStyle name="asd 48 4 23" xfId="2826"/>
    <cellStyle name="asd 48 4 24" xfId="22604"/>
    <cellStyle name="asd 48 4 25" xfId="39953"/>
    <cellStyle name="asd 48 4 3" xfId="1849"/>
    <cellStyle name="asd 48 4 3 10" xfId="18978"/>
    <cellStyle name="asd 48 4 3 11" xfId="20890"/>
    <cellStyle name="asd 48 4 3 12" xfId="23751"/>
    <cellStyle name="asd 48 4 3 13" xfId="24692"/>
    <cellStyle name="asd 48 4 3 14" xfId="26238"/>
    <cellStyle name="asd 48 4 3 15" xfId="29673"/>
    <cellStyle name="asd 48 4 3 16" xfId="29848"/>
    <cellStyle name="asd 48 4 3 17" xfId="32229"/>
    <cellStyle name="asd 48 4 3 18" xfId="34005"/>
    <cellStyle name="asd 48 4 3 19" xfId="35519"/>
    <cellStyle name="asd 48 4 3 2" xfId="4236"/>
    <cellStyle name="asd 48 4 3 2 10" xfId="20569"/>
    <cellStyle name="asd 48 4 3 2 11" xfId="23568"/>
    <cellStyle name="asd 48 4 3 2 12" xfId="24371"/>
    <cellStyle name="asd 48 4 3 2 13" xfId="26508"/>
    <cellStyle name="asd 48 4 3 2 14" xfId="28070"/>
    <cellStyle name="asd 48 4 3 2 15" xfId="30114"/>
    <cellStyle name="asd 48 4 3 2 16" xfId="32131"/>
    <cellStyle name="asd 48 4 3 2 17" xfId="33393"/>
    <cellStyle name="asd 48 4 3 2 18" xfId="35199"/>
    <cellStyle name="asd 48 4 3 2 19" xfId="37077"/>
    <cellStyle name="asd 48 4 3 2 2" xfId="5417"/>
    <cellStyle name="asd 48 4 3 2 20" xfId="39354"/>
    <cellStyle name="asd 48 4 3 2 21" xfId="41030"/>
    <cellStyle name="asd 48 4 3 2 22" xfId="43332"/>
    <cellStyle name="asd 48 4 3 2 3" xfId="6290"/>
    <cellStyle name="asd 48 4 3 2 4" xfId="9131"/>
    <cellStyle name="asd 48 4 3 2 5" xfId="12551"/>
    <cellStyle name="asd 48 4 3 2 6" xfId="14040"/>
    <cellStyle name="asd 48 4 3 2 7" xfId="15941"/>
    <cellStyle name="asd 48 4 3 2 8" xfId="16750"/>
    <cellStyle name="asd 48 4 3 2 9" xfId="18657"/>
    <cellStyle name="asd 48 4 3 20" xfId="37398"/>
    <cellStyle name="asd 48 4 3 21" xfId="39448"/>
    <cellStyle name="asd 48 4 3 22" xfId="41123"/>
    <cellStyle name="asd 48 4 3 23" xfId="43504"/>
    <cellStyle name="asd 48 4 3 3" xfId="4646"/>
    <cellStyle name="asd 48 4 3 4" xfId="7543"/>
    <cellStyle name="asd 48 4 3 5" xfId="9453"/>
    <cellStyle name="asd 48 4 3 6" xfId="11522"/>
    <cellStyle name="asd 48 4 3 7" xfId="14221"/>
    <cellStyle name="asd 48 4 3 8" xfId="16125"/>
    <cellStyle name="asd 48 4 3 9" xfId="17072"/>
    <cellStyle name="asd 48 4 4" xfId="2964"/>
    <cellStyle name="asd 48 4 4 10" xfId="19132"/>
    <cellStyle name="asd 48 4 4 11" xfId="21044"/>
    <cellStyle name="asd 48 4 4 12" xfId="24047"/>
    <cellStyle name="asd 48 4 4 13" xfId="24846"/>
    <cellStyle name="asd 48 4 4 14" xfId="27934"/>
    <cellStyle name="asd 48 4 4 15" xfId="28206"/>
    <cellStyle name="asd 48 4 4 16" xfId="31515"/>
    <cellStyle name="asd 48 4 4 17" xfId="33239"/>
    <cellStyle name="asd 48 4 4 18" xfId="34409"/>
    <cellStyle name="asd 48 4 4 19" xfId="35673"/>
    <cellStyle name="asd 48 4 4 2" xfId="4615"/>
    <cellStyle name="asd 48 4 4 2 10" xfId="20860"/>
    <cellStyle name="asd 48 4 4 2 11" xfId="23871"/>
    <cellStyle name="asd 48 4 4 2 12" xfId="24662"/>
    <cellStyle name="asd 48 4 4 2 13" xfId="26172"/>
    <cellStyle name="asd 48 4 4 2 14" xfId="28814"/>
    <cellStyle name="asd 48 4 4 2 15" xfId="29785"/>
    <cellStyle name="asd 48 4 4 2 16" xfId="31862"/>
    <cellStyle name="asd 48 4 4 2 17" xfId="33573"/>
    <cellStyle name="asd 48 4 4 2 18" xfId="35490"/>
    <cellStyle name="asd 48 4 4 2 19" xfId="37368"/>
    <cellStyle name="asd 48 4 4 2 2" xfId="6063"/>
    <cellStyle name="asd 48 4 4 2 20" xfId="39097"/>
    <cellStyle name="asd 48 4 4 2 21" xfId="40778"/>
    <cellStyle name="asd 48 4 4 2 22" xfId="43621"/>
    <cellStyle name="asd 48 4 4 2 3" xfId="7512"/>
    <cellStyle name="asd 48 4 4 2 4" xfId="9422"/>
    <cellStyle name="asd 48 4 4 2 5" xfId="11777"/>
    <cellStyle name="asd 48 4 4 2 6" xfId="14341"/>
    <cellStyle name="asd 48 4 4 2 7" xfId="16245"/>
    <cellStyle name="asd 48 4 4 2 8" xfId="17041"/>
    <cellStyle name="asd 48 4 4 2 9" xfId="18948"/>
    <cellStyle name="asd 48 4 4 20" xfId="37552"/>
    <cellStyle name="asd 48 4 4 21" xfId="40428"/>
    <cellStyle name="asd 48 4 4 22" xfId="42083"/>
    <cellStyle name="asd 48 4 4 23" xfId="43791"/>
    <cellStyle name="asd 48 4 4 3" xfId="6246"/>
    <cellStyle name="asd 48 4 4 4" xfId="7697"/>
    <cellStyle name="asd 48 4 4 5" xfId="9607"/>
    <cellStyle name="asd 48 4 4 6" xfId="12006"/>
    <cellStyle name="asd 48 4 4 7" xfId="14517"/>
    <cellStyle name="asd 48 4 4 8" xfId="16423"/>
    <cellStyle name="asd 48 4 4 9" xfId="17226"/>
    <cellStyle name="asd 48 4 5" xfId="4244"/>
    <cellStyle name="asd 48 4 5 10" xfId="20568"/>
    <cellStyle name="asd 48 4 5 11" xfId="24171"/>
    <cellStyle name="asd 48 4 5 12" xfId="24370"/>
    <cellStyle name="asd 48 4 5 13" xfId="27758"/>
    <cellStyle name="asd 48 4 5 14" xfId="2459"/>
    <cellStyle name="asd 48 4 5 15" xfId="31337"/>
    <cellStyle name="asd 48 4 5 16" xfId="32861"/>
    <cellStyle name="asd 48 4 5 17" xfId="34973"/>
    <cellStyle name="asd 48 4 5 18" xfId="35198"/>
    <cellStyle name="asd 48 4 5 19" xfId="37076"/>
    <cellStyle name="asd 48 4 5 2" xfId="2279"/>
    <cellStyle name="asd 48 4 5 20" xfId="40068"/>
    <cellStyle name="asd 48 4 5 21" xfId="41732"/>
    <cellStyle name="asd 48 4 5 22" xfId="43913"/>
    <cellStyle name="asd 48 4 5 3" xfId="4187"/>
    <cellStyle name="asd 48 4 5 4" xfId="9130"/>
    <cellStyle name="asd 48 4 5 5" xfId="12131"/>
    <cellStyle name="asd 48 4 5 6" xfId="14642"/>
    <cellStyle name="asd 48 4 5 7" xfId="16548"/>
    <cellStyle name="asd 48 4 5 8" xfId="16749"/>
    <cellStyle name="asd 48 4 5 9" xfId="18656"/>
    <cellStyle name="asd 48 4 6" xfId="1904"/>
    <cellStyle name="asd 48 4 7" xfId="2478"/>
    <cellStyle name="asd 48 4 8" xfId="3530"/>
    <cellStyle name="asd 48 4 9" xfId="4338"/>
    <cellStyle name="asd 48 5" xfId="2080"/>
    <cellStyle name="asd 48 5 10" xfId="17106"/>
    <cellStyle name="asd 48 5 11" xfId="19012"/>
    <cellStyle name="asd 48 5 12" xfId="20924"/>
    <cellStyle name="asd 48 5 13" xfId="23405"/>
    <cellStyle name="asd 48 5 14" xfId="24726"/>
    <cellStyle name="asd 48 5 15" xfId="27468"/>
    <cellStyle name="asd 48 5 16" xfId="28389"/>
    <cellStyle name="asd 48 5 17" xfId="31055"/>
    <cellStyle name="asd 48 5 18" xfId="31797"/>
    <cellStyle name="asd 48 5 19" xfId="33585"/>
    <cellStyle name="asd 48 5 2" xfId="5718"/>
    <cellStyle name="asd 48 5 2 10" xfId="21968"/>
    <cellStyle name="asd 48 5 2 11" xfId="24125"/>
    <cellStyle name="asd 48 5 2 12" xfId="25770"/>
    <cellStyle name="asd 48 5 2 13" xfId="26609"/>
    <cellStyle name="asd 48 5 2 14" xfId="28373"/>
    <cellStyle name="asd 48 5 2 15" xfId="30211"/>
    <cellStyle name="asd 48 5 2 16" xfId="32041"/>
    <cellStyle name="asd 48 5 2 17" xfId="34334"/>
    <cellStyle name="asd 48 5 2 18" xfId="36597"/>
    <cellStyle name="asd 48 5 2 19" xfId="38476"/>
    <cellStyle name="asd 48 5 2 2" xfId="7167"/>
    <cellStyle name="asd 48 5 2 20" xfId="39270"/>
    <cellStyle name="asd 48 5 2 21" xfId="40947"/>
    <cellStyle name="asd 48 5 2 22" xfId="43868"/>
    <cellStyle name="asd 48 5 2 3" xfId="8621"/>
    <cellStyle name="asd 48 5 2 4" xfId="10531"/>
    <cellStyle name="asd 48 5 2 5" xfId="12085"/>
    <cellStyle name="asd 48 5 2 6" xfId="14596"/>
    <cellStyle name="asd 48 5 2 7" xfId="16502"/>
    <cellStyle name="asd 48 5 2 8" xfId="18150"/>
    <cellStyle name="asd 48 5 2 9" xfId="20056"/>
    <cellStyle name="asd 48 5 20" xfId="35553"/>
    <cellStyle name="asd 48 5 21" xfId="37432"/>
    <cellStyle name="asd 48 5 22" xfId="39035"/>
    <cellStyle name="asd 48 5 23" xfId="40717"/>
    <cellStyle name="asd 48 5 24" xfId="43172"/>
    <cellStyle name="asd 48 5 3" xfId="4679"/>
    <cellStyle name="asd 48 5 4" xfId="6126"/>
    <cellStyle name="asd 48 5 5" xfId="7577"/>
    <cellStyle name="asd 48 5 6" xfId="9487"/>
    <cellStyle name="asd 48 5 7" xfId="12458"/>
    <cellStyle name="asd 48 5 8" xfId="13877"/>
    <cellStyle name="asd 48 5 9" xfId="15778"/>
    <cellStyle name="asd 48 6" xfId="2503"/>
    <cellStyle name="asd 48 6 10" xfId="19074"/>
    <cellStyle name="asd 48 6 11" xfId="20986"/>
    <cellStyle name="asd 48 6 12" xfId="23036"/>
    <cellStyle name="asd 48 6 13" xfId="24788"/>
    <cellStyle name="asd 48 6 14" xfId="26399"/>
    <cellStyle name="asd 48 6 15" xfId="28171"/>
    <cellStyle name="asd 48 6 16" xfId="30007"/>
    <cellStyle name="asd 48 6 17" xfId="31609"/>
    <cellStyle name="asd 48 6 18" xfId="34081"/>
    <cellStyle name="asd 48 6 19" xfId="35615"/>
    <cellStyle name="asd 48 6 2" xfId="4239"/>
    <cellStyle name="asd 48 6 2 10" xfId="20539"/>
    <cellStyle name="asd 48 6 2 11" xfId="22699"/>
    <cellStyle name="asd 48 6 2 12" xfId="24341"/>
    <cellStyle name="asd 48 6 2 13" xfId="26754"/>
    <cellStyle name="asd 48 6 2 14" xfId="29416"/>
    <cellStyle name="asd 48 6 2 15" xfId="30353"/>
    <cellStyle name="asd 48 6 2 16" xfId="33061"/>
    <cellStyle name="asd 48 6 2 17" xfId="33437"/>
    <cellStyle name="asd 48 6 2 18" xfId="35169"/>
    <cellStyle name="asd 48 6 2 19" xfId="37047"/>
    <cellStyle name="asd 48 6 2 2" xfId="5380"/>
    <cellStyle name="asd 48 6 2 20" xfId="40257"/>
    <cellStyle name="asd 48 6 2 21" xfId="41915"/>
    <cellStyle name="asd 48 6 2 22" xfId="42500"/>
    <cellStyle name="asd 48 6 2 3" xfId="6647"/>
    <cellStyle name="asd 48 6 2 4" xfId="9101"/>
    <cellStyle name="asd 48 6 2 5" xfId="11715"/>
    <cellStyle name="asd 48 6 2 6" xfId="13167"/>
    <cellStyle name="asd 48 6 2 7" xfId="15071"/>
    <cellStyle name="asd 48 6 2 8" xfId="16720"/>
    <cellStyle name="asd 48 6 2 9" xfId="18627"/>
    <cellStyle name="asd 48 6 20" xfId="37494"/>
    <cellStyle name="asd 48 6 21" xfId="38856"/>
    <cellStyle name="asd 48 6 22" xfId="40542"/>
    <cellStyle name="asd 48 6 23" xfId="42819"/>
    <cellStyle name="asd 48 6 3" xfId="4739"/>
    <cellStyle name="asd 48 6 4" xfId="7639"/>
    <cellStyle name="asd 48 6 5" xfId="9549"/>
    <cellStyle name="asd 48 6 6" xfId="12631"/>
    <cellStyle name="asd 48 6 7" xfId="13506"/>
    <cellStyle name="asd 48 6 8" xfId="15410"/>
    <cellStyle name="asd 48 6 9" xfId="17168"/>
    <cellStyle name="asd 48 7" xfId="1868"/>
    <cellStyle name="asd 48 7 10" xfId="18980"/>
    <cellStyle name="asd 48 7 11" xfId="20892"/>
    <cellStyle name="asd 48 7 12" xfId="22735"/>
    <cellStyle name="asd 48 7 13" xfId="24694"/>
    <cellStyle name="asd 48 7 14" xfId="26303"/>
    <cellStyle name="asd 48 7 15" xfId="28127"/>
    <cellStyle name="asd 48 7 16" xfId="29912"/>
    <cellStyle name="asd 48 7 17" xfId="32991"/>
    <cellStyle name="asd 48 7 18" xfId="34588"/>
    <cellStyle name="asd 48 7 19" xfId="35521"/>
    <cellStyle name="asd 48 7 2" xfId="5583"/>
    <cellStyle name="asd 48 7 2 10" xfId="21833"/>
    <cellStyle name="asd 48 7 2 11" xfId="22421"/>
    <cellStyle name="asd 48 7 2 12" xfId="25635"/>
    <cellStyle name="asd 48 7 2 13" xfId="26703"/>
    <cellStyle name="asd 48 7 2 14" xfId="28267"/>
    <cellStyle name="asd 48 7 2 15" xfId="30303"/>
    <cellStyle name="asd 48 7 2 16" xfId="31932"/>
    <cellStyle name="asd 48 7 2 17" xfId="34186"/>
    <cellStyle name="asd 48 7 2 18" xfId="36462"/>
    <cellStyle name="asd 48 7 2 19" xfId="38341"/>
    <cellStyle name="asd 48 7 2 2" xfId="7032"/>
    <cellStyle name="asd 48 7 2 20" xfId="39162"/>
    <cellStyle name="asd 48 7 2 21" xfId="40843"/>
    <cellStyle name="asd 48 7 2 22" xfId="42232"/>
    <cellStyle name="asd 48 7 2 3" xfId="8486"/>
    <cellStyle name="asd 48 7 2 4" xfId="10396"/>
    <cellStyle name="asd 48 7 2 5" xfId="11462"/>
    <cellStyle name="asd 48 7 2 6" xfId="12888"/>
    <cellStyle name="asd 48 7 2 7" xfId="14793"/>
    <cellStyle name="asd 48 7 2 8" xfId="18015"/>
    <cellStyle name="asd 48 7 2 9" xfId="19921"/>
    <cellStyle name="asd 48 7 20" xfId="37400"/>
    <cellStyle name="asd 48 7 21" xfId="40192"/>
    <cellStyle name="asd 48 7 22" xfId="41851"/>
    <cellStyle name="asd 48 7 23" xfId="42533"/>
    <cellStyle name="asd 48 7 3" xfId="6095"/>
    <cellStyle name="asd 48 7 4" xfId="7545"/>
    <cellStyle name="asd 48 7 5" xfId="9455"/>
    <cellStyle name="asd 48 7 6" xfId="11771"/>
    <cellStyle name="asd 48 7 7" xfId="13204"/>
    <cellStyle name="asd 48 7 8" xfId="15107"/>
    <cellStyle name="asd 48 7 9" xfId="17074"/>
    <cellStyle name="asd 48 8" xfId="3163"/>
    <cellStyle name="asd 48 9" xfId="2419"/>
    <cellStyle name="asd 49" xfId="1051"/>
    <cellStyle name="asd 49 10" xfId="3281"/>
    <cellStyle name="asd 49 11" xfId="12780"/>
    <cellStyle name="asd 49 12" xfId="14687"/>
    <cellStyle name="asd 49 13" xfId="15628"/>
    <cellStyle name="asd 49 14" xfId="2927"/>
    <cellStyle name="asd 49 15" xfId="2424"/>
    <cellStyle name="asd 49 16" xfId="22319"/>
    <cellStyle name="asd 49 17" xfId="23254"/>
    <cellStyle name="asd 49 18" xfId="24229"/>
    <cellStyle name="asd 49 19" xfId="29577"/>
    <cellStyle name="asd 49 2" xfId="3367"/>
    <cellStyle name="asd 49 2 10" xfId="13129"/>
    <cellStyle name="asd 49 2 11" xfId="15034"/>
    <cellStyle name="asd 49 2 12" xfId="16668"/>
    <cellStyle name="asd 49 2 13" xfId="18575"/>
    <cellStyle name="asd 49 2 14" xfId="20487"/>
    <cellStyle name="asd 49 2 15" xfId="22662"/>
    <cellStyle name="asd 49 2 16" xfId="24289"/>
    <cellStyle name="asd 49 2 17" xfId="27561"/>
    <cellStyle name="asd 49 2 18" xfId="29478"/>
    <cellStyle name="asd 49 2 19" xfId="31141"/>
    <cellStyle name="asd 49 2 2" xfId="3547"/>
    <cellStyle name="asd 49 2 2 10" xfId="17438"/>
    <cellStyle name="asd 49 2 2 11" xfId="19344"/>
    <cellStyle name="asd 49 2 2 12" xfId="21256"/>
    <cellStyle name="asd 49 2 2 13" xfId="23228"/>
    <cellStyle name="asd 49 2 2 14" xfId="25058"/>
    <cellStyle name="asd 49 2 2 15" xfId="27785"/>
    <cellStyle name="asd 49 2 2 16" xfId="27685"/>
    <cellStyle name="asd 49 2 2 17" xfId="31362"/>
    <cellStyle name="asd 49 2 2 18" xfId="33088"/>
    <cellStyle name="asd 49 2 2 19" xfId="34235"/>
    <cellStyle name="asd 49 2 2 2" xfId="4574"/>
    <cellStyle name="asd 49 2 2 2 10" xfId="20819"/>
    <cellStyle name="asd 49 2 2 2 11" xfId="23274"/>
    <cellStyle name="asd 49 2 2 2 12" xfId="24621"/>
    <cellStyle name="asd 49 2 2 2 13" xfId="27858"/>
    <cellStyle name="asd 49 2 2 2 14" xfId="14188"/>
    <cellStyle name="asd 49 2 2 2 15" xfId="31437"/>
    <cellStyle name="asd 49 2 2 2 16" xfId="33083"/>
    <cellStyle name="asd 49 2 2 2 17" xfId="35048"/>
    <cellStyle name="asd 49 2 2 2 18" xfId="35449"/>
    <cellStyle name="asd 49 2 2 2 19" xfId="37327"/>
    <cellStyle name="asd 49 2 2 2 2" xfId="5356"/>
    <cellStyle name="asd 49 2 2 2 20" xfId="40279"/>
    <cellStyle name="asd 49 2 2 2 21" xfId="41935"/>
    <cellStyle name="asd 49 2 2 2 22" xfId="43050"/>
    <cellStyle name="asd 49 2 2 2 3" xfId="6712"/>
    <cellStyle name="asd 49 2 2 2 4" xfId="9381"/>
    <cellStyle name="asd 49 2 2 2 5" xfId="11210"/>
    <cellStyle name="asd 49 2 2 2 6" xfId="13746"/>
    <cellStyle name="asd 49 2 2 2 7" xfId="15648"/>
    <cellStyle name="asd 49 2 2 2 8" xfId="17000"/>
    <cellStyle name="asd 49 2 2 2 9" xfId="18907"/>
    <cellStyle name="asd 49 2 2 20" xfId="35885"/>
    <cellStyle name="asd 49 2 2 21" xfId="37764"/>
    <cellStyle name="asd 49 2 2 22" xfId="40284"/>
    <cellStyle name="asd 49 2 2 23" xfId="41940"/>
    <cellStyle name="asd 49 2 2 24" xfId="43005"/>
    <cellStyle name="asd 49 2 2 3" xfId="5008"/>
    <cellStyle name="asd 49 2 2 4" xfId="6458"/>
    <cellStyle name="asd 49 2 2 5" xfId="7909"/>
    <cellStyle name="asd 49 2 2 6" xfId="9819"/>
    <cellStyle name="asd 49 2 2 7" xfId="11110"/>
    <cellStyle name="asd 49 2 2 8" xfId="13700"/>
    <cellStyle name="asd 49 2 2 9" xfId="15602"/>
    <cellStyle name="asd 49 2 20" xfId="32736"/>
    <cellStyle name="asd 49 2 21" xfId="33829"/>
    <cellStyle name="asd 49 2 22" xfId="35117"/>
    <cellStyle name="asd 49 2 23" xfId="36995"/>
    <cellStyle name="asd 49 2 24" xfId="39945"/>
    <cellStyle name="asd 49 2 25" xfId="41611"/>
    <cellStyle name="asd 49 2 26" xfId="42468"/>
    <cellStyle name="asd 49 2 3" xfId="1847"/>
    <cellStyle name="asd 49 2 3 10" xfId="18977"/>
    <cellStyle name="asd 49 2 3 11" xfId="20889"/>
    <cellStyle name="asd 49 2 3 12" xfId="23494"/>
    <cellStyle name="asd 49 2 3 13" xfId="24691"/>
    <cellStyle name="asd 49 2 3 14" xfId="27498"/>
    <cellStyle name="asd 49 2 3 15" xfId="28220"/>
    <cellStyle name="asd 49 2 3 16" xfId="31084"/>
    <cellStyle name="asd 49 2 3 17" xfId="31808"/>
    <cellStyle name="asd 49 2 3 18" xfId="34545"/>
    <cellStyle name="asd 49 2 3 19" xfId="35518"/>
    <cellStyle name="asd 49 2 3 2" xfId="5529"/>
    <cellStyle name="asd 49 2 3 2 10" xfId="21779"/>
    <cellStyle name="asd 49 2 3 2 11" xfId="24130"/>
    <cellStyle name="asd 49 2 3 2 12" xfId="25581"/>
    <cellStyle name="asd 49 2 3 2 13" xfId="27154"/>
    <cellStyle name="asd 49 2 3 2 14" xfId="28117"/>
    <cellStyle name="asd 49 2 3 2 15" xfId="30745"/>
    <cellStyle name="asd 49 2 3 2 16" xfId="33024"/>
    <cellStyle name="asd 49 2 3 2 17" xfId="34993"/>
    <cellStyle name="asd 49 2 3 2 18" xfId="36408"/>
    <cellStyle name="asd 49 2 3 2 19" xfId="38287"/>
    <cellStyle name="asd 49 2 3 2 2" xfId="6978"/>
    <cellStyle name="asd 49 2 3 2 20" xfId="40224"/>
    <cellStyle name="asd 49 2 3 2 21" xfId="41883"/>
    <cellStyle name="asd 49 2 3 2 22" xfId="43873"/>
    <cellStyle name="asd 49 2 3 2 3" xfId="8432"/>
    <cellStyle name="asd 49 2 3 2 4" xfId="10342"/>
    <cellStyle name="asd 49 2 3 2 5" xfId="12090"/>
    <cellStyle name="asd 49 2 3 2 6" xfId="14601"/>
    <cellStyle name="asd 49 2 3 2 7" xfId="16507"/>
    <cellStyle name="asd 49 2 3 2 8" xfId="17961"/>
    <cellStyle name="asd 49 2 3 2 9" xfId="19867"/>
    <cellStyle name="asd 49 2 3 20" xfId="37397"/>
    <cellStyle name="asd 49 2 3 21" xfId="39046"/>
    <cellStyle name="asd 49 2 3 22" xfId="40728"/>
    <cellStyle name="asd 49 2 3 23" xfId="43260"/>
    <cellStyle name="asd 49 2 3 3" xfId="4645"/>
    <cellStyle name="asd 49 2 3 4" xfId="7542"/>
    <cellStyle name="asd 49 2 3 5" xfId="9452"/>
    <cellStyle name="asd 49 2 3 6" xfId="12313"/>
    <cellStyle name="asd 49 2 3 7" xfId="13966"/>
    <cellStyle name="asd 49 2 3 8" xfId="15867"/>
    <cellStyle name="asd 49 2 3 9" xfId="17071"/>
    <cellStyle name="asd 49 2 4" xfId="3999"/>
    <cellStyle name="asd 49 2 4 10" xfId="19634"/>
    <cellStyle name="asd 49 2 4 11" xfId="21546"/>
    <cellStyle name="asd 49 2 4 12" xfId="22706"/>
    <cellStyle name="asd 49 2 4 13" xfId="25348"/>
    <cellStyle name="asd 49 2 4 14" xfId="27311"/>
    <cellStyle name="asd 49 2 4 15" xfId="29602"/>
    <cellStyle name="asd 49 2 4 16" xfId="30901"/>
    <cellStyle name="asd 49 2 4 17" xfId="32756"/>
    <cellStyle name="asd 49 2 4 18" xfId="33922"/>
    <cellStyle name="asd 49 2 4 19" xfId="36175"/>
    <cellStyle name="asd 49 2 4 2" xfId="5904"/>
    <cellStyle name="asd 49 2 4 2 10" xfId="22154"/>
    <cellStyle name="asd 49 2 4 2 11" xfId="23408"/>
    <cellStyle name="asd 49 2 4 2 12" xfId="25956"/>
    <cellStyle name="asd 49 2 4 2 13" xfId="27625"/>
    <cellStyle name="asd 49 2 4 2 14" xfId="29176"/>
    <cellStyle name="asd 49 2 4 2 15" xfId="31203"/>
    <cellStyle name="asd 49 2 4 2 16" xfId="32331"/>
    <cellStyle name="asd 49 2 4 2 17" xfId="34611"/>
    <cellStyle name="asd 49 2 4 2 18" xfId="36783"/>
    <cellStyle name="asd 49 2 4 2 19" xfId="38662"/>
    <cellStyle name="asd 49 2 4 2 2" xfId="7353"/>
    <cellStyle name="asd 49 2 4 2 20" xfId="39550"/>
    <cellStyle name="asd 49 2 4 2 21" xfId="41224"/>
    <cellStyle name="asd 49 2 4 2 22" xfId="43175"/>
    <cellStyle name="asd 49 2 4 2 3" xfId="8807"/>
    <cellStyle name="asd 49 2 4 2 4" xfId="10717"/>
    <cellStyle name="asd 49 2 4 2 5" xfId="11050"/>
    <cellStyle name="asd 49 2 4 2 6" xfId="13880"/>
    <cellStyle name="asd 49 2 4 2 7" xfId="15781"/>
    <cellStyle name="asd 49 2 4 2 8" xfId="18336"/>
    <cellStyle name="asd 49 2 4 2 9" xfId="20242"/>
    <cellStyle name="asd 49 2 4 20" xfId="38054"/>
    <cellStyle name="asd 49 2 4 21" xfId="39965"/>
    <cellStyle name="asd 49 2 4 22" xfId="41629"/>
    <cellStyle name="asd 49 2 4 23" xfId="42506"/>
    <cellStyle name="asd 49 2 4 3" xfId="6745"/>
    <cellStyle name="asd 49 2 4 4" xfId="8199"/>
    <cellStyle name="asd 49 2 4 5" xfId="10109"/>
    <cellStyle name="asd 49 2 4 6" xfId="11675"/>
    <cellStyle name="asd 49 2 4 7" xfId="13174"/>
    <cellStyle name="asd 49 2 4 8" xfId="15078"/>
    <cellStyle name="asd 49 2 4 9" xfId="17728"/>
    <cellStyle name="asd 49 2 5" xfId="4875"/>
    <cellStyle name="asd 49 2 5 10" xfId="21123"/>
    <cellStyle name="asd 49 2 5 11" xfId="23693"/>
    <cellStyle name="asd 49 2 5 12" xfId="24925"/>
    <cellStyle name="asd 49 2 5 13" xfId="26369"/>
    <cellStyle name="asd 49 2 5 14" xfId="27523"/>
    <cellStyle name="asd 49 2 5 15" xfId="29977"/>
    <cellStyle name="asd 49 2 5 16" xfId="31960"/>
    <cellStyle name="asd 49 2 5 17" xfId="34293"/>
    <cellStyle name="asd 49 2 5 18" xfId="35752"/>
    <cellStyle name="asd 49 2 5 19" xfId="37631"/>
    <cellStyle name="asd 49 2 5 2" xfId="6325"/>
    <cellStyle name="asd 49 2 5 20" xfId="39189"/>
    <cellStyle name="asd 49 2 5 21" xfId="40870"/>
    <cellStyle name="asd 49 2 5 22" xfId="43450"/>
    <cellStyle name="asd 49 2 5 3" xfId="7776"/>
    <cellStyle name="asd 49 2 5 4" xfId="9686"/>
    <cellStyle name="asd 49 2 5 5" xfId="11762"/>
    <cellStyle name="asd 49 2 5 6" xfId="14163"/>
    <cellStyle name="asd 49 2 5 7" xfId="16067"/>
    <cellStyle name="asd 49 2 5 8" xfId="17305"/>
    <cellStyle name="asd 49 2 5 9" xfId="19211"/>
    <cellStyle name="asd 49 2 6" xfId="4457"/>
    <cellStyle name="asd 49 2 6 10" xfId="20702"/>
    <cellStyle name="asd 49 2 6 11" xfId="24025"/>
    <cellStyle name="asd 49 2 6 12" xfId="24504"/>
    <cellStyle name="asd 49 2 6 13" xfId="26771"/>
    <cellStyle name="asd 49 2 6 14" xfId="2458"/>
    <cellStyle name="asd 49 2 6 15" xfId="30370"/>
    <cellStyle name="asd 49 2 6 16" xfId="33038"/>
    <cellStyle name="asd 49 2 6 17" xfId="33729"/>
    <cellStyle name="asd 49 2 6 18" xfId="35332"/>
    <cellStyle name="asd 49 2 6 19" xfId="37210"/>
    <cellStyle name="asd 49 2 6 2" xfId="4723"/>
    <cellStyle name="asd 49 2 6 20" xfId="40237"/>
    <cellStyle name="asd 49 2 6 21" xfId="41896"/>
    <cellStyle name="asd 49 2 6 22" xfId="43769"/>
    <cellStyle name="asd 49 2 6 3" xfId="6178"/>
    <cellStyle name="asd 49 2 6 4" xfId="9264"/>
    <cellStyle name="asd 49 2 6 5" xfId="11984"/>
    <cellStyle name="asd 49 2 6 6" xfId="14495"/>
    <cellStyle name="asd 49 2 6 7" xfId="16401"/>
    <cellStyle name="asd 49 2 6 8" xfId="16883"/>
    <cellStyle name="asd 49 2 6 9" xfId="18790"/>
    <cellStyle name="asd 49 2 7" xfId="6685"/>
    <cellStyle name="asd 49 2 8" xfId="9049"/>
    <cellStyle name="asd 49 2 9" xfId="11371"/>
    <cellStyle name="asd 49 20" xfId="2123"/>
    <cellStyle name="asd 49 21" xfId="28413"/>
    <cellStyle name="asd 49 22" xfId="28427"/>
    <cellStyle name="asd 49 23" xfId="34063"/>
    <cellStyle name="asd 49 24" xfId="33824"/>
    <cellStyle name="asd 49 25" xfId="6078"/>
    <cellStyle name="asd 49 26" xfId="39216"/>
    <cellStyle name="asd 49 27" xfId="42167"/>
    <cellStyle name="asd 49 3" xfId="3415"/>
    <cellStyle name="asd 49 3 10" xfId="13246"/>
    <cellStyle name="asd 49 3 11" xfId="15149"/>
    <cellStyle name="asd 49 3 12" xfId="16784"/>
    <cellStyle name="asd 49 3 13" xfId="18691"/>
    <cellStyle name="asd 49 3 14" xfId="20603"/>
    <cellStyle name="asd 49 3 15" xfId="22776"/>
    <cellStyle name="asd 49 3 16" xfId="24405"/>
    <cellStyle name="asd 49 3 17" xfId="2791"/>
    <cellStyle name="asd 49 3 18" xfId="27990"/>
    <cellStyle name="asd 49 3 19" xfId="2105"/>
    <cellStyle name="asd 49 3 2" xfId="3595"/>
    <cellStyle name="asd 49 3 2 10" xfId="17486"/>
    <cellStyle name="asd 49 3 2 11" xfId="19392"/>
    <cellStyle name="asd 49 3 2 12" xfId="21304"/>
    <cellStyle name="asd 49 3 2 13" xfId="22871"/>
    <cellStyle name="asd 49 3 2 14" xfId="25106"/>
    <cellStyle name="asd 49 3 2 15" xfId="27394"/>
    <cellStyle name="asd 49 3 2 16" xfId="28763"/>
    <cellStyle name="asd 49 3 2 17" xfId="30980"/>
    <cellStyle name="asd 49 3 2 18" xfId="32352"/>
    <cellStyle name="asd 49 3 2 19" xfId="34444"/>
    <cellStyle name="asd 49 3 2 2" xfId="4585"/>
    <cellStyle name="asd 49 3 2 2 10" xfId="20830"/>
    <cellStyle name="asd 49 3 2 2 11" xfId="22506"/>
    <cellStyle name="asd 49 3 2 2 12" xfId="24632"/>
    <cellStyle name="asd 49 3 2 2 13" xfId="27624"/>
    <cellStyle name="asd 49 3 2 2 14" xfId="28875"/>
    <cellStyle name="asd 49 3 2 2 15" xfId="31202"/>
    <cellStyle name="asd 49 3 2 2 16" xfId="32840"/>
    <cellStyle name="asd 49 3 2 2 17" xfId="34910"/>
    <cellStyle name="asd 49 3 2 2 18" xfId="35460"/>
    <cellStyle name="asd 49 3 2 2 19" xfId="37338"/>
    <cellStyle name="asd 49 3 2 2 2" xfId="4818"/>
    <cellStyle name="asd 49 3 2 2 20" xfId="40047"/>
    <cellStyle name="asd 49 3 2 2 21" xfId="41711"/>
    <cellStyle name="asd 49 3 2 2 22" xfId="42316"/>
    <cellStyle name="asd 49 3 2 2 3" xfId="6158"/>
    <cellStyle name="asd 49 3 2 2 4" xfId="9392"/>
    <cellStyle name="asd 49 3 2 2 5" xfId="11658"/>
    <cellStyle name="asd 49 3 2 2 6" xfId="12974"/>
    <cellStyle name="asd 49 3 2 2 7" xfId="14878"/>
    <cellStyle name="asd 49 3 2 2 8" xfId="17011"/>
    <cellStyle name="asd 49 3 2 2 9" xfId="18918"/>
    <cellStyle name="asd 49 3 2 20" xfId="35933"/>
    <cellStyle name="asd 49 3 2 21" xfId="37812"/>
    <cellStyle name="asd 49 3 2 22" xfId="39571"/>
    <cellStyle name="asd 49 3 2 23" xfId="41245"/>
    <cellStyle name="asd 49 3 2 24" xfId="42658"/>
    <cellStyle name="asd 49 3 2 3" xfId="5056"/>
    <cellStyle name="asd 49 3 2 4" xfId="6506"/>
    <cellStyle name="asd 49 3 2 5" xfId="7957"/>
    <cellStyle name="asd 49 3 2 6" xfId="9867"/>
    <cellStyle name="asd 49 3 2 7" xfId="12188"/>
    <cellStyle name="asd 49 3 2 8" xfId="13339"/>
    <cellStyle name="asd 49 3 2 9" xfId="15244"/>
    <cellStyle name="asd 49 3 20" xfId="28945"/>
    <cellStyle name="asd 49 3 21" xfId="30079"/>
    <cellStyle name="asd 49 3 22" xfId="35233"/>
    <cellStyle name="asd 49 3 23" xfId="37111"/>
    <cellStyle name="asd 49 3 24" xfId="28411"/>
    <cellStyle name="asd 49 3 25" xfId="34862"/>
    <cellStyle name="asd 49 3 26" xfId="42571"/>
    <cellStyle name="asd 49 3 3" xfId="3027"/>
    <cellStyle name="asd 49 3 3 10" xfId="19142"/>
    <cellStyle name="asd 49 3 3 11" xfId="21054"/>
    <cellStyle name="asd 49 3 3 12" xfId="23598"/>
    <cellStyle name="asd 49 3 3 13" xfId="24856"/>
    <cellStyle name="asd 49 3 3 14" xfId="26809"/>
    <cellStyle name="asd 49 3 3 15" xfId="29474"/>
    <cellStyle name="asd 49 3 3 16" xfId="30408"/>
    <cellStyle name="asd 49 3 3 17" xfId="32116"/>
    <cellStyle name="asd 49 3 3 18" xfId="34238"/>
    <cellStyle name="asd 49 3 3 19" xfId="35683"/>
    <cellStyle name="asd 49 3 3 2" xfId="5602"/>
    <cellStyle name="asd 49 3 3 2 10" xfId="21852"/>
    <cellStyle name="asd 49 3 3 2 11" xfId="22441"/>
    <cellStyle name="asd 49 3 3 2 12" xfId="25654"/>
    <cellStyle name="asd 49 3 3 2 13" xfId="26814"/>
    <cellStyle name="asd 49 3 3 2 14" xfId="3729"/>
    <cellStyle name="asd 49 3 3 2 15" xfId="30413"/>
    <cellStyle name="asd 49 3 3 2 16" xfId="32258"/>
    <cellStyle name="asd 49 3 3 2 17" xfId="33719"/>
    <cellStyle name="asd 49 3 3 2 18" xfId="36481"/>
    <cellStyle name="asd 49 3 3 2 19" xfId="38360"/>
    <cellStyle name="asd 49 3 3 2 2" xfId="7051"/>
    <cellStyle name="asd 49 3 3 2 20" xfId="39476"/>
    <cellStyle name="asd 49 3 3 2 21" xfId="41151"/>
    <cellStyle name="asd 49 3 3 2 22" xfId="42252"/>
    <cellStyle name="asd 49 3 3 2 3" xfId="8505"/>
    <cellStyle name="asd 49 3 3 2 4" xfId="10415"/>
    <cellStyle name="asd 49 3 3 2 5" xfId="11611"/>
    <cellStyle name="asd 49 3 3 2 6" xfId="12909"/>
    <cellStyle name="asd 49 3 3 2 7" xfId="14814"/>
    <cellStyle name="asd 49 3 3 2 8" xfId="18034"/>
    <cellStyle name="asd 49 3 3 2 9" xfId="19940"/>
    <cellStyle name="asd 49 3 3 20" xfId="37562"/>
    <cellStyle name="asd 49 3 3 21" xfId="39340"/>
    <cellStyle name="asd 49 3 3 22" xfId="41016"/>
    <cellStyle name="asd 49 3 3 23" xfId="43357"/>
    <cellStyle name="asd 49 3 3 3" xfId="4806"/>
    <cellStyle name="asd 49 3 3 4" xfId="7707"/>
    <cellStyle name="asd 49 3 3 5" xfId="9617"/>
    <cellStyle name="asd 49 3 3 6" xfId="11253"/>
    <cellStyle name="asd 49 3 3 7" xfId="14068"/>
    <cellStyle name="asd 49 3 3 8" xfId="15971"/>
    <cellStyle name="asd 49 3 3 9" xfId="17236"/>
    <cellStyle name="asd 49 3 4" xfId="4047"/>
    <cellStyle name="asd 49 3 4 10" xfId="19682"/>
    <cellStyle name="asd 49 3 4 11" xfId="21594"/>
    <cellStyle name="asd 49 3 4 12" xfId="23715"/>
    <cellStyle name="asd 49 3 4 13" xfId="25396"/>
    <cellStyle name="asd 49 3 4 14" xfId="26379"/>
    <cellStyle name="asd 49 3 4 15" xfId="29702"/>
    <cellStyle name="asd 49 3 4 16" xfId="29987"/>
    <cellStyle name="asd 49 3 4 17" xfId="32794"/>
    <cellStyle name="asd 49 3 4 18" xfId="33839"/>
    <cellStyle name="asd 49 3 4 19" xfId="36223"/>
    <cellStyle name="asd 49 3 4 2" xfId="5952"/>
    <cellStyle name="asd 49 3 4 2 10" xfId="22202"/>
    <cellStyle name="asd 49 3 4 2 11" xfId="23329"/>
    <cellStyle name="asd 49 3 4 2 12" xfId="26004"/>
    <cellStyle name="asd 49 3 4 2 13" xfId="26441"/>
    <cellStyle name="asd 49 3 4 2 14" xfId="29661"/>
    <cellStyle name="asd 49 3 4 2 15" xfId="30047"/>
    <cellStyle name="asd 49 3 4 2 16" xfId="31734"/>
    <cellStyle name="asd 49 3 4 2 17" xfId="34089"/>
    <cellStyle name="asd 49 3 4 2 18" xfId="36831"/>
    <cellStyle name="asd 49 3 4 2 19" xfId="38710"/>
    <cellStyle name="asd 49 3 4 2 2" xfId="7401"/>
    <cellStyle name="asd 49 3 4 2 20" xfId="38975"/>
    <cellStyle name="asd 49 3 4 2 21" xfId="40658"/>
    <cellStyle name="asd 49 3 4 2 22" xfId="43099"/>
    <cellStyle name="asd 49 3 4 2 3" xfId="8855"/>
    <cellStyle name="asd 49 3 4 2 4" xfId="10765"/>
    <cellStyle name="asd 49 3 4 2 5" xfId="11018"/>
    <cellStyle name="asd 49 3 4 2 6" xfId="13801"/>
    <cellStyle name="asd 49 3 4 2 7" xfId="15703"/>
    <cellStyle name="asd 49 3 4 2 8" xfId="18384"/>
    <cellStyle name="asd 49 3 4 2 9" xfId="20290"/>
    <cellStyle name="asd 49 3 4 20" xfId="38102"/>
    <cellStyle name="asd 49 3 4 21" xfId="40003"/>
    <cellStyle name="asd 49 3 4 22" xfId="41667"/>
    <cellStyle name="asd 49 3 4 23" xfId="43472"/>
    <cellStyle name="asd 49 3 4 3" xfId="6793"/>
    <cellStyle name="asd 49 3 4 4" xfId="8247"/>
    <cellStyle name="asd 49 3 4 5" xfId="10157"/>
    <cellStyle name="asd 49 3 4 6" xfId="11793"/>
    <cellStyle name="asd 49 3 4 7" xfId="14185"/>
    <cellStyle name="asd 49 3 4 8" xfId="16089"/>
    <cellStyle name="asd 49 3 4 9" xfId="17776"/>
    <cellStyle name="asd 49 3 5" xfId="4909"/>
    <cellStyle name="asd 49 3 5 10" xfId="21157"/>
    <cellStyle name="asd 49 3 5 11" xfId="23193"/>
    <cellStyle name="asd 49 3 5 12" xfId="24959"/>
    <cellStyle name="asd 49 3 5 13" xfId="27849"/>
    <cellStyle name="asd 49 3 5 14" xfId="28570"/>
    <cellStyle name="asd 49 3 5 15" xfId="31428"/>
    <cellStyle name="asd 49 3 5 16" xfId="31597"/>
    <cellStyle name="asd 49 3 5 17" xfId="34615"/>
    <cellStyle name="asd 49 3 5 18" xfId="35786"/>
    <cellStyle name="asd 49 3 5 19" xfId="37665"/>
    <cellStyle name="asd 49 3 5 2" xfId="6359"/>
    <cellStyle name="asd 49 3 5 20" xfId="38844"/>
    <cellStyle name="asd 49 3 5 21" xfId="40530"/>
    <cellStyle name="asd 49 3 5 22" xfId="42971"/>
    <cellStyle name="asd 49 3 5 3" xfId="7810"/>
    <cellStyle name="asd 49 3 5 4" xfId="9720"/>
    <cellStyle name="asd 49 3 5 5" xfId="11042"/>
    <cellStyle name="asd 49 3 5 6" xfId="13665"/>
    <cellStyle name="asd 49 3 5 7" xfId="15567"/>
    <cellStyle name="asd 49 3 5 8" xfId="17339"/>
    <cellStyle name="asd 49 3 5 9" xfId="19245"/>
    <cellStyle name="asd 49 3 6" xfId="5466"/>
    <cellStyle name="asd 49 3 6 10" xfId="21716"/>
    <cellStyle name="asd 49 3 6 11" xfId="23372"/>
    <cellStyle name="asd 49 3 6 12" xfId="25518"/>
    <cellStyle name="asd 49 3 6 13" xfId="27419"/>
    <cellStyle name="asd 49 3 6 14" xfId="5164"/>
    <cellStyle name="asd 49 3 6 15" xfId="31005"/>
    <cellStyle name="asd 49 3 6 16" xfId="31933"/>
    <cellStyle name="asd 49 3 6 17" xfId="2594"/>
    <cellStyle name="asd 49 3 6 18" xfId="36345"/>
    <cellStyle name="asd 49 3 6 19" xfId="38224"/>
    <cellStyle name="asd 49 3 6 2" xfId="6915"/>
    <cellStyle name="asd 49 3 6 20" xfId="39163"/>
    <cellStyle name="asd 49 3 6 21" xfId="40844"/>
    <cellStyle name="asd 49 3 6 22" xfId="43140"/>
    <cellStyle name="asd 49 3 6 3" xfId="8369"/>
    <cellStyle name="asd 49 3 6 4" xfId="10279"/>
    <cellStyle name="asd 49 3 6 5" xfId="11267"/>
    <cellStyle name="asd 49 3 6 6" xfId="13844"/>
    <cellStyle name="asd 49 3 6 7" xfId="15745"/>
    <cellStyle name="asd 49 3 6 8" xfId="17898"/>
    <cellStyle name="asd 49 3 6 9" xfId="19804"/>
    <cellStyle name="asd 49 3 7" xfId="6702"/>
    <cellStyle name="asd 49 3 8" xfId="9165"/>
    <cellStyle name="asd 49 3 9" xfId="11517"/>
    <cellStyle name="asd 49 4" xfId="3520"/>
    <cellStyle name="asd 49 4 10" xfId="16366"/>
    <cellStyle name="asd 49 4 11" xfId="17030"/>
    <cellStyle name="asd 49 4 12" xfId="18937"/>
    <cellStyle name="asd 49 4 13" xfId="20849"/>
    <cellStyle name="asd 49 4 14" xfId="23990"/>
    <cellStyle name="asd 49 4 15" xfId="24651"/>
    <cellStyle name="asd 49 4 16" xfId="26716"/>
    <cellStyle name="asd 49 4 17" xfId="28689"/>
    <cellStyle name="asd 49 4 18" xfId="30316"/>
    <cellStyle name="asd 49 4 19" xfId="32333"/>
    <cellStyle name="asd 49 4 2" xfId="3700"/>
    <cellStyle name="asd 49 4 2 10" xfId="17591"/>
    <cellStyle name="asd 49 4 2 11" xfId="19497"/>
    <cellStyle name="asd 49 4 2 12" xfId="21409"/>
    <cellStyle name="asd 49 4 2 13" xfId="23970"/>
    <cellStyle name="asd 49 4 2 14" xfId="25211"/>
    <cellStyle name="asd 49 4 2 15" xfId="26173"/>
    <cellStyle name="asd 49 4 2 16" xfId="29637"/>
    <cellStyle name="asd 49 4 2 17" xfId="29786"/>
    <cellStyle name="asd 49 4 2 18" xfId="33023"/>
    <cellStyle name="asd 49 4 2 19" xfId="34030"/>
    <cellStyle name="asd 49 4 2 2" xfId="5767"/>
    <cellStyle name="asd 49 4 2 2 10" xfId="22017"/>
    <cellStyle name="asd 49 4 2 2 11" xfId="23826"/>
    <cellStyle name="asd 49 4 2 2 12" xfId="25819"/>
    <cellStyle name="asd 49 4 2 2 13" xfId="13249"/>
    <cellStyle name="asd 49 4 2 2 14" xfId="4194"/>
    <cellStyle name="asd 49 4 2 2 15" xfId="28554"/>
    <cellStyle name="asd 49 4 2 2 16" xfId="29751"/>
    <cellStyle name="asd 49 4 2 2 17" xfId="20438"/>
    <cellStyle name="asd 49 4 2 2 18" xfId="36646"/>
    <cellStyle name="asd 49 4 2 2 19" xfId="38525"/>
    <cellStyle name="asd 49 4 2 2 2" xfId="7216"/>
    <cellStyle name="asd 49 4 2 2 20" xfId="34206"/>
    <cellStyle name="asd 49 4 2 2 21" xfId="22720"/>
    <cellStyle name="asd 49 4 2 2 22" xfId="43577"/>
    <cellStyle name="asd 49 4 2 2 3" xfId="8670"/>
    <cellStyle name="asd 49 4 2 2 4" xfId="10580"/>
    <cellStyle name="asd 49 4 2 2 5" xfId="11594"/>
    <cellStyle name="asd 49 4 2 2 6" xfId="14296"/>
    <cellStyle name="asd 49 4 2 2 7" xfId="16200"/>
    <cellStyle name="asd 49 4 2 2 8" xfId="18199"/>
    <cellStyle name="asd 49 4 2 2 9" xfId="20105"/>
    <cellStyle name="asd 49 4 2 20" xfId="36038"/>
    <cellStyle name="asd 49 4 2 21" xfId="37917"/>
    <cellStyle name="asd 49 4 2 22" xfId="40223"/>
    <cellStyle name="asd 49 4 2 23" xfId="41882"/>
    <cellStyle name="asd 49 4 2 24" xfId="43716"/>
    <cellStyle name="asd 49 4 2 3" xfId="5161"/>
    <cellStyle name="asd 49 4 2 4" xfId="6611"/>
    <cellStyle name="asd 49 4 2 5" xfId="8062"/>
    <cellStyle name="asd 49 4 2 6" xfId="9972"/>
    <cellStyle name="asd 49 4 2 7" xfId="11930"/>
    <cellStyle name="asd 49 4 2 8" xfId="14440"/>
    <cellStyle name="asd 49 4 2 9" xfId="16346"/>
    <cellStyle name="asd 49 4 20" xfId="33539"/>
    <cellStyle name="asd 49 4 21" xfId="35479"/>
    <cellStyle name="asd 49 4 22" xfId="37357"/>
    <cellStyle name="asd 49 4 23" xfId="39552"/>
    <cellStyle name="asd 49 4 24" xfId="41226"/>
    <cellStyle name="asd 49 4 25" xfId="43734"/>
    <cellStyle name="asd 49 4 3" xfId="2567"/>
    <cellStyle name="asd 49 4 3 10" xfId="19083"/>
    <cellStyle name="asd 49 4 3 11" xfId="20995"/>
    <cellStyle name="asd 49 4 3 12" xfId="23131"/>
    <cellStyle name="asd 49 4 3 13" xfId="24797"/>
    <cellStyle name="asd 49 4 3 14" xfId="27147"/>
    <cellStyle name="asd 49 4 3 15" xfId="2332"/>
    <cellStyle name="asd 49 4 3 16" xfId="30738"/>
    <cellStyle name="asd 49 4 3 17" xfId="31829"/>
    <cellStyle name="asd 49 4 3 18" xfId="34107"/>
    <cellStyle name="asd 49 4 3 19" xfId="35624"/>
    <cellStyle name="asd 49 4 3 2" xfId="5686"/>
    <cellStyle name="asd 49 4 3 2 10" xfId="21936"/>
    <cellStyle name="asd 49 4 3 2 11" xfId="23476"/>
    <cellStyle name="asd 49 4 3 2 12" xfId="25738"/>
    <cellStyle name="asd 49 4 3 2 13" xfId="26234"/>
    <cellStyle name="asd 49 4 3 2 14" xfId="29610"/>
    <cellStyle name="asd 49 4 3 2 15" xfId="29844"/>
    <cellStyle name="asd 49 4 3 2 16" xfId="33048"/>
    <cellStyle name="asd 49 4 3 2 17" xfId="34813"/>
    <cellStyle name="asd 49 4 3 2 18" xfId="36565"/>
    <cellStyle name="asd 49 4 3 2 19" xfId="38444"/>
    <cellStyle name="asd 49 4 3 2 2" xfId="7135"/>
    <cellStyle name="asd 49 4 3 2 20" xfId="40246"/>
    <cellStyle name="asd 49 4 3 2 21" xfId="41904"/>
    <cellStyle name="asd 49 4 3 2 22" xfId="43243"/>
    <cellStyle name="asd 49 4 3 2 3" xfId="8589"/>
    <cellStyle name="asd 49 4 3 2 4" xfId="10499"/>
    <cellStyle name="asd 49 4 3 2 5" xfId="12491"/>
    <cellStyle name="asd 49 4 3 2 6" xfId="13948"/>
    <cellStyle name="asd 49 4 3 2 7" xfId="15849"/>
    <cellStyle name="asd 49 4 3 2 8" xfId="18118"/>
    <cellStyle name="asd 49 4 3 2 9" xfId="20024"/>
    <cellStyle name="asd 49 4 3 20" xfId="37503"/>
    <cellStyle name="asd 49 4 3 21" xfId="39067"/>
    <cellStyle name="asd 49 4 3 22" xfId="40749"/>
    <cellStyle name="asd 49 4 3 23" xfId="42909"/>
    <cellStyle name="asd 49 4 3 3" xfId="4748"/>
    <cellStyle name="asd 49 4 3 4" xfId="7648"/>
    <cellStyle name="asd 49 4 3 5" xfId="9558"/>
    <cellStyle name="asd 49 4 3 6" xfId="12755"/>
    <cellStyle name="asd 49 4 3 7" xfId="13602"/>
    <cellStyle name="asd 49 4 3 8" xfId="15505"/>
    <cellStyle name="asd 49 4 3 9" xfId="17177"/>
    <cellStyle name="asd 49 4 4" xfId="4152"/>
    <cellStyle name="asd 49 4 4 10" xfId="19787"/>
    <cellStyle name="asd 49 4 4 11" xfId="21699"/>
    <cellStyle name="asd 49 4 4 12" xfId="22531"/>
    <cellStyle name="asd 49 4 4 13" xfId="25501"/>
    <cellStyle name="asd 49 4 4 14" xfId="26862"/>
    <cellStyle name="asd 49 4 4 15" xfId="28937"/>
    <cellStyle name="asd 49 4 4 16" xfId="30459"/>
    <cellStyle name="asd 49 4 4 17" xfId="32458"/>
    <cellStyle name="asd 49 4 4 18" xfId="34795"/>
    <cellStyle name="asd 49 4 4 19" xfId="36328"/>
    <cellStyle name="asd 49 4 4 2" xfId="6057"/>
    <cellStyle name="asd 49 4 4 2 10" xfId="22307"/>
    <cellStyle name="asd 49 4 4 2 11" xfId="2718"/>
    <cellStyle name="asd 49 4 4 2 12" xfId="26109"/>
    <cellStyle name="asd 49 4 4 2 13" xfId="18518"/>
    <cellStyle name="asd 49 4 4 2 14" xfId="27487"/>
    <cellStyle name="asd 49 4 4 2 15" xfId="28293"/>
    <cellStyle name="asd 49 4 4 2 16" xfId="31584"/>
    <cellStyle name="asd 49 4 4 2 17" xfId="1925"/>
    <cellStyle name="asd 49 4 4 2 18" xfId="36936"/>
    <cellStyle name="asd 49 4 4 2 19" xfId="38815"/>
    <cellStyle name="asd 49 4 4 2 2" xfId="7506"/>
    <cellStyle name="asd 49 4 4 2 20" xfId="38835"/>
    <cellStyle name="asd 49 4 4 2 21" xfId="40523"/>
    <cellStyle name="asd 49 4 4 2 22" xfId="31562"/>
    <cellStyle name="asd 49 4 4 2 3" xfId="8960"/>
    <cellStyle name="asd 49 4 4 2 4" xfId="10870"/>
    <cellStyle name="asd 49 4 4 2 5" xfId="2418"/>
    <cellStyle name="asd 49 4 4 2 6" xfId="1802"/>
    <cellStyle name="asd 49 4 4 2 7" xfId="12815"/>
    <cellStyle name="asd 49 4 4 2 8" xfId="18489"/>
    <cellStyle name="asd 49 4 4 2 9" xfId="20395"/>
    <cellStyle name="asd 49 4 4 20" xfId="38207"/>
    <cellStyle name="asd 49 4 4 21" xfId="39676"/>
    <cellStyle name="asd 49 4 4 22" xfId="41349"/>
    <cellStyle name="asd 49 4 4 23" xfId="42340"/>
    <cellStyle name="asd 49 4 4 3" xfId="6898"/>
    <cellStyle name="asd 49 4 4 4" xfId="8352"/>
    <cellStyle name="asd 49 4 4 5" xfId="10262"/>
    <cellStyle name="asd 49 4 4 6" xfId="11348"/>
    <cellStyle name="asd 49 4 4 7" xfId="12999"/>
    <cellStyle name="asd 49 4 4 8" xfId="14903"/>
    <cellStyle name="asd 49 4 4 9" xfId="17881"/>
    <cellStyle name="asd 49 4 5" xfId="4469"/>
    <cellStyle name="asd 49 4 5 10" xfId="20714"/>
    <cellStyle name="asd 49 4 5 11" xfId="22727"/>
    <cellStyle name="asd 49 4 5 12" xfId="24516"/>
    <cellStyle name="asd 49 4 5 13" xfId="26841"/>
    <cellStyle name="asd 49 4 5 14" xfId="28994"/>
    <cellStyle name="asd 49 4 5 15" xfId="30439"/>
    <cellStyle name="asd 49 4 5 16" xfId="33138"/>
    <cellStyle name="asd 49 4 5 17" xfId="34725"/>
    <cellStyle name="asd 49 4 5 18" xfId="35344"/>
    <cellStyle name="asd 49 4 5 19" xfId="37222"/>
    <cellStyle name="asd 49 4 5 2" xfId="4408"/>
    <cellStyle name="asd 49 4 5 20" xfId="40331"/>
    <cellStyle name="asd 49 4 5 21" xfId="41987"/>
    <cellStyle name="asd 49 4 5 22" xfId="42525"/>
    <cellStyle name="asd 49 4 5 3" xfId="2024"/>
    <cellStyle name="asd 49 4 5 4" xfId="9276"/>
    <cellStyle name="asd 49 4 5 5" xfId="12648"/>
    <cellStyle name="asd 49 4 5 6" xfId="13196"/>
    <cellStyle name="asd 49 4 5 7" xfId="15099"/>
    <cellStyle name="asd 49 4 5 8" xfId="16895"/>
    <cellStyle name="asd 49 4 5 9" xfId="18802"/>
    <cellStyle name="asd 49 4 6" xfId="3083"/>
    <cellStyle name="asd 49 4 7" xfId="9411"/>
    <cellStyle name="asd 49 4 8" xfId="11949"/>
    <cellStyle name="asd 49 4 9" xfId="14460"/>
    <cellStyle name="asd 49 5" xfId="3285"/>
    <cellStyle name="asd 49 5 10" xfId="17286"/>
    <cellStyle name="asd 49 5 11" xfId="19192"/>
    <cellStyle name="asd 49 5 12" xfId="21104"/>
    <cellStyle name="asd 49 5 13" xfId="22801"/>
    <cellStyle name="asd 49 5 14" xfId="24906"/>
    <cellStyle name="asd 49 5 15" xfId="27827"/>
    <cellStyle name="asd 49 5 16" xfId="28168"/>
    <cellStyle name="asd 49 5 17" xfId="31405"/>
    <cellStyle name="asd 49 5 18" xfId="32589"/>
    <cellStyle name="asd 49 5 19" xfId="34735"/>
    <cellStyle name="asd 49 5 2" xfId="4921"/>
    <cellStyle name="asd 49 5 2 10" xfId="21169"/>
    <cellStyle name="asd 49 5 2 11" xfId="23987"/>
    <cellStyle name="asd 49 5 2 12" xfId="24971"/>
    <cellStyle name="asd 49 5 2 13" xfId="26440"/>
    <cellStyle name="asd 49 5 2 14" xfId="28838"/>
    <cellStyle name="asd 49 5 2 15" xfId="30046"/>
    <cellStyle name="asd 49 5 2 16" xfId="32401"/>
    <cellStyle name="asd 49 5 2 17" xfId="33793"/>
    <cellStyle name="asd 49 5 2 18" xfId="35798"/>
    <cellStyle name="asd 49 5 2 19" xfId="37677"/>
    <cellStyle name="asd 49 5 2 2" xfId="6371"/>
    <cellStyle name="asd 49 5 2 20" xfId="39618"/>
    <cellStyle name="asd 49 5 2 21" xfId="41292"/>
    <cellStyle name="asd 49 5 2 22" xfId="43731"/>
    <cellStyle name="asd 49 5 2 3" xfId="7822"/>
    <cellStyle name="asd 49 5 2 4" xfId="9732"/>
    <cellStyle name="asd 49 5 2 5" xfId="11946"/>
    <cellStyle name="asd 49 5 2 6" xfId="14457"/>
    <cellStyle name="asd 49 5 2 7" xfId="16363"/>
    <cellStyle name="asd 49 5 2 8" xfId="17351"/>
    <cellStyle name="asd 49 5 2 9" xfId="19257"/>
    <cellStyle name="asd 49 5 20" xfId="35733"/>
    <cellStyle name="asd 49 5 21" xfId="37612"/>
    <cellStyle name="asd 49 5 22" xfId="39800"/>
    <cellStyle name="asd 49 5 23" xfId="41469"/>
    <cellStyle name="asd 49 5 24" xfId="42594"/>
    <cellStyle name="asd 49 5 3" xfId="4856"/>
    <cellStyle name="asd 49 5 4" xfId="6306"/>
    <cellStyle name="asd 49 5 5" xfId="7757"/>
    <cellStyle name="asd 49 5 6" xfId="9667"/>
    <cellStyle name="asd 49 5 7" xfId="12355"/>
    <cellStyle name="asd 49 5 8" xfId="13271"/>
    <cellStyle name="asd 49 5 9" xfId="15175"/>
    <cellStyle name="asd 49 6" xfId="3215"/>
    <cellStyle name="asd 49 6 10" xfId="19182"/>
    <cellStyle name="asd 49 6 11" xfId="21094"/>
    <cellStyle name="asd 49 6 12" xfId="23079"/>
    <cellStyle name="asd 49 6 13" xfId="24896"/>
    <cellStyle name="asd 49 6 14" xfId="26460"/>
    <cellStyle name="asd 49 6 15" xfId="28597"/>
    <cellStyle name="asd 49 6 16" xfId="30066"/>
    <cellStyle name="asd 49 6 17" xfId="32699"/>
    <cellStyle name="asd 49 6 18" xfId="34599"/>
    <cellStyle name="asd 49 6 19" xfId="35723"/>
    <cellStyle name="asd 49 6 2" xfId="4531"/>
    <cellStyle name="asd 49 6 2 10" xfId="20776"/>
    <cellStyle name="asd 49 6 2 11" xfId="23730"/>
    <cellStyle name="asd 49 6 2 12" xfId="24578"/>
    <cellStyle name="asd 49 6 2 13" xfId="26505"/>
    <cellStyle name="asd 49 6 2 14" xfId="28194"/>
    <cellStyle name="asd 49 6 2 15" xfId="30111"/>
    <cellStyle name="asd 49 6 2 16" xfId="31782"/>
    <cellStyle name="asd 49 6 2 17" xfId="34941"/>
    <cellStyle name="asd 49 6 2 18" xfId="35406"/>
    <cellStyle name="asd 49 6 2 19" xfId="37284"/>
    <cellStyle name="asd 49 6 2 2" xfId="4514"/>
    <cellStyle name="asd 49 6 2 20" xfId="39021"/>
    <cellStyle name="asd 49 6 2 21" xfId="40703"/>
    <cellStyle name="asd 49 6 2 22" xfId="43485"/>
    <cellStyle name="asd 49 6 2 3" xfId="5373"/>
    <cellStyle name="asd 49 6 2 4" xfId="9338"/>
    <cellStyle name="asd 49 6 2 5" xfId="11532"/>
    <cellStyle name="asd 49 6 2 6" xfId="14200"/>
    <cellStyle name="asd 49 6 2 7" xfId="16104"/>
    <cellStyle name="asd 49 6 2 8" xfId="16957"/>
    <cellStyle name="asd 49 6 2 9" xfId="18864"/>
    <cellStyle name="asd 49 6 20" xfId="37602"/>
    <cellStyle name="asd 49 6 21" xfId="39907"/>
    <cellStyle name="asd 49 6 22" xfId="41576"/>
    <cellStyle name="asd 49 6 23" xfId="42861"/>
    <cellStyle name="asd 49 6 3" xfId="4846"/>
    <cellStyle name="asd 49 6 4" xfId="7747"/>
    <cellStyle name="asd 49 6 5" xfId="9657"/>
    <cellStyle name="asd 49 6 6" xfId="12687"/>
    <cellStyle name="asd 49 6 7" xfId="13550"/>
    <cellStyle name="asd 49 6 8" xfId="15453"/>
    <cellStyle name="asd 49 6 9" xfId="17276"/>
    <cellStyle name="asd 49 7" xfId="2102"/>
    <cellStyle name="asd 49 7 10" xfId="19018"/>
    <cellStyle name="asd 49 7 11" xfId="20930"/>
    <cellStyle name="asd 49 7 12" xfId="24117"/>
    <cellStyle name="asd 49 7 13" xfId="24732"/>
    <cellStyle name="asd 49 7 14" xfId="27010"/>
    <cellStyle name="asd 49 7 15" xfId="29283"/>
    <cellStyle name="asd 49 7 16" xfId="30603"/>
    <cellStyle name="asd 49 7 17" xfId="32767"/>
    <cellStyle name="asd 49 7 18" xfId="34922"/>
    <cellStyle name="asd 49 7 19" xfId="35559"/>
    <cellStyle name="asd 49 7 2" xfId="5685"/>
    <cellStyle name="asd 49 7 2 10" xfId="21935"/>
    <cellStyle name="asd 49 7 2 11" xfId="24080"/>
    <cellStyle name="asd 49 7 2 12" xfId="25737"/>
    <cellStyle name="asd 49 7 2 13" xfId="27925"/>
    <cellStyle name="asd 49 7 2 14" xfId="1855"/>
    <cellStyle name="asd 49 7 2 15" xfId="31507"/>
    <cellStyle name="asd 49 7 2 16" xfId="31593"/>
    <cellStyle name="asd 49 7 2 17" xfId="31438"/>
    <cellStyle name="asd 49 7 2 18" xfId="36564"/>
    <cellStyle name="asd 49 7 2 19" xfId="38443"/>
    <cellStyle name="asd 49 7 2 2" xfId="7134"/>
    <cellStyle name="asd 49 7 2 20" xfId="38840"/>
    <cellStyle name="asd 49 7 2 21" xfId="40526"/>
    <cellStyle name="asd 49 7 2 22" xfId="43824"/>
    <cellStyle name="asd 49 7 2 3" xfId="8588"/>
    <cellStyle name="asd 49 7 2 4" xfId="10498"/>
    <cellStyle name="asd 49 7 2 5" xfId="12039"/>
    <cellStyle name="asd 49 7 2 6" xfId="14550"/>
    <cellStyle name="asd 49 7 2 7" xfId="16456"/>
    <cellStyle name="asd 49 7 2 8" xfId="18117"/>
    <cellStyle name="asd 49 7 2 9" xfId="20023"/>
    <cellStyle name="asd 49 7 20" xfId="37438"/>
    <cellStyle name="asd 49 7 21" xfId="39976"/>
    <cellStyle name="asd 49 7 22" xfId="41640"/>
    <cellStyle name="asd 49 7 23" xfId="43860"/>
    <cellStyle name="asd 49 7 3" xfId="6132"/>
    <cellStyle name="asd 49 7 4" xfId="7583"/>
    <cellStyle name="asd 49 7 5" xfId="9493"/>
    <cellStyle name="asd 49 7 6" xfId="12077"/>
    <cellStyle name="asd 49 7 7" xfId="14588"/>
    <cellStyle name="asd 49 7 8" xfId="16494"/>
    <cellStyle name="asd 49 7 9" xfId="17112"/>
    <cellStyle name="asd 49 8" xfId="2405"/>
    <cellStyle name="asd 49 9" xfId="6300"/>
    <cellStyle name="asd 5" xfId="705"/>
    <cellStyle name="asd 5 10" xfId="2190"/>
    <cellStyle name="asd 5 11" xfId="2994"/>
    <cellStyle name="asd 5 12" xfId="3944"/>
    <cellStyle name="asd 5 13" xfId="3165"/>
    <cellStyle name="asd 5 14" xfId="10876"/>
    <cellStyle name="asd 5 15" xfId="6279"/>
    <cellStyle name="asd 5 16" xfId="3523"/>
    <cellStyle name="asd 5 17" xfId="1985"/>
    <cellStyle name="asd 5 18" xfId="22470"/>
    <cellStyle name="asd 5 19" xfId="1768"/>
    <cellStyle name="asd 5 2" xfId="3434"/>
    <cellStyle name="asd 5 2 10" xfId="13688"/>
    <cellStyle name="asd 5 2 11" xfId="15590"/>
    <cellStyle name="asd 5 2 12" xfId="16811"/>
    <cellStyle name="asd 5 2 13" xfId="18718"/>
    <cellStyle name="asd 5 2 14" xfId="20630"/>
    <cellStyle name="asd 5 2 15" xfId="23216"/>
    <cellStyle name="asd 5 2 16" xfId="24432"/>
    <cellStyle name="asd 5 2 17" xfId="26812"/>
    <cellStyle name="asd 5 2 18" xfId="29605"/>
    <cellStyle name="asd 5 2 19" xfId="30411"/>
    <cellStyle name="asd 5 2 2" xfId="3614"/>
    <cellStyle name="asd 5 2 2 10" xfId="17505"/>
    <cellStyle name="asd 5 2 2 11" xfId="19411"/>
    <cellStyle name="asd 5 2 2 12" xfId="21323"/>
    <cellStyle name="asd 5 2 2 13" xfId="22360"/>
    <cellStyle name="asd 5 2 2 14" xfId="25125"/>
    <cellStyle name="asd 5 2 2 15" xfId="3109"/>
    <cellStyle name="asd 5 2 2 16" xfId="28669"/>
    <cellStyle name="asd 5 2 2 17" xfId="29059"/>
    <cellStyle name="asd 5 2 2 18" xfId="3335"/>
    <cellStyle name="asd 5 2 2 19" xfId="29034"/>
    <cellStyle name="asd 5 2 2 2" xfId="4603"/>
    <cellStyle name="asd 5 2 2 2 10" xfId="20848"/>
    <cellStyle name="asd 5 2 2 2 11" xfId="23457"/>
    <cellStyle name="asd 5 2 2 2 12" xfId="24650"/>
    <cellStyle name="asd 5 2 2 2 13" xfId="27871"/>
    <cellStyle name="asd 5 2 2 2 14" xfId="28930"/>
    <cellStyle name="asd 5 2 2 2 15" xfId="31452"/>
    <cellStyle name="asd 5 2 2 2 16" xfId="33077"/>
    <cellStyle name="asd 5 2 2 2 17" xfId="34288"/>
    <cellStyle name="asd 5 2 2 2 18" xfId="35478"/>
    <cellStyle name="asd 5 2 2 2 19" xfId="37356"/>
    <cellStyle name="asd 5 2 2 2 2" xfId="1990"/>
    <cellStyle name="asd 5 2 2 2 20" xfId="40274"/>
    <cellStyle name="asd 5 2 2 2 21" xfId="41930"/>
    <cellStyle name="asd 5 2 2 2 22" xfId="43224"/>
    <cellStyle name="asd 5 2 2 2 3" xfId="3069"/>
    <cellStyle name="asd 5 2 2 2 4" xfId="9410"/>
    <cellStyle name="asd 5 2 2 2 5" xfId="12553"/>
    <cellStyle name="asd 5 2 2 2 6" xfId="13929"/>
    <cellStyle name="asd 5 2 2 2 7" xfId="15830"/>
    <cellStyle name="asd 5 2 2 2 8" xfId="17029"/>
    <cellStyle name="asd 5 2 2 2 9" xfId="18936"/>
    <cellStyle name="asd 5 2 2 20" xfId="35952"/>
    <cellStyle name="asd 5 2 2 21" xfId="37831"/>
    <cellStyle name="asd 5 2 2 22" xfId="20415"/>
    <cellStyle name="asd 5 2 2 23" xfId="34074"/>
    <cellStyle name="asd 5 2 2 24" xfId="42172"/>
    <cellStyle name="asd 5 2 2 3" xfId="5075"/>
    <cellStyle name="asd 5 2 2 4" xfId="6525"/>
    <cellStyle name="asd 5 2 2 5" xfId="7976"/>
    <cellStyle name="asd 5 2 2 6" xfId="9886"/>
    <cellStyle name="asd 5 2 2 7" xfId="12216"/>
    <cellStyle name="asd 5 2 2 8" xfId="12827"/>
    <cellStyle name="asd 5 2 2 9" xfId="14732"/>
    <cellStyle name="asd 5 2 20" xfId="31716"/>
    <cellStyle name="asd 5 2 21" xfId="33831"/>
    <cellStyle name="asd 5 2 22" xfId="35260"/>
    <cellStyle name="asd 5 2 23" xfId="37138"/>
    <cellStyle name="asd 5 2 24" xfId="38957"/>
    <cellStyle name="asd 5 2 25" xfId="40640"/>
    <cellStyle name="asd 5 2 26" xfId="42994"/>
    <cellStyle name="asd 5 2 3" xfId="3784"/>
    <cellStyle name="asd 5 2 3 10" xfId="19522"/>
    <cellStyle name="asd 5 2 3 11" xfId="21434"/>
    <cellStyle name="asd 5 2 3 12" xfId="23011"/>
    <cellStyle name="asd 5 2 3 13" xfId="25236"/>
    <cellStyle name="asd 5 2 3 14" xfId="26429"/>
    <cellStyle name="asd 5 2 3 15" xfId="29537"/>
    <cellStyle name="asd 5 2 3 16" xfId="30035"/>
    <cellStyle name="asd 5 2 3 17" xfId="32546"/>
    <cellStyle name="asd 5 2 3 18" xfId="34282"/>
    <cellStyle name="asd 5 2 3 19" xfId="36063"/>
    <cellStyle name="asd 5 2 3 2" xfId="5792"/>
    <cellStyle name="asd 5 2 3 2 10" xfId="22042"/>
    <cellStyle name="asd 5 2 3 2 11" xfId="23127"/>
    <cellStyle name="asd 5 2 3 2 12" xfId="25844"/>
    <cellStyle name="asd 5 2 3 2 13" xfId="26866"/>
    <cellStyle name="asd 5 2 3 2 14" xfId="29601"/>
    <cellStyle name="asd 5 2 3 2 15" xfId="30462"/>
    <cellStyle name="asd 5 2 3 2 16" xfId="32567"/>
    <cellStyle name="asd 5 2 3 2 17" xfId="34504"/>
    <cellStyle name="asd 5 2 3 2 18" xfId="36671"/>
    <cellStyle name="asd 5 2 3 2 19" xfId="38550"/>
    <cellStyle name="asd 5 2 3 2 2" xfId="7241"/>
    <cellStyle name="asd 5 2 3 2 20" xfId="39778"/>
    <cellStyle name="asd 5 2 3 2 21" xfId="41448"/>
    <cellStyle name="asd 5 2 3 2 22" xfId="42906"/>
    <cellStyle name="asd 5 2 3 2 3" xfId="8695"/>
    <cellStyle name="asd 5 2 3 2 4" xfId="10605"/>
    <cellStyle name="asd 5 2 3 2 5" xfId="12751"/>
    <cellStyle name="asd 5 2 3 2 6" xfId="13598"/>
    <cellStyle name="asd 5 2 3 2 7" xfId="15501"/>
    <cellStyle name="asd 5 2 3 2 8" xfId="18224"/>
    <cellStyle name="asd 5 2 3 2 9" xfId="20130"/>
    <cellStyle name="asd 5 2 3 20" xfId="37942"/>
    <cellStyle name="asd 5 2 3 21" xfId="39759"/>
    <cellStyle name="asd 5 2 3 22" xfId="41431"/>
    <cellStyle name="asd 5 2 3 23" xfId="42795"/>
    <cellStyle name="asd 5 2 3 3" xfId="5186"/>
    <cellStyle name="asd 5 2 3 4" xfId="8087"/>
    <cellStyle name="asd 5 2 3 5" xfId="9997"/>
    <cellStyle name="asd 5 2 3 6" xfId="12304"/>
    <cellStyle name="asd 5 2 3 7" xfId="13481"/>
    <cellStyle name="asd 5 2 3 8" xfId="15386"/>
    <cellStyle name="asd 5 2 3 9" xfId="17616"/>
    <cellStyle name="asd 5 2 4" xfId="4066"/>
    <cellStyle name="asd 5 2 4 10" xfId="19701"/>
    <cellStyle name="asd 5 2 4 11" xfId="21613"/>
    <cellStyle name="asd 5 2 4 12" xfId="23069"/>
    <cellStyle name="asd 5 2 4 13" xfId="25415"/>
    <cellStyle name="asd 5 2 4 14" xfId="3320"/>
    <cellStyle name="asd 5 2 4 15" xfId="24246"/>
    <cellStyle name="asd 5 2 4 16" xfId="2468"/>
    <cellStyle name="asd 5 2 4 17" xfId="4330"/>
    <cellStyle name="asd 5 2 4 18" xfId="30393"/>
    <cellStyle name="asd 5 2 4 19" xfId="36242"/>
    <cellStyle name="asd 5 2 4 2" xfId="5971"/>
    <cellStyle name="asd 5 2 4 2 10" xfId="22221"/>
    <cellStyle name="asd 5 2 4 2 11" xfId="23808"/>
    <cellStyle name="asd 5 2 4 2 12" xfId="26023"/>
    <cellStyle name="asd 5 2 4 2 13" xfId="27479"/>
    <cellStyle name="asd 5 2 4 2 14" xfId="28864"/>
    <cellStyle name="asd 5 2 4 2 15" xfId="31066"/>
    <cellStyle name="asd 5 2 4 2 16" xfId="32048"/>
    <cellStyle name="asd 5 2 4 2 17" xfId="34440"/>
    <cellStyle name="asd 5 2 4 2 18" xfId="36850"/>
    <cellStyle name="asd 5 2 4 2 19" xfId="38729"/>
    <cellStyle name="asd 5 2 4 2 2" xfId="7420"/>
    <cellStyle name="asd 5 2 4 2 20" xfId="39277"/>
    <cellStyle name="asd 5 2 4 2 21" xfId="40953"/>
    <cellStyle name="asd 5 2 4 2 22" xfId="43560"/>
    <cellStyle name="asd 5 2 4 2 3" xfId="8874"/>
    <cellStyle name="asd 5 2 4 2 4" xfId="10784"/>
    <cellStyle name="asd 5 2 4 2 5" xfId="11782"/>
    <cellStyle name="asd 5 2 4 2 6" xfId="14278"/>
    <cellStyle name="asd 5 2 4 2 7" xfId="16182"/>
    <cellStyle name="asd 5 2 4 2 8" xfId="18403"/>
    <cellStyle name="asd 5 2 4 2 9" xfId="20309"/>
    <cellStyle name="asd 5 2 4 20" xfId="38121"/>
    <cellStyle name="asd 5 2 4 21" xfId="22995"/>
    <cellStyle name="asd 5 2 4 22" xfId="34321"/>
    <cellStyle name="asd 5 2 4 23" xfId="42851"/>
    <cellStyle name="asd 5 2 4 3" xfId="6812"/>
    <cellStyle name="asd 5 2 4 4" xfId="8266"/>
    <cellStyle name="asd 5 2 4 5" xfId="10176"/>
    <cellStyle name="asd 5 2 4 6" xfId="12675"/>
    <cellStyle name="asd 5 2 4 7" xfId="13540"/>
    <cellStyle name="asd 5 2 4 8" xfId="15443"/>
    <cellStyle name="asd 5 2 4 9" xfId="17795"/>
    <cellStyle name="asd 5 2 5" xfId="4923"/>
    <cellStyle name="asd 5 2 5 10" xfId="21171"/>
    <cellStyle name="asd 5 2 5 11" xfId="23709"/>
    <cellStyle name="asd 5 2 5 12" xfId="24973"/>
    <cellStyle name="asd 5 2 5 13" xfId="26288"/>
    <cellStyle name="asd 5 2 5 14" xfId="29675"/>
    <cellStyle name="asd 5 2 5 15" xfId="29897"/>
    <cellStyle name="asd 5 2 5 16" xfId="32695"/>
    <cellStyle name="asd 5 2 5 17" xfId="34519"/>
    <cellStyle name="asd 5 2 5 18" xfId="35800"/>
    <cellStyle name="asd 5 2 5 19" xfId="37679"/>
    <cellStyle name="asd 5 2 5 2" xfId="6373"/>
    <cellStyle name="asd 5 2 5 20" xfId="39903"/>
    <cellStyle name="asd 5 2 5 21" xfId="41572"/>
    <cellStyle name="asd 5 2 5 22" xfId="43466"/>
    <cellStyle name="asd 5 2 5 3" xfId="7824"/>
    <cellStyle name="asd 5 2 5 4" xfId="9734"/>
    <cellStyle name="asd 5 2 5 5" xfId="11405"/>
    <cellStyle name="asd 5 2 5 6" xfId="14179"/>
    <cellStyle name="asd 5 2 5 7" xfId="16083"/>
    <cellStyle name="asd 5 2 5 8" xfId="17353"/>
    <cellStyle name="asd 5 2 5 9" xfId="19259"/>
    <cellStyle name="asd 5 2 6" xfId="4467"/>
    <cellStyle name="asd 5 2 6 10" xfId="20712"/>
    <cellStyle name="asd 5 2 6 11" xfId="23831"/>
    <cellStyle name="asd 5 2 6 12" xfId="24514"/>
    <cellStyle name="asd 5 2 6 13" xfId="27393"/>
    <cellStyle name="asd 5 2 6 14" xfId="28325"/>
    <cellStyle name="asd 5 2 6 15" xfId="30979"/>
    <cellStyle name="asd 5 2 6 16" xfId="32786"/>
    <cellStyle name="asd 5 2 6 17" xfId="34387"/>
    <cellStyle name="asd 5 2 6 18" xfId="35342"/>
    <cellStyle name="asd 5 2 6 19" xfId="37220"/>
    <cellStyle name="asd 5 2 6 2" xfId="4327"/>
    <cellStyle name="asd 5 2 6 20" xfId="39995"/>
    <cellStyle name="asd 5 2 6 21" xfId="41659"/>
    <cellStyle name="asd 5 2 6 22" xfId="43582"/>
    <cellStyle name="asd 5 2 6 3" xfId="4389"/>
    <cellStyle name="asd 5 2 6 4" xfId="9274"/>
    <cellStyle name="asd 5 2 6 5" xfId="11432"/>
    <cellStyle name="asd 5 2 6 6" xfId="14301"/>
    <cellStyle name="asd 5 2 6 7" xfId="16205"/>
    <cellStyle name="asd 5 2 6 8" xfId="16893"/>
    <cellStyle name="asd 5 2 6 9" xfId="18800"/>
    <cellStyle name="asd 5 2 7" xfId="6220"/>
    <cellStyle name="asd 5 2 8" xfId="9192"/>
    <cellStyle name="asd 5 2 9" xfId="11092"/>
    <cellStyle name="asd 5 20" xfId="28690"/>
    <cellStyle name="asd 5 21" xfId="28667"/>
    <cellStyle name="asd 5 22" xfId="22862"/>
    <cellStyle name="asd 5 23" xfId="33169"/>
    <cellStyle name="asd 5 24" xfId="34601"/>
    <cellStyle name="asd 5 25" xfId="26134"/>
    <cellStyle name="asd 5 26" xfId="39213"/>
    <cellStyle name="asd 5 27" xfId="29759"/>
    <cellStyle name="asd 5 3" xfId="3421"/>
    <cellStyle name="asd 5 3 10" xfId="14235"/>
    <cellStyle name="asd 5 3 11" xfId="16139"/>
    <cellStyle name="asd 5 3 12" xfId="16792"/>
    <cellStyle name="asd 5 3 13" xfId="18699"/>
    <cellStyle name="asd 5 3 14" xfId="20611"/>
    <cellStyle name="asd 5 3 15" xfId="23765"/>
    <cellStyle name="asd 5 3 16" xfId="24413"/>
    <cellStyle name="asd 5 3 17" xfId="26164"/>
    <cellStyle name="asd 5 3 18" xfId="2221"/>
    <cellStyle name="asd 5 3 19" xfId="29778"/>
    <cellStyle name="asd 5 3 2" xfId="3601"/>
    <cellStyle name="asd 5 3 2 10" xfId="17492"/>
    <cellStyle name="asd 5 3 2 11" xfId="19398"/>
    <cellStyle name="asd 5 3 2 12" xfId="21310"/>
    <cellStyle name="asd 5 3 2 13" xfId="23658"/>
    <cellStyle name="asd 5 3 2 14" xfId="25112"/>
    <cellStyle name="asd 5 3 2 15" xfId="27157"/>
    <cellStyle name="asd 5 3 2 16" xfId="10904"/>
    <cellStyle name="asd 5 3 2 17" xfId="30748"/>
    <cellStyle name="asd 5 3 2 18" xfId="4208"/>
    <cellStyle name="asd 5 3 2 19" xfId="31984"/>
    <cellStyle name="asd 5 3 2 2" xfId="5722"/>
    <cellStyle name="asd 5 3 2 2 10" xfId="21972"/>
    <cellStyle name="asd 5 3 2 2 11" xfId="22374"/>
    <cellStyle name="asd 5 3 2 2 12" xfId="25774"/>
    <cellStyle name="asd 5 3 2 2 13" xfId="26432"/>
    <cellStyle name="asd 5 3 2 2 14" xfId="28298"/>
    <cellStyle name="asd 5 3 2 2 15" xfId="30038"/>
    <cellStyle name="asd 5 3 2 2 16" xfId="31799"/>
    <cellStyle name="asd 5 3 2 2 17" xfId="33976"/>
    <cellStyle name="asd 5 3 2 2 18" xfId="36601"/>
    <cellStyle name="asd 5 3 2 2 19" xfId="38480"/>
    <cellStyle name="asd 5 3 2 2 2" xfId="7171"/>
    <cellStyle name="asd 5 3 2 2 20" xfId="39037"/>
    <cellStyle name="asd 5 3 2 2 21" xfId="40719"/>
    <cellStyle name="asd 5 3 2 2 22" xfId="42185"/>
    <cellStyle name="asd 5 3 2 2 3" xfId="8625"/>
    <cellStyle name="asd 5 3 2 2 4" xfId="10535"/>
    <cellStyle name="asd 5 3 2 2 5" xfId="11799"/>
    <cellStyle name="asd 5 3 2 2 6" xfId="12841"/>
    <cellStyle name="asd 5 3 2 2 7" xfId="14746"/>
    <cellStyle name="asd 5 3 2 2 8" xfId="18154"/>
    <cellStyle name="asd 5 3 2 2 9" xfId="20060"/>
    <cellStyle name="asd 5 3 2 20" xfId="35939"/>
    <cellStyle name="asd 5 3 2 21" xfId="37818"/>
    <cellStyle name="asd 5 3 2 22" xfId="31573"/>
    <cellStyle name="asd 5 3 2 23" xfId="22336"/>
    <cellStyle name="asd 5 3 2 24" xfId="43416"/>
    <cellStyle name="asd 5 3 2 3" xfId="5062"/>
    <cellStyle name="asd 5 3 2 4" xfId="6512"/>
    <cellStyle name="asd 5 3 2 5" xfId="7963"/>
    <cellStyle name="asd 5 3 2 6" xfId="9873"/>
    <cellStyle name="asd 5 3 2 7" xfId="11511"/>
    <cellStyle name="asd 5 3 2 8" xfId="14128"/>
    <cellStyle name="asd 5 3 2 9" xfId="16031"/>
    <cellStyle name="asd 5 3 20" xfId="32217"/>
    <cellStyle name="asd 5 3 21" xfId="34688"/>
    <cellStyle name="asd 5 3 22" xfId="35241"/>
    <cellStyle name="asd 5 3 23" xfId="37119"/>
    <cellStyle name="asd 5 3 24" xfId="39436"/>
    <cellStyle name="asd 5 3 25" xfId="41112"/>
    <cellStyle name="asd 5 3 26" xfId="43518"/>
    <cellStyle name="asd 5 3 3" xfId="3833"/>
    <cellStyle name="asd 5 3 3 10" xfId="19558"/>
    <cellStyle name="asd 5 3 3 11" xfId="21470"/>
    <cellStyle name="asd 5 3 3 12" xfId="22652"/>
    <cellStyle name="asd 5 3 3 13" xfId="25272"/>
    <cellStyle name="asd 5 3 3 14" xfId="26347"/>
    <cellStyle name="asd 5 3 3 15" xfId="1916"/>
    <cellStyle name="asd 5 3 3 16" xfId="29955"/>
    <cellStyle name="asd 5 3 3 17" xfId="32150"/>
    <cellStyle name="asd 5 3 3 18" xfId="29728"/>
    <cellStyle name="asd 5 3 3 19" xfId="36099"/>
    <cellStyle name="asd 5 3 3 2" xfId="5828"/>
    <cellStyle name="asd 5 3 3 2 10" xfId="22078"/>
    <cellStyle name="asd 5 3 3 2 11" xfId="23978"/>
    <cellStyle name="asd 5 3 3 2 12" xfId="25880"/>
    <cellStyle name="asd 5 3 3 2 13" xfId="26210"/>
    <cellStyle name="asd 5 3 3 2 14" xfId="29232"/>
    <cellStyle name="asd 5 3 3 2 15" xfId="29822"/>
    <cellStyle name="asd 5 3 3 2 16" xfId="32406"/>
    <cellStyle name="asd 5 3 3 2 17" xfId="34760"/>
    <cellStyle name="asd 5 3 3 2 18" xfId="36707"/>
    <cellStyle name="asd 5 3 3 2 19" xfId="38586"/>
    <cellStyle name="asd 5 3 3 2 2" xfId="7277"/>
    <cellStyle name="asd 5 3 3 2 20" xfId="39623"/>
    <cellStyle name="asd 5 3 3 2 21" xfId="41297"/>
    <cellStyle name="asd 5 3 3 2 22" xfId="43723"/>
    <cellStyle name="asd 5 3 3 2 3" xfId="8731"/>
    <cellStyle name="asd 5 3 3 2 4" xfId="10641"/>
    <cellStyle name="asd 5 3 3 2 5" xfId="11938"/>
    <cellStyle name="asd 5 3 3 2 6" xfId="14448"/>
    <cellStyle name="asd 5 3 3 2 7" xfId="16354"/>
    <cellStyle name="asd 5 3 3 2 8" xfId="18260"/>
    <cellStyle name="asd 5 3 3 2 9" xfId="20166"/>
    <cellStyle name="asd 5 3 3 20" xfId="37978"/>
    <cellStyle name="asd 5 3 3 21" xfId="39373"/>
    <cellStyle name="asd 5 3 3 22" xfId="41049"/>
    <cellStyle name="asd 5 3 3 23" xfId="42458"/>
    <cellStyle name="asd 5 3 3 3" xfId="5222"/>
    <cellStyle name="asd 5 3 3 4" xfId="8123"/>
    <cellStyle name="asd 5 3 3 5" xfId="10033"/>
    <cellStyle name="asd 5 3 3 6" xfId="11520"/>
    <cellStyle name="asd 5 3 3 7" xfId="13119"/>
    <cellStyle name="asd 5 3 3 8" xfId="15024"/>
    <cellStyle name="asd 5 3 3 9" xfId="17652"/>
    <cellStyle name="asd 5 3 4" xfId="4053"/>
    <cellStyle name="asd 5 3 4 10" xfId="19688"/>
    <cellStyle name="asd 5 3 4 11" xfId="21600"/>
    <cellStyle name="asd 5 3 4 12" xfId="22433"/>
    <cellStyle name="asd 5 3 4 13" xfId="25402"/>
    <cellStyle name="asd 5 3 4 14" xfId="27960"/>
    <cellStyle name="asd 5 3 4 15" xfId="8977"/>
    <cellStyle name="asd 5 3 4 16" xfId="31539"/>
    <cellStyle name="asd 5 3 4 17" xfId="3075"/>
    <cellStyle name="asd 5 3 4 18" xfId="26421"/>
    <cellStyle name="asd 5 3 4 19" xfId="36229"/>
    <cellStyle name="asd 5 3 4 2" xfId="5958"/>
    <cellStyle name="asd 5 3 4 2 10" xfId="22208"/>
    <cellStyle name="asd 5 3 4 2 11" xfId="24086"/>
    <cellStyle name="asd 5 3 4 2 12" xfId="26010"/>
    <cellStyle name="asd 5 3 4 2 13" xfId="26410"/>
    <cellStyle name="asd 5 3 4 2 14" xfId="28378"/>
    <cellStyle name="asd 5 3 4 2 15" xfId="30017"/>
    <cellStyle name="asd 5 3 4 2 16" xfId="31858"/>
    <cellStyle name="asd 5 3 4 2 17" xfId="34457"/>
    <cellStyle name="asd 5 3 4 2 18" xfId="36837"/>
    <cellStyle name="asd 5 3 4 2 19" xfId="38716"/>
    <cellStyle name="asd 5 3 4 2 2" xfId="7407"/>
    <cellStyle name="asd 5 3 4 2 20" xfId="39093"/>
    <cellStyle name="asd 5 3 4 2 21" xfId="40774"/>
    <cellStyle name="asd 5 3 4 2 22" xfId="43829"/>
    <cellStyle name="asd 5 3 4 2 3" xfId="8861"/>
    <cellStyle name="asd 5 3 4 2 4" xfId="10771"/>
    <cellStyle name="asd 5 3 4 2 5" xfId="12045"/>
    <cellStyle name="asd 5 3 4 2 6" xfId="14556"/>
    <cellStyle name="asd 5 3 4 2 7" xfId="16462"/>
    <cellStyle name="asd 5 3 4 2 8" xfId="18390"/>
    <cellStyle name="asd 5 3 4 2 9" xfId="20296"/>
    <cellStyle name="asd 5 3 4 20" xfId="38108"/>
    <cellStyle name="asd 5 3 4 21" xfId="33766"/>
    <cellStyle name="asd 5 3 4 22" xfId="33369"/>
    <cellStyle name="asd 5 3 4 23" xfId="42244"/>
    <cellStyle name="asd 5 3 4 3" xfId="6799"/>
    <cellStyle name="asd 5 3 4 4" xfId="8253"/>
    <cellStyle name="asd 5 3 4 5" xfId="10163"/>
    <cellStyle name="asd 5 3 4 6" xfId="11416"/>
    <cellStyle name="asd 5 3 4 7" xfId="12901"/>
    <cellStyle name="asd 5 3 4 8" xfId="14806"/>
    <cellStyle name="asd 5 3 4 9" xfId="17782"/>
    <cellStyle name="asd 5 3 5" xfId="4914"/>
    <cellStyle name="asd 5 3 5 10" xfId="21162"/>
    <cellStyle name="asd 5 3 5 11" xfId="23553"/>
    <cellStyle name="asd 5 3 5 12" xfId="24964"/>
    <cellStyle name="asd 5 3 5 13" xfId="26544"/>
    <cellStyle name="asd 5 3 5 14" xfId="28580"/>
    <cellStyle name="asd 5 3 5 15" xfId="30149"/>
    <cellStyle name="asd 5 3 5 16" xfId="32044"/>
    <cellStyle name="asd 5 3 5 17" xfId="33678"/>
    <cellStyle name="asd 5 3 5 18" xfId="35791"/>
    <cellStyle name="asd 5 3 5 19" xfId="37670"/>
    <cellStyle name="asd 5 3 5 2" xfId="6364"/>
    <cellStyle name="asd 5 3 5 20" xfId="39273"/>
    <cellStyle name="asd 5 3 5 21" xfId="40949"/>
    <cellStyle name="asd 5 3 5 22" xfId="43317"/>
    <cellStyle name="asd 5 3 5 3" xfId="7815"/>
    <cellStyle name="asd 5 3 5 4" xfId="9725"/>
    <cellStyle name="asd 5 3 5 5" xfId="12530"/>
    <cellStyle name="asd 5 3 5 6" xfId="14025"/>
    <cellStyle name="asd 5 3 5 7" xfId="15926"/>
    <cellStyle name="asd 5 3 5 8" xfId="17344"/>
    <cellStyle name="asd 5 3 5 9" xfId="19250"/>
    <cellStyle name="asd 5 3 6" xfId="2498"/>
    <cellStyle name="asd 5 3 6 10" xfId="20610"/>
    <cellStyle name="asd 5 3 6 11" xfId="22911"/>
    <cellStyle name="asd 5 3 6 12" xfId="24412"/>
    <cellStyle name="asd 5 3 6 13" xfId="26690"/>
    <cellStyle name="asd 5 3 6 14" xfId="29256"/>
    <cellStyle name="asd 5 3 6 15" xfId="30290"/>
    <cellStyle name="asd 5 3 6 16" xfId="31669"/>
    <cellStyle name="asd 5 3 6 17" xfId="34236"/>
    <cellStyle name="asd 5 3 6 18" xfId="35240"/>
    <cellStyle name="asd 5 3 6 19" xfId="37118"/>
    <cellStyle name="asd 5 3 6 2" xfId="4215"/>
    <cellStyle name="asd 5 3 6 20" xfId="38913"/>
    <cellStyle name="asd 5 3 6 21" xfId="40597"/>
    <cellStyle name="asd 5 3 6 22" xfId="42697"/>
    <cellStyle name="asd 5 3 6 3" xfId="3854"/>
    <cellStyle name="asd 5 3 6 4" xfId="9172"/>
    <cellStyle name="asd 5 3 6 5" xfId="12327"/>
    <cellStyle name="asd 5 3 6 6" xfId="13379"/>
    <cellStyle name="asd 5 3 6 7" xfId="15284"/>
    <cellStyle name="asd 5 3 6 8" xfId="16791"/>
    <cellStyle name="asd 5 3 6 9" xfId="18698"/>
    <cellStyle name="asd 5 3 7" xfId="6297"/>
    <cellStyle name="asd 5 3 8" xfId="9173"/>
    <cellStyle name="asd 5 3 9" xfId="11466"/>
    <cellStyle name="asd 5 4" xfId="3378"/>
    <cellStyle name="asd 5 4 10" xfId="15983"/>
    <cellStyle name="asd 5 4 11" xfId="16691"/>
    <cellStyle name="asd 5 4 12" xfId="18598"/>
    <cellStyle name="asd 5 4 13" xfId="20510"/>
    <cellStyle name="asd 5 4 14" xfId="23610"/>
    <cellStyle name="asd 5 4 15" xfId="24312"/>
    <cellStyle name="asd 5 4 16" xfId="26184"/>
    <cellStyle name="asd 5 4 17" xfId="28719"/>
    <cellStyle name="asd 5 4 18" xfId="29796"/>
    <cellStyle name="asd 5 4 19" xfId="31391"/>
    <cellStyle name="asd 5 4 2" xfId="3558"/>
    <cellStyle name="asd 5 4 2 10" xfId="17449"/>
    <cellStyle name="asd 5 4 2 11" xfId="19355"/>
    <cellStyle name="asd 5 4 2 12" xfId="21267"/>
    <cellStyle name="asd 5 4 2 13" xfId="3762"/>
    <cellStyle name="asd 5 4 2 14" xfId="25069"/>
    <cellStyle name="asd 5 4 2 15" xfId="2501"/>
    <cellStyle name="asd 5 4 2 16" xfId="24236"/>
    <cellStyle name="asd 5 4 2 17" xfId="12711"/>
    <cellStyle name="asd 5 4 2 18" xfId="31563"/>
    <cellStyle name="asd 5 4 2 19" xfId="29757"/>
    <cellStyle name="asd 5 4 2 2" xfId="4497"/>
    <cellStyle name="asd 5 4 2 2 10" xfId="20742"/>
    <cellStyle name="asd 5 4 2 2 11" xfId="22917"/>
    <cellStyle name="asd 5 4 2 2 12" xfId="24544"/>
    <cellStyle name="asd 5 4 2 2 13" xfId="27583"/>
    <cellStyle name="asd 5 4 2 2 14" xfId="29671"/>
    <cellStyle name="asd 5 4 2 2 15" xfId="31162"/>
    <cellStyle name="asd 5 4 2 2 16" xfId="32871"/>
    <cellStyle name="asd 5 4 2 2 17" xfId="34837"/>
    <cellStyle name="asd 5 4 2 2 18" xfId="35372"/>
    <cellStyle name="asd 5 4 2 2 19" xfId="37250"/>
    <cellStyle name="asd 5 4 2 2 2" xfId="4839"/>
    <cellStyle name="asd 5 4 2 2 20" xfId="40077"/>
    <cellStyle name="asd 5 4 2 2 21" xfId="41741"/>
    <cellStyle name="asd 5 4 2 2 22" xfId="42703"/>
    <cellStyle name="asd 5 4 2 2 3" xfId="6211"/>
    <cellStyle name="asd 5 4 2 2 4" xfId="9304"/>
    <cellStyle name="asd 5 4 2 2 5" xfId="12209"/>
    <cellStyle name="asd 5 4 2 2 6" xfId="13385"/>
    <cellStyle name="asd 5 4 2 2 7" xfId="15290"/>
    <cellStyle name="asd 5 4 2 2 8" xfId="16923"/>
    <cellStyle name="asd 5 4 2 2 9" xfId="18830"/>
    <cellStyle name="asd 5 4 2 20" xfId="35896"/>
    <cellStyle name="asd 5 4 2 21" xfId="37775"/>
    <cellStyle name="asd 5 4 2 22" xfId="38822"/>
    <cellStyle name="asd 5 4 2 23" xfId="40515"/>
    <cellStyle name="asd 5 4 2 24" xfId="41553"/>
    <cellStyle name="asd 5 4 2 3" xfId="5019"/>
    <cellStyle name="asd 5 4 2 4" xfId="6469"/>
    <cellStyle name="asd 5 4 2 5" xfId="7920"/>
    <cellStyle name="asd 5 4 2 6" xfId="9830"/>
    <cellStyle name="asd 5 4 2 7" xfId="12363"/>
    <cellStyle name="asd 5 4 2 8" xfId="11257"/>
    <cellStyle name="asd 5 4 2 9" xfId="13764"/>
    <cellStyle name="asd 5 4 20" xfId="2299"/>
    <cellStyle name="asd 5 4 21" xfId="35140"/>
    <cellStyle name="asd 5 4 22" xfId="37018"/>
    <cellStyle name="asd 5 4 23" xfId="33768"/>
    <cellStyle name="asd 5 4 24" xfId="40088"/>
    <cellStyle name="asd 5 4 25" xfId="43368"/>
    <cellStyle name="asd 5 4 3" xfId="3852"/>
    <cellStyle name="asd 5 4 3 10" xfId="19574"/>
    <cellStyle name="asd 5 4 3 11" xfId="21486"/>
    <cellStyle name="asd 5 4 3 12" xfId="23906"/>
    <cellStyle name="asd 5 4 3 13" xfId="25288"/>
    <cellStyle name="asd 5 4 3 14" xfId="27543"/>
    <cellStyle name="asd 5 4 3 15" xfId="28013"/>
    <cellStyle name="asd 5 4 3 16" xfId="31124"/>
    <cellStyle name="asd 5 4 3 17" xfId="2926"/>
    <cellStyle name="asd 5 4 3 18" xfId="30179"/>
    <cellStyle name="asd 5 4 3 19" xfId="36115"/>
    <cellStyle name="asd 5 4 3 2" xfId="5844"/>
    <cellStyle name="asd 5 4 3 2 10" xfId="22094"/>
    <cellStyle name="asd 5 4 3 2 11" xfId="22923"/>
    <cellStyle name="asd 5 4 3 2 12" xfId="25896"/>
    <cellStyle name="asd 5 4 3 2 13" xfId="26928"/>
    <cellStyle name="asd 5 4 3 2 14" xfId="28506"/>
    <cellStyle name="asd 5 4 3 2 15" xfId="30522"/>
    <cellStyle name="asd 5 4 3 2 16" xfId="31762"/>
    <cellStyle name="asd 5 4 3 2 17" xfId="33667"/>
    <cellStyle name="asd 5 4 3 2 18" xfId="36723"/>
    <cellStyle name="asd 5 4 3 2 19" xfId="38602"/>
    <cellStyle name="asd 5 4 3 2 2" xfId="7293"/>
    <cellStyle name="asd 5 4 3 2 20" xfId="39002"/>
    <cellStyle name="asd 5 4 3 2 21" xfId="40685"/>
    <cellStyle name="asd 5 4 3 2 22" xfId="42709"/>
    <cellStyle name="asd 5 4 3 2 3" xfId="8747"/>
    <cellStyle name="asd 5 4 3 2 4" xfId="10657"/>
    <cellStyle name="asd 5 4 3 2 5" xfId="12441"/>
    <cellStyle name="asd 5 4 3 2 6" xfId="13391"/>
    <cellStyle name="asd 5 4 3 2 7" xfId="15296"/>
    <cellStyle name="asd 5 4 3 2 8" xfId="18276"/>
    <cellStyle name="asd 5 4 3 2 9" xfId="20182"/>
    <cellStyle name="asd 5 4 3 20" xfId="37994"/>
    <cellStyle name="asd 5 4 3 21" xfId="31574"/>
    <cellStyle name="asd 5 4 3 22" xfId="5330"/>
    <cellStyle name="asd 5 4 3 23" xfId="43652"/>
    <cellStyle name="asd 5 4 3 3" xfId="5238"/>
    <cellStyle name="asd 5 4 3 4" xfId="8139"/>
    <cellStyle name="asd 5 4 3 5" xfId="10049"/>
    <cellStyle name="asd 5 4 3 6" xfId="11865"/>
    <cellStyle name="asd 5 4 3 7" xfId="14374"/>
    <cellStyle name="asd 5 4 3 8" xfId="16280"/>
    <cellStyle name="asd 5 4 3 9" xfId="17668"/>
    <cellStyle name="asd 5 4 4" xfId="4010"/>
    <cellStyle name="asd 5 4 4 10" xfId="19645"/>
    <cellStyle name="asd 5 4 4 11" xfId="21557"/>
    <cellStyle name="asd 5 4 4 12" xfId="24097"/>
    <cellStyle name="asd 5 4 4 13" xfId="25359"/>
    <cellStyle name="asd 5 4 4 14" xfId="27714"/>
    <cellStyle name="asd 5 4 4 15" xfId="28432"/>
    <cellStyle name="asd 5 4 4 16" xfId="31291"/>
    <cellStyle name="asd 5 4 4 17" xfId="32536"/>
    <cellStyle name="asd 5 4 4 18" xfId="34866"/>
    <cellStyle name="asd 5 4 4 19" xfId="36186"/>
    <cellStyle name="asd 5 4 4 2" xfId="5915"/>
    <cellStyle name="asd 5 4 4 2 10" xfId="22165"/>
    <cellStyle name="asd 5 4 4 2 11" xfId="23791"/>
    <cellStyle name="asd 5 4 4 2 12" xfId="25967"/>
    <cellStyle name="asd 5 4 4 2 13" xfId="27000"/>
    <cellStyle name="asd 5 4 4 2 14" xfId="28442"/>
    <cellStyle name="asd 5 4 4 2 15" xfId="30594"/>
    <cellStyle name="asd 5 4 4 2 16" xfId="32790"/>
    <cellStyle name="asd 5 4 4 2 17" xfId="34121"/>
    <cellStyle name="asd 5 4 4 2 18" xfId="36794"/>
    <cellStyle name="asd 5 4 4 2 19" xfId="38673"/>
    <cellStyle name="asd 5 4 4 2 2" xfId="7364"/>
    <cellStyle name="asd 5 4 4 2 20" xfId="39999"/>
    <cellStyle name="asd 5 4 4 2 21" xfId="41663"/>
    <cellStyle name="asd 5 4 4 2 22" xfId="43544"/>
    <cellStyle name="asd 5 4 4 2 3" xfId="8818"/>
    <cellStyle name="asd 5 4 4 2 4" xfId="10728"/>
    <cellStyle name="asd 5 4 4 2 5" xfId="12623"/>
    <cellStyle name="asd 5 4 4 2 6" xfId="14261"/>
    <cellStyle name="asd 5 4 4 2 7" xfId="16165"/>
    <cellStyle name="asd 5 4 4 2 8" xfId="18347"/>
    <cellStyle name="asd 5 4 4 2 9" xfId="20253"/>
    <cellStyle name="asd 5 4 4 20" xfId="38065"/>
    <cellStyle name="asd 5 4 4 21" xfId="39749"/>
    <cellStyle name="asd 5 4 4 22" xfId="41421"/>
    <cellStyle name="asd 5 4 4 23" xfId="43840"/>
    <cellStyle name="asd 5 4 4 3" xfId="6756"/>
    <cellStyle name="asd 5 4 4 4" xfId="8210"/>
    <cellStyle name="asd 5 4 4 5" xfId="10120"/>
    <cellStyle name="asd 5 4 4 6" xfId="12056"/>
    <cellStyle name="asd 5 4 4 7" xfId="14567"/>
    <cellStyle name="asd 5 4 4 8" xfId="16473"/>
    <cellStyle name="asd 5 4 4 9" xfId="17739"/>
    <cellStyle name="asd 5 4 5" xfId="4437"/>
    <cellStyle name="asd 5 4 5 10" xfId="20682"/>
    <cellStyle name="asd 5 4 5 11" xfId="24088"/>
    <cellStyle name="asd 5 4 5 12" xfId="24484"/>
    <cellStyle name="asd 5 4 5 13" xfId="26297"/>
    <cellStyle name="asd 5 4 5 14" xfId="28844"/>
    <cellStyle name="asd 5 4 5 15" xfId="29906"/>
    <cellStyle name="asd 5 4 5 16" xfId="32064"/>
    <cellStyle name="asd 5 4 5 17" xfId="34893"/>
    <cellStyle name="asd 5 4 5 18" xfId="35312"/>
    <cellStyle name="asd 5 4 5 19" xfId="37190"/>
    <cellStyle name="asd 5 4 5 2" xfId="4600"/>
    <cellStyle name="asd 5 4 5 20" xfId="39290"/>
    <cellStyle name="asd 5 4 5 21" xfId="40966"/>
    <cellStyle name="asd 5 4 5 22" xfId="43831"/>
    <cellStyle name="asd 5 4 5 3" xfId="3531"/>
    <cellStyle name="asd 5 4 5 4" xfId="9244"/>
    <cellStyle name="asd 5 4 5 5" xfId="12047"/>
    <cellStyle name="asd 5 4 5 6" xfId="14558"/>
    <cellStyle name="asd 5 4 5 7" xfId="16464"/>
    <cellStyle name="asd 5 4 5 8" xfId="16863"/>
    <cellStyle name="asd 5 4 5 9" xfId="18770"/>
    <cellStyle name="asd 5 4 6" xfId="6263"/>
    <cellStyle name="asd 5 4 7" xfId="9072"/>
    <cellStyle name="asd 5 4 8" xfId="11455"/>
    <cellStyle name="asd 5 4 9" xfId="14080"/>
    <cellStyle name="asd 5 5" xfId="2089"/>
    <cellStyle name="asd 5 5 10" xfId="17109"/>
    <cellStyle name="asd 5 5 11" xfId="19015"/>
    <cellStyle name="asd 5 5 12" xfId="20927"/>
    <cellStyle name="asd 5 5 13" xfId="22686"/>
    <cellStyle name="asd 5 5 14" xfId="24729"/>
    <cellStyle name="asd 5 5 15" xfId="26613"/>
    <cellStyle name="asd 5 5 16" xfId="29614"/>
    <cellStyle name="asd 5 5 17" xfId="30216"/>
    <cellStyle name="asd 5 5 18" xfId="32009"/>
    <cellStyle name="asd 5 5 19" xfId="34648"/>
    <cellStyle name="asd 5 5 2" xfId="4415"/>
    <cellStyle name="asd 5 5 2 10" xfId="20659"/>
    <cellStyle name="asd 5 5 2 11" xfId="23536"/>
    <cellStyle name="asd 5 5 2 12" xfId="24461"/>
    <cellStyle name="asd 5 5 2 13" xfId="26757"/>
    <cellStyle name="asd 5 5 2 14" xfId="29484"/>
    <cellStyle name="asd 5 5 2 15" xfId="30356"/>
    <cellStyle name="asd 5 5 2 16" xfId="31725"/>
    <cellStyle name="asd 5 5 2 17" xfId="33415"/>
    <cellStyle name="asd 5 5 2 18" xfId="35289"/>
    <cellStyle name="asd 5 5 2 19" xfId="37167"/>
    <cellStyle name="asd 5 5 2 2" xfId="5344"/>
    <cellStyle name="asd 5 5 2 20" xfId="38966"/>
    <cellStyle name="asd 5 5 2 21" xfId="40649"/>
    <cellStyle name="asd 5 5 2 22" xfId="43301"/>
    <cellStyle name="asd 5 5 2 3" xfId="6660"/>
    <cellStyle name="asd 5 5 2 4" xfId="9221"/>
    <cellStyle name="asd 5 5 2 5" xfId="12531"/>
    <cellStyle name="asd 5 5 2 6" xfId="14008"/>
    <cellStyle name="asd 5 5 2 7" xfId="15909"/>
    <cellStyle name="asd 5 5 2 8" xfId="16840"/>
    <cellStyle name="asd 5 5 2 9" xfId="18747"/>
    <cellStyle name="asd 5 5 20" xfId="35556"/>
    <cellStyle name="asd 5 5 21" xfId="37435"/>
    <cellStyle name="asd 5 5 22" xfId="39240"/>
    <cellStyle name="asd 5 5 23" xfId="40917"/>
    <cellStyle name="asd 5 5 24" xfId="42489"/>
    <cellStyle name="asd 5 5 3" xfId="4682"/>
    <cellStyle name="asd 5 5 4" xfId="6129"/>
    <cellStyle name="asd 5 5 5" xfId="7580"/>
    <cellStyle name="asd 5 5 6" xfId="9490"/>
    <cellStyle name="asd 5 5 7" xfId="11022"/>
    <cellStyle name="asd 5 5 8" xfId="13153"/>
    <cellStyle name="asd 5 5 9" xfId="15058"/>
    <cellStyle name="asd 5 6" xfId="2188"/>
    <cellStyle name="asd 5 6 10" xfId="19030"/>
    <cellStyle name="asd 5 6 11" xfId="20942"/>
    <cellStyle name="asd 5 6 12" xfId="23883"/>
    <cellStyle name="asd 5 6 13" xfId="24744"/>
    <cellStyle name="asd 5 6 14" xfId="26932"/>
    <cellStyle name="asd 5 6 15" xfId="28537"/>
    <cellStyle name="asd 5 6 16" xfId="30526"/>
    <cellStyle name="asd 5 6 17" xfId="31872"/>
    <cellStyle name="asd 5 6 18" xfId="34774"/>
    <cellStyle name="asd 5 6 19" xfId="35571"/>
    <cellStyle name="asd 5 6 2" xfId="4225"/>
    <cellStyle name="asd 5 6 2 10" xfId="20528"/>
    <cellStyle name="asd 5 6 2 11" xfId="22769"/>
    <cellStyle name="asd 5 6 2 12" xfId="24330"/>
    <cellStyle name="asd 5 6 2 13" xfId="26867"/>
    <cellStyle name="asd 5 6 2 14" xfId="29238"/>
    <cellStyle name="asd 5 6 2 15" xfId="30463"/>
    <cellStyle name="asd 5 6 2 16" xfId="32867"/>
    <cellStyle name="asd 5 6 2 17" xfId="33496"/>
    <cellStyle name="asd 5 6 2 18" xfId="35158"/>
    <cellStyle name="asd 5 6 2 19" xfId="37036"/>
    <cellStyle name="asd 5 6 2 2" xfId="4223"/>
    <cellStyle name="asd 5 6 2 20" xfId="40073"/>
    <cellStyle name="asd 5 6 2 21" xfId="41737"/>
    <cellStyle name="asd 5 6 2 22" xfId="42564"/>
    <cellStyle name="asd 5 6 2 3" xfId="5397"/>
    <cellStyle name="asd 5 6 2 4" xfId="9090"/>
    <cellStyle name="asd 5 6 2 5" xfId="11551"/>
    <cellStyle name="asd 5 6 2 6" xfId="13238"/>
    <cellStyle name="asd 5 6 2 7" xfId="15141"/>
    <cellStyle name="asd 5 6 2 8" xfId="16709"/>
    <cellStyle name="asd 5 6 2 9" xfId="18616"/>
    <cellStyle name="asd 5 6 20" xfId="37450"/>
    <cellStyle name="asd 5 6 21" xfId="39107"/>
    <cellStyle name="asd 5 6 22" xfId="40788"/>
    <cellStyle name="asd 5 6 23" xfId="43633"/>
    <cellStyle name="asd 5 6 3" xfId="4696"/>
    <cellStyle name="asd 5 6 4" xfId="7595"/>
    <cellStyle name="asd 5 6 5" xfId="9505"/>
    <cellStyle name="asd 5 6 6" xfId="11569"/>
    <cellStyle name="asd 5 6 7" xfId="14353"/>
    <cellStyle name="asd 5 6 8" xfId="16258"/>
    <cellStyle name="asd 5 6 9" xfId="17124"/>
    <cellStyle name="asd 5 7" xfId="2343"/>
    <cellStyle name="asd 5 7 10" xfId="19056"/>
    <cellStyle name="asd 5 7 11" xfId="20968"/>
    <cellStyle name="asd 5 7 12" xfId="23172"/>
    <cellStyle name="asd 5 7 13" xfId="24770"/>
    <cellStyle name="asd 5 7 14" xfId="26724"/>
    <cellStyle name="asd 5 7 15" xfId="28183"/>
    <cellStyle name="asd 5 7 16" xfId="30324"/>
    <cellStyle name="asd 5 7 17" xfId="32903"/>
    <cellStyle name="asd 5 7 18" xfId="34129"/>
    <cellStyle name="asd 5 7 19" xfId="35597"/>
    <cellStyle name="asd 5 7 2" xfId="4509"/>
    <cellStyle name="asd 5 7 2 10" xfId="20754"/>
    <cellStyle name="asd 5 7 2 11" xfId="22361"/>
    <cellStyle name="asd 5 7 2 12" xfId="24556"/>
    <cellStyle name="asd 5 7 2 13" xfId="26556"/>
    <cellStyle name="asd 5 7 2 14" xfId="13189"/>
    <cellStyle name="asd 5 7 2 15" xfId="30161"/>
    <cellStyle name="asd 5 7 2 16" xfId="32676"/>
    <cellStyle name="asd 5 7 2 17" xfId="33445"/>
    <cellStyle name="asd 5 7 2 18" xfId="35384"/>
    <cellStyle name="asd 5 7 2 19" xfId="37262"/>
    <cellStyle name="asd 5 7 2 2" xfId="4562"/>
    <cellStyle name="asd 5 7 2 20" xfId="39883"/>
    <cellStyle name="asd 5 7 2 21" xfId="41552"/>
    <cellStyle name="asd 5 7 2 22" xfId="42173"/>
    <cellStyle name="asd 5 7 2 3" xfId="5308"/>
    <cellStyle name="asd 5 7 2 4" xfId="9316"/>
    <cellStyle name="asd 5 7 2 5" xfId="12340"/>
    <cellStyle name="asd 5 7 2 6" xfId="12828"/>
    <cellStyle name="asd 5 7 2 7" xfId="14733"/>
    <cellStyle name="asd 5 7 2 8" xfId="16935"/>
    <cellStyle name="asd 5 7 2 9" xfId="18842"/>
    <cellStyle name="asd 5 7 20" xfId="37476"/>
    <cellStyle name="asd 5 7 21" xfId="40107"/>
    <cellStyle name="asd 5 7 22" xfId="41767"/>
    <cellStyle name="asd 5 7 23" xfId="42950"/>
    <cellStyle name="asd 5 7 3" xfId="6170"/>
    <cellStyle name="asd 5 7 4" xfId="7621"/>
    <cellStyle name="asd 5 7 5" xfId="9531"/>
    <cellStyle name="asd 5 7 6" xfId="10992"/>
    <cellStyle name="asd 5 7 7" xfId="13643"/>
    <cellStyle name="asd 5 7 8" xfId="15546"/>
    <cellStyle name="asd 5 7 9" xfId="17150"/>
    <cellStyle name="asd 5 8" xfId="3065"/>
    <cellStyle name="asd 5 9" xfId="2786"/>
    <cellStyle name="asd 50" xfId="1057"/>
    <cellStyle name="asd 50 10" xfId="2704"/>
    <cellStyle name="asd 50 11" xfId="2758"/>
    <cellStyle name="asd 50 12" xfId="3160"/>
    <cellStyle name="asd 50 13" xfId="2708"/>
    <cellStyle name="asd 50 14" xfId="2104"/>
    <cellStyle name="asd 50 15" xfId="14691"/>
    <cellStyle name="asd 50 16" xfId="1821"/>
    <cellStyle name="asd 50 17" xfId="1789"/>
    <cellStyle name="asd 50 18" xfId="3197"/>
    <cellStyle name="asd 50 19" xfId="26744"/>
    <cellStyle name="asd 50 2" xfId="3456"/>
    <cellStyle name="asd 50 2 10" xfId="13617"/>
    <cellStyle name="asd 50 2 11" xfId="15520"/>
    <cellStyle name="asd 50 2 12" xfId="16853"/>
    <cellStyle name="asd 50 2 13" xfId="18760"/>
    <cellStyle name="asd 50 2 14" xfId="20672"/>
    <cellStyle name="asd 50 2 15" xfId="23146"/>
    <cellStyle name="asd 50 2 16" xfId="24474"/>
    <cellStyle name="asd 50 2 17" xfId="26680"/>
    <cellStyle name="asd 50 2 18" xfId="28346"/>
    <cellStyle name="asd 50 2 19" xfId="30280"/>
    <cellStyle name="asd 50 2 2" xfId="3636"/>
    <cellStyle name="asd 50 2 2 10" xfId="17527"/>
    <cellStyle name="asd 50 2 2 11" xfId="19433"/>
    <cellStyle name="asd 50 2 2 12" xfId="21345"/>
    <cellStyle name="asd 50 2 2 13" xfId="23894"/>
    <cellStyle name="asd 50 2 2 14" xfId="25147"/>
    <cellStyle name="asd 50 2 2 15" xfId="27431"/>
    <cellStyle name="asd 50 2 2 16" xfId="28664"/>
    <cellStyle name="asd 50 2 2 17" xfId="31017"/>
    <cellStyle name="asd 50 2 2 18" xfId="33199"/>
    <cellStyle name="asd 50 2 2 19" xfId="34935"/>
    <cellStyle name="asd 50 2 2 2" xfId="4601"/>
    <cellStyle name="asd 50 2 2 2 10" xfId="20846"/>
    <cellStyle name="asd 50 2 2 2 11" xfId="22589"/>
    <cellStyle name="asd 50 2 2 2 12" xfId="24648"/>
    <cellStyle name="asd 50 2 2 2 13" xfId="27863"/>
    <cellStyle name="asd 50 2 2 2 14" xfId="28665"/>
    <cellStyle name="asd 50 2 2 2 15" xfId="31443"/>
    <cellStyle name="asd 50 2 2 2 16" xfId="31728"/>
    <cellStyle name="asd 50 2 2 2 17" xfId="33818"/>
    <cellStyle name="asd 50 2 2 2 18" xfId="35476"/>
    <cellStyle name="asd 50 2 2 2 19" xfId="37354"/>
    <cellStyle name="asd 50 2 2 2 2" xfId="4175"/>
    <cellStyle name="asd 50 2 2 2 20" xfId="38969"/>
    <cellStyle name="asd 50 2 2 2 21" xfId="40652"/>
    <cellStyle name="asd 50 2 2 2 22" xfId="42398"/>
    <cellStyle name="asd 50 2 2 2 3" xfId="2937"/>
    <cellStyle name="asd 50 2 2 2 4" xfId="9408"/>
    <cellStyle name="asd 50 2 2 2 5" xfId="12624"/>
    <cellStyle name="asd 50 2 2 2 6" xfId="13057"/>
    <cellStyle name="asd 50 2 2 2 7" xfId="14961"/>
    <cellStyle name="asd 50 2 2 2 8" xfId="17027"/>
    <cellStyle name="asd 50 2 2 2 9" xfId="18934"/>
    <cellStyle name="asd 50 2 2 20" xfId="35974"/>
    <cellStyle name="asd 50 2 2 21" xfId="37853"/>
    <cellStyle name="asd 50 2 2 22" xfId="40389"/>
    <cellStyle name="asd 50 2 2 23" xfId="42045"/>
    <cellStyle name="asd 50 2 2 24" xfId="43643"/>
    <cellStyle name="asd 50 2 2 3" xfId="5097"/>
    <cellStyle name="asd 50 2 2 4" xfId="6547"/>
    <cellStyle name="asd 50 2 2 5" xfId="7998"/>
    <cellStyle name="asd 50 2 2 6" xfId="9908"/>
    <cellStyle name="asd 50 2 2 7" xfId="11853"/>
    <cellStyle name="asd 50 2 2 8" xfId="14363"/>
    <cellStyle name="asd 50 2 2 9" xfId="16269"/>
    <cellStyle name="asd 50 2 20" xfId="32447"/>
    <cellStyle name="asd 50 2 21" xfId="34009"/>
    <cellStyle name="asd 50 2 22" xfId="35302"/>
    <cellStyle name="asd 50 2 23" xfId="37180"/>
    <cellStyle name="asd 50 2 24" xfId="39664"/>
    <cellStyle name="asd 50 2 25" xfId="41338"/>
    <cellStyle name="asd 50 2 26" xfId="42924"/>
    <cellStyle name="asd 50 2 3" xfId="3814"/>
    <cellStyle name="asd 50 2 3 10" xfId="19545"/>
    <cellStyle name="asd 50 2 3 11" xfId="21457"/>
    <cellStyle name="asd 50 2 3 12" xfId="23037"/>
    <cellStyle name="asd 50 2 3 13" xfId="25259"/>
    <cellStyle name="asd 50 2 3 14" xfId="2416"/>
    <cellStyle name="asd 50 2 3 15" xfId="23544"/>
    <cellStyle name="asd 50 2 3 16" xfId="3316"/>
    <cellStyle name="asd 50 2 3 17" xfId="31592"/>
    <cellStyle name="asd 50 2 3 18" xfId="29132"/>
    <cellStyle name="asd 50 2 3 19" xfId="36086"/>
    <cellStyle name="asd 50 2 3 2" xfId="5815"/>
    <cellStyle name="asd 50 2 3 2 10" xfId="22065"/>
    <cellStyle name="asd 50 2 3 2 11" xfId="22892"/>
    <cellStyle name="asd 50 2 3 2 12" xfId="25867"/>
    <cellStyle name="asd 50 2 3 2 13" xfId="27252"/>
    <cellStyle name="asd 50 2 3 2 14" xfId="11560"/>
    <cellStyle name="asd 50 2 3 2 15" xfId="30843"/>
    <cellStyle name="asd 50 2 3 2 16" xfId="3038"/>
    <cellStyle name="asd 50 2 3 2 17" xfId="33195"/>
    <cellStyle name="asd 50 2 3 2 18" xfId="36694"/>
    <cellStyle name="asd 50 2 3 2 19" xfId="38573"/>
    <cellStyle name="asd 50 2 3 2 2" xfId="7264"/>
    <cellStyle name="asd 50 2 3 2 20" xfId="34638"/>
    <cellStyle name="asd 50 2 3 2 21" xfId="33333"/>
    <cellStyle name="asd 50 2 3 2 22" xfId="42678"/>
    <cellStyle name="asd 50 2 3 2 3" xfId="8718"/>
    <cellStyle name="asd 50 2 3 2 4" xfId="10628"/>
    <cellStyle name="asd 50 2 3 2 5" xfId="11282"/>
    <cellStyle name="asd 50 2 3 2 6" xfId="13360"/>
    <cellStyle name="asd 50 2 3 2 7" xfId="15265"/>
    <cellStyle name="asd 50 2 3 2 8" xfId="18247"/>
    <cellStyle name="asd 50 2 3 2 9" xfId="20153"/>
    <cellStyle name="asd 50 2 3 20" xfId="37965"/>
    <cellStyle name="asd 50 2 3 21" xfId="38839"/>
    <cellStyle name="asd 50 2 3 22" xfId="40525"/>
    <cellStyle name="asd 50 2 3 23" xfId="42820"/>
    <cellStyle name="asd 50 2 3 3" xfId="5209"/>
    <cellStyle name="asd 50 2 3 4" xfId="8110"/>
    <cellStyle name="asd 50 2 3 5" xfId="10020"/>
    <cellStyle name="asd 50 2 3 6" xfId="12632"/>
    <cellStyle name="asd 50 2 3 7" xfId="13507"/>
    <cellStyle name="asd 50 2 3 8" xfId="15411"/>
    <cellStyle name="asd 50 2 3 9" xfId="17639"/>
    <cellStyle name="asd 50 2 4" xfId="4088"/>
    <cellStyle name="asd 50 2 4 10" xfId="19723"/>
    <cellStyle name="asd 50 2 4 11" xfId="21635"/>
    <cellStyle name="asd 50 2 4 12" xfId="23781"/>
    <cellStyle name="asd 50 2 4 13" xfId="25437"/>
    <cellStyle name="asd 50 2 4 14" xfId="26378"/>
    <cellStyle name="asd 50 2 4 15" xfId="12794"/>
    <cellStyle name="asd 50 2 4 16" xfId="29986"/>
    <cellStyle name="asd 50 2 4 17" xfId="29342"/>
    <cellStyle name="asd 50 2 4 18" xfId="8968"/>
    <cellStyle name="asd 50 2 4 19" xfId="36264"/>
    <cellStyle name="asd 50 2 4 2" xfId="5993"/>
    <cellStyle name="asd 50 2 4 2 10" xfId="22243"/>
    <cellStyle name="asd 50 2 4 2 11" xfId="23611"/>
    <cellStyle name="asd 50 2 4 2 12" xfId="26045"/>
    <cellStyle name="asd 50 2 4 2 13" xfId="26385"/>
    <cellStyle name="asd 50 2 4 2 14" xfId="28429"/>
    <cellStyle name="asd 50 2 4 2 15" xfId="29993"/>
    <cellStyle name="asd 50 2 4 2 16" xfId="32967"/>
    <cellStyle name="asd 50 2 4 2 17" xfId="34521"/>
    <cellStyle name="asd 50 2 4 2 18" xfId="36872"/>
    <cellStyle name="asd 50 2 4 2 19" xfId="38751"/>
    <cellStyle name="asd 50 2 4 2 2" xfId="7442"/>
    <cellStyle name="asd 50 2 4 2 20" xfId="40168"/>
    <cellStyle name="asd 50 2 4 2 21" xfId="41827"/>
    <cellStyle name="asd 50 2 4 2 22" xfId="43369"/>
    <cellStyle name="asd 50 2 4 2 3" xfId="8896"/>
    <cellStyle name="asd 50 2 4 2 4" xfId="10806"/>
    <cellStyle name="asd 50 2 4 2 5" xfId="11539"/>
    <cellStyle name="asd 50 2 4 2 6" xfId="14081"/>
    <cellStyle name="asd 50 2 4 2 7" xfId="15984"/>
    <cellStyle name="asd 50 2 4 2 8" xfId="18425"/>
    <cellStyle name="asd 50 2 4 2 9" xfId="20331"/>
    <cellStyle name="asd 50 2 4 20" xfId="38143"/>
    <cellStyle name="asd 50 2 4 21" xfId="24244"/>
    <cellStyle name="asd 50 2 4 22" xfId="2397"/>
    <cellStyle name="asd 50 2 4 23" xfId="43534"/>
    <cellStyle name="asd 50 2 4 3" xfId="6834"/>
    <cellStyle name="asd 50 2 4 4" xfId="8288"/>
    <cellStyle name="asd 50 2 4 5" xfId="10198"/>
    <cellStyle name="asd 50 2 4 6" xfId="11528"/>
    <cellStyle name="asd 50 2 4 7" xfId="14251"/>
    <cellStyle name="asd 50 2 4 8" xfId="16155"/>
    <cellStyle name="asd 50 2 4 9" xfId="17817"/>
    <cellStyle name="asd 50 2 5" xfId="4942"/>
    <cellStyle name="asd 50 2 5 10" xfId="21190"/>
    <cellStyle name="asd 50 2 5 11" xfId="23276"/>
    <cellStyle name="asd 50 2 5 12" xfId="24992"/>
    <cellStyle name="asd 50 2 5 13" xfId="27554"/>
    <cellStyle name="asd 50 2 5 14" xfId="29714"/>
    <cellStyle name="asd 50 2 5 15" xfId="31134"/>
    <cellStyle name="asd 50 2 5 16" xfId="32076"/>
    <cellStyle name="asd 50 2 5 17" xfId="33600"/>
    <cellStyle name="asd 50 2 5 18" xfId="35819"/>
    <cellStyle name="asd 50 2 5 19" xfId="37698"/>
    <cellStyle name="asd 50 2 5 2" xfId="6392"/>
    <cellStyle name="asd 50 2 5 20" xfId="39300"/>
    <cellStyle name="asd 50 2 5 21" xfId="40976"/>
    <cellStyle name="asd 50 2 5 22" xfId="43052"/>
    <cellStyle name="asd 50 2 5 3" xfId="7843"/>
    <cellStyle name="asd 50 2 5 4" xfId="9753"/>
    <cellStyle name="asd 50 2 5 5" xfId="11218"/>
    <cellStyle name="asd 50 2 5 6" xfId="13748"/>
    <cellStyle name="asd 50 2 5 7" xfId="15650"/>
    <cellStyle name="asd 50 2 5 8" xfId="17372"/>
    <cellStyle name="asd 50 2 5 9" xfId="19278"/>
    <cellStyle name="asd 50 2 6" xfId="4282"/>
    <cellStyle name="asd 50 2 6 10" xfId="20599"/>
    <cellStyle name="asd 50 2 6 11" xfId="23841"/>
    <cellStyle name="asd 50 2 6 12" xfId="24401"/>
    <cellStyle name="asd 50 2 6 13" xfId="27463"/>
    <cellStyle name="asd 50 2 6 14" xfId="29457"/>
    <cellStyle name="asd 50 2 6 15" xfId="31050"/>
    <cellStyle name="asd 50 2 6 16" xfId="33173"/>
    <cellStyle name="asd 50 2 6 17" xfId="34224"/>
    <cellStyle name="asd 50 2 6 18" xfId="35229"/>
    <cellStyle name="asd 50 2 6 19" xfId="37107"/>
    <cellStyle name="asd 50 2 6 2" xfId="5424"/>
    <cellStyle name="asd 50 2 6 20" xfId="40364"/>
    <cellStyle name="asd 50 2 6 21" xfId="42020"/>
    <cellStyle name="asd 50 2 6 22" xfId="43592"/>
    <cellStyle name="asd 50 2 6 3" xfId="6245"/>
    <cellStyle name="asd 50 2 6 4" xfId="9161"/>
    <cellStyle name="asd 50 2 6 5" xfId="11704"/>
    <cellStyle name="asd 50 2 6 6" xfId="14311"/>
    <cellStyle name="asd 50 2 6 7" xfId="16215"/>
    <cellStyle name="asd 50 2 6 8" xfId="16780"/>
    <cellStyle name="asd 50 2 6 9" xfId="18687"/>
    <cellStyle name="asd 50 2 7" xfId="5355"/>
    <cellStyle name="asd 50 2 8" xfId="9234"/>
    <cellStyle name="asd 50 2 9" xfId="10931"/>
    <cellStyle name="asd 50 20" xfId="28839"/>
    <cellStyle name="asd 50 21" xfId="24212"/>
    <cellStyle name="asd 50 22" xfId="3745"/>
    <cellStyle name="asd 50 23" xfId="5335"/>
    <cellStyle name="asd 50 24" xfId="28534"/>
    <cellStyle name="asd 50 25" xfId="32059"/>
    <cellStyle name="asd 50 26" xfId="20422"/>
    <cellStyle name="asd 50 27" xfId="22350"/>
    <cellStyle name="asd 50 3" xfId="3398"/>
    <cellStyle name="asd 50 3 10" xfId="13572"/>
    <cellStyle name="asd 50 3 11" xfId="15475"/>
    <cellStyle name="asd 50 3 12" xfId="16739"/>
    <cellStyle name="asd 50 3 13" xfId="18646"/>
    <cellStyle name="asd 50 3 14" xfId="20558"/>
    <cellStyle name="asd 50 3 15" xfId="23101"/>
    <cellStyle name="asd 50 3 16" xfId="24360"/>
    <cellStyle name="asd 50 3 17" xfId="26229"/>
    <cellStyle name="asd 50 3 18" xfId="23603"/>
    <cellStyle name="asd 50 3 19" xfId="29839"/>
    <cellStyle name="asd 50 3 2" xfId="3578"/>
    <cellStyle name="asd 50 3 2 10" xfId="17469"/>
    <cellStyle name="asd 50 3 2 11" xfId="19375"/>
    <cellStyle name="asd 50 3 2 12" xfId="21287"/>
    <cellStyle name="asd 50 3 2 13" xfId="23402"/>
    <cellStyle name="asd 50 3 2 14" xfId="25089"/>
    <cellStyle name="asd 50 3 2 15" xfId="27107"/>
    <cellStyle name="asd 50 3 2 16" xfId="28647"/>
    <cellStyle name="asd 50 3 2 17" xfId="30698"/>
    <cellStyle name="asd 50 3 2 18" xfId="31759"/>
    <cellStyle name="asd 50 3 2 19" xfId="34432"/>
    <cellStyle name="asd 50 3 2 2" xfId="4411"/>
    <cellStyle name="asd 50 3 2 2 10" xfId="20655"/>
    <cellStyle name="asd 50 3 2 2 11" xfId="22431"/>
    <cellStyle name="asd 50 3 2 2 12" xfId="24457"/>
    <cellStyle name="asd 50 3 2 2 13" xfId="26913"/>
    <cellStyle name="asd 50 3 2 2 14" xfId="28292"/>
    <cellStyle name="asd 50 3 2 2 15" xfId="30509"/>
    <cellStyle name="asd 50 3 2 2 16" xfId="33309"/>
    <cellStyle name="asd 50 3 2 2 17" xfId="35019"/>
    <cellStyle name="asd 50 3 2 2 18" xfId="35285"/>
    <cellStyle name="asd 50 3 2 2 19" xfId="37163"/>
    <cellStyle name="asd 50 3 2 2 2" xfId="5323"/>
    <cellStyle name="asd 50 3 2 2 20" xfId="40491"/>
    <cellStyle name="asd 50 3 2 2 21" xfId="42144"/>
    <cellStyle name="asd 50 3 2 2 22" xfId="42242"/>
    <cellStyle name="asd 50 3 2 2 3" xfId="6713"/>
    <cellStyle name="asd 50 3 2 2 4" xfId="9217"/>
    <cellStyle name="asd 50 3 2 2 5" xfId="11288"/>
    <cellStyle name="asd 50 3 2 2 6" xfId="12899"/>
    <cellStyle name="asd 50 3 2 2 7" xfId="14804"/>
    <cellStyle name="asd 50 3 2 2 8" xfId="16836"/>
    <cellStyle name="asd 50 3 2 2 9" xfId="18743"/>
    <cellStyle name="asd 50 3 2 20" xfId="35916"/>
    <cellStyle name="asd 50 3 2 21" xfId="37795"/>
    <cellStyle name="asd 50 3 2 22" xfId="38999"/>
    <cellStyle name="asd 50 3 2 23" xfId="40682"/>
    <cellStyle name="asd 50 3 2 24" xfId="43169"/>
    <cellStyle name="asd 50 3 2 3" xfId="5039"/>
    <cellStyle name="asd 50 3 2 4" xfId="6489"/>
    <cellStyle name="asd 50 3 2 5" xfId="7940"/>
    <cellStyle name="asd 50 3 2 6" xfId="9850"/>
    <cellStyle name="asd 50 3 2 7" xfId="12300"/>
    <cellStyle name="asd 50 3 2 8" xfId="13874"/>
    <cellStyle name="asd 50 3 2 9" xfId="15775"/>
    <cellStyle name="asd 50 3 20" xfId="32328"/>
    <cellStyle name="asd 50 3 21" xfId="34988"/>
    <cellStyle name="asd 50 3 22" xfId="35188"/>
    <cellStyle name="asd 50 3 23" xfId="37066"/>
    <cellStyle name="asd 50 3 24" xfId="39547"/>
    <cellStyle name="asd 50 3 25" xfId="41221"/>
    <cellStyle name="asd 50 3 26" xfId="42881"/>
    <cellStyle name="asd 50 3 3" xfId="3805"/>
    <cellStyle name="asd 50 3 3 10" xfId="19538"/>
    <cellStyle name="asd 50 3 3 11" xfId="21450"/>
    <cellStyle name="asd 50 3 3 12" xfId="23543"/>
    <cellStyle name="asd 50 3 3 13" xfId="25252"/>
    <cellStyle name="asd 50 3 3 14" xfId="27066"/>
    <cellStyle name="asd 50 3 3 15" xfId="29319"/>
    <cellStyle name="asd 50 3 3 16" xfId="30657"/>
    <cellStyle name="asd 50 3 3 17" xfId="31634"/>
    <cellStyle name="asd 50 3 3 18" xfId="34834"/>
    <cellStyle name="asd 50 3 3 19" xfId="36079"/>
    <cellStyle name="asd 50 3 3 2" xfId="5808"/>
    <cellStyle name="asd 50 3 3 2 10" xfId="22058"/>
    <cellStyle name="asd 50 3 3 2 11" xfId="22515"/>
    <cellStyle name="asd 50 3 3 2 12" xfId="25860"/>
    <cellStyle name="asd 50 3 3 2 13" xfId="9012"/>
    <cellStyle name="asd 50 3 3 2 14" xfId="2893"/>
    <cellStyle name="asd 50 3 3 2 15" xfId="28495"/>
    <cellStyle name="asd 50 3 3 2 16" xfId="14683"/>
    <cellStyle name="asd 50 3 3 2 17" xfId="32043"/>
    <cellStyle name="asd 50 3 3 2 18" xfId="36687"/>
    <cellStyle name="asd 50 3 3 2 19" xfId="38566"/>
    <cellStyle name="asd 50 3 3 2 2" xfId="7257"/>
    <cellStyle name="asd 50 3 3 2 20" xfId="36955"/>
    <cellStyle name="asd 50 3 3 2 21" xfId="8976"/>
    <cellStyle name="asd 50 3 3 2 22" xfId="42325"/>
    <cellStyle name="asd 50 3 3 2 3" xfId="8711"/>
    <cellStyle name="asd 50 3 3 2 4" xfId="10621"/>
    <cellStyle name="asd 50 3 3 2 5" xfId="2182"/>
    <cellStyle name="asd 50 3 3 2 6" xfId="12983"/>
    <cellStyle name="asd 50 3 3 2 7" xfId="14887"/>
    <cellStyle name="asd 50 3 3 2 8" xfId="18240"/>
    <cellStyle name="asd 50 3 3 2 9" xfId="20146"/>
    <cellStyle name="asd 50 3 3 20" xfId="37958"/>
    <cellStyle name="asd 50 3 3 21" xfId="38881"/>
    <cellStyle name="asd 50 3 3 22" xfId="40566"/>
    <cellStyle name="asd 50 3 3 23" xfId="43308"/>
    <cellStyle name="asd 50 3 3 3" xfId="5202"/>
    <cellStyle name="asd 50 3 3 4" xfId="8103"/>
    <cellStyle name="asd 50 3 3 5" xfId="10013"/>
    <cellStyle name="asd 50 3 3 6" xfId="12548"/>
    <cellStyle name="asd 50 3 3 7" xfId="14015"/>
    <cellStyle name="asd 50 3 3 8" xfId="15916"/>
    <cellStyle name="asd 50 3 3 9" xfId="17632"/>
    <cellStyle name="asd 50 3 4" xfId="4030"/>
    <cellStyle name="asd 50 3 4 10" xfId="19665"/>
    <cellStyle name="asd 50 3 4 11" xfId="21577"/>
    <cellStyle name="asd 50 3 4 12" xfId="23250"/>
    <cellStyle name="asd 50 3 4 13" xfId="25379"/>
    <cellStyle name="asd 50 3 4 14" xfId="27869"/>
    <cellStyle name="asd 50 3 4 15" xfId="29293"/>
    <cellStyle name="asd 50 3 4 16" xfId="31450"/>
    <cellStyle name="asd 50 3 4 17" xfId="33293"/>
    <cellStyle name="asd 50 3 4 18" xfId="34716"/>
    <cellStyle name="asd 50 3 4 19" xfId="36206"/>
    <cellStyle name="asd 50 3 4 2" xfId="5935"/>
    <cellStyle name="asd 50 3 4 2 10" xfId="22185"/>
    <cellStyle name="asd 50 3 4 2 11" xfId="23548"/>
    <cellStyle name="asd 50 3 4 2 12" xfId="25987"/>
    <cellStyle name="asd 50 3 4 2 13" xfId="27382"/>
    <cellStyle name="asd 50 3 4 2 14" xfId="29502"/>
    <cellStyle name="asd 50 3 4 2 15" xfId="30968"/>
    <cellStyle name="asd 50 3 4 2 16" xfId="32783"/>
    <cellStyle name="asd 50 3 4 2 17" xfId="34720"/>
    <cellStyle name="asd 50 3 4 2 18" xfId="36814"/>
    <cellStyle name="asd 50 3 4 2 19" xfId="38693"/>
    <cellStyle name="asd 50 3 4 2 2" xfId="7384"/>
    <cellStyle name="asd 50 3 4 2 20" xfId="39992"/>
    <cellStyle name="asd 50 3 4 2 21" xfId="41656"/>
    <cellStyle name="asd 50 3 4 2 22" xfId="43312"/>
    <cellStyle name="asd 50 3 4 2 3" xfId="8838"/>
    <cellStyle name="asd 50 3 4 2 4" xfId="10748"/>
    <cellStyle name="asd 50 3 4 2 5" xfId="12502"/>
    <cellStyle name="asd 50 3 4 2 6" xfId="14020"/>
    <cellStyle name="asd 50 3 4 2 7" xfId="15921"/>
    <cellStyle name="asd 50 3 4 2 8" xfId="18367"/>
    <cellStyle name="asd 50 3 4 2 9" xfId="20273"/>
    <cellStyle name="asd 50 3 4 20" xfId="38085"/>
    <cellStyle name="asd 50 3 4 21" xfId="40477"/>
    <cellStyle name="asd 50 3 4 22" xfId="42132"/>
    <cellStyle name="asd 50 3 4 23" xfId="43027"/>
    <cellStyle name="asd 50 3 4 3" xfId="6776"/>
    <cellStyle name="asd 50 3 4 4" xfId="8230"/>
    <cellStyle name="asd 50 3 4 5" xfId="10140"/>
    <cellStyle name="asd 50 3 4 6" xfId="11161"/>
    <cellStyle name="asd 50 3 4 7" xfId="13722"/>
    <cellStyle name="asd 50 3 4 8" xfId="15624"/>
    <cellStyle name="asd 50 3 4 9" xfId="17759"/>
    <cellStyle name="asd 50 3 5" xfId="4897"/>
    <cellStyle name="asd 50 3 5 10" xfId="21145"/>
    <cellStyle name="asd 50 3 5 11" xfId="23998"/>
    <cellStyle name="asd 50 3 5 12" xfId="24947"/>
    <cellStyle name="asd 50 3 5 13" xfId="27615"/>
    <cellStyle name="asd 50 3 5 14" xfId="28496"/>
    <cellStyle name="asd 50 3 5 15" xfId="31193"/>
    <cellStyle name="asd 50 3 5 16" xfId="32183"/>
    <cellStyle name="asd 50 3 5 17" xfId="34597"/>
    <cellStyle name="asd 50 3 5 18" xfId="35774"/>
    <cellStyle name="asd 50 3 5 19" xfId="37653"/>
    <cellStyle name="asd 50 3 5 2" xfId="6347"/>
    <cellStyle name="asd 50 3 5 20" xfId="39405"/>
    <cellStyle name="asd 50 3 5 21" xfId="41081"/>
    <cellStyle name="asd 50 3 5 22" xfId="43742"/>
    <cellStyle name="asd 50 3 5 3" xfId="7798"/>
    <cellStyle name="asd 50 3 5 4" xfId="9708"/>
    <cellStyle name="asd 50 3 5 5" xfId="11957"/>
    <cellStyle name="asd 50 3 5 6" xfId="14468"/>
    <cellStyle name="asd 50 3 5 7" xfId="16374"/>
    <cellStyle name="asd 50 3 5 8" xfId="17327"/>
    <cellStyle name="asd 50 3 5 9" xfId="19233"/>
    <cellStyle name="asd 50 3 6" xfId="5701"/>
    <cellStyle name="asd 50 3 6 10" xfId="21951"/>
    <cellStyle name="asd 50 3 6 11" xfId="23724"/>
    <cellStyle name="asd 50 3 6 12" xfId="25753"/>
    <cellStyle name="asd 50 3 6 13" xfId="27641"/>
    <cellStyle name="asd 50 3 6 14" xfId="28876"/>
    <cellStyle name="asd 50 3 6 15" xfId="31218"/>
    <cellStyle name="asd 50 3 6 16" xfId="31673"/>
    <cellStyle name="asd 50 3 6 17" xfId="34917"/>
    <cellStyle name="asd 50 3 6 18" xfId="36580"/>
    <cellStyle name="asd 50 3 6 19" xfId="38459"/>
    <cellStyle name="asd 50 3 6 2" xfId="7150"/>
    <cellStyle name="asd 50 3 6 20" xfId="38917"/>
    <cellStyle name="asd 50 3 6 21" xfId="40601"/>
    <cellStyle name="asd 50 3 6 22" xfId="43479"/>
    <cellStyle name="asd 50 3 6 3" xfId="8604"/>
    <cellStyle name="asd 50 3 6 4" xfId="10514"/>
    <cellStyle name="asd 50 3 6 5" xfId="11604"/>
    <cellStyle name="asd 50 3 6 6" xfId="14194"/>
    <cellStyle name="asd 50 3 6 7" xfId="16098"/>
    <cellStyle name="asd 50 3 6 8" xfId="18133"/>
    <cellStyle name="asd 50 3 6 9" xfId="20039"/>
    <cellStyle name="asd 50 3 7" xfId="6223"/>
    <cellStyle name="asd 50 3 8" xfId="9120"/>
    <cellStyle name="asd 50 3 9" xfId="12714"/>
    <cellStyle name="asd 50 4" xfId="3485"/>
    <cellStyle name="asd 50 4 10" xfId="2033"/>
    <cellStyle name="asd 50 4 11" xfId="16921"/>
    <cellStyle name="asd 50 4 12" xfId="18828"/>
    <cellStyle name="asd 50 4 13" xfId="20740"/>
    <cellStyle name="asd 50 4 14" xfId="2088"/>
    <cellStyle name="asd 50 4 15" xfId="24542"/>
    <cellStyle name="asd 50 4 16" xfId="2983"/>
    <cellStyle name="asd 50 4 17" xfId="11268"/>
    <cellStyle name="asd 50 4 18" xfId="3177"/>
    <cellStyle name="asd 50 4 19" xfId="22697"/>
    <cellStyle name="asd 50 4 2" xfId="3665"/>
    <cellStyle name="asd 50 4 2 10" xfId="17556"/>
    <cellStyle name="asd 50 4 2 11" xfId="19462"/>
    <cellStyle name="asd 50 4 2 12" xfId="21374"/>
    <cellStyle name="asd 50 4 2 13" xfId="24082"/>
    <cellStyle name="asd 50 4 2 14" xfId="25176"/>
    <cellStyle name="asd 50 4 2 15" xfId="27719"/>
    <cellStyle name="asd 50 4 2 16" xfId="23903"/>
    <cellStyle name="asd 50 4 2 17" xfId="31297"/>
    <cellStyle name="asd 50 4 2 18" xfId="33316"/>
    <cellStyle name="asd 50 4 2 19" xfId="28959"/>
    <cellStyle name="asd 50 4 2 2" xfId="4417"/>
    <cellStyle name="asd 50 4 2 2 10" xfId="20661"/>
    <cellStyle name="asd 50 4 2 2 11" xfId="23364"/>
    <cellStyle name="asd 50 4 2 2 12" xfId="24463"/>
    <cellStyle name="asd 50 4 2 2 13" xfId="26237"/>
    <cellStyle name="asd 50 4 2 2 14" xfId="28465"/>
    <cellStyle name="asd 50 4 2 2 15" xfId="29847"/>
    <cellStyle name="asd 50 4 2 2 16" xfId="31598"/>
    <cellStyle name="asd 50 4 2 2 17" xfId="33881"/>
    <cellStyle name="asd 50 4 2 2 18" xfId="35291"/>
    <cellStyle name="asd 50 4 2 2 19" xfId="37169"/>
    <cellStyle name="asd 50 4 2 2 2" xfId="3929"/>
    <cellStyle name="asd 50 4 2 2 20" xfId="38845"/>
    <cellStyle name="asd 50 4 2 2 21" xfId="40531"/>
    <cellStyle name="asd 50 4 2 2 22" xfId="43134"/>
    <cellStyle name="asd 50 4 2 2 3" xfId="2752"/>
    <cellStyle name="asd 50 4 2 2 4" xfId="9223"/>
    <cellStyle name="asd 50 4 2 2 5" xfId="12427"/>
    <cellStyle name="asd 50 4 2 2 6" xfId="13836"/>
    <cellStyle name="asd 50 4 2 2 7" xfId="15738"/>
    <cellStyle name="asd 50 4 2 2 8" xfId="16842"/>
    <cellStyle name="asd 50 4 2 2 9" xfId="18749"/>
    <cellStyle name="asd 50 4 2 20" xfId="36003"/>
    <cellStyle name="asd 50 4 2 21" xfId="37882"/>
    <cellStyle name="asd 50 4 2 22" xfId="40496"/>
    <cellStyle name="asd 50 4 2 23" xfId="42149"/>
    <cellStyle name="asd 50 4 2 24" xfId="43826"/>
    <cellStyle name="asd 50 4 2 3" xfId="5126"/>
    <cellStyle name="asd 50 4 2 4" xfId="6576"/>
    <cellStyle name="asd 50 4 2 5" xfId="8027"/>
    <cellStyle name="asd 50 4 2 6" xfId="9937"/>
    <cellStyle name="asd 50 4 2 7" xfId="12041"/>
    <cellStyle name="asd 50 4 2 8" xfId="14552"/>
    <cellStyle name="asd 50 4 2 9" xfId="16458"/>
    <cellStyle name="asd 50 4 20" xfId="27286"/>
    <cellStyle name="asd 50 4 21" xfId="35370"/>
    <cellStyle name="asd 50 4 22" xfId="37248"/>
    <cellStyle name="asd 50 4 23" xfId="32040"/>
    <cellStyle name="asd 50 4 24" xfId="29123"/>
    <cellStyle name="asd 50 4 25" xfId="2549"/>
    <cellStyle name="asd 50 4 3" xfId="3874"/>
    <cellStyle name="asd 50 4 3 10" xfId="19585"/>
    <cellStyle name="asd 50 4 3 11" xfId="21497"/>
    <cellStyle name="asd 50 4 3 12" xfId="22641"/>
    <cellStyle name="asd 50 4 3 13" xfId="25299"/>
    <cellStyle name="asd 50 4 3 14" xfId="27279"/>
    <cellStyle name="asd 50 4 3 15" xfId="29130"/>
    <cellStyle name="asd 50 4 3 16" xfId="30871"/>
    <cellStyle name="asd 50 4 3 17" xfId="33081"/>
    <cellStyle name="asd 50 4 3 18" xfId="34608"/>
    <cellStyle name="asd 50 4 3 19" xfId="36126"/>
    <cellStyle name="asd 50 4 3 2" xfId="5855"/>
    <cellStyle name="asd 50 4 3 2 10" xfId="22105"/>
    <cellStyle name="asd 50 4 3 2 11" xfId="23165"/>
    <cellStyle name="asd 50 4 3 2 12" xfId="25907"/>
    <cellStyle name="asd 50 4 3 2 13" xfId="26383"/>
    <cellStyle name="asd 50 4 3 2 14" xfId="29559"/>
    <cellStyle name="asd 50 4 3 2 15" xfId="29991"/>
    <cellStyle name="asd 50 4 3 2 16" xfId="32777"/>
    <cellStyle name="asd 50 4 3 2 17" xfId="34414"/>
    <cellStyle name="asd 50 4 3 2 18" xfId="36734"/>
    <cellStyle name="asd 50 4 3 2 19" xfId="38613"/>
    <cellStyle name="asd 50 4 3 2 2" xfId="7304"/>
    <cellStyle name="asd 50 4 3 2 20" xfId="39986"/>
    <cellStyle name="asd 50 4 3 2 21" xfId="41650"/>
    <cellStyle name="asd 50 4 3 2 22" xfId="42943"/>
    <cellStyle name="asd 50 4 3 2 3" xfId="8758"/>
    <cellStyle name="asd 50 4 3 2 4" xfId="10668"/>
    <cellStyle name="asd 50 4 3 2 5" xfId="10977"/>
    <cellStyle name="asd 50 4 3 2 6" xfId="13636"/>
    <cellStyle name="asd 50 4 3 2 7" xfId="15539"/>
    <cellStyle name="asd 50 4 3 2 8" xfId="18287"/>
    <cellStyle name="asd 50 4 3 2 9" xfId="20193"/>
    <cellStyle name="asd 50 4 3 20" xfId="38005"/>
    <cellStyle name="asd 50 4 3 21" xfId="40277"/>
    <cellStyle name="asd 50 4 3 22" xfId="41933"/>
    <cellStyle name="asd 50 4 3 23" xfId="42447"/>
    <cellStyle name="asd 50 4 3 3" xfId="5249"/>
    <cellStyle name="asd 50 4 3 4" xfId="8150"/>
    <cellStyle name="asd 50 4 3 5" xfId="10060"/>
    <cellStyle name="asd 50 4 3 6" xfId="1769"/>
    <cellStyle name="asd 50 4 3 7" xfId="13108"/>
    <cellStyle name="asd 50 4 3 8" xfId="15013"/>
    <cellStyle name="asd 50 4 3 9" xfId="17679"/>
    <cellStyle name="asd 50 4 4" xfId="4117"/>
    <cellStyle name="asd 50 4 4 10" xfId="19752"/>
    <cellStyle name="asd 50 4 4 11" xfId="21664"/>
    <cellStyle name="asd 50 4 4 12" xfId="22426"/>
    <cellStyle name="asd 50 4 4 13" xfId="25466"/>
    <cellStyle name="asd 50 4 4 14" xfId="27317"/>
    <cellStyle name="asd 50 4 4 15" xfId="3300"/>
    <cellStyle name="asd 50 4 4 16" xfId="30907"/>
    <cellStyle name="asd 50 4 4 17" xfId="31317"/>
    <cellStyle name="asd 50 4 4 18" xfId="14745"/>
    <cellStyle name="asd 50 4 4 19" xfId="36293"/>
    <cellStyle name="asd 50 4 4 2" xfId="6022"/>
    <cellStyle name="asd 50 4 4 2 10" xfId="22272"/>
    <cellStyle name="asd 50 4 4 2 11" xfId="23799"/>
    <cellStyle name="asd 50 4 4 2 12" xfId="26074"/>
    <cellStyle name="asd 50 4 4 2 13" xfId="26616"/>
    <cellStyle name="asd 50 4 4 2 14" xfId="27997"/>
    <cellStyle name="asd 50 4 4 2 15" xfId="30219"/>
    <cellStyle name="asd 50 4 4 2 16" xfId="13464"/>
    <cellStyle name="asd 50 4 4 2 17" xfId="4346"/>
    <cellStyle name="asd 50 4 4 2 18" xfId="36901"/>
    <cellStyle name="asd 50 4 4 2 19" xfId="38780"/>
    <cellStyle name="asd 50 4 4 2 2" xfId="7471"/>
    <cellStyle name="asd 50 4 4 2 20" xfId="31159"/>
    <cellStyle name="asd 50 4 4 2 21" xfId="36950"/>
    <cellStyle name="asd 50 4 4 2 22" xfId="43551"/>
    <cellStyle name="asd 50 4 4 2 3" xfId="8925"/>
    <cellStyle name="asd 50 4 4 2 4" xfId="10835"/>
    <cellStyle name="asd 50 4 4 2 5" xfId="11679"/>
    <cellStyle name="asd 50 4 4 2 6" xfId="14269"/>
    <cellStyle name="asd 50 4 4 2 7" xfId="16173"/>
    <cellStyle name="asd 50 4 4 2 8" xfId="18454"/>
    <cellStyle name="asd 50 4 4 2 9" xfId="20360"/>
    <cellStyle name="asd 50 4 4 20" xfId="38172"/>
    <cellStyle name="asd 50 4 4 21" xfId="31445"/>
    <cellStyle name="asd 50 4 4 22" xfId="39269"/>
    <cellStyle name="asd 50 4 4 23" xfId="42237"/>
    <cellStyle name="asd 50 4 4 3" xfId="6863"/>
    <cellStyle name="asd 50 4 4 4" xfId="8317"/>
    <cellStyle name="asd 50 4 4 5" xfId="10227"/>
    <cellStyle name="asd 50 4 4 6" xfId="11565"/>
    <cellStyle name="asd 50 4 4 7" xfId="12893"/>
    <cellStyle name="asd 50 4 4 8" xfId="14798"/>
    <cellStyle name="asd 50 4 4 9" xfId="17846"/>
    <cellStyle name="asd 50 4 5" xfId="5492"/>
    <cellStyle name="asd 50 4 5 10" xfId="21742"/>
    <cellStyle name="asd 50 4 5 11" xfId="23179"/>
    <cellStyle name="asd 50 4 5 12" xfId="25544"/>
    <cellStyle name="asd 50 4 5 13" xfId="26708"/>
    <cellStyle name="asd 50 4 5 14" xfId="29651"/>
    <cellStyle name="asd 50 4 5 15" xfId="30308"/>
    <cellStyle name="asd 50 4 5 16" xfId="33180"/>
    <cellStyle name="asd 50 4 5 17" xfId="33695"/>
    <cellStyle name="asd 50 4 5 18" xfId="36371"/>
    <cellStyle name="asd 50 4 5 19" xfId="38250"/>
    <cellStyle name="asd 50 4 5 2" xfId="6941"/>
    <cellStyle name="asd 50 4 5 20" xfId="40371"/>
    <cellStyle name="asd 50 4 5 21" xfId="42027"/>
    <cellStyle name="asd 50 4 5 22" xfId="42957"/>
    <cellStyle name="asd 50 4 5 3" xfId="8395"/>
    <cellStyle name="asd 50 4 5 4" xfId="10305"/>
    <cellStyle name="asd 50 4 5 5" xfId="11010"/>
    <cellStyle name="asd 50 4 5 6" xfId="13650"/>
    <cellStyle name="asd 50 4 5 7" xfId="15553"/>
    <cellStyle name="asd 50 4 5 8" xfId="17924"/>
    <cellStyle name="asd 50 4 5 9" xfId="19830"/>
    <cellStyle name="asd 50 4 6" xfId="4257"/>
    <cellStyle name="asd 50 4 7" xfId="9302"/>
    <cellStyle name="asd 50 4 8" xfId="12444"/>
    <cellStyle name="asd 50 4 9" xfId="3181"/>
    <cellStyle name="asd 50 5" xfId="2311"/>
    <cellStyle name="asd 50 5 10" xfId="17144"/>
    <cellStyle name="asd 50 5 11" xfId="19050"/>
    <cellStyle name="asd 50 5 12" xfId="20962"/>
    <cellStyle name="asd 50 5 13" xfId="23034"/>
    <cellStyle name="asd 50 5 14" xfId="24764"/>
    <cellStyle name="asd 50 5 15" xfId="27387"/>
    <cellStyle name="asd 50 5 16" xfId="28080"/>
    <cellStyle name="asd 50 5 17" xfId="30973"/>
    <cellStyle name="asd 50 5 18" xfId="32212"/>
    <cellStyle name="asd 50 5 19" xfId="34182"/>
    <cellStyle name="asd 50 5 2" xfId="5626"/>
    <cellStyle name="asd 50 5 2 10" xfId="21876"/>
    <cellStyle name="asd 50 5 2 11" xfId="22759"/>
    <cellStyle name="asd 50 5 2 12" xfId="25678"/>
    <cellStyle name="asd 50 5 2 13" xfId="26314"/>
    <cellStyle name="asd 50 5 2 14" xfId="28192"/>
    <cellStyle name="asd 50 5 2 15" xfId="29922"/>
    <cellStyle name="asd 50 5 2 16" xfId="32121"/>
    <cellStyle name="asd 50 5 2 17" xfId="33861"/>
    <cellStyle name="asd 50 5 2 18" xfId="36505"/>
    <cellStyle name="asd 50 5 2 19" xfId="38384"/>
    <cellStyle name="asd 50 5 2 2" xfId="7075"/>
    <cellStyle name="asd 50 5 2 20" xfId="39345"/>
    <cellStyle name="asd 50 5 2 21" xfId="41021"/>
    <cellStyle name="asd 50 5 2 22" xfId="42556"/>
    <cellStyle name="asd 50 5 2 3" xfId="8529"/>
    <cellStyle name="asd 50 5 2 4" xfId="10439"/>
    <cellStyle name="asd 50 5 2 5" xfId="11684"/>
    <cellStyle name="asd 50 5 2 6" xfId="13228"/>
    <cellStyle name="asd 50 5 2 7" xfId="15131"/>
    <cellStyle name="asd 50 5 2 8" xfId="18058"/>
    <cellStyle name="asd 50 5 2 9" xfId="19964"/>
    <cellStyle name="asd 50 5 20" xfId="35591"/>
    <cellStyle name="asd 50 5 21" xfId="37470"/>
    <cellStyle name="asd 50 5 22" xfId="39432"/>
    <cellStyle name="asd 50 5 23" xfId="41108"/>
    <cellStyle name="asd 50 5 24" xfId="42817"/>
    <cellStyle name="asd 50 5 3" xfId="4716"/>
    <cellStyle name="asd 50 5 4" xfId="6164"/>
    <cellStyle name="asd 50 5 5" xfId="7615"/>
    <cellStyle name="asd 50 5 6" xfId="9525"/>
    <cellStyle name="asd 50 5 7" xfId="12628"/>
    <cellStyle name="asd 50 5 8" xfId="13504"/>
    <cellStyle name="asd 50 5 9" xfId="15408"/>
    <cellStyle name="asd 50 6" xfId="2087"/>
    <cellStyle name="asd 50 6 10" xfId="19014"/>
    <cellStyle name="asd 50 6 11" xfId="20926"/>
    <cellStyle name="asd 50 6 12" xfId="23290"/>
    <cellStyle name="asd 50 6 13" xfId="24728"/>
    <cellStyle name="asd 50 6 14" xfId="27448"/>
    <cellStyle name="asd 50 6 15" xfId="29501"/>
    <cellStyle name="asd 50 6 16" xfId="31035"/>
    <cellStyle name="asd 50 6 17" xfId="32062"/>
    <cellStyle name="asd 50 6 18" xfId="34927"/>
    <cellStyle name="asd 50 6 19" xfId="35555"/>
    <cellStyle name="asd 50 6 2" xfId="4597"/>
    <cellStyle name="asd 50 6 2 10" xfId="20842"/>
    <cellStyle name="asd 50 6 2 11" xfId="22435"/>
    <cellStyle name="asd 50 6 2 12" xfId="24644"/>
    <cellStyle name="asd 50 6 2 13" xfId="26563"/>
    <cellStyle name="asd 50 6 2 14" xfId="28747"/>
    <cellStyle name="asd 50 6 2 15" xfId="30166"/>
    <cellStyle name="asd 50 6 2 16" xfId="32278"/>
    <cellStyle name="asd 50 6 2 17" xfId="34613"/>
    <cellStyle name="asd 50 6 2 18" xfId="35472"/>
    <cellStyle name="asd 50 6 2 19" xfId="37350"/>
    <cellStyle name="asd 50 6 2 2" xfId="1972"/>
    <cellStyle name="asd 50 6 2 20" xfId="39497"/>
    <cellStyle name="asd 50 6 2 21" xfId="41172"/>
    <cellStyle name="asd 50 6 2 22" xfId="42246"/>
    <cellStyle name="asd 50 6 2 3" xfId="2711"/>
    <cellStyle name="asd 50 6 2 4" xfId="9404"/>
    <cellStyle name="asd 50 6 2 5" xfId="11410"/>
    <cellStyle name="asd 50 6 2 6" xfId="12903"/>
    <cellStyle name="asd 50 6 2 7" xfId="14808"/>
    <cellStyle name="asd 50 6 2 8" xfId="17023"/>
    <cellStyle name="asd 50 6 2 9" xfId="18930"/>
    <cellStyle name="asd 50 6 20" xfId="37434"/>
    <cellStyle name="asd 50 6 21" xfId="39288"/>
    <cellStyle name="asd 50 6 22" xfId="40964"/>
    <cellStyle name="asd 50 6 23" xfId="43065"/>
    <cellStyle name="asd 50 6 3" xfId="4681"/>
    <cellStyle name="asd 50 6 4" xfId="7579"/>
    <cellStyle name="asd 50 6 5" xfId="9489"/>
    <cellStyle name="asd 50 6 6" xfId="11249"/>
    <cellStyle name="asd 50 6 7" xfId="13762"/>
    <cellStyle name="asd 50 6 8" xfId="15664"/>
    <cellStyle name="asd 50 6 9" xfId="17108"/>
    <cellStyle name="asd 50 7" xfId="2763"/>
    <cellStyle name="asd 50 7 10" xfId="19105"/>
    <cellStyle name="asd 50 7 11" xfId="21017"/>
    <cellStyle name="asd 50 7 12" xfId="22379"/>
    <cellStyle name="asd 50 7 13" xfId="24819"/>
    <cellStyle name="asd 50 7 14" xfId="27508"/>
    <cellStyle name="asd 50 7 15" xfId="29585"/>
    <cellStyle name="asd 50 7 16" xfId="31093"/>
    <cellStyle name="asd 50 7 17" xfId="32427"/>
    <cellStyle name="asd 50 7 18" xfId="34332"/>
    <cellStyle name="asd 50 7 19" xfId="35646"/>
    <cellStyle name="asd 50 7 2" xfId="5721"/>
    <cellStyle name="asd 50 7 2 10" xfId="21971"/>
    <cellStyle name="asd 50 7 2 11" xfId="22896"/>
    <cellStyle name="asd 50 7 2 12" xfId="25773"/>
    <cellStyle name="asd 50 7 2 13" xfId="26969"/>
    <cellStyle name="asd 50 7 2 14" xfId="28941"/>
    <cellStyle name="asd 50 7 2 15" xfId="30563"/>
    <cellStyle name="asd 50 7 2 16" xfId="31810"/>
    <cellStyle name="asd 50 7 2 17" xfId="34805"/>
    <cellStyle name="asd 50 7 2 18" xfId="36600"/>
    <cellStyle name="asd 50 7 2 19" xfId="38479"/>
    <cellStyle name="asd 50 7 2 2" xfId="7170"/>
    <cellStyle name="asd 50 7 2 20" xfId="39048"/>
    <cellStyle name="asd 50 7 2 21" xfId="40730"/>
    <cellStyle name="asd 50 7 2 22" xfId="42682"/>
    <cellStyle name="asd 50 7 2 3" xfId="8624"/>
    <cellStyle name="asd 50 7 2 4" xfId="10534"/>
    <cellStyle name="asd 50 7 2 5" xfId="10936"/>
    <cellStyle name="asd 50 7 2 6" xfId="13364"/>
    <cellStyle name="asd 50 7 2 7" xfId="15269"/>
    <cellStyle name="asd 50 7 2 8" xfId="18153"/>
    <cellStyle name="asd 50 7 2 9" xfId="20059"/>
    <cellStyle name="asd 50 7 20" xfId="37525"/>
    <cellStyle name="asd 50 7 21" xfId="39644"/>
    <cellStyle name="asd 50 7 22" xfId="41318"/>
    <cellStyle name="asd 50 7 23" xfId="42190"/>
    <cellStyle name="asd 50 7 3" xfId="6219"/>
    <cellStyle name="asd 50 7 4" xfId="7670"/>
    <cellStyle name="asd 50 7 5" xfId="9580"/>
    <cellStyle name="asd 50 7 6" xfId="12218"/>
    <cellStyle name="asd 50 7 7" xfId="12846"/>
    <cellStyle name="asd 50 7 8" xfId="14751"/>
    <cellStyle name="asd 50 7 9" xfId="17199"/>
    <cellStyle name="asd 50 8" xfId="2727"/>
    <cellStyle name="asd 50 9" xfId="3266"/>
    <cellStyle name="asd 51" xfId="1065"/>
    <cellStyle name="asd 51 10" xfId="3250"/>
    <cellStyle name="asd 51 11" xfId="6251"/>
    <cellStyle name="asd 51 12" xfId="1971"/>
    <cellStyle name="asd 51 13" xfId="9003"/>
    <cellStyle name="asd 51 14" xfId="10901"/>
    <cellStyle name="asd 51 15" xfId="3742"/>
    <cellStyle name="asd 51 16" xfId="6652"/>
    <cellStyle name="asd 51 17" xfId="3857"/>
    <cellStyle name="asd 51 18" xfId="24211"/>
    <cellStyle name="asd 51 19" xfId="24230"/>
    <cellStyle name="asd 51 2" xfId="3445"/>
    <cellStyle name="asd 51 2 10" xfId="14536"/>
    <cellStyle name="asd 51 2 11" xfId="16442"/>
    <cellStyle name="asd 51 2 12" xfId="16830"/>
    <cellStyle name="asd 51 2 13" xfId="18737"/>
    <cellStyle name="asd 51 2 14" xfId="20649"/>
    <cellStyle name="asd 51 2 15" xfId="24066"/>
    <cellStyle name="asd 51 2 16" xfId="24451"/>
    <cellStyle name="asd 51 2 17" xfId="27557"/>
    <cellStyle name="asd 51 2 18" xfId="29653"/>
    <cellStyle name="asd 51 2 19" xfId="31137"/>
    <cellStyle name="asd 51 2 2" xfId="3625"/>
    <cellStyle name="asd 51 2 2 10" xfId="17516"/>
    <cellStyle name="asd 51 2 2 11" xfId="19422"/>
    <cellStyle name="asd 51 2 2 12" xfId="21334"/>
    <cellStyle name="asd 51 2 2 13" xfId="23041"/>
    <cellStyle name="asd 51 2 2 14" xfId="25136"/>
    <cellStyle name="asd 51 2 2 15" xfId="26718"/>
    <cellStyle name="asd 51 2 2 16" xfId="3739"/>
    <cellStyle name="asd 51 2 2 17" xfId="30318"/>
    <cellStyle name="asd 51 2 2 18" xfId="32755"/>
    <cellStyle name="asd 51 2 2 19" xfId="34627"/>
    <cellStyle name="asd 51 2 2 2" xfId="4260"/>
    <cellStyle name="asd 51 2 2 2 10" xfId="20491"/>
    <cellStyle name="asd 51 2 2 2 11" xfId="23699"/>
    <cellStyle name="asd 51 2 2 2 12" xfId="24293"/>
    <cellStyle name="asd 51 2 2 2 13" xfId="27497"/>
    <cellStyle name="asd 51 2 2 2 14" xfId="18495"/>
    <cellStyle name="asd 51 2 2 2 15" xfId="31083"/>
    <cellStyle name="asd 51 2 2 2 16" xfId="32534"/>
    <cellStyle name="asd 51 2 2 2 17" xfId="35018"/>
    <cellStyle name="asd 51 2 2 2 18" xfId="35121"/>
    <cellStyle name="asd 51 2 2 2 19" xfId="36999"/>
    <cellStyle name="asd 51 2 2 2 2" xfId="5364"/>
    <cellStyle name="asd 51 2 2 2 20" xfId="39747"/>
    <cellStyle name="asd 51 2 2 2 21" xfId="41419"/>
    <cellStyle name="asd 51 2 2 2 22" xfId="43456"/>
    <cellStyle name="asd 51 2 2 2 3" xfId="6634"/>
    <cellStyle name="asd 51 2 2 2 4" xfId="9053"/>
    <cellStyle name="asd 51 2 2 2 5" xfId="12743"/>
    <cellStyle name="asd 51 2 2 2 6" xfId="14169"/>
    <cellStyle name="asd 51 2 2 2 7" xfId="16073"/>
    <cellStyle name="asd 51 2 2 2 8" xfId="16672"/>
    <cellStyle name="asd 51 2 2 2 9" xfId="18579"/>
    <cellStyle name="asd 51 2 2 20" xfId="35963"/>
    <cellStyle name="asd 51 2 2 21" xfId="37842"/>
    <cellStyle name="asd 51 2 2 22" xfId="39964"/>
    <cellStyle name="asd 51 2 2 23" xfId="41628"/>
    <cellStyle name="asd 51 2 2 24" xfId="42824"/>
    <cellStyle name="asd 51 2 2 3" xfId="5086"/>
    <cellStyle name="asd 51 2 2 4" xfId="6536"/>
    <cellStyle name="asd 51 2 2 5" xfId="7987"/>
    <cellStyle name="asd 51 2 2 6" xfId="9897"/>
    <cellStyle name="asd 51 2 2 7" xfId="11397"/>
    <cellStyle name="asd 51 2 2 8" xfId="13511"/>
    <cellStyle name="asd 51 2 2 9" xfId="15415"/>
    <cellStyle name="asd 51 2 20" xfId="31730"/>
    <cellStyle name="asd 51 2 21" xfId="33809"/>
    <cellStyle name="asd 51 2 22" xfId="35279"/>
    <cellStyle name="asd 51 2 23" xfId="37157"/>
    <cellStyle name="asd 51 2 24" xfId="38971"/>
    <cellStyle name="asd 51 2 25" xfId="40654"/>
    <cellStyle name="asd 51 2 26" xfId="43810"/>
    <cellStyle name="asd 51 2 3" xfId="3796"/>
    <cellStyle name="asd 51 2 3 10" xfId="19531"/>
    <cellStyle name="asd 51 2 3 11" xfId="21443"/>
    <cellStyle name="asd 51 2 3 12" xfId="23406"/>
    <cellStyle name="asd 51 2 3 13" xfId="25245"/>
    <cellStyle name="asd 51 2 3 14" xfId="27888"/>
    <cellStyle name="asd 51 2 3 15" xfId="13235"/>
    <cellStyle name="asd 51 2 3 16" xfId="31469"/>
    <cellStyle name="asd 51 2 3 17" xfId="32680"/>
    <cellStyle name="asd 51 2 3 18" xfId="34949"/>
    <cellStyle name="asd 51 2 3 19" xfId="36072"/>
    <cellStyle name="asd 51 2 3 2" xfId="5801"/>
    <cellStyle name="asd 51 2 3 2 10" xfId="22051"/>
    <cellStyle name="asd 51 2 3 2 11" xfId="23061"/>
    <cellStyle name="asd 51 2 3 2 12" xfId="25853"/>
    <cellStyle name="asd 51 2 3 2 13" xfId="26901"/>
    <cellStyle name="asd 51 2 3 2 14" xfId="28085"/>
    <cellStyle name="asd 51 2 3 2 15" xfId="30497"/>
    <cellStyle name="asd 51 2 3 2 16" xfId="31900"/>
    <cellStyle name="asd 51 2 3 2 17" xfId="34697"/>
    <cellStyle name="asd 51 2 3 2 18" xfId="36680"/>
    <cellStyle name="asd 51 2 3 2 19" xfId="38559"/>
    <cellStyle name="asd 51 2 3 2 2" xfId="7250"/>
    <cellStyle name="asd 51 2 3 2 20" xfId="39133"/>
    <cellStyle name="asd 51 2 3 2 21" xfId="40814"/>
    <cellStyle name="asd 51 2 3 2 22" xfId="42844"/>
    <cellStyle name="asd 51 2 3 2 3" xfId="8704"/>
    <cellStyle name="asd 51 2 3 2 4" xfId="10614"/>
    <cellStyle name="asd 51 2 3 2 5" xfId="12665"/>
    <cellStyle name="asd 51 2 3 2 6" xfId="13532"/>
    <cellStyle name="asd 51 2 3 2 7" xfId="15435"/>
    <cellStyle name="asd 51 2 3 2 8" xfId="18233"/>
    <cellStyle name="asd 51 2 3 2 9" xfId="20139"/>
    <cellStyle name="asd 51 2 3 20" xfId="37951"/>
    <cellStyle name="asd 51 2 3 21" xfId="39888"/>
    <cellStyle name="asd 51 2 3 22" xfId="41557"/>
    <cellStyle name="asd 51 2 3 23" xfId="43173"/>
    <cellStyle name="asd 51 2 3 3" xfId="5195"/>
    <cellStyle name="asd 51 2 3 4" xfId="8096"/>
    <cellStyle name="asd 51 2 3 5" xfId="10006"/>
    <cellStyle name="asd 51 2 3 6" xfId="12405"/>
    <cellStyle name="asd 51 2 3 7" xfId="13878"/>
    <cellStyle name="asd 51 2 3 8" xfId="15779"/>
    <cellStyle name="asd 51 2 3 9" xfId="17625"/>
    <cellStyle name="asd 51 2 4" xfId="4077"/>
    <cellStyle name="asd 51 2 4 10" xfId="19712"/>
    <cellStyle name="asd 51 2 4 11" xfId="21624"/>
    <cellStyle name="asd 51 2 4 12" xfId="23592"/>
    <cellStyle name="asd 51 2 4 13" xfId="25426"/>
    <cellStyle name="asd 51 2 4 14" xfId="26753"/>
    <cellStyle name="asd 51 2 4 15" xfId="28659"/>
    <cellStyle name="asd 51 2 4 16" xfId="30352"/>
    <cellStyle name="asd 51 2 4 17" xfId="32126"/>
    <cellStyle name="asd 51 2 4 18" xfId="34367"/>
    <cellStyle name="asd 51 2 4 19" xfId="36253"/>
    <cellStyle name="asd 51 2 4 2" xfId="5982"/>
    <cellStyle name="asd 51 2 4 2 10" xfId="22232"/>
    <cellStyle name="asd 51 2 4 2 11" xfId="24126"/>
    <cellStyle name="asd 51 2 4 2 12" xfId="26034"/>
    <cellStyle name="asd 51 2 4 2 13" xfId="27592"/>
    <cellStyle name="asd 51 2 4 2 14" xfId="29441"/>
    <cellStyle name="asd 51 2 4 2 15" xfId="31171"/>
    <cellStyle name="asd 51 2 4 2 16" xfId="32269"/>
    <cellStyle name="asd 51 2 4 2 17" xfId="35026"/>
    <cellStyle name="asd 51 2 4 2 18" xfId="36861"/>
    <cellStyle name="asd 51 2 4 2 19" xfId="38740"/>
    <cellStyle name="asd 51 2 4 2 2" xfId="7431"/>
    <cellStyle name="asd 51 2 4 2 20" xfId="39487"/>
    <cellStyle name="asd 51 2 4 2 21" xfId="41162"/>
    <cellStyle name="asd 51 2 4 2 22" xfId="43869"/>
    <cellStyle name="asd 51 2 4 2 3" xfId="8885"/>
    <cellStyle name="asd 51 2 4 2 4" xfId="10795"/>
    <cellStyle name="asd 51 2 4 2 5" xfId="12086"/>
    <cellStyle name="asd 51 2 4 2 6" xfId="14597"/>
    <cellStyle name="asd 51 2 4 2 7" xfId="16503"/>
    <cellStyle name="asd 51 2 4 2 8" xfId="18414"/>
    <cellStyle name="asd 51 2 4 2 9" xfId="20320"/>
    <cellStyle name="asd 51 2 4 20" xfId="38132"/>
    <cellStyle name="asd 51 2 4 21" xfId="39349"/>
    <cellStyle name="asd 51 2 4 22" xfId="41025"/>
    <cellStyle name="asd 51 2 4 23" xfId="43351"/>
    <cellStyle name="asd 51 2 4 3" xfId="6823"/>
    <cellStyle name="asd 51 2 4 4" xfId="8277"/>
    <cellStyle name="asd 51 2 4 5" xfId="10187"/>
    <cellStyle name="asd 51 2 4 6" xfId="12253"/>
    <cellStyle name="asd 51 2 4 7" xfId="14062"/>
    <cellStyle name="asd 51 2 4 8" xfId="15965"/>
    <cellStyle name="asd 51 2 4 9" xfId="17806"/>
    <cellStyle name="asd 51 2 5" xfId="4932"/>
    <cellStyle name="asd 51 2 5 10" xfId="21180"/>
    <cellStyle name="asd 51 2 5 11" xfId="23812"/>
    <cellStyle name="asd 51 2 5 12" xfId="24982"/>
    <cellStyle name="asd 51 2 5 13" xfId="27726"/>
    <cellStyle name="asd 51 2 5 14" xfId="28986"/>
    <cellStyle name="asd 51 2 5 15" xfId="31304"/>
    <cellStyle name="asd 51 2 5 16" xfId="31876"/>
    <cellStyle name="asd 51 2 5 17" xfId="33780"/>
    <cellStyle name="asd 51 2 5 18" xfId="35809"/>
    <cellStyle name="asd 51 2 5 19" xfId="37688"/>
    <cellStyle name="asd 51 2 5 2" xfId="6382"/>
    <cellStyle name="asd 51 2 5 20" xfId="39111"/>
    <cellStyle name="asd 51 2 5 21" xfId="40792"/>
    <cellStyle name="asd 51 2 5 22" xfId="43563"/>
    <cellStyle name="asd 51 2 5 3" xfId="7833"/>
    <cellStyle name="asd 51 2 5 4" xfId="9743"/>
    <cellStyle name="asd 51 2 5 5" xfId="11347"/>
    <cellStyle name="asd 51 2 5 6" xfId="14282"/>
    <cellStyle name="asd 51 2 5 7" xfId="16186"/>
    <cellStyle name="asd 51 2 5 8" xfId="17362"/>
    <cellStyle name="asd 51 2 5 9" xfId="19268"/>
    <cellStyle name="asd 51 2 6" xfId="4398"/>
    <cellStyle name="asd 51 2 6 10" xfId="20642"/>
    <cellStyle name="asd 51 2 6 11" xfId="23788"/>
    <cellStyle name="asd 51 2 6 12" xfId="24444"/>
    <cellStyle name="asd 51 2 6 13" xfId="27774"/>
    <cellStyle name="asd 51 2 6 14" xfId="28668"/>
    <cellStyle name="asd 51 2 6 15" xfId="31352"/>
    <cellStyle name="asd 51 2 6 16" xfId="32807"/>
    <cellStyle name="asd 51 2 6 17" xfId="33985"/>
    <cellStyle name="asd 51 2 6 18" xfId="35272"/>
    <cellStyle name="asd 51 2 6 19" xfId="37150"/>
    <cellStyle name="asd 51 2 6 2" xfId="4564"/>
    <cellStyle name="asd 51 2 6 20" xfId="40016"/>
    <cellStyle name="asd 51 2 6 21" xfId="41680"/>
    <cellStyle name="asd 51 2 6 22" xfId="43541"/>
    <cellStyle name="asd 51 2 6 3" xfId="5377"/>
    <cellStyle name="asd 51 2 6 4" xfId="9204"/>
    <cellStyle name="asd 51 2 6 5" xfId="11504"/>
    <cellStyle name="asd 51 2 6 6" xfId="14258"/>
    <cellStyle name="asd 51 2 6 7" xfId="16162"/>
    <cellStyle name="asd 51 2 6 8" xfId="16823"/>
    <cellStyle name="asd 51 2 6 9" xfId="18730"/>
    <cellStyle name="asd 51 2 7" xfId="6628"/>
    <cellStyle name="asd 51 2 8" xfId="9211"/>
    <cellStyle name="asd 51 2 9" xfId="12025"/>
    <cellStyle name="asd 51 20" xfId="1933"/>
    <cellStyle name="asd 51 21" xfId="11177"/>
    <cellStyle name="asd 51 22" xfId="29041"/>
    <cellStyle name="asd 51 23" xfId="28478"/>
    <cellStyle name="asd 51 24" xfId="2385"/>
    <cellStyle name="asd 51 25" xfId="34254"/>
    <cellStyle name="asd 51 26" xfId="4185"/>
    <cellStyle name="asd 51 27" xfId="20447"/>
    <cellStyle name="asd 51 3" xfId="3459"/>
    <cellStyle name="asd 51 3 10" xfId="12948"/>
    <cellStyle name="asd 51 3 11" xfId="14852"/>
    <cellStyle name="asd 51 3 12" xfId="16869"/>
    <cellStyle name="asd 51 3 13" xfId="18776"/>
    <cellStyle name="asd 51 3 14" xfId="20688"/>
    <cellStyle name="asd 51 3 15" xfId="22480"/>
    <cellStyle name="asd 51 3 16" xfId="24490"/>
    <cellStyle name="asd 51 3 17" xfId="27072"/>
    <cellStyle name="asd 51 3 18" xfId="29110"/>
    <cellStyle name="asd 51 3 19" xfId="30663"/>
    <cellStyle name="asd 51 3 2" xfId="3639"/>
    <cellStyle name="asd 51 3 2 10" xfId="17530"/>
    <cellStyle name="asd 51 3 2 11" xfId="19436"/>
    <cellStyle name="asd 51 3 2 12" xfId="21348"/>
    <cellStyle name="asd 51 3 2 13" xfId="23670"/>
    <cellStyle name="asd 51 3 2 14" xfId="25150"/>
    <cellStyle name="asd 51 3 2 15" xfId="27243"/>
    <cellStyle name="asd 51 3 2 16" xfId="29033"/>
    <cellStyle name="asd 51 3 2 17" xfId="30834"/>
    <cellStyle name="asd 51 3 2 18" xfId="32877"/>
    <cellStyle name="asd 51 3 2 19" xfId="34995"/>
    <cellStyle name="asd 51 3 2 2" xfId="5681"/>
    <cellStyle name="asd 51 3 2 2 10" xfId="21931"/>
    <cellStyle name="asd 51 3 2 2 11" xfId="22989"/>
    <cellStyle name="asd 51 3 2 2 12" xfId="25733"/>
    <cellStyle name="asd 51 3 2 2 13" xfId="27928"/>
    <cellStyle name="asd 51 3 2 2 14" xfId="28627"/>
    <cellStyle name="asd 51 3 2 2 15" xfId="31510"/>
    <cellStyle name="asd 51 3 2 2 16" xfId="32179"/>
    <cellStyle name="asd 51 3 2 2 17" xfId="33612"/>
    <cellStyle name="asd 51 3 2 2 18" xfId="36560"/>
    <cellStyle name="asd 51 3 2 2 19" xfId="38439"/>
    <cellStyle name="asd 51 3 2 2 2" xfId="7130"/>
    <cellStyle name="asd 51 3 2 2 20" xfId="39401"/>
    <cellStyle name="asd 51 3 2 2 21" xfId="41077"/>
    <cellStyle name="asd 51 3 2 2 22" xfId="42775"/>
    <cellStyle name="asd 51 3 2 2 3" xfId="8584"/>
    <cellStyle name="asd 51 3 2 2 4" xfId="10494"/>
    <cellStyle name="asd 51 3 2 2 5" xfId="12169"/>
    <cellStyle name="asd 51 3 2 2 6" xfId="13458"/>
    <cellStyle name="asd 51 3 2 2 7" xfId="15363"/>
    <cellStyle name="asd 51 3 2 2 8" xfId="18113"/>
    <cellStyle name="asd 51 3 2 2 9" xfId="20019"/>
    <cellStyle name="asd 51 3 2 20" xfId="35977"/>
    <cellStyle name="asd 51 3 2 21" xfId="37856"/>
    <cellStyle name="asd 51 3 2 22" xfId="40082"/>
    <cellStyle name="asd 51 3 2 23" xfId="41745"/>
    <cellStyle name="asd 51 3 2 24" xfId="43428"/>
    <cellStyle name="asd 51 3 2 3" xfId="5100"/>
    <cellStyle name="asd 51 3 2 4" xfId="6550"/>
    <cellStyle name="asd 51 3 2 5" xfId="8001"/>
    <cellStyle name="asd 51 3 2 6" xfId="9911"/>
    <cellStyle name="asd 51 3 2 7" xfId="11622"/>
    <cellStyle name="asd 51 3 2 8" xfId="14141"/>
    <cellStyle name="asd 51 3 2 9" xfId="16044"/>
    <cellStyle name="asd 51 3 20" xfId="32990"/>
    <cellStyle name="asd 51 3 21" xfId="33471"/>
    <cellStyle name="asd 51 3 22" xfId="35318"/>
    <cellStyle name="asd 51 3 23" xfId="37196"/>
    <cellStyle name="asd 51 3 24" xfId="40191"/>
    <cellStyle name="asd 51 3 25" xfId="41850"/>
    <cellStyle name="asd 51 3 26" xfId="42290"/>
    <cellStyle name="asd 51 3 3" xfId="3050"/>
    <cellStyle name="asd 51 3 3 10" xfId="19145"/>
    <cellStyle name="asd 51 3 3 11" xfId="21057"/>
    <cellStyle name="asd 51 3 3 12" xfId="23914"/>
    <cellStyle name="asd 51 3 3 13" xfId="24859"/>
    <cellStyle name="asd 51 3 3 14" xfId="26221"/>
    <cellStyle name="asd 51 3 3 15" xfId="3337"/>
    <cellStyle name="asd 51 3 3 16" xfId="29832"/>
    <cellStyle name="asd 51 3 3 17" xfId="33268"/>
    <cellStyle name="asd 51 3 3 18" xfId="33556"/>
    <cellStyle name="asd 51 3 3 19" xfId="35686"/>
    <cellStyle name="asd 51 3 3 2" xfId="4478"/>
    <cellStyle name="asd 51 3 3 2 10" xfId="20723"/>
    <cellStyle name="asd 51 3 3 2 11" xfId="23089"/>
    <cellStyle name="asd 51 3 3 2 12" xfId="24525"/>
    <cellStyle name="asd 51 3 3 2 13" xfId="26785"/>
    <cellStyle name="asd 51 3 3 2 14" xfId="28981"/>
    <cellStyle name="asd 51 3 3 2 15" xfId="30384"/>
    <cellStyle name="asd 51 3 3 2 16" xfId="33159"/>
    <cellStyle name="asd 51 3 3 2 17" xfId="34193"/>
    <cellStyle name="asd 51 3 3 2 18" xfId="35353"/>
    <cellStyle name="asd 51 3 3 2 19" xfId="37231"/>
    <cellStyle name="asd 51 3 3 2 2" xfId="5370"/>
    <cellStyle name="asd 51 3 3 2 20" xfId="40351"/>
    <cellStyle name="asd 51 3 3 2 21" xfId="42007"/>
    <cellStyle name="asd 51 3 3 2 22" xfId="42871"/>
    <cellStyle name="asd 51 3 3 2 3" xfId="6631"/>
    <cellStyle name="asd 51 3 3 2 4" xfId="9285"/>
    <cellStyle name="asd 51 3 3 2 5" xfId="12700"/>
    <cellStyle name="asd 51 3 3 2 6" xfId="13560"/>
    <cellStyle name="asd 51 3 3 2 7" xfId="15463"/>
    <cellStyle name="asd 51 3 3 2 8" xfId="16904"/>
    <cellStyle name="asd 51 3 3 2 9" xfId="18811"/>
    <cellStyle name="asd 51 3 3 20" xfId="37565"/>
    <cellStyle name="asd 51 3 3 21" xfId="40454"/>
    <cellStyle name="asd 51 3 3 22" xfId="42109"/>
    <cellStyle name="asd 51 3 3 23" xfId="43660"/>
    <cellStyle name="asd 51 3 3 3" xfId="4809"/>
    <cellStyle name="asd 51 3 3 4" xfId="7710"/>
    <cellStyle name="asd 51 3 3 5" xfId="9620"/>
    <cellStyle name="asd 51 3 3 6" xfId="11873"/>
    <cellStyle name="asd 51 3 3 7" xfId="14382"/>
    <cellStyle name="asd 51 3 3 8" xfId="16288"/>
    <cellStyle name="asd 51 3 3 9" xfId="17239"/>
    <cellStyle name="asd 51 3 4" xfId="4091"/>
    <cellStyle name="asd 51 3 4 10" xfId="19726"/>
    <cellStyle name="asd 51 3 4 11" xfId="21638"/>
    <cellStyle name="asd 51 3 4 12" xfId="24164"/>
    <cellStyle name="asd 51 3 4 13" xfId="25440"/>
    <cellStyle name="asd 51 3 4 14" xfId="27486"/>
    <cellStyle name="asd 51 3 4 15" xfId="28417"/>
    <cellStyle name="asd 51 3 4 16" xfId="31073"/>
    <cellStyle name="asd 51 3 4 17" xfId="32673"/>
    <cellStyle name="asd 51 3 4 18" xfId="33547"/>
    <cellStyle name="asd 51 3 4 19" xfId="36267"/>
    <cellStyle name="asd 51 3 4 2" xfId="5996"/>
    <cellStyle name="asd 51 3 4 2 10" xfId="22246"/>
    <cellStyle name="asd 51 3 4 2 11" xfId="23185"/>
    <cellStyle name="asd 51 3 4 2 12" xfId="26048"/>
    <cellStyle name="asd 51 3 4 2 13" xfId="27941"/>
    <cellStyle name="asd 51 3 4 2 14" xfId="29408"/>
    <cellStyle name="asd 51 3 4 2 15" xfId="31521"/>
    <cellStyle name="asd 51 3 4 2 16" xfId="32313"/>
    <cellStyle name="asd 51 3 4 2 17" xfId="34842"/>
    <cellStyle name="asd 51 3 4 2 18" xfId="36875"/>
    <cellStyle name="asd 51 3 4 2 19" xfId="38754"/>
    <cellStyle name="asd 51 3 4 2 2" xfId="7445"/>
    <cellStyle name="asd 51 3 4 2 20" xfId="39532"/>
    <cellStyle name="asd 51 3 4 2 21" xfId="41206"/>
    <cellStyle name="asd 51 3 4 2 22" xfId="42963"/>
    <cellStyle name="asd 51 3 4 2 3" xfId="8899"/>
    <cellStyle name="asd 51 3 4 2 4" xfId="10809"/>
    <cellStyle name="asd 51 3 4 2 5" xfId="11020"/>
    <cellStyle name="asd 51 3 4 2 6" xfId="13656"/>
    <cellStyle name="asd 51 3 4 2 7" xfId="15559"/>
    <cellStyle name="asd 51 3 4 2 8" xfId="18428"/>
    <cellStyle name="asd 51 3 4 2 9" xfId="20334"/>
    <cellStyle name="asd 51 3 4 20" xfId="38146"/>
    <cellStyle name="asd 51 3 4 21" xfId="39880"/>
    <cellStyle name="asd 51 3 4 22" xfId="41549"/>
    <cellStyle name="asd 51 3 4 23" xfId="43906"/>
    <cellStyle name="asd 51 3 4 3" xfId="6837"/>
    <cellStyle name="asd 51 3 4 4" xfId="8291"/>
    <cellStyle name="asd 51 3 4 5" xfId="10201"/>
    <cellStyle name="asd 51 3 4 6" xfId="12124"/>
    <cellStyle name="asd 51 3 4 7" xfId="14635"/>
    <cellStyle name="asd 51 3 4 8" xfId="16541"/>
    <cellStyle name="asd 51 3 4 9" xfId="17820"/>
    <cellStyle name="asd 51 3 5" xfId="4945"/>
    <cellStyle name="asd 51 3 5 10" xfId="21193"/>
    <cellStyle name="asd 51 3 5 11" xfId="23035"/>
    <cellStyle name="asd 51 3 5 12" xfId="24995"/>
    <cellStyle name="asd 51 3 5 13" xfId="27047"/>
    <cellStyle name="asd 51 3 5 14" xfId="28203"/>
    <cellStyle name="asd 51 3 5 15" xfId="30640"/>
    <cellStyle name="asd 51 3 5 16" xfId="33092"/>
    <cellStyle name="asd 51 3 5 17" xfId="34975"/>
    <cellStyle name="asd 51 3 5 18" xfId="35822"/>
    <cellStyle name="asd 51 3 5 19" xfId="37701"/>
    <cellStyle name="asd 51 3 5 2" xfId="6395"/>
    <cellStyle name="asd 51 3 5 20" xfId="40288"/>
    <cellStyle name="asd 51 3 5 21" xfId="41944"/>
    <cellStyle name="asd 51 3 5 22" xfId="42818"/>
    <cellStyle name="asd 51 3 5 3" xfId="7846"/>
    <cellStyle name="asd 51 3 5 4" xfId="9756"/>
    <cellStyle name="asd 51 3 5 5" xfId="12630"/>
    <cellStyle name="asd 51 3 5 6" xfId="13505"/>
    <cellStyle name="asd 51 3 5 7" xfId="15409"/>
    <cellStyle name="asd 51 3 5 8" xfId="17375"/>
    <cellStyle name="asd 51 3 5 9" xfId="19281"/>
    <cellStyle name="asd 51 3 6" xfId="4440"/>
    <cellStyle name="asd 51 3 6 10" xfId="20685"/>
    <cellStyle name="asd 51 3 6 11" xfId="23423"/>
    <cellStyle name="asd 51 3 6 12" xfId="24487"/>
    <cellStyle name="asd 51 3 6 13" xfId="26848"/>
    <cellStyle name="asd 51 3 6 14" xfId="2554"/>
    <cellStyle name="asd 51 3 6 15" xfId="30445"/>
    <cellStyle name="asd 51 3 6 16" xfId="33223"/>
    <cellStyle name="asd 51 3 6 17" xfId="24214"/>
    <cellStyle name="asd 51 3 6 18" xfId="35315"/>
    <cellStyle name="asd 51 3 6 19" xfId="37193"/>
    <cellStyle name="asd 51 3 6 2" xfId="2982"/>
    <cellStyle name="asd 51 3 6 20" xfId="40413"/>
    <cellStyle name="asd 51 3 6 21" xfId="42069"/>
    <cellStyle name="asd 51 3 6 22" xfId="43190"/>
    <cellStyle name="asd 51 3 6 3" xfId="2665"/>
    <cellStyle name="asd 51 3 6 4" xfId="9247"/>
    <cellStyle name="asd 51 3 6 5" xfId="10950"/>
    <cellStyle name="asd 51 3 6 6" xfId="13895"/>
    <cellStyle name="asd 51 3 6 7" xfId="15796"/>
    <cellStyle name="asd 51 3 6 8" xfId="16866"/>
    <cellStyle name="asd 51 3 6 9" xfId="18773"/>
    <cellStyle name="asd 51 3 7" xfId="5298"/>
    <cellStyle name="asd 51 3 8" xfId="9250"/>
    <cellStyle name="asd 51 3 9" xfId="12259"/>
    <cellStyle name="asd 51 4" xfId="3467"/>
    <cellStyle name="asd 51 4 10" xfId="16120"/>
    <cellStyle name="asd 51 4 11" xfId="16885"/>
    <cellStyle name="asd 51 4 12" xfId="18792"/>
    <cellStyle name="asd 51 4 13" xfId="20704"/>
    <cellStyle name="asd 51 4 14" xfId="23746"/>
    <cellStyle name="asd 51 4 15" xfId="24506"/>
    <cellStyle name="asd 51 4 16" xfId="27800"/>
    <cellStyle name="asd 51 4 17" xfId="28810"/>
    <cellStyle name="asd 51 4 18" xfId="31377"/>
    <cellStyle name="asd 51 4 19" xfId="31855"/>
    <cellStyle name="asd 51 4 2" xfId="3647"/>
    <cellStyle name="asd 51 4 2 10" xfId="17538"/>
    <cellStyle name="asd 51 4 2 11" xfId="19444"/>
    <cellStyle name="asd 51 4 2 12" xfId="21356"/>
    <cellStyle name="asd 51 4 2 13" xfId="22504"/>
    <cellStyle name="asd 51 4 2 14" xfId="25158"/>
    <cellStyle name="asd 51 4 2 15" xfId="26619"/>
    <cellStyle name="asd 51 4 2 16" xfId="28500"/>
    <cellStyle name="asd 51 4 2 17" xfId="30222"/>
    <cellStyle name="asd 51 4 2 18" xfId="32747"/>
    <cellStyle name="asd 51 4 2 19" xfId="34921"/>
    <cellStyle name="asd 51 4 2 2" xfId="5697"/>
    <cellStyle name="asd 51 4 2 2 10" xfId="21947"/>
    <cellStyle name="asd 51 4 2 2 11" xfId="22976"/>
    <cellStyle name="asd 51 4 2 2 12" xfId="25749"/>
    <cellStyle name="asd 51 4 2 2 13" xfId="26694"/>
    <cellStyle name="asd 51 4 2 2 14" xfId="29167"/>
    <cellStyle name="asd 51 4 2 2 15" xfId="30294"/>
    <cellStyle name="asd 51 4 2 2 16" xfId="32752"/>
    <cellStyle name="asd 51 4 2 2 17" xfId="34019"/>
    <cellStyle name="asd 51 4 2 2 18" xfId="36576"/>
    <cellStyle name="asd 51 4 2 2 19" xfId="38455"/>
    <cellStyle name="asd 51 4 2 2 2" xfId="7146"/>
    <cellStyle name="asd 51 4 2 2 20" xfId="39961"/>
    <cellStyle name="asd 51 4 2 2 21" xfId="41625"/>
    <cellStyle name="asd 51 4 2 2 22" xfId="42762"/>
    <cellStyle name="asd 51 4 2 2 3" xfId="8600"/>
    <cellStyle name="asd 51 4 2 2 4" xfId="10510"/>
    <cellStyle name="asd 51 4 2 2 5" xfId="12466"/>
    <cellStyle name="asd 51 4 2 2 6" xfId="13445"/>
    <cellStyle name="asd 51 4 2 2 7" xfId="15350"/>
    <cellStyle name="asd 51 4 2 2 8" xfId="18129"/>
    <cellStyle name="asd 51 4 2 2 9" xfId="20035"/>
    <cellStyle name="asd 51 4 2 20" xfId="35985"/>
    <cellStyle name="asd 51 4 2 21" xfId="37864"/>
    <cellStyle name="asd 51 4 2 22" xfId="39956"/>
    <cellStyle name="asd 51 4 2 23" xfId="41620"/>
    <cellStyle name="asd 51 4 2 24" xfId="42314"/>
    <cellStyle name="asd 51 4 2 3" xfId="5108"/>
    <cellStyle name="asd 51 4 2 4" xfId="6558"/>
    <cellStyle name="asd 51 4 2 5" xfId="8009"/>
    <cellStyle name="asd 51 4 2 6" xfId="9919"/>
    <cellStyle name="asd 51 4 2 7" xfId="11012"/>
    <cellStyle name="asd 51 4 2 8" xfId="12972"/>
    <cellStyle name="asd 51 4 2 9" xfId="14876"/>
    <cellStyle name="asd 51 4 20" xfId="34766"/>
    <cellStyle name="asd 51 4 21" xfId="35334"/>
    <cellStyle name="asd 51 4 22" xfId="37212"/>
    <cellStyle name="asd 51 4 23" xfId="39090"/>
    <cellStyle name="asd 51 4 24" xfId="40771"/>
    <cellStyle name="asd 51 4 25" xfId="43499"/>
    <cellStyle name="asd 51 4 3" xfId="1994"/>
    <cellStyle name="asd 51 4 3 10" xfId="18996"/>
    <cellStyle name="asd 51 4 3 11" xfId="20908"/>
    <cellStyle name="asd 51 4 3 12" xfId="22890"/>
    <cellStyle name="asd 51 4 3 13" xfId="24710"/>
    <cellStyle name="asd 51 4 3 14" xfId="26830"/>
    <cellStyle name="asd 51 4 3 15" xfId="28685"/>
    <cellStyle name="asd 51 4 3 16" xfId="30428"/>
    <cellStyle name="asd 51 4 3 17" xfId="31828"/>
    <cellStyle name="asd 51 4 3 18" xfId="33390"/>
    <cellStyle name="asd 51 4 3 19" xfId="35537"/>
    <cellStyle name="asd 51 4 3 2" xfId="5551"/>
    <cellStyle name="asd 51 4 3 2 10" xfId="21801"/>
    <cellStyle name="asd 51 4 3 2 11" xfId="22808"/>
    <cellStyle name="asd 51 4 3 2 12" xfId="25603"/>
    <cellStyle name="asd 51 4 3 2 13" xfId="2106"/>
    <cellStyle name="asd 51 4 3 2 14" xfId="24234"/>
    <cellStyle name="asd 51 4 3 2 15" xfId="28211"/>
    <cellStyle name="asd 51 4 3 2 16" xfId="31565"/>
    <cellStyle name="asd 51 4 3 2 17" xfId="4164"/>
    <cellStyle name="asd 51 4 3 2 18" xfId="36430"/>
    <cellStyle name="asd 51 4 3 2 19" xfId="38309"/>
    <cellStyle name="asd 51 4 3 2 2" xfId="7000"/>
    <cellStyle name="asd 51 4 3 2 20" xfId="38824"/>
    <cellStyle name="asd 51 4 3 2 21" xfId="40517"/>
    <cellStyle name="asd 51 4 3 2 22" xfId="42601"/>
    <cellStyle name="asd 51 4 3 2 3" xfId="8454"/>
    <cellStyle name="asd 51 4 3 2 4" xfId="10364"/>
    <cellStyle name="asd 51 4 3 2 5" xfId="12351"/>
    <cellStyle name="asd 51 4 3 2 6" xfId="13278"/>
    <cellStyle name="asd 51 4 3 2 7" xfId="15182"/>
    <cellStyle name="asd 51 4 3 2 8" xfId="17983"/>
    <cellStyle name="asd 51 4 3 2 9" xfId="19889"/>
    <cellStyle name="asd 51 4 3 20" xfId="37416"/>
    <cellStyle name="asd 51 4 3 21" xfId="39066"/>
    <cellStyle name="asd 51 4 3 22" xfId="40748"/>
    <cellStyle name="asd 51 4 3 23" xfId="42676"/>
    <cellStyle name="asd 51 4 3 3" xfId="4663"/>
    <cellStyle name="asd 51 4 3 4" xfId="7561"/>
    <cellStyle name="asd 51 4 3 5" xfId="9471"/>
    <cellStyle name="asd 51 4 3 6" xfId="12429"/>
    <cellStyle name="asd 51 4 3 7" xfId="13358"/>
    <cellStyle name="asd 51 4 3 8" xfId="15263"/>
    <cellStyle name="asd 51 4 3 9" xfId="17090"/>
    <cellStyle name="asd 51 4 4" xfId="4099"/>
    <cellStyle name="asd 51 4 4 10" xfId="19734"/>
    <cellStyle name="asd 51 4 4 11" xfId="21646"/>
    <cellStyle name="asd 51 4 4 12" xfId="23139"/>
    <cellStyle name="asd 51 4 4 13" xfId="25448"/>
    <cellStyle name="asd 51 4 4 14" xfId="26722"/>
    <cellStyle name="asd 51 4 4 15" xfId="28366"/>
    <cellStyle name="asd 51 4 4 16" xfId="30322"/>
    <cellStyle name="asd 51 4 4 17" xfId="32491"/>
    <cellStyle name="asd 51 4 4 18" xfId="34250"/>
    <cellStyle name="asd 51 4 4 19" xfId="36275"/>
    <cellStyle name="asd 51 4 4 2" xfId="6004"/>
    <cellStyle name="asd 51 4 4 2 10" xfId="22254"/>
    <cellStyle name="asd 51 4 4 2 11" xfId="23662"/>
    <cellStyle name="asd 51 4 4 2 12" xfId="26056"/>
    <cellStyle name="asd 51 4 4 2 13" xfId="14651"/>
    <cellStyle name="asd 51 4 4 2 14" xfId="3295"/>
    <cellStyle name="asd 51 4 4 2 15" xfId="1816"/>
    <cellStyle name="asd 51 4 4 2 16" xfId="27049"/>
    <cellStyle name="asd 51 4 4 2 17" xfId="24232"/>
    <cellStyle name="asd 51 4 4 2 18" xfId="36883"/>
    <cellStyle name="asd 51 4 4 2 19" xfId="38762"/>
    <cellStyle name="asd 51 4 4 2 2" xfId="7453"/>
    <cellStyle name="asd 51 4 4 2 20" xfId="34491"/>
    <cellStyle name="asd 51 4 4 2 21" xfId="2816"/>
    <cellStyle name="asd 51 4 4 2 22" xfId="43420"/>
    <cellStyle name="asd 51 4 4 2 3" xfId="8907"/>
    <cellStyle name="asd 51 4 4 2 4" xfId="10817"/>
    <cellStyle name="asd 51 4 4 2 5" xfId="11709"/>
    <cellStyle name="asd 51 4 4 2 6" xfId="14132"/>
    <cellStyle name="asd 51 4 4 2 7" xfId="16035"/>
    <cellStyle name="asd 51 4 4 2 8" xfId="18436"/>
    <cellStyle name="asd 51 4 4 2 9" xfId="20342"/>
    <cellStyle name="asd 51 4 4 20" xfId="38154"/>
    <cellStyle name="asd 51 4 4 21" xfId="39706"/>
    <cellStyle name="asd 51 4 4 22" xfId="41378"/>
    <cellStyle name="asd 51 4 4 23" xfId="42917"/>
    <cellStyle name="asd 51 4 4 3" xfId="6845"/>
    <cellStyle name="asd 51 4 4 4" xfId="8299"/>
    <cellStyle name="asd 51 4 4 5" xfId="10209"/>
    <cellStyle name="asd 51 4 4 6" xfId="12764"/>
    <cellStyle name="asd 51 4 4 7" xfId="13610"/>
    <cellStyle name="asd 51 4 4 8" xfId="15513"/>
    <cellStyle name="asd 51 4 4 9" xfId="17828"/>
    <cellStyle name="asd 51 4 5" xfId="4253"/>
    <cellStyle name="asd 51 4 5 10" xfId="20544"/>
    <cellStyle name="asd 51 4 5 11" xfId="22934"/>
    <cellStyle name="asd 51 4 5 12" xfId="24346"/>
    <cellStyle name="asd 51 4 5 13" xfId="27321"/>
    <cellStyle name="asd 51 4 5 14" xfId="28565"/>
    <cellStyle name="asd 51 4 5 15" xfId="30911"/>
    <cellStyle name="asd 51 4 5 16" xfId="32057"/>
    <cellStyle name="asd 51 4 5 17" xfId="33727"/>
    <cellStyle name="asd 51 4 5 18" xfId="35174"/>
    <cellStyle name="asd 51 4 5 19" xfId="37052"/>
    <cellStyle name="asd 51 4 5 2" xfId="2925"/>
    <cellStyle name="asd 51 4 5 20" xfId="39284"/>
    <cellStyle name="asd 51 4 5 21" xfId="40960"/>
    <cellStyle name="asd 51 4 5 22" xfId="42720"/>
    <cellStyle name="asd 51 4 5 3" xfId="4258"/>
    <cellStyle name="asd 51 4 5 4" xfId="9106"/>
    <cellStyle name="asd 51 4 5 5" xfId="11294"/>
    <cellStyle name="asd 51 4 5 6" xfId="13402"/>
    <cellStyle name="asd 51 4 5 7" xfId="15307"/>
    <cellStyle name="asd 51 4 5 8" xfId="16725"/>
    <cellStyle name="asd 51 4 5 9" xfId="18632"/>
    <cellStyle name="asd 51 4 6" xfId="4416"/>
    <cellStyle name="asd 51 4 7" xfId="9266"/>
    <cellStyle name="asd 51 4 8" xfId="11829"/>
    <cellStyle name="asd 51 4 9" xfId="14216"/>
    <cellStyle name="asd 51 5" xfId="2044"/>
    <cellStyle name="asd 51 5 10" xfId="17097"/>
    <cellStyle name="asd 51 5 11" xfId="19003"/>
    <cellStyle name="asd 51 5 12" xfId="20915"/>
    <cellStyle name="asd 51 5 13" xfId="22795"/>
    <cellStyle name="asd 51 5 14" xfId="24717"/>
    <cellStyle name="asd 51 5 15" xfId="27534"/>
    <cellStyle name="asd 51 5 16" xfId="28163"/>
    <cellStyle name="asd 51 5 17" xfId="31115"/>
    <cellStyle name="asd 51 5 18" xfId="31672"/>
    <cellStyle name="asd 51 5 19" xfId="33977"/>
    <cellStyle name="asd 51 5 2" xfId="5598"/>
    <cellStyle name="asd 51 5 2 10" xfId="21848"/>
    <cellStyle name="asd 51 5 2 11" xfId="23418"/>
    <cellStyle name="asd 51 5 2 12" xfId="25650"/>
    <cellStyle name="asd 51 5 2 13" xfId="27121"/>
    <cellStyle name="asd 51 5 2 14" xfId="2509"/>
    <cellStyle name="asd 51 5 2 15" xfId="30711"/>
    <cellStyle name="asd 51 5 2 16" xfId="32575"/>
    <cellStyle name="asd 51 5 2 17" xfId="34819"/>
    <cellStyle name="asd 51 5 2 18" xfId="36477"/>
    <cellStyle name="asd 51 5 2 19" xfId="38356"/>
    <cellStyle name="asd 51 5 2 2" xfId="7047"/>
    <cellStyle name="asd 51 5 2 20" xfId="39786"/>
    <cellStyle name="asd 51 5 2 21" xfId="41456"/>
    <cellStyle name="asd 51 5 2 22" xfId="43185"/>
    <cellStyle name="asd 51 5 2 3" xfId="8501"/>
    <cellStyle name="asd 51 5 2 4" xfId="10411"/>
    <cellStyle name="asd 51 5 2 5" xfId="12416"/>
    <cellStyle name="asd 51 5 2 6" xfId="13890"/>
    <cellStyle name="asd 51 5 2 7" xfId="15791"/>
    <cellStyle name="asd 51 5 2 8" xfId="18030"/>
    <cellStyle name="asd 51 5 2 9" xfId="19936"/>
    <cellStyle name="asd 51 5 20" xfId="35544"/>
    <cellStyle name="asd 51 5 21" xfId="37423"/>
    <cellStyle name="asd 51 5 22" xfId="38916"/>
    <cellStyle name="asd 51 5 23" xfId="40600"/>
    <cellStyle name="asd 51 5 24" xfId="42588"/>
    <cellStyle name="asd 51 5 3" xfId="4670"/>
    <cellStyle name="asd 51 5 4" xfId="6117"/>
    <cellStyle name="asd 51 5 5" xfId="7568"/>
    <cellStyle name="asd 51 5 6" xfId="9478"/>
    <cellStyle name="asd 51 5 7" xfId="12291"/>
    <cellStyle name="asd 51 5 8" xfId="13264"/>
    <cellStyle name="asd 51 5 9" xfId="15168"/>
    <cellStyle name="asd 51 6" xfId="3071"/>
    <cellStyle name="asd 51 6 10" xfId="19152"/>
    <cellStyle name="asd 51 6 11" xfId="21064"/>
    <cellStyle name="asd 51 6 12" xfId="23951"/>
    <cellStyle name="asd 51 6 13" xfId="24866"/>
    <cellStyle name="asd 51 6 14" xfId="26719"/>
    <cellStyle name="asd 51 6 15" xfId="28161"/>
    <cellStyle name="asd 51 6 16" xfId="30319"/>
    <cellStyle name="asd 51 6 17" xfId="31849"/>
    <cellStyle name="asd 51 6 18" xfId="34408"/>
    <cellStyle name="asd 51 6 19" xfId="35693"/>
    <cellStyle name="asd 51 6 2" xfId="5581"/>
    <cellStyle name="asd 51 6 2 10" xfId="21831"/>
    <cellStyle name="asd 51 6 2 11" xfId="22711"/>
    <cellStyle name="asd 51 6 2 12" xfId="25633"/>
    <cellStyle name="asd 51 6 2 13" xfId="26353"/>
    <cellStyle name="asd 51 6 2 14" xfId="28607"/>
    <cellStyle name="asd 51 6 2 15" xfId="29961"/>
    <cellStyle name="asd 51 6 2 16" xfId="33203"/>
    <cellStyle name="asd 51 6 2 17" xfId="34671"/>
    <cellStyle name="asd 51 6 2 18" xfId="36460"/>
    <cellStyle name="asd 51 6 2 19" xfId="38339"/>
    <cellStyle name="asd 51 6 2 2" xfId="7030"/>
    <cellStyle name="asd 51 6 2 20" xfId="40393"/>
    <cellStyle name="asd 51 6 2 21" xfId="42049"/>
    <cellStyle name="asd 51 6 2 22" xfId="42511"/>
    <cellStyle name="asd 51 6 2 3" xfId="8484"/>
    <cellStyle name="asd 51 6 2 4" xfId="10394"/>
    <cellStyle name="asd 51 6 2 5" xfId="11472"/>
    <cellStyle name="asd 51 6 2 6" xfId="13179"/>
    <cellStyle name="asd 51 6 2 7" xfId="15083"/>
    <cellStyle name="asd 51 6 2 8" xfId="18013"/>
    <cellStyle name="asd 51 6 2 9" xfId="19919"/>
    <cellStyle name="asd 51 6 20" xfId="37572"/>
    <cellStyle name="asd 51 6 21" xfId="39086"/>
    <cellStyle name="asd 51 6 22" xfId="40767"/>
    <cellStyle name="asd 51 6 23" xfId="43697"/>
    <cellStyle name="asd 51 6 3" xfId="4816"/>
    <cellStyle name="asd 51 6 4" xfId="7717"/>
    <cellStyle name="asd 51 6 5" xfId="9627"/>
    <cellStyle name="asd 51 6 6" xfId="11911"/>
    <cellStyle name="asd 51 6 7" xfId="14421"/>
    <cellStyle name="asd 51 6 8" xfId="16327"/>
    <cellStyle name="asd 51 6 9" xfId="17246"/>
    <cellStyle name="asd 51 7" xfId="3161"/>
    <cellStyle name="asd 51 7 10" xfId="19170"/>
    <cellStyle name="asd 51 7 11" xfId="21082"/>
    <cellStyle name="asd 51 7 12" xfId="23214"/>
    <cellStyle name="asd 51 7 13" xfId="24884"/>
    <cellStyle name="asd 51 7 14" xfId="26466"/>
    <cellStyle name="asd 51 7 15" xfId="28150"/>
    <cellStyle name="asd 51 7 16" xfId="30071"/>
    <cellStyle name="asd 51 7 17" xfId="31651"/>
    <cellStyle name="asd 51 7 18" xfId="33666"/>
    <cellStyle name="asd 51 7 19" xfId="35711"/>
    <cellStyle name="asd 51 7 2" xfId="4617"/>
    <cellStyle name="asd 51 7 2 10" xfId="20862"/>
    <cellStyle name="asd 51 7 2 11" xfId="22518"/>
    <cellStyle name="asd 51 7 2 12" xfId="24664"/>
    <cellStyle name="asd 51 7 2 13" xfId="27548"/>
    <cellStyle name="asd 51 7 2 14" xfId="26147"/>
    <cellStyle name="asd 51 7 2 15" xfId="31129"/>
    <cellStyle name="asd 51 7 2 16" xfId="31600"/>
    <cellStyle name="asd 51 7 2 17" xfId="33965"/>
    <cellStyle name="asd 51 7 2 18" xfId="35492"/>
    <cellStyle name="asd 51 7 2 19" xfId="37370"/>
    <cellStyle name="asd 51 7 2 2" xfId="6065"/>
    <cellStyle name="asd 51 7 2 20" xfId="38847"/>
    <cellStyle name="asd 51 7 2 21" xfId="40533"/>
    <cellStyle name="asd 51 7 2 22" xfId="42328"/>
    <cellStyle name="asd 51 7 2 3" xfId="7514"/>
    <cellStyle name="asd 51 7 2 4" xfId="9424"/>
    <cellStyle name="asd 51 7 2 5" xfId="11182"/>
    <cellStyle name="asd 51 7 2 6" xfId="12986"/>
    <cellStyle name="asd 51 7 2 7" xfId="14890"/>
    <cellStyle name="asd 51 7 2 8" xfId="17043"/>
    <cellStyle name="asd 51 7 2 9" xfId="18950"/>
    <cellStyle name="asd 51 7 20" xfId="37590"/>
    <cellStyle name="asd 51 7 21" xfId="38896"/>
    <cellStyle name="asd 51 7 22" xfId="40581"/>
    <cellStyle name="asd 51 7 23" xfId="42992"/>
    <cellStyle name="asd 51 7 3" xfId="6284"/>
    <cellStyle name="asd 51 7 4" xfId="7735"/>
    <cellStyle name="asd 51 7 5" xfId="9645"/>
    <cellStyle name="asd 51 7 6" xfId="11086"/>
    <cellStyle name="asd 51 7 7" xfId="13686"/>
    <cellStyle name="asd 51 7 8" xfId="15588"/>
    <cellStyle name="asd 51 7 9" xfId="17264"/>
    <cellStyle name="asd 51 8" xfId="2234"/>
    <cellStyle name="asd 51 9" xfId="2075"/>
    <cellStyle name="asd 52" xfId="1069"/>
    <cellStyle name="asd 52 10" xfId="4729"/>
    <cellStyle name="asd 52 11" xfId="3303"/>
    <cellStyle name="asd 52 12" xfId="2276"/>
    <cellStyle name="asd 52 13" xfId="2525"/>
    <cellStyle name="asd 52 14" xfId="3034"/>
    <cellStyle name="asd 52 15" xfId="8989"/>
    <cellStyle name="asd 52 16" xfId="20432"/>
    <cellStyle name="asd 52 17" xfId="16614"/>
    <cellStyle name="asd 52 18" xfId="3293"/>
    <cellStyle name="asd 52 19" xfId="2165"/>
    <cellStyle name="asd 52 2" xfId="3366"/>
    <cellStyle name="asd 52 2 10" xfId="3975"/>
    <cellStyle name="asd 52 2 11" xfId="2628"/>
    <cellStyle name="asd 52 2 12" xfId="16665"/>
    <cellStyle name="asd 52 2 13" xfId="18572"/>
    <cellStyle name="asd 52 2 14" xfId="20484"/>
    <cellStyle name="asd 52 2 15" xfId="2099"/>
    <cellStyle name="asd 52 2 16" xfId="24286"/>
    <cellStyle name="asd 52 2 17" xfId="9004"/>
    <cellStyle name="asd 52 2 18" xfId="28715"/>
    <cellStyle name="asd 52 2 19" xfId="2140"/>
    <cellStyle name="asd 52 2 2" xfId="3546"/>
    <cellStyle name="asd 52 2 2 10" xfId="17437"/>
    <cellStyle name="asd 52 2 2 11" xfId="19343"/>
    <cellStyle name="asd 52 2 2 12" xfId="21255"/>
    <cellStyle name="asd 52 2 2 13" xfId="23764"/>
    <cellStyle name="asd 52 2 2 14" xfId="25057"/>
    <cellStyle name="asd 52 2 2 15" xfId="26787"/>
    <cellStyle name="asd 52 2 2 16" xfId="28748"/>
    <cellStyle name="asd 52 2 2 17" xfId="30386"/>
    <cellStyle name="asd 52 2 2 18" xfId="32879"/>
    <cellStyle name="asd 52 2 2 19" xfId="34268"/>
    <cellStyle name="asd 52 2 2 2" xfId="5654"/>
    <cellStyle name="asd 52 2 2 2 10" xfId="21904"/>
    <cellStyle name="asd 52 2 2 2 11" xfId="23960"/>
    <cellStyle name="asd 52 2 2 2 12" xfId="25706"/>
    <cellStyle name="asd 52 2 2 2 13" xfId="27436"/>
    <cellStyle name="asd 52 2 2 2 14" xfId="29525"/>
    <cellStyle name="asd 52 2 2 2 15" xfId="31022"/>
    <cellStyle name="asd 52 2 2 2 16" xfId="32368"/>
    <cellStyle name="asd 52 2 2 2 17" xfId="34695"/>
    <cellStyle name="asd 52 2 2 2 18" xfId="36533"/>
    <cellStyle name="asd 52 2 2 2 19" xfId="38412"/>
    <cellStyle name="asd 52 2 2 2 2" xfId="7103"/>
    <cellStyle name="asd 52 2 2 2 20" xfId="39586"/>
    <cellStyle name="asd 52 2 2 2 21" xfId="41260"/>
    <cellStyle name="asd 52 2 2 2 22" xfId="43706"/>
    <cellStyle name="asd 52 2 2 2 3" xfId="8557"/>
    <cellStyle name="asd 52 2 2 2 4" xfId="10467"/>
    <cellStyle name="asd 52 2 2 2 5" xfId="11920"/>
    <cellStyle name="asd 52 2 2 2 6" xfId="14430"/>
    <cellStyle name="asd 52 2 2 2 7" xfId="16336"/>
    <cellStyle name="asd 52 2 2 2 8" xfId="18086"/>
    <cellStyle name="asd 52 2 2 2 9" xfId="19992"/>
    <cellStyle name="asd 52 2 2 20" xfId="35884"/>
    <cellStyle name="asd 52 2 2 21" xfId="37763"/>
    <cellStyle name="asd 52 2 2 22" xfId="40084"/>
    <cellStyle name="asd 52 2 2 23" xfId="41747"/>
    <cellStyle name="asd 52 2 2 24" xfId="43517"/>
    <cellStyle name="asd 52 2 2 3" xfId="5007"/>
    <cellStyle name="asd 52 2 2 4" xfId="6457"/>
    <cellStyle name="asd 52 2 2 5" xfId="7908"/>
    <cellStyle name="asd 52 2 2 6" xfId="9818"/>
    <cellStyle name="asd 52 2 2 7" xfId="11795"/>
    <cellStyle name="asd 52 2 2 8" xfId="14234"/>
    <cellStyle name="asd 52 2 2 9" xfId="16138"/>
    <cellStyle name="asd 52 2 20" xfId="2039"/>
    <cellStyle name="asd 52 2 21" xfId="23582"/>
    <cellStyle name="asd 52 2 22" xfId="35114"/>
    <cellStyle name="asd 52 2 23" xfId="36992"/>
    <cellStyle name="asd 52 2 24" xfId="34480"/>
    <cellStyle name="asd 52 2 25" xfId="40499"/>
    <cellStyle name="asd 52 2 26" xfId="31586"/>
    <cellStyle name="asd 52 2 3" xfId="3877"/>
    <cellStyle name="asd 52 2 3 10" xfId="19587"/>
    <cellStyle name="asd 52 2 3 11" xfId="21499"/>
    <cellStyle name="asd 52 2 3 12" xfId="23629"/>
    <cellStyle name="asd 52 2 3 13" xfId="25301"/>
    <cellStyle name="asd 52 2 3 14" xfId="2604"/>
    <cellStyle name="asd 52 2 3 15" xfId="3756"/>
    <cellStyle name="asd 52 2 3 16" xfId="8979"/>
    <cellStyle name="asd 52 2 3 17" xfId="15235"/>
    <cellStyle name="asd 52 2 3 18" xfId="28045"/>
    <cellStyle name="asd 52 2 3 19" xfId="36128"/>
    <cellStyle name="asd 52 2 3 2" xfId="5857"/>
    <cellStyle name="asd 52 2 3 2 10" xfId="22107"/>
    <cellStyle name="asd 52 2 3 2 11" xfId="23632"/>
    <cellStyle name="asd 52 2 3 2 12" xfId="25909"/>
    <cellStyle name="asd 52 2 3 2 13" xfId="27428"/>
    <cellStyle name="asd 52 2 3 2 14" xfId="28837"/>
    <cellStyle name="asd 52 2 3 2 15" xfId="31014"/>
    <cellStyle name="asd 52 2 3 2 16" xfId="31678"/>
    <cellStyle name="asd 52 2 3 2 17" xfId="34100"/>
    <cellStyle name="asd 52 2 3 2 18" xfId="36736"/>
    <cellStyle name="asd 52 2 3 2 19" xfId="38615"/>
    <cellStyle name="asd 52 2 3 2 2" xfId="7306"/>
    <cellStyle name="asd 52 2 3 2 20" xfId="38921"/>
    <cellStyle name="asd 52 2 3 2 21" xfId="40605"/>
    <cellStyle name="asd 52 2 3 2 22" xfId="43390"/>
    <cellStyle name="asd 52 2 3 2 3" xfId="8760"/>
    <cellStyle name="asd 52 2 3 2 4" xfId="10670"/>
    <cellStyle name="asd 52 2 3 2 5" xfId="11641"/>
    <cellStyle name="asd 52 2 3 2 6" xfId="14102"/>
    <cellStyle name="asd 52 2 3 2 7" xfId="16005"/>
    <cellStyle name="asd 52 2 3 2 8" xfId="18289"/>
    <cellStyle name="asd 52 2 3 2 9" xfId="20195"/>
    <cellStyle name="asd 52 2 3 20" xfId="38007"/>
    <cellStyle name="asd 52 2 3 21" xfId="29755"/>
    <cellStyle name="asd 52 2 3 22" xfId="28728"/>
    <cellStyle name="asd 52 2 3 23" xfId="43387"/>
    <cellStyle name="asd 52 2 3 3" xfId="5251"/>
    <cellStyle name="asd 52 2 3 4" xfId="8152"/>
    <cellStyle name="asd 52 2 3 5" xfId="10062"/>
    <cellStyle name="asd 52 2 3 6" xfId="11458"/>
    <cellStyle name="asd 52 2 3 7" xfId="14099"/>
    <cellStyle name="asd 52 2 3 8" xfId="16002"/>
    <cellStyle name="asd 52 2 3 9" xfId="17681"/>
    <cellStyle name="asd 52 2 4" xfId="3998"/>
    <cellStyle name="asd 52 2 4 10" xfId="19633"/>
    <cellStyle name="asd 52 2 4 11" xfId="21545"/>
    <cellStyle name="asd 52 2 4 12" xfId="22453"/>
    <cellStyle name="asd 52 2 4 13" xfId="25347"/>
    <cellStyle name="asd 52 2 4 14" xfId="26731"/>
    <cellStyle name="asd 52 2 4 15" xfId="28836"/>
    <cellStyle name="asd 52 2 4 16" xfId="30331"/>
    <cellStyle name="asd 52 2 4 17" xfId="32442"/>
    <cellStyle name="asd 52 2 4 18" xfId="33789"/>
    <cellStyle name="asd 52 2 4 19" xfId="36174"/>
    <cellStyle name="asd 52 2 4 2" xfId="5903"/>
    <cellStyle name="asd 52 2 4 2 10" xfId="22153"/>
    <cellStyle name="asd 52 2 4 2 11" xfId="24012"/>
    <cellStyle name="asd 52 2 4 2 12" xfId="25955"/>
    <cellStyle name="asd 52 2 4 2 13" xfId="27526"/>
    <cellStyle name="asd 52 2 4 2 14" xfId="29361"/>
    <cellStyle name="asd 52 2 4 2 15" xfId="31108"/>
    <cellStyle name="asd 52 2 4 2 16" xfId="32247"/>
    <cellStyle name="asd 52 2 4 2 17" xfId="33786"/>
    <cellStyle name="asd 52 2 4 2 18" xfId="36782"/>
    <cellStyle name="asd 52 2 4 2 19" xfId="38661"/>
    <cellStyle name="asd 52 2 4 2 2" xfId="7352"/>
    <cellStyle name="asd 52 2 4 2 20" xfId="39465"/>
    <cellStyle name="asd 52 2 4 2 21" xfId="41140"/>
    <cellStyle name="asd 52 2 4 2 22" xfId="43756"/>
    <cellStyle name="asd 52 2 4 2 3" xfId="8806"/>
    <cellStyle name="asd 52 2 4 2 4" xfId="10716"/>
    <cellStyle name="asd 52 2 4 2 5" xfId="11971"/>
    <cellStyle name="asd 52 2 4 2 6" xfId="14482"/>
    <cellStyle name="asd 52 2 4 2 7" xfId="16388"/>
    <cellStyle name="asd 52 2 4 2 8" xfId="18335"/>
    <cellStyle name="asd 52 2 4 2 9" xfId="20241"/>
    <cellStyle name="asd 52 2 4 20" xfId="38053"/>
    <cellStyle name="asd 52 2 4 21" xfId="39659"/>
    <cellStyle name="asd 52 2 4 22" xfId="41333"/>
    <cellStyle name="asd 52 2 4 23" xfId="42264"/>
    <cellStyle name="asd 52 2 4 3" xfId="6744"/>
    <cellStyle name="asd 52 2 4 4" xfId="8198"/>
    <cellStyle name="asd 52 2 4 5" xfId="10108"/>
    <cellStyle name="asd 52 2 4 6" xfId="11270"/>
    <cellStyle name="asd 52 2 4 7" xfId="12921"/>
    <cellStyle name="asd 52 2 4 8" xfId="14826"/>
    <cellStyle name="asd 52 2 4 9" xfId="17727"/>
    <cellStyle name="asd 52 2 5" xfId="4874"/>
    <cellStyle name="asd 52 2 5 10" xfId="21122"/>
    <cellStyle name="asd 52 2 5 11" xfId="23404"/>
    <cellStyle name="asd 52 2 5 12" xfId="24924"/>
    <cellStyle name="asd 52 2 5 13" xfId="26803"/>
    <cellStyle name="asd 52 2 5 14" xfId="29383"/>
    <cellStyle name="asd 52 2 5 15" xfId="30401"/>
    <cellStyle name="asd 52 2 5 16" xfId="32149"/>
    <cellStyle name="asd 52 2 5 17" xfId="33575"/>
    <cellStyle name="asd 52 2 5 18" xfId="35751"/>
    <cellStyle name="asd 52 2 5 19" xfId="37630"/>
    <cellStyle name="asd 52 2 5 2" xfId="6324"/>
    <cellStyle name="asd 52 2 5 20" xfId="39372"/>
    <cellStyle name="asd 52 2 5 21" xfId="41048"/>
    <cellStyle name="asd 52 2 5 22" xfId="43171"/>
    <cellStyle name="asd 52 2 5 3" xfId="7775"/>
    <cellStyle name="asd 52 2 5 4" xfId="9685"/>
    <cellStyle name="asd 52 2 5 5" xfId="12255"/>
    <cellStyle name="asd 52 2 5 6" xfId="13876"/>
    <cellStyle name="asd 52 2 5 7" xfId="15777"/>
    <cellStyle name="asd 52 2 5 8" xfId="17304"/>
    <cellStyle name="asd 52 2 5 9" xfId="19210"/>
    <cellStyle name="asd 52 2 6" xfId="4332"/>
    <cellStyle name="asd 52 2 6 10" xfId="20512"/>
    <cellStyle name="asd 52 2 6 11" xfId="22674"/>
    <cellStyle name="asd 52 2 6 12" xfId="24314"/>
    <cellStyle name="asd 52 2 6 13" xfId="27233"/>
    <cellStyle name="asd 52 2 6 14" xfId="28571"/>
    <cellStyle name="asd 52 2 6 15" xfId="30824"/>
    <cellStyle name="asd 52 2 6 16" xfId="31684"/>
    <cellStyle name="asd 52 2 6 17" xfId="33901"/>
    <cellStyle name="asd 52 2 6 18" xfId="35142"/>
    <cellStyle name="asd 52 2 6 19" xfId="37020"/>
    <cellStyle name="asd 52 2 6 2" xfId="4370"/>
    <cellStyle name="asd 52 2 6 20" xfId="38926"/>
    <cellStyle name="asd 52 2 6 21" xfId="40610"/>
    <cellStyle name="asd 52 2 6 22" xfId="42479"/>
    <cellStyle name="asd 52 2 6 3" xfId="5351"/>
    <cellStyle name="asd 52 2 6 4" xfId="9074"/>
    <cellStyle name="asd 52 2 6 5" xfId="11474"/>
    <cellStyle name="asd 52 2 6 6" xfId="13141"/>
    <cellStyle name="asd 52 2 6 7" xfId="15046"/>
    <cellStyle name="asd 52 2 6 8" xfId="16693"/>
    <cellStyle name="asd 52 2 6 9" xfId="18600"/>
    <cellStyle name="asd 52 2 7" xfId="4277"/>
    <cellStyle name="asd 52 2 8" xfId="9046"/>
    <cellStyle name="asd 52 2 9" xfId="12290"/>
    <cellStyle name="asd 52 20" xfId="1806"/>
    <cellStyle name="asd 52 21" xfId="15065"/>
    <cellStyle name="asd 52 22" xfId="28235"/>
    <cellStyle name="asd 52 23" xfId="28475"/>
    <cellStyle name="asd 52 24" xfId="28350"/>
    <cellStyle name="asd 52 25" xfId="31579"/>
    <cellStyle name="asd 52 26" xfId="34974"/>
    <cellStyle name="asd 52 27" xfId="2456"/>
    <cellStyle name="asd 52 3" xfId="3446"/>
    <cellStyle name="asd 52 3 10" xfId="13934"/>
    <cellStyle name="asd 52 3 11" xfId="15835"/>
    <cellStyle name="asd 52 3 12" xfId="16831"/>
    <cellStyle name="asd 52 3 13" xfId="18738"/>
    <cellStyle name="asd 52 3 14" xfId="20650"/>
    <cellStyle name="asd 52 3 15" xfId="23462"/>
    <cellStyle name="asd 52 3 16" xfId="24452"/>
    <cellStyle name="asd 52 3 17" xfId="26998"/>
    <cellStyle name="asd 52 3 18" xfId="28628"/>
    <cellStyle name="asd 52 3 19" xfId="30592"/>
    <cellStyle name="asd 52 3 2" xfId="3626"/>
    <cellStyle name="asd 52 3 2 10" xfId="17517"/>
    <cellStyle name="asd 52 3 2 11" xfId="19423"/>
    <cellStyle name="asd 52 3 2 12" xfId="21335"/>
    <cellStyle name="asd 52 3 2 13" xfId="22833"/>
    <cellStyle name="asd 52 3 2 14" xfId="25137"/>
    <cellStyle name="asd 52 3 2 15" xfId="26868"/>
    <cellStyle name="asd 52 3 2 16" xfId="28242"/>
    <cellStyle name="asd 52 3 2 17" xfId="30464"/>
    <cellStyle name="asd 52 3 2 18" xfId="32054"/>
    <cellStyle name="asd 52 3 2 19" xfId="16584"/>
    <cellStyle name="asd 52 3 2 2" xfId="5555"/>
    <cellStyle name="asd 52 3 2 2 10" xfId="21805"/>
    <cellStyle name="asd 52 3 2 2 11" xfId="23994"/>
    <cellStyle name="asd 52 3 2 2 12" xfId="25607"/>
    <cellStyle name="asd 52 3 2 2 13" xfId="26584"/>
    <cellStyle name="asd 52 3 2 2 14" xfId="13539"/>
    <cellStyle name="asd 52 3 2 2 15" xfId="30186"/>
    <cellStyle name="asd 52 3 2 2 16" xfId="31972"/>
    <cellStyle name="asd 52 3 2 2 17" xfId="34871"/>
    <cellStyle name="asd 52 3 2 2 18" xfId="36434"/>
    <cellStyle name="asd 52 3 2 2 19" xfId="38313"/>
    <cellStyle name="asd 52 3 2 2 2" xfId="7004"/>
    <cellStyle name="asd 52 3 2 2 20" xfId="39202"/>
    <cellStyle name="asd 52 3 2 2 21" xfId="40883"/>
    <cellStyle name="asd 52 3 2 2 22" xfId="43738"/>
    <cellStyle name="asd 52 3 2 2 3" xfId="8458"/>
    <cellStyle name="asd 52 3 2 2 4" xfId="10368"/>
    <cellStyle name="asd 52 3 2 2 5" xfId="11953"/>
    <cellStyle name="asd 52 3 2 2 6" xfId="14464"/>
    <cellStyle name="asd 52 3 2 2 7" xfId="16370"/>
    <cellStyle name="asd 52 3 2 2 8" xfId="17987"/>
    <cellStyle name="asd 52 3 2 2 9" xfId="19893"/>
    <cellStyle name="asd 52 3 2 20" xfId="35964"/>
    <cellStyle name="asd 52 3 2 21" xfId="37843"/>
    <cellStyle name="asd 52 3 2 22" xfId="39281"/>
    <cellStyle name="asd 52 3 2 23" xfId="40957"/>
    <cellStyle name="asd 52 3 2 24" xfId="42624"/>
    <cellStyle name="asd 52 3 2 3" xfId="5087"/>
    <cellStyle name="asd 52 3 2 4" xfId="6537"/>
    <cellStyle name="asd 52 3 2 5" xfId="7988"/>
    <cellStyle name="asd 52 3 2 6" xfId="9898"/>
    <cellStyle name="asd 52 3 2 7" xfId="11159"/>
    <cellStyle name="asd 52 3 2 8" xfId="13302"/>
    <cellStyle name="asd 52 3 2 9" xfId="15206"/>
    <cellStyle name="asd 52 3 20" xfId="31857"/>
    <cellStyle name="asd 52 3 21" xfId="35009"/>
    <cellStyle name="asd 52 3 22" xfId="35280"/>
    <cellStyle name="asd 52 3 23" xfId="37158"/>
    <cellStyle name="asd 52 3 24" xfId="39092"/>
    <cellStyle name="asd 52 3 25" xfId="40773"/>
    <cellStyle name="asd 52 3 26" xfId="43229"/>
    <cellStyle name="asd 52 3 3" xfId="3844"/>
    <cellStyle name="asd 52 3 3 10" xfId="19567"/>
    <cellStyle name="asd 52 3 3 11" xfId="21479"/>
    <cellStyle name="asd 52 3 3 12" xfId="22362"/>
    <cellStyle name="asd 52 3 3 13" xfId="25281"/>
    <cellStyle name="asd 52 3 3 14" xfId="26796"/>
    <cellStyle name="asd 52 3 3 15" xfId="29393"/>
    <cellStyle name="asd 52 3 3 16" xfId="30394"/>
    <cellStyle name="asd 52 3 3 17" xfId="32775"/>
    <cellStyle name="asd 52 3 3 18" xfId="34006"/>
    <cellStyle name="asd 52 3 3 19" xfId="36108"/>
    <cellStyle name="asd 52 3 3 2" xfId="5837"/>
    <cellStyle name="asd 52 3 3 2 10" xfId="22087"/>
    <cellStyle name="asd 52 3 3 2 11" xfId="24016"/>
    <cellStyle name="asd 52 3 3 2 12" xfId="25889"/>
    <cellStyle name="asd 52 3 3 2 13" xfId="27742"/>
    <cellStyle name="asd 52 3 3 2 14" xfId="28134"/>
    <cellStyle name="asd 52 3 3 2 15" xfId="31320"/>
    <cellStyle name="asd 52 3 3 2 16" xfId="31938"/>
    <cellStyle name="asd 52 3 3 2 17" xfId="33832"/>
    <cellStyle name="asd 52 3 3 2 18" xfId="36716"/>
    <cellStyle name="asd 52 3 3 2 19" xfId="38595"/>
    <cellStyle name="asd 52 3 3 2 2" xfId="7286"/>
    <cellStyle name="asd 52 3 3 2 20" xfId="39168"/>
    <cellStyle name="asd 52 3 3 2 21" xfId="40849"/>
    <cellStyle name="asd 52 3 3 2 22" xfId="43760"/>
    <cellStyle name="asd 52 3 3 2 3" xfId="8740"/>
    <cellStyle name="asd 52 3 3 2 4" xfId="10650"/>
    <cellStyle name="asd 52 3 3 2 5" xfId="11975"/>
    <cellStyle name="asd 52 3 3 2 6" xfId="14486"/>
    <cellStyle name="asd 52 3 3 2 7" xfId="16392"/>
    <cellStyle name="asd 52 3 3 2 8" xfId="18269"/>
    <cellStyle name="asd 52 3 3 2 9" xfId="20175"/>
    <cellStyle name="asd 52 3 3 20" xfId="37987"/>
    <cellStyle name="asd 52 3 3 21" xfId="39984"/>
    <cellStyle name="asd 52 3 3 22" xfId="41648"/>
    <cellStyle name="asd 52 3 3 23" xfId="42174"/>
    <cellStyle name="asd 52 3 3 3" xfId="5231"/>
    <cellStyle name="asd 52 3 3 4" xfId="8132"/>
    <cellStyle name="asd 52 3 3 5" xfId="10042"/>
    <cellStyle name="asd 52 3 3 6" xfId="10946"/>
    <cellStyle name="asd 52 3 3 7" xfId="12829"/>
    <cellStyle name="asd 52 3 3 8" xfId="14734"/>
    <cellStyle name="asd 52 3 3 9" xfId="17661"/>
    <cellStyle name="asd 52 3 4" xfId="4078"/>
    <cellStyle name="asd 52 3 4 10" xfId="19713"/>
    <cellStyle name="asd 52 3 4 11" xfId="21625"/>
    <cellStyle name="asd 52 3 4 12" xfId="23691"/>
    <cellStyle name="asd 52 3 4 13" xfId="25427"/>
    <cellStyle name="asd 52 3 4 14" xfId="26531"/>
    <cellStyle name="asd 52 3 4 15" xfId="28727"/>
    <cellStyle name="asd 52 3 4 16" xfId="30137"/>
    <cellStyle name="asd 52 3 4 17" xfId="33273"/>
    <cellStyle name="asd 52 3 4 18" xfId="34525"/>
    <cellStyle name="asd 52 3 4 19" xfId="36254"/>
    <cellStyle name="asd 52 3 4 2" xfId="5983"/>
    <cellStyle name="asd 52 3 4 2 10" xfId="22233"/>
    <cellStyle name="asd 52 3 4 2 11" xfId="23523"/>
    <cellStyle name="asd 52 3 4 2 12" xfId="26035"/>
    <cellStyle name="asd 52 3 4 2 13" xfId="27966"/>
    <cellStyle name="asd 52 3 4 2 14" xfId="2128"/>
    <cellStyle name="asd 52 3 4 2 15" xfId="31546"/>
    <cellStyle name="asd 52 3 4 2 16" xfId="8971"/>
    <cellStyle name="asd 52 3 4 2 17" xfId="28957"/>
    <cellStyle name="asd 52 3 4 2 18" xfId="36862"/>
    <cellStyle name="asd 52 3 4 2 19" xfId="38741"/>
    <cellStyle name="asd 52 3 4 2 2" xfId="7432"/>
    <cellStyle name="asd 52 3 4 2 20" xfId="28461"/>
    <cellStyle name="asd 52 3 4 2 21" xfId="30954"/>
    <cellStyle name="asd 52 3 4 2 22" xfId="43288"/>
    <cellStyle name="asd 52 3 4 2 3" xfId="8886"/>
    <cellStyle name="asd 52 3 4 2 4" xfId="10796"/>
    <cellStyle name="asd 52 3 4 2 5" xfId="12529"/>
    <cellStyle name="asd 52 3 4 2 6" xfId="13995"/>
    <cellStyle name="asd 52 3 4 2 7" xfId="15896"/>
    <cellStyle name="asd 52 3 4 2 8" xfId="18415"/>
    <cellStyle name="asd 52 3 4 2 9" xfId="20321"/>
    <cellStyle name="asd 52 3 4 20" xfId="38133"/>
    <cellStyle name="asd 52 3 4 21" xfId="40459"/>
    <cellStyle name="asd 52 3 4 22" xfId="42114"/>
    <cellStyle name="asd 52 3 4 23" xfId="43448"/>
    <cellStyle name="asd 52 3 4 3" xfId="6824"/>
    <cellStyle name="asd 52 3 4 4" xfId="8278"/>
    <cellStyle name="asd 52 3 4 5" xfId="10188"/>
    <cellStyle name="asd 52 3 4 6" xfId="11452"/>
    <cellStyle name="asd 52 3 4 7" xfId="14161"/>
    <cellStyle name="asd 52 3 4 8" xfId="16065"/>
    <cellStyle name="asd 52 3 4 9" xfId="17807"/>
    <cellStyle name="asd 52 3 5" xfId="4933"/>
    <cellStyle name="asd 52 3 5 10" xfId="21181"/>
    <cellStyle name="asd 52 3 5 11" xfId="22784"/>
    <cellStyle name="asd 52 3 5 12" xfId="24983"/>
    <cellStyle name="asd 52 3 5 13" xfId="27973"/>
    <cellStyle name="asd 52 3 5 14" xfId="22312"/>
    <cellStyle name="asd 52 3 5 15" xfId="31553"/>
    <cellStyle name="asd 52 3 5 16" xfId="2057"/>
    <cellStyle name="asd 52 3 5 17" xfId="4261"/>
    <cellStyle name="asd 52 3 5 18" xfId="35810"/>
    <cellStyle name="asd 52 3 5 19" xfId="37689"/>
    <cellStyle name="asd 52 3 5 2" xfId="6383"/>
    <cellStyle name="asd 52 3 5 20" xfId="29734"/>
    <cellStyle name="asd 52 3 5 21" xfId="33747"/>
    <cellStyle name="asd 52 3 5 22" xfId="42577"/>
    <cellStyle name="asd 52 3 5 3" xfId="7834"/>
    <cellStyle name="asd 52 3 5 4" xfId="9744"/>
    <cellStyle name="asd 52 3 5 5" xfId="3048"/>
    <cellStyle name="asd 52 3 5 6" xfId="13253"/>
    <cellStyle name="asd 52 3 5 7" xfId="15157"/>
    <cellStyle name="asd 52 3 5 8" xfId="17363"/>
    <cellStyle name="asd 52 3 5 9" xfId="19269"/>
    <cellStyle name="asd 52 3 6" xfId="5629"/>
    <cellStyle name="asd 52 3 6 10" xfId="21879"/>
    <cellStyle name="asd 52 3 6 11" xfId="23567"/>
    <cellStyle name="asd 52 3 6 12" xfId="25681"/>
    <cellStyle name="asd 52 3 6 13" xfId="26656"/>
    <cellStyle name="asd 52 3 6 14" xfId="28415"/>
    <cellStyle name="asd 52 3 6 15" xfId="30256"/>
    <cellStyle name="asd 52 3 6 16" xfId="32449"/>
    <cellStyle name="asd 52 3 6 17" xfId="34418"/>
    <cellStyle name="asd 52 3 6 18" xfId="36508"/>
    <cellStyle name="asd 52 3 6 19" xfId="38387"/>
    <cellStyle name="asd 52 3 6 2" xfId="7078"/>
    <cellStyle name="asd 52 3 6 20" xfId="39666"/>
    <cellStyle name="asd 52 3 6 21" xfId="41340"/>
    <cellStyle name="asd 52 3 6 22" xfId="43331"/>
    <cellStyle name="asd 52 3 6 3" xfId="8532"/>
    <cellStyle name="asd 52 3 6 4" xfId="10442"/>
    <cellStyle name="asd 52 3 6 5" xfId="12499"/>
    <cellStyle name="asd 52 3 6 6" xfId="14039"/>
    <cellStyle name="asd 52 3 6 7" xfId="15940"/>
    <cellStyle name="asd 52 3 6 8" xfId="18061"/>
    <cellStyle name="asd 52 3 6 9" xfId="19967"/>
    <cellStyle name="asd 52 3 7" xfId="4699"/>
    <cellStyle name="asd 52 3 8" xfId="9212"/>
    <cellStyle name="asd 52 3 9" xfId="12413"/>
    <cellStyle name="asd 52 4" xfId="3354"/>
    <cellStyle name="asd 52 4 10" xfId="15134"/>
    <cellStyle name="asd 52 4 11" xfId="16634"/>
    <cellStyle name="asd 52 4 12" xfId="18541"/>
    <cellStyle name="asd 52 4 13" xfId="20453"/>
    <cellStyle name="asd 52 4 14" xfId="22762"/>
    <cellStyle name="asd 52 4 15" xfId="24255"/>
    <cellStyle name="asd 52 4 16" xfId="27287"/>
    <cellStyle name="asd 52 4 17" xfId="24238"/>
    <cellStyle name="asd 52 4 18" xfId="30878"/>
    <cellStyle name="asd 52 4 19" xfId="31664"/>
    <cellStyle name="asd 52 4 2" xfId="3534"/>
    <cellStyle name="asd 52 4 2 10" xfId="17425"/>
    <cellStyle name="asd 52 4 2 11" xfId="19331"/>
    <cellStyle name="asd 52 4 2 12" xfId="21243"/>
    <cellStyle name="asd 52 4 2 13" xfId="23450"/>
    <cellStyle name="asd 52 4 2 14" xfId="25045"/>
    <cellStyle name="asd 52 4 2 15" xfId="26482"/>
    <cellStyle name="asd 52 4 2 16" xfId="22338"/>
    <cellStyle name="asd 52 4 2 17" xfId="30088"/>
    <cellStyle name="asd 52 4 2 18" xfId="33284"/>
    <cellStyle name="asd 52 4 2 19" xfId="34574"/>
    <cellStyle name="asd 52 4 2 2" xfId="5592"/>
    <cellStyle name="asd 52 4 2 2 10" xfId="21842"/>
    <cellStyle name="asd 52 4 2 2 11" xfId="22760"/>
    <cellStyle name="asd 52 4 2 2 12" xfId="25644"/>
    <cellStyle name="asd 52 4 2 2 13" xfId="26858"/>
    <cellStyle name="asd 52 4 2 2 14" xfId="28113"/>
    <cellStyle name="asd 52 4 2 2 15" xfId="30455"/>
    <cellStyle name="asd 52 4 2 2 16" xfId="32724"/>
    <cellStyle name="asd 52 4 2 2 17" xfId="33733"/>
    <cellStyle name="asd 52 4 2 2 18" xfId="36471"/>
    <cellStyle name="asd 52 4 2 2 19" xfId="38350"/>
    <cellStyle name="asd 52 4 2 2 2" xfId="7041"/>
    <cellStyle name="asd 52 4 2 2 20" xfId="39934"/>
    <cellStyle name="asd 52 4 2 2 21" xfId="41600"/>
    <cellStyle name="asd 52 4 2 2 22" xfId="42557"/>
    <cellStyle name="asd 52 4 2 2 3" xfId="8495"/>
    <cellStyle name="asd 52 4 2 2 4" xfId="10405"/>
    <cellStyle name="asd 52 4 2 2 5" xfId="12221"/>
    <cellStyle name="asd 52 4 2 2 6" xfId="13229"/>
    <cellStyle name="asd 52 4 2 2 7" xfId="15132"/>
    <cellStyle name="asd 52 4 2 2 8" xfId="18024"/>
    <cellStyle name="asd 52 4 2 2 9" xfId="19930"/>
    <cellStyle name="asd 52 4 2 20" xfId="35872"/>
    <cellStyle name="asd 52 4 2 21" xfId="37751"/>
    <cellStyle name="asd 52 4 2 22" xfId="40468"/>
    <cellStyle name="asd 52 4 2 23" xfId="42123"/>
    <cellStyle name="asd 52 4 2 24" xfId="43217"/>
    <cellStyle name="asd 52 4 2 3" xfId="4995"/>
    <cellStyle name="asd 52 4 2 4" xfId="6445"/>
    <cellStyle name="asd 52 4 2 5" xfId="7896"/>
    <cellStyle name="asd 52 4 2 6" xfId="9806"/>
    <cellStyle name="asd 52 4 2 7" xfId="12281"/>
    <cellStyle name="asd 52 4 2 8" xfId="13922"/>
    <cellStyle name="asd 52 4 2 9" xfId="15823"/>
    <cellStyle name="asd 52 4 20" xfId="35049"/>
    <cellStyle name="asd 52 4 21" xfId="35083"/>
    <cellStyle name="asd 52 4 22" xfId="36961"/>
    <cellStyle name="asd 52 4 23" xfId="38908"/>
    <cellStyle name="asd 52 4 24" xfId="40592"/>
    <cellStyle name="asd 52 4 25" xfId="42559"/>
    <cellStyle name="asd 52 4 3" xfId="3853"/>
    <cellStyle name="asd 52 4 3 10" xfId="19575"/>
    <cellStyle name="asd 52 4 3 11" xfId="21487"/>
    <cellStyle name="asd 52 4 3 12" xfId="23300"/>
    <cellStyle name="asd 52 4 3 13" xfId="25289"/>
    <cellStyle name="asd 52 4 3 14" xfId="27700"/>
    <cellStyle name="asd 52 4 3 15" xfId="28816"/>
    <cellStyle name="asd 52 4 3 16" xfId="31274"/>
    <cellStyle name="asd 52 4 3 17" xfId="32633"/>
    <cellStyle name="asd 52 4 3 18" xfId="34715"/>
    <cellStyle name="asd 52 4 3 19" xfId="36116"/>
    <cellStyle name="asd 52 4 3 2" xfId="5845"/>
    <cellStyle name="asd 52 4 3 2 10" xfId="22095"/>
    <cellStyle name="asd 52 4 3 2 11" xfId="23879"/>
    <cellStyle name="asd 52 4 3 2 12" xfId="25897"/>
    <cellStyle name="asd 52 4 3 2 13" xfId="26275"/>
    <cellStyle name="asd 52 4 3 2 14" xfId="28244"/>
    <cellStyle name="asd 52 4 3 2 15" xfId="29884"/>
    <cellStyle name="asd 52 4 3 2 16" xfId="32568"/>
    <cellStyle name="asd 52 4 3 2 17" xfId="33435"/>
    <cellStyle name="asd 52 4 3 2 18" xfId="36724"/>
    <cellStyle name="asd 52 4 3 2 19" xfId="38603"/>
    <cellStyle name="asd 52 4 3 2 2" xfId="7294"/>
    <cellStyle name="asd 52 4 3 2 20" xfId="39779"/>
    <cellStyle name="asd 52 4 3 2 21" xfId="41449"/>
    <cellStyle name="asd 52 4 3 2 22" xfId="43629"/>
    <cellStyle name="asd 52 4 3 2 3" xfId="8748"/>
    <cellStyle name="asd 52 4 3 2 4" xfId="10658"/>
    <cellStyle name="asd 52 4 3 2 5" xfId="11521"/>
    <cellStyle name="asd 52 4 3 2 6" xfId="14349"/>
    <cellStyle name="asd 52 4 3 2 7" xfId="16254"/>
    <cellStyle name="asd 52 4 3 2 8" xfId="18277"/>
    <cellStyle name="asd 52 4 3 2 9" xfId="20183"/>
    <cellStyle name="asd 52 4 3 20" xfId="37995"/>
    <cellStyle name="asd 52 4 3 21" xfId="39841"/>
    <cellStyle name="asd 52 4 3 22" xfId="41510"/>
    <cellStyle name="asd 52 4 3 23" xfId="43072"/>
    <cellStyle name="asd 52 4 3 3" xfId="5239"/>
    <cellStyle name="asd 52 4 3 4" xfId="8140"/>
    <cellStyle name="asd 52 4 3 5" xfId="10050"/>
    <cellStyle name="asd 52 4 3 6" xfId="11279"/>
    <cellStyle name="asd 52 4 3 7" xfId="13772"/>
    <cellStyle name="asd 52 4 3 8" xfId="15674"/>
    <cellStyle name="asd 52 4 3 9" xfId="17669"/>
    <cellStyle name="asd 52 4 4" xfId="3986"/>
    <cellStyle name="asd 52 4 4 10" xfId="19621"/>
    <cellStyle name="asd 52 4 4 11" xfId="21533"/>
    <cellStyle name="asd 52 4 4 12" xfId="23014"/>
    <cellStyle name="asd 52 4 4 13" xfId="25335"/>
    <cellStyle name="asd 52 4 4 14" xfId="26535"/>
    <cellStyle name="asd 52 4 4 15" xfId="28695"/>
    <cellStyle name="asd 52 4 4 16" xfId="30141"/>
    <cellStyle name="asd 52 4 4 17" xfId="31969"/>
    <cellStyle name="asd 52 4 4 18" xfId="33589"/>
    <cellStyle name="asd 52 4 4 19" xfId="36162"/>
    <cellStyle name="asd 52 4 4 2" xfId="5891"/>
    <cellStyle name="asd 52 4 4 2 10" xfId="22141"/>
    <cellStyle name="asd 52 4 4 2 11" xfId="23104"/>
    <cellStyle name="asd 52 4 4 2 12" xfId="25943"/>
    <cellStyle name="asd 52 4 4 2 13" xfId="26675"/>
    <cellStyle name="asd 52 4 4 2 14" xfId="28412"/>
    <cellStyle name="asd 52 4 4 2 15" xfId="30275"/>
    <cellStyle name="asd 52 4 4 2 16" xfId="33277"/>
    <cellStyle name="asd 52 4 4 2 17" xfId="33467"/>
    <cellStyle name="asd 52 4 4 2 18" xfId="36770"/>
    <cellStyle name="asd 52 4 4 2 19" xfId="38649"/>
    <cellStyle name="asd 52 4 4 2 2" xfId="7340"/>
    <cellStyle name="asd 52 4 4 2 20" xfId="40463"/>
    <cellStyle name="asd 52 4 4 2 21" xfId="42118"/>
    <cellStyle name="asd 52 4 4 2 22" xfId="42884"/>
    <cellStyle name="asd 52 4 4 2 3" xfId="8794"/>
    <cellStyle name="asd 52 4 4 2 4" xfId="10704"/>
    <cellStyle name="asd 52 4 4 2 5" xfId="12717"/>
    <cellStyle name="asd 52 4 4 2 6" xfId="13575"/>
    <cellStyle name="asd 52 4 4 2 7" xfId="15478"/>
    <cellStyle name="asd 52 4 4 2 8" xfId="18323"/>
    <cellStyle name="asd 52 4 4 2 9" xfId="20229"/>
    <cellStyle name="asd 52 4 4 20" xfId="38041"/>
    <cellStyle name="asd 52 4 4 21" xfId="39199"/>
    <cellStyle name="asd 52 4 4 22" xfId="40880"/>
    <cellStyle name="asd 52 4 4 23" xfId="42797"/>
    <cellStyle name="asd 52 4 4 3" xfId="6732"/>
    <cellStyle name="asd 52 4 4 4" xfId="8186"/>
    <cellStyle name="asd 52 4 4 5" xfId="10096"/>
    <cellStyle name="asd 52 4 4 6" xfId="12310"/>
    <cellStyle name="asd 52 4 4 7" xfId="13484"/>
    <cellStyle name="asd 52 4 4 8" xfId="15388"/>
    <cellStyle name="asd 52 4 4 9" xfId="17715"/>
    <cellStyle name="asd 52 4 5" xfId="4572"/>
    <cellStyle name="asd 52 4 5 10" xfId="20817"/>
    <cellStyle name="asd 52 4 5 11" xfId="23397"/>
    <cellStyle name="asd 52 4 5 12" xfId="24619"/>
    <cellStyle name="asd 52 4 5 13" xfId="26436"/>
    <cellStyle name="asd 52 4 5 14" xfId="28652"/>
    <cellStyle name="asd 52 4 5 15" xfId="30042"/>
    <cellStyle name="asd 52 4 5 16" xfId="32669"/>
    <cellStyle name="asd 52 4 5 17" xfId="34822"/>
    <cellStyle name="asd 52 4 5 18" xfId="35447"/>
    <cellStyle name="asd 52 4 5 19" xfId="37325"/>
    <cellStyle name="asd 52 4 5 2" xfId="5333"/>
    <cellStyle name="asd 52 4 5 20" xfId="39876"/>
    <cellStyle name="asd 52 4 5 21" xfId="41545"/>
    <cellStyle name="asd 52 4 5 22" xfId="43164"/>
    <cellStyle name="asd 52 4 5 3" xfId="6115"/>
    <cellStyle name="asd 52 4 5 4" xfId="9379"/>
    <cellStyle name="asd 52 4 5 5" xfId="11131"/>
    <cellStyle name="asd 52 4 5 6" xfId="13869"/>
    <cellStyle name="asd 52 4 5 7" xfId="15770"/>
    <cellStyle name="asd 52 4 5 8" xfId="16998"/>
    <cellStyle name="asd 52 4 5 9" xfId="18905"/>
    <cellStyle name="asd 52 4 6" xfId="3059"/>
    <cellStyle name="asd 52 4 7" xfId="9015"/>
    <cellStyle name="asd 52 4 8" xfId="11567"/>
    <cellStyle name="asd 52 4 9" xfId="13231"/>
    <cellStyle name="asd 52 5" xfId="1942"/>
    <cellStyle name="asd 52 5 10" xfId="17084"/>
    <cellStyle name="asd 52 5 11" xfId="18990"/>
    <cellStyle name="asd 52 5 12" xfId="20902"/>
    <cellStyle name="asd 52 5 13" xfId="23157"/>
    <cellStyle name="asd 52 5 14" xfId="24704"/>
    <cellStyle name="asd 52 5 15" xfId="27023"/>
    <cellStyle name="asd 52 5 16" xfId="29388"/>
    <cellStyle name="asd 52 5 17" xfId="30616"/>
    <cellStyle name="asd 52 5 18" xfId="33147"/>
    <cellStyle name="asd 52 5 19" xfId="34829"/>
    <cellStyle name="asd 52 5 2" xfId="4399"/>
    <cellStyle name="asd 52 5 2 10" xfId="20643"/>
    <cellStyle name="asd 52 5 2 11" xfId="22940"/>
    <cellStyle name="asd 52 5 2 12" xfId="24445"/>
    <cellStyle name="asd 52 5 2 13" xfId="2277"/>
    <cellStyle name="asd 52 5 2 14" xfId="2870"/>
    <cellStyle name="asd 52 5 2 15" xfId="28396"/>
    <cellStyle name="asd 52 5 2 16" xfId="27569"/>
    <cellStyle name="asd 52 5 2 17" xfId="29055"/>
    <cellStyle name="asd 52 5 2 18" xfId="35273"/>
    <cellStyle name="asd 52 5 2 19" xfId="37151"/>
    <cellStyle name="asd 52 5 2 2" xfId="5410"/>
    <cellStyle name="asd 52 5 2 20" xfId="33362"/>
    <cellStyle name="asd 52 5 2 21" xfId="35077"/>
    <cellStyle name="asd 52 5 2 22" xfId="42726"/>
    <cellStyle name="asd 52 5 2 3" xfId="6630"/>
    <cellStyle name="asd 52 5 2 4" xfId="9205"/>
    <cellStyle name="asd 52 5 2 5" xfId="12217"/>
    <cellStyle name="asd 52 5 2 6" xfId="13408"/>
    <cellStyle name="asd 52 5 2 7" xfId="15313"/>
    <cellStyle name="asd 52 5 2 8" xfId="16824"/>
    <cellStyle name="asd 52 5 2 9" xfId="18731"/>
    <cellStyle name="asd 52 5 20" xfId="35531"/>
    <cellStyle name="asd 52 5 21" xfId="37410"/>
    <cellStyle name="asd 52 5 22" xfId="40340"/>
    <cellStyle name="asd 52 5 23" xfId="41996"/>
    <cellStyle name="asd 52 5 24" xfId="42935"/>
    <cellStyle name="asd 52 5 3" xfId="4658"/>
    <cellStyle name="asd 52 5 4" xfId="6105"/>
    <cellStyle name="asd 52 5 5" xfId="7555"/>
    <cellStyle name="asd 52 5 6" xfId="9465"/>
    <cellStyle name="asd 52 5 7" xfId="10957"/>
    <cellStyle name="asd 52 5 8" xfId="13628"/>
    <cellStyle name="asd 52 5 9" xfId="15531"/>
    <cellStyle name="asd 52 6" xfId="1805"/>
    <cellStyle name="asd 52 6 10" xfId="18970"/>
    <cellStyle name="asd 52 6 11" xfId="20882"/>
    <cellStyle name="asd 52 6 12" xfId="22899"/>
    <cellStyle name="asd 52 6 13" xfId="24684"/>
    <cellStyle name="asd 52 6 14" xfId="26925"/>
    <cellStyle name="asd 52 6 15" xfId="29159"/>
    <cellStyle name="asd 52 6 16" xfId="30519"/>
    <cellStyle name="asd 52 6 17" xfId="32540"/>
    <cellStyle name="asd 52 6 18" xfId="33602"/>
    <cellStyle name="asd 52 6 19" xfId="35511"/>
    <cellStyle name="asd 52 6 2" xfId="5498"/>
    <cellStyle name="asd 52 6 2 10" xfId="21748"/>
    <cellStyle name="asd 52 6 2 11" xfId="22580"/>
    <cellStyle name="asd 52 6 2 12" xfId="25550"/>
    <cellStyle name="asd 52 6 2 13" xfId="26166"/>
    <cellStyle name="asd 52 6 2 14" xfId="28947"/>
    <cellStyle name="asd 52 6 2 15" xfId="29780"/>
    <cellStyle name="asd 52 6 2 16" xfId="33292"/>
    <cellStyle name="asd 52 6 2 17" xfId="33807"/>
    <cellStyle name="asd 52 6 2 18" xfId="36377"/>
    <cellStyle name="asd 52 6 2 19" xfId="38256"/>
    <cellStyle name="asd 52 6 2 2" xfId="6947"/>
    <cellStyle name="asd 52 6 2 20" xfId="40476"/>
    <cellStyle name="asd 52 6 2 21" xfId="42131"/>
    <cellStyle name="asd 52 6 2 22" xfId="42389"/>
    <cellStyle name="asd 52 6 2 3" xfId="8401"/>
    <cellStyle name="asd 52 6 2 4" xfId="10311"/>
    <cellStyle name="asd 52 6 2 5" xfId="11471"/>
    <cellStyle name="asd 52 6 2 6" xfId="13048"/>
    <cellStyle name="asd 52 6 2 7" xfId="14952"/>
    <cellStyle name="asd 52 6 2 8" xfId="17930"/>
    <cellStyle name="asd 52 6 2 9" xfId="19836"/>
    <cellStyle name="asd 52 6 20" xfId="37390"/>
    <cellStyle name="asd 52 6 21" xfId="39753"/>
    <cellStyle name="asd 52 6 22" xfId="41425"/>
    <cellStyle name="asd 52 6 23" xfId="42685"/>
    <cellStyle name="asd 52 6 3" xfId="4638"/>
    <cellStyle name="asd 52 6 4" xfId="7535"/>
    <cellStyle name="asd 52 6 5" xfId="9445"/>
    <cellStyle name="asd 52 6 6" xfId="12476"/>
    <cellStyle name="asd 52 6 7" xfId="13367"/>
    <cellStyle name="asd 52 6 8" xfId="15272"/>
    <cellStyle name="asd 52 6 9" xfId="17064"/>
    <cellStyle name="asd 52 7" xfId="2737"/>
    <cellStyle name="asd 52 7 10" xfId="19101"/>
    <cellStyle name="asd 52 7 11" xfId="21013"/>
    <cellStyle name="asd 52 7 12" xfId="23800"/>
    <cellStyle name="asd 52 7 13" xfId="24815"/>
    <cellStyle name="asd 52 7 14" xfId="27496"/>
    <cellStyle name="asd 52 7 15" xfId="28097"/>
    <cellStyle name="asd 52 7 16" xfId="31082"/>
    <cellStyle name="asd 52 7 17" xfId="33097"/>
    <cellStyle name="asd 52 7 18" xfId="34160"/>
    <cellStyle name="asd 52 7 19" xfId="35642"/>
    <cellStyle name="asd 52 7 2" xfId="5734"/>
    <cellStyle name="asd 52 7 2 10" xfId="21984"/>
    <cellStyle name="asd 52 7 2 11" xfId="23816"/>
    <cellStyle name="asd 52 7 2 12" xfId="25786"/>
    <cellStyle name="asd 52 7 2 13" xfId="26313"/>
    <cellStyle name="asd 52 7 2 14" xfId="28295"/>
    <cellStyle name="asd 52 7 2 15" xfId="29921"/>
    <cellStyle name="asd 52 7 2 16" xfId="31892"/>
    <cellStyle name="asd 52 7 2 17" xfId="34187"/>
    <cellStyle name="asd 52 7 2 18" xfId="36613"/>
    <cellStyle name="asd 52 7 2 19" xfId="38492"/>
    <cellStyle name="asd 52 7 2 2" xfId="7183"/>
    <cellStyle name="asd 52 7 2 20" xfId="39126"/>
    <cellStyle name="asd 52 7 2 21" xfId="40807"/>
    <cellStyle name="asd 52 7 2 22" xfId="43567"/>
    <cellStyle name="asd 52 7 2 3" xfId="8637"/>
    <cellStyle name="asd 52 7 2 4" xfId="10547"/>
    <cellStyle name="asd 52 7 2 5" xfId="11705"/>
    <cellStyle name="asd 52 7 2 6" xfId="14286"/>
    <cellStyle name="asd 52 7 2 7" xfId="16190"/>
    <cellStyle name="asd 52 7 2 8" xfId="18166"/>
    <cellStyle name="asd 52 7 2 9" xfId="20072"/>
    <cellStyle name="asd 52 7 20" xfId="37521"/>
    <cellStyle name="asd 52 7 21" xfId="40293"/>
    <cellStyle name="asd 52 7 22" xfId="41949"/>
    <cellStyle name="asd 52 7 23" xfId="43552"/>
    <cellStyle name="asd 52 7 3" xfId="6215"/>
    <cellStyle name="asd 52 7 4" xfId="7666"/>
    <cellStyle name="asd 52 7 5" xfId="9576"/>
    <cellStyle name="asd 52 7 6" xfId="11544"/>
    <cellStyle name="asd 52 7 7" xfId="14270"/>
    <cellStyle name="asd 52 7 8" xfId="16174"/>
    <cellStyle name="asd 52 7 9" xfId="17195"/>
    <cellStyle name="asd 52 8" xfId="4212"/>
    <cellStyle name="asd 52 9" xfId="2697"/>
    <cellStyle name="asd 53" xfId="1080"/>
    <cellStyle name="asd 53 10" xfId="3339"/>
    <cellStyle name="asd 53 11" xfId="1968"/>
    <cellStyle name="asd 53 12" xfId="3025"/>
    <cellStyle name="asd 53 13" xfId="11396"/>
    <cellStyle name="asd 53 14" xfId="2428"/>
    <cellStyle name="asd 53 15" xfId="4177"/>
    <cellStyle name="asd 53 16" xfId="2340"/>
    <cellStyle name="asd 53 17" xfId="2566"/>
    <cellStyle name="asd 53 18" xfId="18500"/>
    <cellStyle name="asd 53 19" xfId="27110"/>
    <cellStyle name="asd 53 2" xfId="3413"/>
    <cellStyle name="asd 53 2 10" xfId="13608"/>
    <cellStyle name="asd 53 2 11" xfId="15511"/>
    <cellStyle name="asd 53 2 12" xfId="16781"/>
    <cellStyle name="asd 53 2 13" xfId="18688"/>
    <cellStyle name="asd 53 2 14" xfId="20600"/>
    <cellStyle name="asd 53 2 15" xfId="23137"/>
    <cellStyle name="asd 53 2 16" xfId="24402"/>
    <cellStyle name="asd 53 2 17" xfId="26707"/>
    <cellStyle name="asd 53 2 18" xfId="29294"/>
    <cellStyle name="asd 53 2 19" xfId="30307"/>
    <cellStyle name="asd 53 2 2" xfId="3593"/>
    <cellStyle name="asd 53 2 2 10" xfId="17484"/>
    <cellStyle name="asd 53 2 2 11" xfId="19390"/>
    <cellStyle name="asd 53 2 2 12" xfId="21302"/>
    <cellStyle name="asd 53 2 2 13" xfId="22821"/>
    <cellStyle name="asd 53 2 2 14" xfId="25104"/>
    <cellStyle name="asd 53 2 2 15" xfId="26699"/>
    <cellStyle name="asd 53 2 2 16" xfId="28232"/>
    <cellStyle name="asd 53 2 2 17" xfId="30299"/>
    <cellStyle name="asd 53 2 2 18" xfId="31931"/>
    <cellStyle name="asd 53 2 2 19" xfId="33413"/>
    <cellStyle name="asd 53 2 2 2" xfId="4540"/>
    <cellStyle name="asd 53 2 2 2 10" xfId="20785"/>
    <cellStyle name="asd 53 2 2 2 11" xfId="23846"/>
    <cellStyle name="asd 53 2 2 2 12" xfId="24587"/>
    <cellStyle name="asd 53 2 2 2 13" xfId="26770"/>
    <cellStyle name="asd 53 2 2 2 14" xfId="28104"/>
    <cellStyle name="asd 53 2 2 2 15" xfId="30369"/>
    <cellStyle name="asd 53 2 2 2 16" xfId="32112"/>
    <cellStyle name="asd 53 2 2 2 17" xfId="34502"/>
    <cellStyle name="asd 53 2 2 2 18" xfId="35415"/>
    <cellStyle name="asd 53 2 2 2 19" xfId="37293"/>
    <cellStyle name="asd 53 2 2 2 2" xfId="5305"/>
    <cellStyle name="asd 53 2 2 2 20" xfId="39336"/>
    <cellStyle name="asd 53 2 2 2 21" xfId="41012"/>
    <cellStyle name="asd 53 2 2 2 22" xfId="43597"/>
    <cellStyle name="asd 53 2 2 2 3" xfId="6673"/>
    <cellStyle name="asd 53 2 2 2 4" xfId="9347"/>
    <cellStyle name="asd 53 2 2 2 5" xfId="11823"/>
    <cellStyle name="asd 53 2 2 2 6" xfId="14316"/>
    <cellStyle name="asd 53 2 2 2 7" xfId="16220"/>
    <cellStyle name="asd 53 2 2 2 8" xfId="16966"/>
    <cellStyle name="asd 53 2 2 2 9" xfId="18873"/>
    <cellStyle name="asd 53 2 2 20" xfId="35931"/>
    <cellStyle name="asd 53 2 2 21" xfId="37810"/>
    <cellStyle name="asd 53 2 2 22" xfId="39161"/>
    <cellStyle name="asd 53 2 2 23" xfId="40842"/>
    <cellStyle name="asd 53 2 2 24" xfId="42614"/>
    <cellStyle name="asd 53 2 2 3" xfId="5054"/>
    <cellStyle name="asd 53 2 2 4" xfId="6504"/>
    <cellStyle name="asd 53 2 2 5" xfId="7955"/>
    <cellStyle name="asd 53 2 2 6" xfId="9865"/>
    <cellStyle name="asd 53 2 2 7" xfId="11194"/>
    <cellStyle name="asd 53 2 2 8" xfId="13291"/>
    <cellStyle name="asd 53 2 2 9" xfId="15195"/>
    <cellStyle name="asd 53 2 20" xfId="31956"/>
    <cellStyle name="asd 53 2 21" xfId="34044"/>
    <cellStyle name="asd 53 2 22" xfId="35230"/>
    <cellStyle name="asd 53 2 23" xfId="37108"/>
    <cellStyle name="asd 53 2 24" xfId="39185"/>
    <cellStyle name="asd 53 2 25" xfId="40866"/>
    <cellStyle name="asd 53 2 26" xfId="42915"/>
    <cellStyle name="asd 53 2 3" xfId="3878"/>
    <cellStyle name="asd 53 2 3 10" xfId="19588"/>
    <cellStyle name="asd 53 2 3 11" xfId="21500"/>
    <cellStyle name="asd 53 2 3 12" xfId="22894"/>
    <cellStyle name="asd 53 2 3 13" xfId="25302"/>
    <cellStyle name="asd 53 2 3 14" xfId="27111"/>
    <cellStyle name="asd 53 2 3 15" xfId="28124"/>
    <cellStyle name="asd 53 2 3 16" xfId="30702"/>
    <cellStyle name="asd 53 2 3 17" xfId="33009"/>
    <cellStyle name="asd 53 2 3 18" xfId="34701"/>
    <cellStyle name="asd 53 2 3 19" xfId="36129"/>
    <cellStyle name="asd 53 2 3 2" xfId="5858"/>
    <cellStyle name="asd 53 2 3 2 10" xfId="22108"/>
    <cellStyle name="asd 53 2 3 2 11" xfId="23074"/>
    <cellStyle name="asd 53 2 3 2 12" xfId="25910"/>
    <cellStyle name="asd 53 2 3 2 13" xfId="26449"/>
    <cellStyle name="asd 53 2 3 2 14" xfId="28926"/>
    <cellStyle name="asd 53 2 3 2 15" xfId="30055"/>
    <cellStyle name="asd 53 2 3 2 16" xfId="31942"/>
    <cellStyle name="asd 53 2 3 2 17" xfId="34327"/>
    <cellStyle name="asd 53 2 3 2 18" xfId="36737"/>
    <cellStyle name="asd 53 2 3 2 19" xfId="38616"/>
    <cellStyle name="asd 53 2 3 2 2" xfId="7307"/>
    <cellStyle name="asd 53 2 3 2 20" xfId="39172"/>
    <cellStyle name="asd 53 2 3 2 21" xfId="40853"/>
    <cellStyle name="asd 53 2 3 2 22" xfId="42856"/>
    <cellStyle name="asd 53 2 3 2 3" xfId="8761"/>
    <cellStyle name="asd 53 2 3 2 4" xfId="10671"/>
    <cellStyle name="asd 53 2 3 2 5" xfId="12682"/>
    <cellStyle name="asd 53 2 3 2 6" xfId="13545"/>
    <cellStyle name="asd 53 2 3 2 7" xfId="15448"/>
    <cellStyle name="asd 53 2 3 2 8" xfId="18290"/>
    <cellStyle name="asd 53 2 3 2 9" xfId="20196"/>
    <cellStyle name="asd 53 2 3 20" xfId="38008"/>
    <cellStyle name="asd 53 2 3 21" xfId="40209"/>
    <cellStyle name="asd 53 2 3 22" xfId="41868"/>
    <cellStyle name="asd 53 2 3 23" xfId="42680"/>
    <cellStyle name="asd 53 2 3 3" xfId="5252"/>
    <cellStyle name="asd 53 2 3 4" xfId="8153"/>
    <cellStyle name="asd 53 2 3 5" xfId="10063"/>
    <cellStyle name="asd 53 2 3 6" xfId="12480"/>
    <cellStyle name="asd 53 2 3 7" xfId="13362"/>
    <cellStyle name="asd 53 2 3 8" xfId="15267"/>
    <cellStyle name="asd 53 2 3 9" xfId="17682"/>
    <cellStyle name="asd 53 2 4" xfId="4045"/>
    <cellStyle name="asd 53 2 4 10" xfId="19680"/>
    <cellStyle name="asd 53 2 4 11" xfId="21592"/>
    <cellStyle name="asd 53 2 4 12" xfId="23937"/>
    <cellStyle name="asd 53 2 4 13" xfId="25394"/>
    <cellStyle name="asd 53 2 4 14" xfId="27484"/>
    <cellStyle name="asd 53 2 4 15" xfId="29694"/>
    <cellStyle name="asd 53 2 4 16" xfId="31071"/>
    <cellStyle name="asd 53 2 4 17" xfId="32941"/>
    <cellStyle name="asd 53 2 4 18" xfId="34322"/>
    <cellStyle name="asd 53 2 4 19" xfId="36221"/>
    <cellStyle name="asd 53 2 4 2" xfId="5950"/>
    <cellStyle name="asd 53 2 4 2 10" xfId="22200"/>
    <cellStyle name="asd 53 2 4 2 11" xfId="23556"/>
    <cellStyle name="asd 53 2 4 2 12" xfId="26002"/>
    <cellStyle name="asd 53 2 4 2 13" xfId="27946"/>
    <cellStyle name="asd 53 2 4 2 14" xfId="28090"/>
    <cellStyle name="asd 53 2 4 2 15" xfId="31526"/>
    <cellStyle name="asd 53 2 4 2 16" xfId="32947"/>
    <cellStyle name="asd 53 2 4 2 17" xfId="33952"/>
    <cellStyle name="asd 53 2 4 2 18" xfId="36829"/>
    <cellStyle name="asd 53 2 4 2 19" xfId="38708"/>
    <cellStyle name="asd 53 2 4 2 2" xfId="7399"/>
    <cellStyle name="asd 53 2 4 2 20" xfId="40150"/>
    <cellStyle name="asd 53 2 4 2 21" xfId="41809"/>
    <cellStyle name="asd 53 2 4 2 22" xfId="43320"/>
    <cellStyle name="asd 53 2 4 2 3" xfId="8853"/>
    <cellStyle name="asd 53 2 4 2 4" xfId="10763"/>
    <cellStyle name="asd 53 2 4 2 5" xfId="12496"/>
    <cellStyle name="asd 53 2 4 2 6" xfId="14028"/>
    <cellStyle name="asd 53 2 4 2 7" xfId="15929"/>
    <cellStyle name="asd 53 2 4 2 8" xfId="18382"/>
    <cellStyle name="asd 53 2 4 2 9" xfId="20288"/>
    <cellStyle name="asd 53 2 4 20" xfId="38100"/>
    <cellStyle name="asd 53 2 4 21" xfId="40144"/>
    <cellStyle name="asd 53 2 4 22" xfId="41803"/>
    <cellStyle name="asd 53 2 4 23" xfId="43683"/>
    <cellStyle name="asd 53 2 4 3" xfId="6791"/>
    <cellStyle name="asd 53 2 4 4" xfId="8245"/>
    <cellStyle name="asd 53 2 4 5" xfId="10155"/>
    <cellStyle name="asd 53 2 4 6" xfId="11897"/>
    <cellStyle name="asd 53 2 4 7" xfId="14407"/>
    <cellStyle name="asd 53 2 4 8" xfId="16313"/>
    <cellStyle name="asd 53 2 4 9" xfId="17774"/>
    <cellStyle name="asd 53 2 5" xfId="4907"/>
    <cellStyle name="asd 53 2 5 10" xfId="21155"/>
    <cellStyle name="asd 53 2 5 11" xfId="23319"/>
    <cellStyle name="asd 53 2 5 12" xfId="24957"/>
    <cellStyle name="asd 53 2 5 13" xfId="26790"/>
    <cellStyle name="asd 53 2 5 14" xfId="4373"/>
    <cellStyle name="asd 53 2 5 15" xfId="30389"/>
    <cellStyle name="asd 53 2 5 16" xfId="31752"/>
    <cellStyle name="asd 53 2 5 17" xfId="34328"/>
    <cellStyle name="asd 53 2 5 18" xfId="35784"/>
    <cellStyle name="asd 53 2 5 19" xfId="37663"/>
    <cellStyle name="asd 53 2 5 2" xfId="6357"/>
    <cellStyle name="asd 53 2 5 20" xfId="38992"/>
    <cellStyle name="asd 53 2 5 21" xfId="40675"/>
    <cellStyle name="asd 53 2 5 22" xfId="43090"/>
    <cellStyle name="asd 53 2 5 3" xfId="7808"/>
    <cellStyle name="asd 53 2 5 4" xfId="9718"/>
    <cellStyle name="asd 53 2 5 5" xfId="12270"/>
    <cellStyle name="asd 53 2 5 6" xfId="13791"/>
    <cellStyle name="asd 53 2 5 7" xfId="15693"/>
    <cellStyle name="asd 53 2 5 8" xfId="17337"/>
    <cellStyle name="asd 53 2 5 9" xfId="19243"/>
    <cellStyle name="asd 53 2 6" xfId="4349"/>
    <cellStyle name="asd 53 2 6 10" xfId="20492"/>
    <cellStyle name="asd 53 2 6 11" xfId="24179"/>
    <cellStyle name="asd 53 2 6 12" xfId="24294"/>
    <cellStyle name="asd 53 2 6 13" xfId="27332"/>
    <cellStyle name="asd 53 2 6 14" xfId="28129"/>
    <cellStyle name="asd 53 2 6 15" xfId="30921"/>
    <cellStyle name="asd 53 2 6 16" xfId="33010"/>
    <cellStyle name="asd 53 2 6 17" xfId="33875"/>
    <cellStyle name="asd 53 2 6 18" xfId="35122"/>
    <cellStyle name="asd 53 2 6 19" xfId="37000"/>
    <cellStyle name="asd 53 2 6 2" xfId="4387"/>
    <cellStyle name="asd 53 2 6 20" xfId="40210"/>
    <cellStyle name="asd 53 2 6 21" xfId="41869"/>
    <cellStyle name="asd 53 2 6 22" xfId="43920"/>
    <cellStyle name="asd 53 2 6 3" xfId="4861"/>
    <cellStyle name="asd 53 2 6 4" xfId="9054"/>
    <cellStyle name="asd 53 2 6 5" xfId="12139"/>
    <cellStyle name="asd 53 2 6 6" xfId="14650"/>
    <cellStyle name="asd 53 2 6 7" xfId="16556"/>
    <cellStyle name="asd 53 2 6 8" xfId="16673"/>
    <cellStyle name="asd 53 2 6 9" xfId="18580"/>
    <cellStyle name="asd 53 2 7" xfId="4594"/>
    <cellStyle name="asd 53 2 8" xfId="9162"/>
    <cellStyle name="asd 53 2 9" xfId="12761"/>
    <cellStyle name="asd 53 20" xfId="14685"/>
    <cellStyle name="asd 53 21" xfId="26142"/>
    <cellStyle name="asd 53 22" xfId="28928"/>
    <cellStyle name="asd 53 23" xfId="5386"/>
    <cellStyle name="asd 53 24" xfId="34209"/>
    <cellStyle name="asd 53 25" xfId="34800"/>
    <cellStyle name="asd 53 26" xfId="2063"/>
    <cellStyle name="asd 53 27" xfId="28768"/>
    <cellStyle name="asd 53 3" xfId="3454"/>
    <cellStyle name="asd 53 3 10" xfId="13489"/>
    <cellStyle name="asd 53 3 11" xfId="15393"/>
    <cellStyle name="asd 53 3 12" xfId="16847"/>
    <cellStyle name="asd 53 3 13" xfId="18754"/>
    <cellStyle name="asd 53 3 14" xfId="20666"/>
    <cellStyle name="asd 53 3 15" xfId="23019"/>
    <cellStyle name="asd 53 3 16" xfId="24468"/>
    <cellStyle name="asd 53 3 17" xfId="27489"/>
    <cellStyle name="asd 53 3 18" xfId="6160"/>
    <cellStyle name="asd 53 3 19" xfId="31075"/>
    <cellStyle name="asd 53 3 2" xfId="3634"/>
    <cellStyle name="asd 53 3 2 10" xfId="17525"/>
    <cellStyle name="asd 53 3 2 11" xfId="19431"/>
    <cellStyle name="asd 53 3 2 12" xfId="21343"/>
    <cellStyle name="asd 53 3 2 13" xfId="23141"/>
    <cellStyle name="asd 53 3 2 14" xfId="25145"/>
    <cellStyle name="asd 53 3 2 15" xfId="26726"/>
    <cellStyle name="asd 53 3 2 16" xfId="29619"/>
    <cellStyle name="asd 53 3 2 17" xfId="30326"/>
    <cellStyle name="asd 53 3 2 18" xfId="33272"/>
    <cellStyle name="asd 53 3 2 19" xfId="34402"/>
    <cellStyle name="asd 53 3 2 2" xfId="4520"/>
    <cellStyle name="asd 53 3 2 2 10" xfId="20765"/>
    <cellStyle name="asd 53 3 2 2 11" xfId="23024"/>
    <cellStyle name="asd 53 3 2 2 12" xfId="24567"/>
    <cellStyle name="asd 53 3 2 2 13" xfId="27192"/>
    <cellStyle name="asd 53 3 2 2 14" xfId="28213"/>
    <cellStyle name="asd 53 3 2 2 15" xfId="30783"/>
    <cellStyle name="asd 53 3 2 2 16" xfId="32218"/>
    <cellStyle name="asd 53 3 2 2 17" xfId="33902"/>
    <cellStyle name="asd 53 3 2 2 18" xfId="35395"/>
    <cellStyle name="asd 53 3 2 2 19" xfId="37273"/>
    <cellStyle name="asd 53 3 2 2 2" xfId="2696"/>
    <cellStyle name="asd 53 3 2 2 20" xfId="39437"/>
    <cellStyle name="asd 53 3 2 2 21" xfId="41113"/>
    <cellStyle name="asd 53 3 2 2 22" xfId="42807"/>
    <cellStyle name="asd 53 3 2 2 3" xfId="1808"/>
    <cellStyle name="asd 53 3 2 2 4" xfId="9327"/>
    <cellStyle name="asd 53 3 2 2 5" xfId="12612"/>
    <cellStyle name="asd 53 3 2 2 6" xfId="13494"/>
    <cellStyle name="asd 53 3 2 2 7" xfId="15398"/>
    <cellStyle name="asd 53 3 2 2 8" xfId="16946"/>
    <cellStyle name="asd 53 3 2 2 9" xfId="18853"/>
    <cellStyle name="asd 53 3 2 20" xfId="35972"/>
    <cellStyle name="asd 53 3 2 21" xfId="37851"/>
    <cellStyle name="asd 53 3 2 22" xfId="40458"/>
    <cellStyle name="asd 53 3 2 23" xfId="42113"/>
    <cellStyle name="asd 53 3 2 24" xfId="42919"/>
    <cellStyle name="asd 53 3 2 3" xfId="5095"/>
    <cellStyle name="asd 53 3 2 4" xfId="6545"/>
    <cellStyle name="asd 53 3 2 5" xfId="7996"/>
    <cellStyle name="asd 53 3 2 6" xfId="9906"/>
    <cellStyle name="asd 53 3 2 7" xfId="11380"/>
    <cellStyle name="asd 53 3 2 8" xfId="13612"/>
    <cellStyle name="asd 53 3 2 9" xfId="15515"/>
    <cellStyle name="asd 53 3 20" xfId="32826"/>
    <cellStyle name="asd 53 3 21" xfId="33840"/>
    <cellStyle name="asd 53 3 22" xfId="35296"/>
    <cellStyle name="asd 53 3 23" xfId="37174"/>
    <cellStyle name="asd 53 3 24" xfId="40035"/>
    <cellStyle name="asd 53 3 25" xfId="41699"/>
    <cellStyle name="asd 53 3 26" xfId="42802"/>
    <cellStyle name="asd 53 3 3" xfId="3820"/>
    <cellStyle name="asd 53 3 3 10" xfId="19549"/>
    <cellStyle name="asd 53 3 3 11" xfId="21461"/>
    <cellStyle name="asd 53 3 3 12" xfId="23345"/>
    <cellStyle name="asd 53 3 3 13" xfId="25263"/>
    <cellStyle name="asd 53 3 3 14" xfId="27008"/>
    <cellStyle name="asd 53 3 3 15" xfId="29606"/>
    <cellStyle name="asd 53 3 3 16" xfId="30601"/>
    <cellStyle name="asd 53 3 3 17" xfId="32475"/>
    <cellStyle name="asd 53 3 3 18" xfId="34490"/>
    <cellStyle name="asd 53 3 3 19" xfId="36090"/>
    <cellStyle name="asd 53 3 3 2" xfId="5819"/>
    <cellStyle name="asd 53 3 3 2 10" xfId="22069"/>
    <cellStyle name="asd 53 3 3 2 11" xfId="23940"/>
    <cellStyle name="asd 53 3 3 2 12" xfId="25871"/>
    <cellStyle name="asd 53 3 3 2 13" xfId="27369"/>
    <cellStyle name="asd 53 3 3 2 14" xfId="29063"/>
    <cellStyle name="asd 53 3 3 2 15" xfId="30956"/>
    <cellStyle name="asd 53 3 3 2 16" xfId="32782"/>
    <cellStyle name="asd 53 3 3 2 17" xfId="33497"/>
    <cellStyle name="asd 53 3 3 2 18" xfId="36698"/>
    <cellStyle name="asd 53 3 3 2 19" xfId="38577"/>
    <cellStyle name="asd 53 3 3 2 2" xfId="7268"/>
    <cellStyle name="asd 53 3 3 2 20" xfId="39991"/>
    <cellStyle name="asd 53 3 3 2 21" xfId="41655"/>
    <cellStyle name="asd 53 3 3 2 22" xfId="43686"/>
    <cellStyle name="asd 53 3 3 2 3" xfId="8722"/>
    <cellStyle name="asd 53 3 3 2 4" xfId="10632"/>
    <cellStyle name="asd 53 3 3 2 5" xfId="11900"/>
    <cellStyle name="asd 53 3 3 2 6" xfId="14410"/>
    <cellStyle name="asd 53 3 3 2 7" xfId="16316"/>
    <cellStyle name="asd 53 3 3 2 8" xfId="18251"/>
    <cellStyle name="asd 53 3 3 2 9" xfId="20157"/>
    <cellStyle name="asd 53 3 3 20" xfId="37969"/>
    <cellStyle name="asd 53 3 3 21" xfId="39693"/>
    <cellStyle name="asd 53 3 3 22" xfId="41366"/>
    <cellStyle name="asd 53 3 3 23" xfId="43115"/>
    <cellStyle name="asd 53 3 3 3" xfId="5213"/>
    <cellStyle name="asd 53 3 3 4" xfId="8114"/>
    <cellStyle name="asd 53 3 3 5" xfId="10024"/>
    <cellStyle name="asd 53 3 3 6" xfId="12438"/>
    <cellStyle name="asd 53 3 3 7" xfId="13817"/>
    <cellStyle name="asd 53 3 3 8" xfId="15719"/>
    <cellStyle name="asd 53 3 3 9" xfId="17643"/>
    <cellStyle name="asd 53 3 4" xfId="4086"/>
    <cellStyle name="asd 53 3 4 10" xfId="19721"/>
    <cellStyle name="asd 53 3 4 11" xfId="21633"/>
    <cellStyle name="asd 53 3 4 12" xfId="23763"/>
    <cellStyle name="asd 53 3 4 13" xfId="25435"/>
    <cellStyle name="asd 53 3 4 14" xfId="26259"/>
    <cellStyle name="asd 53 3 4 15" xfId="28218"/>
    <cellStyle name="asd 53 3 4 16" xfId="29869"/>
    <cellStyle name="asd 53 3 4 17" xfId="32496"/>
    <cellStyle name="asd 53 3 4 18" xfId="34659"/>
    <cellStyle name="asd 53 3 4 19" xfId="36262"/>
    <cellStyle name="asd 53 3 4 2" xfId="5991"/>
    <cellStyle name="asd 53 3 4 2 10" xfId="22241"/>
    <cellStyle name="asd 53 3 4 2 11" xfId="24078"/>
    <cellStyle name="asd 53 3 4 2 12" xfId="26043"/>
    <cellStyle name="asd 53 3 4 2 13" xfId="27645"/>
    <cellStyle name="asd 53 3 4 2 14" xfId="28498"/>
    <cellStyle name="asd 53 3 4 2 15" xfId="31222"/>
    <cellStyle name="asd 53 3 4 2 16" xfId="31893"/>
    <cellStyle name="asd 53 3 4 2 17" xfId="33558"/>
    <cellStyle name="asd 53 3 4 2 18" xfId="36870"/>
    <cellStyle name="asd 53 3 4 2 19" xfId="38749"/>
    <cellStyle name="asd 53 3 4 2 2" xfId="7440"/>
    <cellStyle name="asd 53 3 4 2 20" xfId="39127"/>
    <cellStyle name="asd 53 3 4 2 21" xfId="40808"/>
    <cellStyle name="asd 53 3 4 2 22" xfId="43822"/>
    <cellStyle name="asd 53 3 4 2 3" xfId="8894"/>
    <cellStyle name="asd 53 3 4 2 4" xfId="10804"/>
    <cellStyle name="asd 53 3 4 2 5" xfId="12037"/>
    <cellStyle name="asd 53 3 4 2 6" xfId="14548"/>
    <cellStyle name="asd 53 3 4 2 7" xfId="16454"/>
    <cellStyle name="asd 53 3 4 2 8" xfId="18423"/>
    <cellStyle name="asd 53 3 4 2 9" xfId="20329"/>
    <cellStyle name="asd 53 3 4 20" xfId="38141"/>
    <cellStyle name="asd 53 3 4 21" xfId="39711"/>
    <cellStyle name="asd 53 3 4 22" xfId="41383"/>
    <cellStyle name="asd 53 3 4 23" xfId="43516"/>
    <cellStyle name="asd 53 3 4 3" xfId="6832"/>
    <cellStyle name="asd 53 3 4 4" xfId="8286"/>
    <cellStyle name="asd 53 3 4 5" xfId="10196"/>
    <cellStyle name="asd 53 3 4 6" xfId="11408"/>
    <cellStyle name="asd 53 3 4 7" xfId="14233"/>
    <cellStyle name="asd 53 3 4 8" xfId="16137"/>
    <cellStyle name="asd 53 3 4 9" xfId="17815"/>
    <cellStyle name="asd 53 3 5" xfId="4940"/>
    <cellStyle name="asd 53 3 5 10" xfId="21188"/>
    <cellStyle name="asd 53 3 5 11" xfId="22991"/>
    <cellStyle name="asd 53 3 5 12" xfId="24990"/>
    <cellStyle name="asd 53 3 5 13" xfId="27797"/>
    <cellStyle name="asd 53 3 5 14" xfId="28774"/>
    <cellStyle name="asd 53 3 5 15" xfId="31374"/>
    <cellStyle name="asd 53 3 5 16" xfId="32439"/>
    <cellStyle name="asd 53 3 5 17" xfId="35043"/>
    <cellStyle name="asd 53 3 5 18" xfId="35817"/>
    <cellStyle name="asd 53 3 5 19" xfId="37696"/>
    <cellStyle name="asd 53 3 5 2" xfId="6390"/>
    <cellStyle name="asd 53 3 5 20" xfId="39656"/>
    <cellStyle name="asd 53 3 5 21" xfId="41330"/>
    <cellStyle name="asd 53 3 5 22" xfId="42777"/>
    <cellStyle name="asd 53 3 5 3" xfId="7841"/>
    <cellStyle name="asd 53 3 5 4" xfId="9751"/>
    <cellStyle name="asd 53 3 5 5" xfId="12316"/>
    <cellStyle name="asd 53 3 5 6" xfId="13460"/>
    <cellStyle name="asd 53 3 5 7" xfId="15365"/>
    <cellStyle name="asd 53 3 5 8" xfId="17370"/>
    <cellStyle name="asd 53 3 5 9" xfId="19276"/>
    <cellStyle name="asd 53 3 6" xfId="5725"/>
    <cellStyle name="asd 53 3 6 10" xfId="21975"/>
    <cellStyle name="asd 53 3 6 11" xfId="23825"/>
    <cellStyle name="asd 53 3 6 12" xfId="25777"/>
    <cellStyle name="asd 53 3 6 13" xfId="26439"/>
    <cellStyle name="asd 53 3 6 14" xfId="29234"/>
    <cellStyle name="asd 53 3 6 15" xfId="30045"/>
    <cellStyle name="asd 53 3 6 16" xfId="31914"/>
    <cellStyle name="asd 53 3 6 17" xfId="34739"/>
    <cellStyle name="asd 53 3 6 18" xfId="36604"/>
    <cellStyle name="asd 53 3 6 19" xfId="38483"/>
    <cellStyle name="asd 53 3 6 2" xfId="7174"/>
    <cellStyle name="asd 53 3 6 20" xfId="39146"/>
    <cellStyle name="asd 53 3 6 21" xfId="40827"/>
    <cellStyle name="asd 53 3 6 22" xfId="43576"/>
    <cellStyle name="asd 53 3 6 3" xfId="8628"/>
    <cellStyle name="asd 53 3 6 4" xfId="10538"/>
    <cellStyle name="asd 53 3 6 5" xfId="11643"/>
    <cellStyle name="asd 53 3 6 6" xfId="14295"/>
    <cellStyle name="asd 53 3 6 7" xfId="16199"/>
    <cellStyle name="asd 53 3 6 8" xfId="18157"/>
    <cellStyle name="asd 53 3 6 9" xfId="20063"/>
    <cellStyle name="asd 53 3 7" xfId="5303"/>
    <cellStyle name="asd 53 3 8" xfId="9228"/>
    <cellStyle name="asd 53 3 9" xfId="12602"/>
    <cellStyle name="asd 53 4" xfId="3402"/>
    <cellStyle name="asd 53 4 10" xfId="15492"/>
    <cellStyle name="asd 53 4 11" xfId="16748"/>
    <cellStyle name="asd 53 4 12" xfId="18655"/>
    <cellStyle name="asd 53 4 13" xfId="20567"/>
    <cellStyle name="asd 53 4 14" xfId="23118"/>
    <cellStyle name="asd 53 4 15" xfId="24369"/>
    <cellStyle name="asd 53 4 16" xfId="26917"/>
    <cellStyle name="asd 53 4 17" xfId="28592"/>
    <cellStyle name="asd 53 4 18" xfId="30512"/>
    <cellStyle name="asd 53 4 19" xfId="31700"/>
    <cellStyle name="asd 53 4 2" xfId="3582"/>
    <cellStyle name="asd 53 4 2 10" xfId="17473"/>
    <cellStyle name="asd 53 4 2 11" xfId="19379"/>
    <cellStyle name="asd 53 4 2 12" xfId="21291"/>
    <cellStyle name="asd 53 4 2 13" xfId="23698"/>
    <cellStyle name="asd 53 4 2 14" xfId="25093"/>
    <cellStyle name="asd 53 4 2 15" xfId="26759"/>
    <cellStyle name="asd 53 4 2 16" xfId="12802"/>
    <cellStyle name="asd 53 4 2 17" xfId="30358"/>
    <cellStyle name="asd 53 4 2 18" xfId="33267"/>
    <cellStyle name="asd 53 4 2 19" xfId="34185"/>
    <cellStyle name="asd 53 4 2 2" xfId="5528"/>
    <cellStyle name="asd 53 4 2 2 10" xfId="21778"/>
    <cellStyle name="asd 53 4 2 2 11" xfId="23084"/>
    <cellStyle name="asd 53 4 2 2 12" xfId="25580"/>
    <cellStyle name="asd 53 4 2 2 13" xfId="27570"/>
    <cellStyle name="asd 53 4 2 2 14" xfId="28610"/>
    <cellStyle name="asd 53 4 2 2 15" xfId="31149"/>
    <cellStyle name="asd 53 4 2 2 16" xfId="32672"/>
    <cellStyle name="asd 53 4 2 2 17" xfId="34178"/>
    <cellStyle name="asd 53 4 2 2 18" xfId="36407"/>
    <cellStyle name="asd 53 4 2 2 19" xfId="38286"/>
    <cellStyle name="asd 53 4 2 2 2" xfId="6977"/>
    <cellStyle name="asd 53 4 2 2 20" xfId="39879"/>
    <cellStyle name="asd 53 4 2 2 21" xfId="41548"/>
    <cellStyle name="asd 53 4 2 2 22" xfId="42866"/>
    <cellStyle name="asd 53 4 2 2 3" xfId="8431"/>
    <cellStyle name="asd 53 4 2 2 4" xfId="10341"/>
    <cellStyle name="asd 53 4 2 2 5" xfId="12694"/>
    <cellStyle name="asd 53 4 2 2 6" xfId="13555"/>
    <cellStyle name="asd 53 4 2 2 7" xfId="15458"/>
    <cellStyle name="asd 53 4 2 2 8" xfId="17960"/>
    <cellStyle name="asd 53 4 2 2 9" xfId="19866"/>
    <cellStyle name="asd 53 4 2 20" xfId="35920"/>
    <cellStyle name="asd 53 4 2 21" xfId="37799"/>
    <cellStyle name="asd 53 4 2 22" xfId="40453"/>
    <cellStyle name="asd 53 4 2 23" xfId="42108"/>
    <cellStyle name="asd 53 4 2 24" xfId="43455"/>
    <cellStyle name="asd 53 4 2 3" xfId="5043"/>
    <cellStyle name="asd 53 4 2 4" xfId="6493"/>
    <cellStyle name="asd 53 4 2 5" xfId="7944"/>
    <cellStyle name="asd 53 4 2 6" xfId="9854"/>
    <cellStyle name="asd 53 4 2 7" xfId="11606"/>
    <cellStyle name="asd 53 4 2 8" xfId="14168"/>
    <cellStyle name="asd 53 4 2 9" xfId="16072"/>
    <cellStyle name="asd 53 4 20" xfId="34306"/>
    <cellStyle name="asd 53 4 21" xfId="35197"/>
    <cellStyle name="asd 53 4 22" xfId="37075"/>
    <cellStyle name="asd 53 4 23" xfId="38941"/>
    <cellStyle name="asd 53 4 24" xfId="40625"/>
    <cellStyle name="asd 53 4 25" xfId="42898"/>
    <cellStyle name="asd 53 4 3" xfId="3790"/>
    <cellStyle name="asd 53 4 3 10" xfId="19525"/>
    <cellStyle name="asd 53 4 3 11" xfId="21437"/>
    <cellStyle name="asd 53 4 3 12" xfId="23839"/>
    <cellStyle name="asd 53 4 3 13" xfId="25239"/>
    <cellStyle name="asd 53 4 3 14" xfId="26981"/>
    <cellStyle name="asd 53 4 3 15" xfId="29429"/>
    <cellStyle name="asd 53 4 3 16" xfId="30575"/>
    <cellStyle name="asd 53 4 3 17" xfId="33146"/>
    <cellStyle name="asd 53 4 3 18" xfId="34441"/>
    <cellStyle name="asd 53 4 3 19" xfId="36066"/>
    <cellStyle name="asd 53 4 3 2" xfId="5795"/>
    <cellStyle name="asd 53 4 3 2 10" xfId="22045"/>
    <cellStyle name="asd 53 4 3 2 11" xfId="23739"/>
    <cellStyle name="asd 53 4 3 2 12" xfId="25847"/>
    <cellStyle name="asd 53 4 3 2 13" xfId="27699"/>
    <cellStyle name="asd 53 4 3 2 14" xfId="28314"/>
    <cellStyle name="asd 53 4 3 2 15" xfId="31273"/>
    <cellStyle name="asd 53 4 3 2 16" xfId="33193"/>
    <cellStyle name="asd 53 4 3 2 17" xfId="33859"/>
    <cellStyle name="asd 53 4 3 2 18" xfId="36674"/>
    <cellStyle name="asd 53 4 3 2 19" xfId="38553"/>
    <cellStyle name="asd 53 4 3 2 2" xfId="7244"/>
    <cellStyle name="asd 53 4 3 2 20" xfId="40384"/>
    <cellStyle name="asd 53 4 3 2 21" xfId="42040"/>
    <cellStyle name="asd 53 4 3 2 22" xfId="43492"/>
    <cellStyle name="asd 53 4 3 2 3" xfId="8698"/>
    <cellStyle name="asd 53 4 3 2 4" xfId="10608"/>
    <cellStyle name="asd 53 4 3 2 5" xfId="11366"/>
    <cellStyle name="asd 53 4 3 2 6" xfId="14209"/>
    <cellStyle name="asd 53 4 3 2 7" xfId="16113"/>
    <cellStyle name="asd 53 4 3 2 8" xfId="18227"/>
    <cellStyle name="asd 53 4 3 2 9" xfId="20133"/>
    <cellStyle name="asd 53 4 3 20" xfId="37945"/>
    <cellStyle name="asd 53 4 3 21" xfId="40339"/>
    <cellStyle name="asd 53 4 3 22" xfId="41995"/>
    <cellStyle name="asd 53 4 3 23" xfId="43590"/>
    <cellStyle name="asd 53 4 3 3" xfId="5189"/>
    <cellStyle name="asd 53 4 3 4" xfId="8090"/>
    <cellStyle name="asd 53 4 3 5" xfId="10000"/>
    <cellStyle name="asd 53 4 3 6" xfId="11361"/>
    <cellStyle name="asd 53 4 3 7" xfId="14309"/>
    <cellStyle name="asd 53 4 3 8" xfId="16213"/>
    <cellStyle name="asd 53 4 3 9" xfId="17619"/>
    <cellStyle name="asd 53 4 4" xfId="4034"/>
    <cellStyle name="asd 53 4 4 10" xfId="19669"/>
    <cellStyle name="asd 53 4 4 11" xfId="21581"/>
    <cellStyle name="asd 53 4 4 12" xfId="24140"/>
    <cellStyle name="asd 53 4 4 13" xfId="25383"/>
    <cellStyle name="asd 53 4 4 14" xfId="27556"/>
    <cellStyle name="asd 53 4 4 15" xfId="2400"/>
    <cellStyle name="asd 53 4 4 16" xfId="31136"/>
    <cellStyle name="asd 53 4 4 17" xfId="32399"/>
    <cellStyle name="asd 53 4 4 18" xfId="4401"/>
    <cellStyle name="asd 53 4 4 19" xfId="36210"/>
    <cellStyle name="asd 53 4 4 2" xfId="5939"/>
    <cellStyle name="asd 53 4 4 2 10" xfId="22189"/>
    <cellStyle name="asd 53 4 4 2 11" xfId="23258"/>
    <cellStyle name="asd 53 4 4 2 12" xfId="25991"/>
    <cellStyle name="asd 53 4 4 2 13" xfId="26930"/>
    <cellStyle name="asd 53 4 4 2 14" xfId="29326"/>
    <cellStyle name="asd 53 4 4 2 15" xfId="30524"/>
    <cellStyle name="asd 53 4 4 2 16" xfId="32828"/>
    <cellStyle name="asd 53 4 4 2 17" xfId="33849"/>
    <cellStyle name="asd 53 4 4 2 18" xfId="36818"/>
    <cellStyle name="asd 53 4 4 2 19" xfId="38697"/>
    <cellStyle name="asd 53 4 4 2 2" xfId="7388"/>
    <cellStyle name="asd 53 4 4 2 20" xfId="40037"/>
    <cellStyle name="asd 53 4 4 2 21" xfId="41701"/>
    <cellStyle name="asd 53 4 4 2 22" xfId="43034"/>
    <cellStyle name="asd 53 4 4 2 3" xfId="8842"/>
    <cellStyle name="asd 53 4 4 2 4" xfId="10752"/>
    <cellStyle name="asd 53 4 4 2 5" xfId="11176"/>
    <cellStyle name="asd 53 4 4 2 6" xfId="13730"/>
    <cellStyle name="asd 53 4 4 2 7" xfId="15632"/>
    <cellStyle name="asd 53 4 4 2 8" xfId="18371"/>
    <cellStyle name="asd 53 4 4 2 9" xfId="20277"/>
    <cellStyle name="asd 53 4 4 20" xfId="38089"/>
    <cellStyle name="asd 53 4 4 21" xfId="39616"/>
    <cellStyle name="asd 53 4 4 22" xfId="41290"/>
    <cellStyle name="asd 53 4 4 23" xfId="43883"/>
    <cellStyle name="asd 53 4 4 3" xfId="6780"/>
    <cellStyle name="asd 53 4 4 4" xfId="8234"/>
    <cellStyle name="asd 53 4 4 5" xfId="10144"/>
    <cellStyle name="asd 53 4 4 6" xfId="12100"/>
    <cellStyle name="asd 53 4 4 7" xfId="14611"/>
    <cellStyle name="asd 53 4 4 8" xfId="16517"/>
    <cellStyle name="asd 53 4 4 9" xfId="17763"/>
    <cellStyle name="asd 53 4 5" xfId="4577"/>
    <cellStyle name="asd 53 4 5 10" xfId="20822"/>
    <cellStyle name="asd 53 4 5 11" xfId="23047"/>
    <cellStyle name="asd 53 4 5 12" xfId="24624"/>
    <cellStyle name="asd 53 4 5 13" xfId="27776"/>
    <cellStyle name="asd 53 4 5 14" xfId="29500"/>
    <cellStyle name="asd 53 4 5 15" xfId="31353"/>
    <cellStyle name="asd 53 4 5 16" xfId="32982"/>
    <cellStyle name="asd 53 4 5 17" xfId="33935"/>
    <cellStyle name="asd 53 4 5 18" xfId="35452"/>
    <cellStyle name="asd 53 4 5 19" xfId="37330"/>
    <cellStyle name="asd 53 4 5 2" xfId="4656"/>
    <cellStyle name="asd 53 4 5 20" xfId="40183"/>
    <cellStyle name="asd 53 4 5 21" xfId="41842"/>
    <cellStyle name="asd 53 4 5 22" xfId="42830"/>
    <cellStyle name="asd 53 4 5 3" xfId="6277"/>
    <cellStyle name="asd 53 4 5 4" xfId="9384"/>
    <cellStyle name="asd 53 4 5 5" xfId="12644"/>
    <cellStyle name="asd 53 4 5 6" xfId="13517"/>
    <cellStyle name="asd 53 4 5 7" xfId="15421"/>
    <cellStyle name="asd 53 4 5 8" xfId="17003"/>
    <cellStyle name="asd 53 4 5 9" xfId="18910"/>
    <cellStyle name="asd 53 4 6" xfId="6310"/>
    <cellStyle name="asd 53 4 7" xfId="9129"/>
    <cellStyle name="asd 53 4 8" xfId="12735"/>
    <cellStyle name="asd 53 4 9" xfId="13589"/>
    <cellStyle name="asd 53 5" xfId="2326"/>
    <cellStyle name="asd 53 5 10" xfId="17146"/>
    <cellStyle name="asd 53 5 11" xfId="19052"/>
    <cellStyle name="asd 53 5 12" xfId="20964"/>
    <cellStyle name="asd 53 5 13" xfId="23461"/>
    <cellStyle name="asd 53 5 14" xfId="24766"/>
    <cellStyle name="asd 53 5 15" xfId="26201"/>
    <cellStyle name="asd 53 5 16" xfId="28273"/>
    <cellStyle name="asd 53 5 17" xfId="29814"/>
    <cellStyle name="asd 53 5 18" xfId="32477"/>
    <cellStyle name="asd 53 5 19" xfId="34330"/>
    <cellStyle name="asd 53 5 2" xfId="5682"/>
    <cellStyle name="asd 53 5 2 10" xfId="21932"/>
    <cellStyle name="asd 53 5 2 11" xfId="23608"/>
    <cellStyle name="asd 53 5 2 12" xfId="25734"/>
    <cellStyle name="asd 53 5 2 13" xfId="27408"/>
    <cellStyle name="asd 53 5 2 14" xfId="28733"/>
    <cellStyle name="asd 53 5 2 15" xfId="30994"/>
    <cellStyle name="asd 53 5 2 16" xfId="32639"/>
    <cellStyle name="asd 53 5 2 17" xfId="34847"/>
    <cellStyle name="asd 53 5 2 18" xfId="36561"/>
    <cellStyle name="asd 53 5 2 19" xfId="38440"/>
    <cellStyle name="asd 53 5 2 2" xfId="7131"/>
    <cellStyle name="asd 53 5 2 20" xfId="39846"/>
    <cellStyle name="asd 53 5 2 21" xfId="41515"/>
    <cellStyle name="asd 53 5 2 22" xfId="43366"/>
    <cellStyle name="asd 53 5 2 3" xfId="8585"/>
    <cellStyle name="asd 53 5 2 4" xfId="10495"/>
    <cellStyle name="asd 53 5 2 5" xfId="11538"/>
    <cellStyle name="asd 53 5 2 6" xfId="14078"/>
    <cellStyle name="asd 53 5 2 7" xfId="15981"/>
    <cellStyle name="asd 53 5 2 8" xfId="18114"/>
    <cellStyle name="asd 53 5 2 9" xfId="20020"/>
    <cellStyle name="asd 53 5 20" xfId="35593"/>
    <cellStyle name="asd 53 5 21" xfId="37472"/>
    <cellStyle name="asd 53 5 22" xfId="39695"/>
    <cellStyle name="asd 53 5 23" xfId="41368"/>
    <cellStyle name="asd 53 5 24" xfId="43228"/>
    <cellStyle name="asd 53 5 3" xfId="4718"/>
    <cellStyle name="asd 53 5 4" xfId="6166"/>
    <cellStyle name="asd 53 5 5" xfId="7617"/>
    <cellStyle name="asd 53 5 6" xfId="9527"/>
    <cellStyle name="asd 53 5 7" xfId="12508"/>
    <cellStyle name="asd 53 5 8" xfId="13933"/>
    <cellStyle name="asd 53 5 9" xfId="15834"/>
    <cellStyle name="asd 53 6" xfId="3154"/>
    <cellStyle name="asd 53 6 10" xfId="19166"/>
    <cellStyle name="asd 53 6 11" xfId="21078"/>
    <cellStyle name="asd 53 6 12" xfId="23504"/>
    <cellStyle name="asd 53 6 13" xfId="24880"/>
    <cellStyle name="asd 53 6 14" xfId="26352"/>
    <cellStyle name="asd 53 6 15" xfId="28499"/>
    <cellStyle name="asd 53 6 16" xfId="29960"/>
    <cellStyle name="asd 53 6 17" xfId="33021"/>
    <cellStyle name="asd 53 6 18" xfId="33555"/>
    <cellStyle name="asd 53 6 19" xfId="35707"/>
    <cellStyle name="asd 53 6 2" xfId="5736"/>
    <cellStyle name="asd 53 6 2 10" xfId="21986"/>
    <cellStyle name="asd 53 6 2 11" xfId="24197"/>
    <cellStyle name="asd 53 6 2 12" xfId="25788"/>
    <cellStyle name="asd 53 6 2 13" xfId="24677"/>
    <cellStyle name="asd 53 6 2 14" xfId="29520"/>
    <cellStyle name="asd 53 6 2 15" xfId="29107"/>
    <cellStyle name="asd 53 6 2 16" xfId="31996"/>
    <cellStyle name="asd 53 6 2 17" xfId="33957"/>
    <cellStyle name="asd 53 6 2 18" xfId="36615"/>
    <cellStyle name="asd 53 6 2 19" xfId="38494"/>
    <cellStyle name="asd 53 6 2 2" xfId="7185"/>
    <cellStyle name="asd 53 6 2 20" xfId="39227"/>
    <cellStyle name="asd 53 6 2 21" xfId="40904"/>
    <cellStyle name="asd 53 6 2 22" xfId="43935"/>
    <cellStyle name="asd 53 6 2 3" xfId="8639"/>
    <cellStyle name="asd 53 6 2 4" xfId="10549"/>
    <cellStyle name="asd 53 6 2 5" xfId="12157"/>
    <cellStyle name="asd 53 6 2 6" xfId="14669"/>
    <cellStyle name="asd 53 6 2 7" xfId="16575"/>
    <cellStyle name="asd 53 6 2 8" xfId="18168"/>
    <cellStyle name="asd 53 6 2 9" xfId="20074"/>
    <cellStyle name="asd 53 6 20" xfId="37586"/>
    <cellStyle name="asd 53 6 21" xfId="40221"/>
    <cellStyle name="asd 53 6 22" xfId="41880"/>
    <cellStyle name="asd 53 6 23" xfId="43270"/>
    <cellStyle name="asd 53 6 3" xfId="4830"/>
    <cellStyle name="asd 53 6 4" xfId="7731"/>
    <cellStyle name="asd 53 6 5" xfId="9641"/>
    <cellStyle name="asd 53 6 6" xfId="12594"/>
    <cellStyle name="asd 53 6 7" xfId="13976"/>
    <cellStyle name="asd 53 6 8" xfId="15877"/>
    <cellStyle name="asd 53 6 9" xfId="17260"/>
    <cellStyle name="asd 53 7" xfId="1843"/>
    <cellStyle name="asd 53 7 10" xfId="18976"/>
    <cellStyle name="asd 53 7 11" xfId="20888"/>
    <cellStyle name="asd 53 7 12" xfId="24098"/>
    <cellStyle name="asd 53 7 13" xfId="24690"/>
    <cellStyle name="asd 53 7 14" xfId="27122"/>
    <cellStyle name="asd 53 7 15" xfId="29570"/>
    <cellStyle name="asd 53 7 16" xfId="30712"/>
    <cellStyle name="asd 53 7 17" xfId="31870"/>
    <cellStyle name="asd 53 7 18" xfId="33511"/>
    <cellStyle name="asd 53 7 19" xfId="35517"/>
    <cellStyle name="asd 53 7 2" xfId="4255"/>
    <cellStyle name="asd 53 7 2 10" xfId="20485"/>
    <cellStyle name="asd 53 7 2 11" xfId="23728"/>
    <cellStyle name="asd 53 7 2 12" xfId="24287"/>
    <cellStyle name="asd 53 7 2 13" xfId="27429"/>
    <cellStyle name="asd 53 7 2 14" xfId="29168"/>
    <cellStyle name="asd 53 7 2 15" xfId="31015"/>
    <cellStyle name="asd 53 7 2 16" xfId="31643"/>
    <cellStyle name="asd 53 7 2 17" xfId="34861"/>
    <cellStyle name="asd 53 7 2 18" xfId="35115"/>
    <cellStyle name="asd 53 7 2 19" xfId="36993"/>
    <cellStyle name="asd 53 7 2 2" xfId="3319"/>
    <cellStyle name="asd 53 7 2 20" xfId="38888"/>
    <cellStyle name="asd 53 7 2 21" xfId="40573"/>
    <cellStyle name="asd 53 7 2 22" xfId="43483"/>
    <cellStyle name="asd 53 7 2 3" xfId="2403"/>
    <cellStyle name="asd 53 7 2 4" xfId="9047"/>
    <cellStyle name="asd 53 7 2 5" xfId="11443"/>
    <cellStyle name="asd 53 7 2 6" xfId="14198"/>
    <cellStyle name="asd 53 7 2 7" xfId="16102"/>
    <cellStyle name="asd 53 7 2 8" xfId="16666"/>
    <cellStyle name="asd 53 7 2 9" xfId="18573"/>
    <cellStyle name="asd 53 7 20" xfId="37396"/>
    <cellStyle name="asd 53 7 21" xfId="39105"/>
    <cellStyle name="asd 53 7 22" xfId="40786"/>
    <cellStyle name="asd 53 7 23" xfId="43841"/>
    <cellStyle name="asd 53 7 3" xfId="6091"/>
    <cellStyle name="asd 53 7 4" xfId="7541"/>
    <cellStyle name="asd 53 7 5" xfId="9451"/>
    <cellStyle name="asd 53 7 6" xfId="12057"/>
    <cellStyle name="asd 53 7 7" xfId="14568"/>
    <cellStyle name="asd 53 7 8" xfId="16474"/>
    <cellStyle name="asd 53 7 9" xfId="17070"/>
    <cellStyle name="asd 53 8" xfId="3139"/>
    <cellStyle name="asd 53 9" xfId="2448"/>
    <cellStyle name="asd 54" xfId="1088"/>
    <cellStyle name="asd 54 10" xfId="4549"/>
    <cellStyle name="asd 54 11" xfId="3259"/>
    <cellStyle name="asd 54 12" xfId="3950"/>
    <cellStyle name="asd 54 13" xfId="3014"/>
    <cellStyle name="asd 54 14" xfId="12820"/>
    <cellStyle name="asd 54 15" xfId="16562"/>
    <cellStyle name="asd 54 16" xfId="4314"/>
    <cellStyle name="asd 54 17" xfId="3935"/>
    <cellStyle name="asd 54 18" xfId="2634"/>
    <cellStyle name="asd 54 19" xfId="4452"/>
    <cellStyle name="asd 54 2" xfId="3473"/>
    <cellStyle name="asd 54 2 10" xfId="14005"/>
    <cellStyle name="asd 54 2 11" xfId="15906"/>
    <cellStyle name="asd 54 2 12" xfId="16906"/>
    <cellStyle name="asd 54 2 13" xfId="18813"/>
    <cellStyle name="asd 54 2 14" xfId="20725"/>
    <cellStyle name="asd 54 2 15" xfId="23533"/>
    <cellStyle name="asd 54 2 16" xfId="24527"/>
    <cellStyle name="asd 54 2 17" xfId="27546"/>
    <cellStyle name="asd 54 2 18" xfId="28103"/>
    <cellStyle name="asd 54 2 19" xfId="31127"/>
    <cellStyle name="asd 54 2 2" xfId="3653"/>
    <cellStyle name="asd 54 2 2 10" xfId="17544"/>
    <cellStyle name="asd 54 2 2 11" xfId="19450"/>
    <cellStyle name="asd 54 2 2 12" xfId="21362"/>
    <cellStyle name="asd 54 2 2 13" xfId="22997"/>
    <cellStyle name="asd 54 2 2 14" xfId="25164"/>
    <cellStyle name="asd 54 2 2 15" xfId="27897"/>
    <cellStyle name="asd 54 2 2 16" xfId="28522"/>
    <cellStyle name="asd 54 2 2 17" xfId="31479"/>
    <cellStyle name="asd 54 2 2 18" xfId="32188"/>
    <cellStyle name="asd 54 2 2 19" xfId="33890"/>
    <cellStyle name="asd 54 2 2 2" xfId="5597"/>
    <cellStyle name="asd 54 2 2 2 10" xfId="21847"/>
    <cellStyle name="asd 54 2 2 2 11" xfId="24022"/>
    <cellStyle name="asd 54 2 2 2 12" xfId="25649"/>
    <cellStyle name="asd 54 2 2 2 13" xfId="26424"/>
    <cellStyle name="asd 54 2 2 2 14" xfId="28857"/>
    <cellStyle name="asd 54 2 2 2 15" xfId="30030"/>
    <cellStyle name="asd 54 2 2 2 16" xfId="33022"/>
    <cellStyle name="asd 54 2 2 2 17" xfId="34718"/>
    <cellStyle name="asd 54 2 2 2 18" xfId="36476"/>
    <cellStyle name="asd 54 2 2 2 19" xfId="38355"/>
    <cellStyle name="asd 54 2 2 2 2" xfId="7046"/>
    <cellStyle name="asd 54 2 2 2 20" xfId="40222"/>
    <cellStyle name="asd 54 2 2 2 21" xfId="41881"/>
    <cellStyle name="asd 54 2 2 2 22" xfId="43766"/>
    <cellStyle name="asd 54 2 2 2 3" xfId="8500"/>
    <cellStyle name="asd 54 2 2 2 4" xfId="10410"/>
    <cellStyle name="asd 54 2 2 2 5" xfId="11981"/>
    <cellStyle name="asd 54 2 2 2 6" xfId="14492"/>
    <cellStyle name="asd 54 2 2 2 7" xfId="16398"/>
    <cellStyle name="asd 54 2 2 2 8" xfId="18029"/>
    <cellStyle name="asd 54 2 2 2 9" xfId="19935"/>
    <cellStyle name="asd 54 2 2 20" xfId="35991"/>
    <cellStyle name="asd 54 2 2 21" xfId="37870"/>
    <cellStyle name="asd 54 2 2 22" xfId="39410"/>
    <cellStyle name="asd 54 2 2 23" xfId="41086"/>
    <cellStyle name="asd 54 2 2 24" xfId="42782"/>
    <cellStyle name="asd 54 2 2 3" xfId="5114"/>
    <cellStyle name="asd 54 2 2 4" xfId="6564"/>
    <cellStyle name="asd 54 2 2 5" xfId="8015"/>
    <cellStyle name="asd 54 2 2 6" xfId="9925"/>
    <cellStyle name="asd 54 2 2 7" xfId="12470"/>
    <cellStyle name="asd 54 2 2 8" xfId="13467"/>
    <cellStyle name="asd 54 2 2 9" xfId="15372"/>
    <cellStyle name="asd 54 2 20" xfId="31693"/>
    <cellStyle name="asd 54 2 21" xfId="34245"/>
    <cellStyle name="asd 54 2 22" xfId="35355"/>
    <cellStyle name="asd 54 2 23" xfId="37233"/>
    <cellStyle name="asd 54 2 24" xfId="38935"/>
    <cellStyle name="asd 54 2 25" xfId="40619"/>
    <cellStyle name="asd 54 2 26" xfId="43298"/>
    <cellStyle name="asd 54 2 3" xfId="3908"/>
    <cellStyle name="asd 54 2 3 10" xfId="19609"/>
    <cellStyle name="asd 54 2 3 11" xfId="21521"/>
    <cellStyle name="asd 54 2 3 12" xfId="22617"/>
    <cellStyle name="asd 54 2 3 13" xfId="25323"/>
    <cellStyle name="asd 54 2 3 14" xfId="27668"/>
    <cellStyle name="asd 54 2 3 15" xfId="29649"/>
    <cellStyle name="asd 54 2 3 16" xfId="31244"/>
    <cellStyle name="asd 54 2 3 17" xfId="33326"/>
    <cellStyle name="asd 54 2 3 18" xfId="32468"/>
    <cellStyle name="asd 54 2 3 19" xfId="36150"/>
    <cellStyle name="asd 54 2 3 2" xfId="5879"/>
    <cellStyle name="asd 54 2 3 2 10" xfId="22129"/>
    <cellStyle name="asd 54 2 3 2 11" xfId="22977"/>
    <cellStyle name="asd 54 2 3 2 12" xfId="25931"/>
    <cellStyle name="asd 54 2 3 2 13" xfId="27674"/>
    <cellStyle name="asd 54 2 3 2 14" xfId="2216"/>
    <cellStyle name="asd 54 2 3 2 15" xfId="31250"/>
    <cellStyle name="asd 54 2 3 2 16" xfId="31964"/>
    <cellStyle name="asd 54 2 3 2 17" xfId="2113"/>
    <cellStyle name="asd 54 2 3 2 18" xfId="36758"/>
    <cellStyle name="asd 54 2 3 2 19" xfId="38637"/>
    <cellStyle name="asd 54 2 3 2 2" xfId="7328"/>
    <cellStyle name="asd 54 2 3 2 20" xfId="39193"/>
    <cellStyle name="asd 54 2 3 2 21" xfId="40874"/>
    <cellStyle name="asd 54 2 3 2 22" xfId="42763"/>
    <cellStyle name="asd 54 2 3 2 3" xfId="8782"/>
    <cellStyle name="asd 54 2 3 2 4" xfId="10692"/>
    <cellStyle name="asd 54 2 3 2 5" xfId="12329"/>
    <cellStyle name="asd 54 2 3 2 6" xfId="13446"/>
    <cellStyle name="asd 54 2 3 2 7" xfId="15351"/>
    <cellStyle name="asd 54 2 3 2 8" xfId="18311"/>
    <cellStyle name="asd 54 2 3 2 9" xfId="20217"/>
    <cellStyle name="asd 54 2 3 20" xfId="38029"/>
    <cellStyle name="asd 54 2 3 21" xfId="40506"/>
    <cellStyle name="asd 54 2 3 22" xfId="42158"/>
    <cellStyle name="asd 54 2 3 23" xfId="42423"/>
    <cellStyle name="asd 54 2 3 3" xfId="5273"/>
    <cellStyle name="asd 54 2 3 4" xfId="8174"/>
    <cellStyle name="asd 54 2 3 5" xfId="10084"/>
    <cellStyle name="asd 54 2 3 6" xfId="12245"/>
    <cellStyle name="asd 54 2 3 7" xfId="13084"/>
    <cellStyle name="asd 54 2 3 8" xfId="14989"/>
    <cellStyle name="asd 54 2 3 9" xfId="17703"/>
    <cellStyle name="asd 54 2 4" xfId="4105"/>
    <cellStyle name="asd 54 2 4 10" xfId="19740"/>
    <cellStyle name="asd 54 2 4 11" xfId="21652"/>
    <cellStyle name="asd 54 2 4 12" xfId="23307"/>
    <cellStyle name="asd 54 2 4 13" xfId="25454"/>
    <cellStyle name="asd 54 2 4 14" xfId="27887"/>
    <cellStyle name="asd 54 2 4 15" xfId="29351"/>
    <cellStyle name="asd 54 2 4 16" xfId="31468"/>
    <cellStyle name="asd 54 2 4 17" xfId="33243"/>
    <cellStyle name="asd 54 2 4 18" xfId="34144"/>
    <cellStyle name="asd 54 2 4 19" xfId="36281"/>
    <cellStyle name="asd 54 2 4 2" xfId="6010"/>
    <cellStyle name="asd 54 2 4 2 10" xfId="22260"/>
    <cellStyle name="asd 54 2 4 2 11" xfId="23863"/>
    <cellStyle name="asd 54 2 4 2 12" xfId="26062"/>
    <cellStyle name="asd 54 2 4 2 13" xfId="26800"/>
    <cellStyle name="asd 54 2 4 2 14" xfId="28640"/>
    <cellStyle name="asd 54 2 4 2 15" xfId="30398"/>
    <cellStyle name="asd 54 2 4 2 16" xfId="31768"/>
    <cellStyle name="asd 54 2 4 2 17" xfId="34369"/>
    <cellStyle name="asd 54 2 4 2 18" xfId="36889"/>
    <cellStyle name="asd 54 2 4 2 19" xfId="38768"/>
    <cellStyle name="asd 54 2 4 2 2" xfId="7459"/>
    <cellStyle name="asd 54 2 4 2 20" xfId="39007"/>
    <cellStyle name="asd 54 2 4 2 21" xfId="40690"/>
    <cellStyle name="asd 54 2 4 2 22" xfId="43613"/>
    <cellStyle name="asd 54 2 4 2 3" xfId="8913"/>
    <cellStyle name="asd 54 2 4 2 4" xfId="10823"/>
    <cellStyle name="asd 54 2 4 2 5" xfId="11424"/>
    <cellStyle name="asd 54 2 4 2 6" xfId="14333"/>
    <cellStyle name="asd 54 2 4 2 7" xfId="16237"/>
    <cellStyle name="asd 54 2 4 2 8" xfId="18442"/>
    <cellStyle name="asd 54 2 4 2 9" xfId="20348"/>
    <cellStyle name="asd 54 2 4 20" xfId="38160"/>
    <cellStyle name="asd 54 2 4 21" xfId="40432"/>
    <cellStyle name="asd 54 2 4 22" xfId="42087"/>
    <cellStyle name="asd 54 2 4 23" xfId="43079"/>
    <cellStyle name="asd 54 2 4 3" xfId="6851"/>
    <cellStyle name="asd 54 2 4 4" xfId="8305"/>
    <cellStyle name="asd 54 2 4 5" xfId="10215"/>
    <cellStyle name="asd 54 2 4 6" xfId="11314"/>
    <cellStyle name="asd 54 2 4 7" xfId="13779"/>
    <cellStyle name="asd 54 2 4 8" xfId="15681"/>
    <cellStyle name="asd 54 2 4 9" xfId="17834"/>
    <cellStyle name="asd 54 2 5" xfId="4957"/>
    <cellStyle name="asd 54 2 5 10" xfId="21205"/>
    <cellStyle name="asd 54 2 5 11" xfId="22953"/>
    <cellStyle name="asd 54 2 5 12" xfId="25007"/>
    <cellStyle name="asd 54 2 5 13" xfId="26185"/>
    <cellStyle name="asd 54 2 5 14" xfId="28252"/>
    <cellStyle name="asd 54 2 5 15" xfId="29797"/>
    <cellStyle name="asd 54 2 5 16" xfId="28148"/>
    <cellStyle name="asd 54 2 5 17" xfId="10898"/>
    <cellStyle name="asd 54 2 5 18" xfId="35834"/>
    <cellStyle name="asd 54 2 5 19" xfId="37713"/>
    <cellStyle name="asd 54 2 5 2" xfId="6407"/>
    <cellStyle name="asd 54 2 5 20" xfId="34732"/>
    <cellStyle name="asd 54 2 5 21" xfId="39669"/>
    <cellStyle name="asd 54 2 5 22" xfId="42739"/>
    <cellStyle name="asd 54 2 5 3" xfId="7858"/>
    <cellStyle name="asd 54 2 5 4" xfId="9768"/>
    <cellStyle name="asd 54 2 5 5" xfId="11240"/>
    <cellStyle name="asd 54 2 5 6" xfId="13422"/>
    <cellStyle name="asd 54 2 5 7" xfId="15327"/>
    <cellStyle name="asd 54 2 5 8" xfId="17387"/>
    <cellStyle name="asd 54 2 5 9" xfId="19293"/>
    <cellStyle name="asd 54 2 6" xfId="2532"/>
    <cellStyle name="asd 54 2 6 10" xfId="20486"/>
    <cellStyle name="asd 54 2 6 11" xfId="22879"/>
    <cellStyle name="asd 54 2 6 12" xfId="24288"/>
    <cellStyle name="asd 54 2 6 13" xfId="27669"/>
    <cellStyle name="asd 54 2 6 14" xfId="28575"/>
    <cellStyle name="asd 54 2 6 15" xfId="31245"/>
    <cellStyle name="asd 54 2 6 16" xfId="32759"/>
    <cellStyle name="asd 54 2 6 17" xfId="33524"/>
    <cellStyle name="asd 54 2 6 18" xfId="35116"/>
    <cellStyle name="asd 54 2 6 19" xfId="36994"/>
    <cellStyle name="asd 54 2 6 2" xfId="4722"/>
    <cellStyle name="asd 54 2 6 20" xfId="39968"/>
    <cellStyle name="asd 54 2 6 21" xfId="41632"/>
    <cellStyle name="asd 54 2 6 22" xfId="42666"/>
    <cellStyle name="asd 54 2 6 3" xfId="6144"/>
    <cellStyle name="asd 54 2 6 4" xfId="9048"/>
    <cellStyle name="asd 54 2 6 5" xfId="11225"/>
    <cellStyle name="asd 54 2 6 6" xfId="13347"/>
    <cellStyle name="asd 54 2 6 7" xfId="15252"/>
    <cellStyle name="asd 54 2 6 8" xfId="16667"/>
    <cellStyle name="asd 54 2 6 9" xfId="18574"/>
    <cellStyle name="asd 54 2 7" xfId="2322"/>
    <cellStyle name="asd 54 2 8" xfId="9287"/>
    <cellStyle name="asd 54 2 9" xfId="12528"/>
    <cellStyle name="asd 54 20" xfId="2362"/>
    <cellStyle name="asd 54 21" xfId="15661"/>
    <cellStyle name="asd 54 22" xfId="30104"/>
    <cellStyle name="asd 54 23" xfId="30955"/>
    <cellStyle name="asd 54 24" xfId="33463"/>
    <cellStyle name="asd 54 25" xfId="2457"/>
    <cellStyle name="asd 54 26" xfId="27982"/>
    <cellStyle name="asd 54 27" xfId="35069"/>
    <cellStyle name="asd 54 3" xfId="3365"/>
    <cellStyle name="asd 54 3 10" xfId="2346"/>
    <cellStyle name="asd 54 3 11" xfId="2341"/>
    <cellStyle name="asd 54 3 12" xfId="16664"/>
    <cellStyle name="asd 54 3 13" xfId="18571"/>
    <cellStyle name="asd 54 3 14" xfId="20483"/>
    <cellStyle name="asd 54 3 15" xfId="11697"/>
    <cellStyle name="asd 54 3 16" xfId="24285"/>
    <cellStyle name="asd 54 3 17" xfId="4160"/>
    <cellStyle name="asd 54 3 18" xfId="2850"/>
    <cellStyle name="asd 54 3 19" xfId="2663"/>
    <cellStyle name="asd 54 3 2" xfId="3545"/>
    <cellStyle name="asd 54 3 2 10" xfId="17436"/>
    <cellStyle name="asd 54 3 2 11" xfId="19342"/>
    <cellStyle name="asd 54 3 2 12" xfId="21254"/>
    <cellStyle name="asd 54 3 2 13" xfId="22924"/>
    <cellStyle name="asd 54 3 2 14" xfId="25056"/>
    <cellStyle name="asd 54 3 2 15" xfId="27965"/>
    <cellStyle name="asd 54 3 2 16" xfId="3198"/>
    <cellStyle name="asd 54 3 2 17" xfId="31545"/>
    <cellStyle name="asd 54 3 2 18" xfId="3209"/>
    <cellStyle name="asd 54 3 2 19" xfId="2987"/>
    <cellStyle name="asd 54 3 2 2" xfId="4344"/>
    <cellStyle name="asd 54 3 2 2 10" xfId="20468"/>
    <cellStyle name="asd 54 3 2 2 11" xfId="23129"/>
    <cellStyle name="asd 54 3 2 2 12" xfId="24270"/>
    <cellStyle name="asd 54 3 2 2 13" xfId="27299"/>
    <cellStyle name="asd 54 3 2 2 14" xfId="28767"/>
    <cellStyle name="asd 54 3 2 2 15" xfId="30889"/>
    <cellStyle name="asd 54 3 2 2 16" xfId="32965"/>
    <cellStyle name="asd 54 3 2 2 17" xfId="34161"/>
    <cellStyle name="asd 54 3 2 2 18" xfId="35098"/>
    <cellStyle name="asd 54 3 2 2 19" xfId="36976"/>
    <cellStyle name="asd 54 3 2 2 2" xfId="4216"/>
    <cellStyle name="asd 54 3 2 2 20" xfId="40166"/>
    <cellStyle name="asd 54 3 2 2 21" xfId="41825"/>
    <cellStyle name="asd 54 3 2 2 22" xfId="42908"/>
    <cellStyle name="asd 54 3 2 2 3" xfId="4428"/>
    <cellStyle name="asd 54 3 2 2 4" xfId="9030"/>
    <cellStyle name="asd 54 3 2 2 5" xfId="12753"/>
    <cellStyle name="asd 54 3 2 2 6" xfId="13600"/>
    <cellStyle name="asd 54 3 2 2 7" xfId="15503"/>
    <cellStyle name="asd 54 3 2 2 8" xfId="16649"/>
    <cellStyle name="asd 54 3 2 2 9" xfId="18556"/>
    <cellStyle name="asd 54 3 2 20" xfId="35883"/>
    <cellStyle name="asd 54 3 2 21" xfId="37762"/>
    <cellStyle name="asd 54 3 2 22" xfId="36948"/>
    <cellStyle name="asd 54 3 2 23" xfId="26560"/>
    <cellStyle name="asd 54 3 2 24" xfId="42710"/>
    <cellStyle name="asd 54 3 2 3" xfId="5006"/>
    <cellStyle name="asd 54 3 2 4" xfId="6456"/>
    <cellStyle name="asd 54 3 2 5" xfId="7907"/>
    <cellStyle name="asd 54 3 2 6" xfId="9817"/>
    <cellStyle name="asd 54 3 2 7" xfId="12326"/>
    <cellStyle name="asd 54 3 2 8" xfId="13392"/>
    <cellStyle name="asd 54 3 2 9" xfId="15297"/>
    <cellStyle name="asd 54 3 20" xfId="28398"/>
    <cellStyle name="asd 54 3 21" xfId="30009"/>
    <cellStyle name="asd 54 3 22" xfId="35113"/>
    <cellStyle name="asd 54 3 23" xfId="36991"/>
    <cellStyle name="asd 54 3 24" xfId="34811"/>
    <cellStyle name="asd 54 3 25" xfId="4196"/>
    <cellStyle name="asd 54 3 26" xfId="36957"/>
    <cellStyle name="asd 54 3 3" xfId="3808"/>
    <cellStyle name="asd 54 3 3 10" xfId="19540"/>
    <cellStyle name="asd 54 3 3 11" xfId="21452"/>
    <cellStyle name="asd 54 3 3 12" xfId="23381"/>
    <cellStyle name="asd 54 3 3 13" xfId="25254"/>
    <cellStyle name="asd 54 3 3 14" xfId="26927"/>
    <cellStyle name="asd 54 3 3 15" xfId="3183"/>
    <cellStyle name="asd 54 3 3 16" xfId="30521"/>
    <cellStyle name="asd 54 3 3 17" xfId="32420"/>
    <cellStyle name="asd 54 3 3 18" xfId="34095"/>
    <cellStyle name="asd 54 3 3 19" xfId="36081"/>
    <cellStyle name="asd 54 3 3 2" xfId="5810"/>
    <cellStyle name="asd 54 3 3 2 10" xfId="22060"/>
    <cellStyle name="asd 54 3 3 2 11" xfId="22499"/>
    <cellStyle name="asd 54 3 3 2 12" xfId="25862"/>
    <cellStyle name="asd 54 3 3 2 13" xfId="26479"/>
    <cellStyle name="asd 54 3 3 2 14" xfId="28924"/>
    <cellStyle name="asd 54 3 3 2 15" xfId="30085"/>
    <cellStyle name="asd 54 3 3 2 16" xfId="32901"/>
    <cellStyle name="asd 54 3 3 2 17" xfId="34347"/>
    <cellStyle name="asd 54 3 3 2 18" xfId="36689"/>
    <cellStyle name="asd 54 3 3 2 19" xfId="38568"/>
    <cellStyle name="asd 54 3 3 2 2" xfId="7259"/>
    <cellStyle name="asd 54 3 3 2 20" xfId="40105"/>
    <cellStyle name="asd 54 3 3 2 21" xfId="41765"/>
    <cellStyle name="asd 54 3 3 2 22" xfId="42309"/>
    <cellStyle name="asd 54 3 3 2 3" xfId="8713"/>
    <cellStyle name="asd 54 3 3 2 4" xfId="10623"/>
    <cellStyle name="asd 54 3 3 2 5" xfId="11494"/>
    <cellStyle name="asd 54 3 3 2 6" xfId="12967"/>
    <cellStyle name="asd 54 3 3 2 7" xfId="14871"/>
    <cellStyle name="asd 54 3 3 2 8" xfId="18242"/>
    <cellStyle name="asd 54 3 3 2 9" xfId="20148"/>
    <cellStyle name="asd 54 3 3 20" xfId="37960"/>
    <cellStyle name="asd 54 3 3 21" xfId="39637"/>
    <cellStyle name="asd 54 3 3 22" xfId="41311"/>
    <cellStyle name="asd 54 3 3 23" xfId="43148"/>
    <cellStyle name="asd 54 3 3 3" xfId="5204"/>
    <cellStyle name="asd 54 3 3 4" xfId="8105"/>
    <cellStyle name="asd 54 3 3 5" xfId="10015"/>
    <cellStyle name="asd 54 3 3 6" xfId="11327"/>
    <cellStyle name="asd 54 3 3 7" xfId="13853"/>
    <cellStyle name="asd 54 3 3 8" xfId="15754"/>
    <cellStyle name="asd 54 3 3 9" xfId="17634"/>
    <cellStyle name="asd 54 3 4" xfId="3997"/>
    <cellStyle name="asd 54 3 4 10" xfId="19632"/>
    <cellStyle name="asd 54 3 4 11" xfId="21544"/>
    <cellStyle name="asd 54 3 4 12" xfId="23183"/>
    <cellStyle name="asd 54 3 4 13" xfId="25346"/>
    <cellStyle name="asd 54 3 4 14" xfId="26471"/>
    <cellStyle name="asd 54 3 4 15" xfId="2546"/>
    <cellStyle name="asd 54 3 4 16" xfId="30076"/>
    <cellStyle name="asd 54 3 4 17" xfId="32581"/>
    <cellStyle name="asd 54 3 4 18" xfId="34543"/>
    <cellStyle name="asd 54 3 4 19" xfId="36173"/>
    <cellStyle name="asd 54 3 4 2" xfId="5902"/>
    <cellStyle name="asd 54 3 4 2 10" xfId="22152"/>
    <cellStyle name="asd 54 3 4 2 11" xfId="23557"/>
    <cellStyle name="asd 54 3 4 2 12" xfId="25954"/>
    <cellStyle name="asd 54 3 4 2 13" xfId="27356"/>
    <cellStyle name="asd 54 3 4 2 14" xfId="29683"/>
    <cellStyle name="asd 54 3 4 2 15" xfId="30945"/>
    <cellStyle name="asd 54 3 4 2 16" xfId="32962"/>
    <cellStyle name="asd 54 3 4 2 17" xfId="34976"/>
    <cellStyle name="asd 54 3 4 2 18" xfId="36781"/>
    <cellStyle name="asd 54 3 4 2 19" xfId="38660"/>
    <cellStyle name="asd 54 3 4 2 2" xfId="7351"/>
    <cellStyle name="asd 54 3 4 2 20" xfId="40163"/>
    <cellStyle name="asd 54 3 4 2 21" xfId="41822"/>
    <cellStyle name="asd 54 3 4 2 22" xfId="43321"/>
    <cellStyle name="asd 54 3 4 2 3" xfId="8805"/>
    <cellStyle name="asd 54 3 4 2 4" xfId="10715"/>
    <cellStyle name="asd 54 3 4 2 5" xfId="12575"/>
    <cellStyle name="asd 54 3 4 2 6" xfId="14029"/>
    <cellStyle name="asd 54 3 4 2 7" xfId="15930"/>
    <cellStyle name="asd 54 3 4 2 8" xfId="18334"/>
    <cellStyle name="asd 54 3 4 2 9" xfId="20240"/>
    <cellStyle name="asd 54 3 4 20" xfId="38052"/>
    <cellStyle name="asd 54 3 4 21" xfId="39791"/>
    <cellStyle name="asd 54 3 4 22" xfId="41461"/>
    <cellStyle name="asd 54 3 4 23" xfId="42961"/>
    <cellStyle name="asd 54 3 4 3" xfId="6743"/>
    <cellStyle name="asd 54 3 4 4" xfId="8197"/>
    <cellStyle name="asd 54 3 4 5" xfId="10107"/>
    <cellStyle name="asd 54 3 4 6" xfId="11016"/>
    <cellStyle name="asd 54 3 4 7" xfId="13654"/>
    <cellStyle name="asd 54 3 4 8" xfId="15557"/>
    <cellStyle name="asd 54 3 4 9" xfId="17726"/>
    <cellStyle name="asd 54 3 5" xfId="4873"/>
    <cellStyle name="asd 54 3 5 10" xfId="21121"/>
    <cellStyle name="asd 54 3 5 11" xfId="24008"/>
    <cellStyle name="asd 54 3 5 12" xfId="24923"/>
    <cellStyle name="asd 54 3 5 13" xfId="27132"/>
    <cellStyle name="asd 54 3 5 14" xfId="29128"/>
    <cellStyle name="asd 54 3 5 15" xfId="30723"/>
    <cellStyle name="asd 54 3 5 16" xfId="33241"/>
    <cellStyle name="asd 54 3 5 17" xfId="33790"/>
    <cellStyle name="asd 54 3 5 18" xfId="35750"/>
    <cellStyle name="asd 54 3 5 19" xfId="37629"/>
    <cellStyle name="asd 54 3 5 2" xfId="6323"/>
    <cellStyle name="asd 54 3 5 20" xfId="40430"/>
    <cellStyle name="asd 54 3 5 21" xfId="42085"/>
    <cellStyle name="asd 54 3 5 22" xfId="43752"/>
    <cellStyle name="asd 54 3 5 3" xfId="7774"/>
    <cellStyle name="asd 54 3 5 4" xfId="9684"/>
    <cellStyle name="asd 54 3 5 5" xfId="11967"/>
    <cellStyle name="asd 54 3 5 6" xfId="14478"/>
    <cellStyle name="asd 54 3 5 7" xfId="16384"/>
    <cellStyle name="asd 54 3 5 8" xfId="17303"/>
    <cellStyle name="asd 54 3 5 9" xfId="19209"/>
    <cellStyle name="asd 54 3 6" xfId="5548"/>
    <cellStyle name="asd 54 3 6 10" xfId="21798"/>
    <cellStyle name="asd 54 3 6 11" xfId="23681"/>
    <cellStyle name="asd 54 3 6 12" xfId="25600"/>
    <cellStyle name="asd 54 3 6 13" xfId="27218"/>
    <cellStyle name="asd 54 3 6 14" xfId="29693"/>
    <cellStyle name="asd 54 3 6 15" xfId="30809"/>
    <cellStyle name="asd 54 3 6 16" xfId="31721"/>
    <cellStyle name="asd 54 3 6 17" xfId="34320"/>
    <cellStyle name="asd 54 3 6 18" xfId="36427"/>
    <cellStyle name="asd 54 3 6 19" xfId="38306"/>
    <cellStyle name="asd 54 3 6 2" xfId="6997"/>
    <cellStyle name="asd 54 3 6 20" xfId="38962"/>
    <cellStyle name="asd 54 3 6 21" xfId="40645"/>
    <cellStyle name="asd 54 3 6 22" xfId="43438"/>
    <cellStyle name="asd 54 3 6 3" xfId="8451"/>
    <cellStyle name="asd 54 3 6 4" xfId="10361"/>
    <cellStyle name="asd 54 3 6 5" xfId="11530"/>
    <cellStyle name="asd 54 3 6 6" xfId="14151"/>
    <cellStyle name="asd 54 3 6 7" xfId="16055"/>
    <cellStyle name="asd 54 3 6 8" xfId="17980"/>
    <cellStyle name="asd 54 3 6 9" xfId="19886"/>
    <cellStyle name="asd 54 3 7" xfId="6657"/>
    <cellStyle name="asd 54 3 8" xfId="9045"/>
    <cellStyle name="asd 54 3 9" xfId="3268"/>
    <cellStyle name="asd 54 4" xfId="3405"/>
    <cellStyle name="asd 54 4 10" xfId="15652"/>
    <cellStyle name="asd 54 4 11" xfId="16754"/>
    <cellStyle name="asd 54 4 12" xfId="18661"/>
    <cellStyle name="asd 54 4 13" xfId="20573"/>
    <cellStyle name="asd 54 4 14" xfId="23278"/>
    <cellStyle name="asd 54 4 15" xfId="24375"/>
    <cellStyle name="asd 54 4 16" xfId="27623"/>
    <cellStyle name="asd 54 4 17" xfId="28118"/>
    <cellStyle name="asd 54 4 18" xfId="31201"/>
    <cellStyle name="asd 54 4 19" xfId="31692"/>
    <cellStyle name="asd 54 4 2" xfId="3585"/>
    <cellStyle name="asd 54 4 2 10" xfId="17476"/>
    <cellStyle name="asd 54 4 2 11" xfId="19382"/>
    <cellStyle name="asd 54 4 2 12" xfId="21294"/>
    <cellStyle name="asd 54 4 2 13" xfId="23469"/>
    <cellStyle name="asd 54 4 2 14" xfId="25096"/>
    <cellStyle name="asd 54 4 2 15" xfId="26371"/>
    <cellStyle name="asd 54 4 2 16" xfId="29550"/>
    <cellStyle name="asd 54 4 2 17" xfId="29979"/>
    <cellStyle name="asd 54 4 2 18" xfId="33177"/>
    <cellStyle name="asd 54 4 2 19" xfId="34472"/>
    <cellStyle name="asd 54 4 2 2" xfId="4343"/>
    <cellStyle name="asd 54 4 2 2 10" xfId="20480"/>
    <cellStyle name="asd 54 4 2 2 11" xfId="14976"/>
    <cellStyle name="asd 54 4 2 2 12" xfId="24282"/>
    <cellStyle name="asd 54 4 2 2 13" xfId="3056"/>
    <cellStyle name="asd 54 4 2 2 14" xfId="28345"/>
    <cellStyle name="asd 54 4 2 2 15" xfId="2014"/>
    <cellStyle name="asd 54 4 2 2 16" xfId="32949"/>
    <cellStyle name="asd 54 4 2 2 17" xfId="33876"/>
    <cellStyle name="asd 54 4 2 2 18" xfId="35110"/>
    <cellStyle name="asd 54 4 2 2 19" xfId="36988"/>
    <cellStyle name="asd 54 4 2 2 2" xfId="4495"/>
    <cellStyle name="asd 54 4 2 2 20" xfId="40152"/>
    <cellStyle name="asd 54 4 2 2 21" xfId="41811"/>
    <cellStyle name="asd 54 4 2 2 22" xfId="40940"/>
    <cellStyle name="asd 54 4 2 2 3" xfId="3888"/>
    <cellStyle name="asd 54 4 2 2 4" xfId="9042"/>
    <cellStyle name="asd 54 4 2 2 5" xfId="3094"/>
    <cellStyle name="asd 54 4 2 2 6" xfId="11423"/>
    <cellStyle name="asd 54 4 2 2 7" xfId="14267"/>
    <cellStyle name="asd 54 4 2 2 8" xfId="16661"/>
    <cellStyle name="asd 54 4 2 2 9" xfId="18568"/>
    <cellStyle name="asd 54 4 2 20" xfId="35923"/>
    <cellStyle name="asd 54 4 2 21" xfId="37802"/>
    <cellStyle name="asd 54 4 2 22" xfId="40368"/>
    <cellStyle name="asd 54 4 2 23" xfId="42024"/>
    <cellStyle name="asd 54 4 2 24" xfId="43236"/>
    <cellStyle name="asd 54 4 2 3" xfId="5046"/>
    <cellStyle name="asd 54 4 2 4" xfId="6496"/>
    <cellStyle name="asd 54 4 2 5" xfId="7947"/>
    <cellStyle name="asd 54 4 2 6" xfId="9857"/>
    <cellStyle name="asd 54 4 2 7" xfId="12592"/>
    <cellStyle name="asd 54 4 2 8" xfId="13941"/>
    <cellStyle name="asd 54 4 2 9" xfId="15842"/>
    <cellStyle name="asd 54 4 20" xfId="34797"/>
    <cellStyle name="asd 54 4 21" xfId="35203"/>
    <cellStyle name="asd 54 4 22" xfId="37081"/>
    <cellStyle name="asd 54 4 23" xfId="38934"/>
    <cellStyle name="asd 54 4 24" xfId="40618"/>
    <cellStyle name="asd 54 4 25" xfId="43054"/>
    <cellStyle name="asd 54 4 3" xfId="3914"/>
    <cellStyle name="asd 54 4 3 10" xfId="19611"/>
    <cellStyle name="asd 54 4 3 11" xfId="21523"/>
    <cellStyle name="asd 54 4 3 12" xfId="23053"/>
    <cellStyle name="asd 54 4 3 13" xfId="25325"/>
    <cellStyle name="asd 54 4 3 14" xfId="27862"/>
    <cellStyle name="asd 54 4 3 15" xfId="5387"/>
    <cellStyle name="asd 54 4 3 16" xfId="31442"/>
    <cellStyle name="asd 54 4 3 17" xfId="14647"/>
    <cellStyle name="asd 54 4 3 18" xfId="12783"/>
    <cellStyle name="asd 54 4 3 19" xfId="36152"/>
    <cellStyle name="asd 54 4 3 2" xfId="5881"/>
    <cellStyle name="asd 54 4 3 2 10" xfId="22131"/>
    <cellStyle name="asd 54 4 3 2 11" xfId="22809"/>
    <cellStyle name="asd 54 4 3 2 12" xfId="25933"/>
    <cellStyle name="asd 54 4 3 2 13" xfId="27515"/>
    <cellStyle name="asd 54 4 3 2 14" xfId="28462"/>
    <cellStyle name="asd 54 4 3 2 15" xfId="31099"/>
    <cellStyle name="asd 54 4 3 2 16" xfId="31652"/>
    <cellStyle name="asd 54 4 3 2 17" xfId="33873"/>
    <cellStyle name="asd 54 4 3 2 18" xfId="36760"/>
    <cellStyle name="asd 54 4 3 2 19" xfId="38639"/>
    <cellStyle name="asd 54 4 3 2 2" xfId="7330"/>
    <cellStyle name="asd 54 4 3 2 20" xfId="38897"/>
    <cellStyle name="asd 54 4 3 2 21" xfId="40582"/>
    <cellStyle name="asd 54 4 3 2 22" xfId="42602"/>
    <cellStyle name="asd 54 4 3 2 3" xfId="8784"/>
    <cellStyle name="asd 54 4 3 2 4" xfId="10694"/>
    <cellStyle name="asd 54 4 3 2 5" xfId="11124"/>
    <cellStyle name="asd 54 4 3 2 6" xfId="13279"/>
    <cellStyle name="asd 54 4 3 2 7" xfId="15183"/>
    <cellStyle name="asd 54 4 3 2 8" xfId="18313"/>
    <cellStyle name="asd 54 4 3 2 9" xfId="20219"/>
    <cellStyle name="asd 54 4 3 20" xfId="38031"/>
    <cellStyle name="asd 54 4 3 21" xfId="34628"/>
    <cellStyle name="asd 54 4 3 22" xfId="2889"/>
    <cellStyle name="asd 54 4 3 23" xfId="42836"/>
    <cellStyle name="asd 54 4 3 3" xfId="5275"/>
    <cellStyle name="asd 54 4 3 4" xfId="8176"/>
    <cellStyle name="asd 54 4 3 5" xfId="10086"/>
    <cellStyle name="asd 54 4 3 6" xfId="12655"/>
    <cellStyle name="asd 54 4 3 7" xfId="13524"/>
    <cellStyle name="asd 54 4 3 8" xfId="15427"/>
    <cellStyle name="asd 54 4 3 9" xfId="17705"/>
    <cellStyle name="asd 54 4 4" xfId="4037"/>
    <cellStyle name="asd 54 4 4 10" xfId="19672"/>
    <cellStyle name="asd 54 4 4 11" xfId="21584"/>
    <cellStyle name="asd 54 4 4 12" xfId="23407"/>
    <cellStyle name="asd 54 4 4 13" xfId="25386"/>
    <cellStyle name="asd 54 4 4 14" xfId="27297"/>
    <cellStyle name="asd 54 4 4 15" xfId="28152"/>
    <cellStyle name="asd 54 4 4 16" xfId="30887"/>
    <cellStyle name="asd 54 4 4 17" xfId="32380"/>
    <cellStyle name="asd 54 4 4 18" xfId="34249"/>
    <cellStyle name="asd 54 4 4 19" xfId="36213"/>
    <cellStyle name="asd 54 4 4 2" xfId="5942"/>
    <cellStyle name="asd 54 4 4 2 10" xfId="22192"/>
    <cellStyle name="asd 54 4 4 2 11" xfId="22500"/>
    <cellStyle name="asd 54 4 4 2 12" xfId="25994"/>
    <cellStyle name="asd 54 4 4 2 13" xfId="26644"/>
    <cellStyle name="asd 54 4 4 2 14" xfId="2788"/>
    <cellStyle name="asd 54 4 4 2 15" xfId="30247"/>
    <cellStyle name="asd 54 4 4 2 16" xfId="33154"/>
    <cellStyle name="asd 54 4 4 2 17" xfId="35007"/>
    <cellStyle name="asd 54 4 4 2 18" xfId="36821"/>
    <cellStyle name="asd 54 4 4 2 19" xfId="38700"/>
    <cellStyle name="asd 54 4 4 2 2" xfId="7391"/>
    <cellStyle name="asd 54 4 4 2 20" xfId="40347"/>
    <cellStyle name="asd 54 4 4 2 21" xfId="42003"/>
    <cellStyle name="asd 54 4 4 2 22" xfId="42310"/>
    <cellStyle name="asd 54 4 4 2 3" xfId="8845"/>
    <cellStyle name="asd 54 4 4 2 4" xfId="10755"/>
    <cellStyle name="asd 54 4 4 2 5" xfId="11492"/>
    <cellStyle name="asd 54 4 4 2 6" xfId="12968"/>
    <cellStyle name="asd 54 4 4 2 7" xfId="14872"/>
    <cellStyle name="asd 54 4 4 2 8" xfId="18374"/>
    <cellStyle name="asd 54 4 4 2 9" xfId="20280"/>
    <cellStyle name="asd 54 4 4 20" xfId="38092"/>
    <cellStyle name="asd 54 4 4 21" xfId="39598"/>
    <cellStyle name="asd 54 4 4 22" xfId="41272"/>
    <cellStyle name="asd 54 4 4 23" xfId="43174"/>
    <cellStyle name="asd 54 4 4 3" xfId="6783"/>
    <cellStyle name="asd 54 4 4 4" xfId="8237"/>
    <cellStyle name="asd 54 4 4 5" xfId="10147"/>
    <cellStyle name="asd 54 4 4 6" xfId="12178"/>
    <cellStyle name="asd 54 4 4 7" xfId="13879"/>
    <cellStyle name="asd 54 4 4 8" xfId="15780"/>
    <cellStyle name="asd 54 4 4 9" xfId="17766"/>
    <cellStyle name="asd 54 4 5" xfId="5668"/>
    <cellStyle name="asd 54 4 5 10" xfId="21918"/>
    <cellStyle name="asd 54 4 5 11" xfId="23607"/>
    <cellStyle name="asd 54 4 5 12" xfId="25720"/>
    <cellStyle name="asd 54 4 5 13" xfId="26629"/>
    <cellStyle name="asd 54 4 5 14" xfId="29068"/>
    <cellStyle name="asd 54 4 5 15" xfId="30232"/>
    <cellStyle name="asd 54 4 5 16" xfId="31746"/>
    <cellStyle name="asd 54 4 5 17" xfId="33753"/>
    <cellStyle name="asd 54 4 5 18" xfId="36547"/>
    <cellStyle name="asd 54 4 5 19" xfId="38426"/>
    <cellStyle name="asd 54 4 5 2" xfId="7117"/>
    <cellStyle name="asd 54 4 5 20" xfId="38986"/>
    <cellStyle name="asd 54 4 5 21" xfId="40669"/>
    <cellStyle name="asd 54 4 5 22" xfId="43365"/>
    <cellStyle name="asd 54 4 5 3" xfId="8571"/>
    <cellStyle name="asd 54 4 5 4" xfId="10481"/>
    <cellStyle name="asd 54 4 5 5" xfId="11680"/>
    <cellStyle name="asd 54 4 5 6" xfId="14077"/>
    <cellStyle name="asd 54 4 5 7" xfId="15980"/>
    <cellStyle name="asd 54 4 5 8" xfId="18100"/>
    <cellStyle name="asd 54 4 5 9" xfId="20006"/>
    <cellStyle name="asd 54 4 6" xfId="3764"/>
    <cellStyle name="asd 54 4 7" xfId="9135"/>
    <cellStyle name="asd 54 4 8" xfId="11221"/>
    <cellStyle name="asd 54 4 9" xfId="13750"/>
    <cellStyle name="asd 54 5" xfId="2043"/>
    <cellStyle name="asd 54 5 10" xfId="17096"/>
    <cellStyle name="asd 54 5 11" xfId="19002"/>
    <cellStyle name="asd 54 5 12" xfId="20914"/>
    <cellStyle name="asd 54 5 13" xfId="22476"/>
    <cellStyle name="asd 54 5 14" xfId="24716"/>
    <cellStyle name="asd 54 5 15" xfId="27354"/>
    <cellStyle name="asd 54 5 16" xfId="28201"/>
    <cellStyle name="asd 54 5 17" xfId="30943"/>
    <cellStyle name="asd 54 5 18" xfId="31935"/>
    <cellStyle name="asd 54 5 19" xfId="33884"/>
    <cellStyle name="asd 54 5 2" xfId="5464"/>
    <cellStyle name="asd 54 5 2 10" xfId="21714"/>
    <cellStyle name="asd 54 5 2 11" xfId="23487"/>
    <cellStyle name="asd 54 5 2 12" xfId="25516"/>
    <cellStyle name="asd 54 5 2 13" xfId="26391"/>
    <cellStyle name="asd 54 5 2 14" xfId="28405"/>
    <cellStyle name="asd 54 5 2 15" xfId="29999"/>
    <cellStyle name="asd 54 5 2 16" xfId="32393"/>
    <cellStyle name="asd 54 5 2 17" xfId="34397"/>
    <cellStyle name="asd 54 5 2 18" xfId="36343"/>
    <cellStyle name="asd 54 5 2 19" xfId="38222"/>
    <cellStyle name="asd 54 5 2 2" xfId="6913"/>
    <cellStyle name="asd 54 5 2 20" xfId="39610"/>
    <cellStyle name="asd 54 5 2 21" xfId="41284"/>
    <cellStyle name="asd 54 5 2 22" xfId="43253"/>
    <cellStyle name="asd 54 5 2 3" xfId="8367"/>
    <cellStyle name="asd 54 5 2 4" xfId="10277"/>
    <cellStyle name="asd 54 5 2 5" xfId="12539"/>
    <cellStyle name="asd 54 5 2 6" xfId="13959"/>
    <cellStyle name="asd 54 5 2 7" xfId="15860"/>
    <cellStyle name="asd 54 5 2 8" xfId="17896"/>
    <cellStyle name="asd 54 5 2 9" xfId="19802"/>
    <cellStyle name="asd 54 5 20" xfId="35543"/>
    <cellStyle name="asd 54 5 21" xfId="37422"/>
    <cellStyle name="asd 54 5 22" xfId="39165"/>
    <cellStyle name="asd 54 5 23" xfId="40846"/>
    <cellStyle name="asd 54 5 24" xfId="42286"/>
    <cellStyle name="asd 54 5 3" xfId="4669"/>
    <cellStyle name="asd 54 5 4" xfId="6116"/>
    <cellStyle name="asd 54 5 5" xfId="7567"/>
    <cellStyle name="asd 54 5 6" xfId="9477"/>
    <cellStyle name="asd 54 5 7" xfId="11358"/>
    <cellStyle name="asd 54 5 8" xfId="12944"/>
    <cellStyle name="asd 54 5 9" xfId="14848"/>
    <cellStyle name="asd 54 6" xfId="3736"/>
    <cellStyle name="asd 54 6 10" xfId="19502"/>
    <cellStyle name="asd 54 6 11" xfId="21414"/>
    <cellStyle name="asd 54 6 12" xfId="23027"/>
    <cellStyle name="asd 54 6 13" xfId="25216"/>
    <cellStyle name="asd 54 6 14" xfId="26278"/>
    <cellStyle name="asd 54 6 15" xfId="29551"/>
    <cellStyle name="asd 54 6 16" xfId="29887"/>
    <cellStyle name="asd 54 6 17" xfId="31881"/>
    <cellStyle name="asd 54 6 18" xfId="34318"/>
    <cellStyle name="asd 54 6 19" xfId="36043"/>
    <cellStyle name="asd 54 6 2" xfId="5772"/>
    <cellStyle name="asd 54 6 2 10" xfId="22022"/>
    <cellStyle name="asd 54 6 2 11" xfId="23417"/>
    <cellStyle name="asd 54 6 2 12" xfId="25824"/>
    <cellStyle name="asd 54 6 2 13" xfId="27713"/>
    <cellStyle name="asd 54 6 2 14" xfId="2583"/>
    <cellStyle name="asd 54 6 2 15" xfId="31290"/>
    <cellStyle name="asd 54 6 2 16" xfId="33099"/>
    <cellStyle name="asd 54 6 2 17" xfId="31919"/>
    <cellStyle name="asd 54 6 2 18" xfId="36651"/>
    <cellStyle name="asd 54 6 2 19" xfId="38530"/>
    <cellStyle name="asd 54 6 2 2" xfId="7221"/>
    <cellStyle name="asd 54 6 2 20" xfId="40295"/>
    <cellStyle name="asd 54 6 2 21" xfId="41951"/>
    <cellStyle name="asd 54 6 2 22" xfId="43184"/>
    <cellStyle name="asd 54 6 2 3" xfId="8675"/>
    <cellStyle name="asd 54 6 2 4" xfId="10585"/>
    <cellStyle name="asd 54 6 2 5" xfId="12449"/>
    <cellStyle name="asd 54 6 2 6" xfId="13889"/>
    <cellStyle name="asd 54 6 2 7" xfId="15790"/>
    <cellStyle name="asd 54 6 2 8" xfId="18204"/>
    <cellStyle name="asd 54 6 2 9" xfId="20110"/>
    <cellStyle name="asd 54 6 20" xfId="37922"/>
    <cellStyle name="asd 54 6 21" xfId="39116"/>
    <cellStyle name="asd 54 6 22" xfId="40797"/>
    <cellStyle name="asd 54 6 23" xfId="42810"/>
    <cellStyle name="asd 54 6 3" xfId="5166"/>
    <cellStyle name="asd 54 6 4" xfId="8067"/>
    <cellStyle name="asd 54 6 5" xfId="9977"/>
    <cellStyle name="asd 54 6 6" xfId="11592"/>
    <cellStyle name="asd 54 6 7" xfId="13497"/>
    <cellStyle name="asd 54 6 8" xfId="15401"/>
    <cellStyle name="asd 54 6 9" xfId="17596"/>
    <cellStyle name="asd 54 7" xfId="1991"/>
    <cellStyle name="asd 54 7 10" xfId="18995"/>
    <cellStyle name="asd 54 7 11" xfId="20907"/>
    <cellStyle name="asd 54 7 12" xfId="22446"/>
    <cellStyle name="asd 54 7 13" xfId="24709"/>
    <cellStyle name="asd 54 7 14" xfId="26494"/>
    <cellStyle name="asd 54 7 15" xfId="28093"/>
    <cellStyle name="asd 54 7 16" xfId="30099"/>
    <cellStyle name="asd 54 7 17" xfId="32171"/>
    <cellStyle name="asd 54 7 18" xfId="34799"/>
    <cellStyle name="asd 54 7 19" xfId="35536"/>
    <cellStyle name="asd 54 7 2" xfId="5481"/>
    <cellStyle name="asd 54 7 2 10" xfId="21731"/>
    <cellStyle name="asd 54 7 2 11" xfId="22873"/>
    <cellStyle name="asd 54 7 2 12" xfId="25533"/>
    <cellStyle name="asd 54 7 2 13" xfId="26226"/>
    <cellStyle name="asd 54 7 2 14" xfId="1984"/>
    <cellStyle name="asd 54 7 2 15" xfId="29836"/>
    <cellStyle name="asd 54 7 2 16" xfId="32438"/>
    <cellStyle name="asd 54 7 2 17" xfId="33593"/>
    <cellStyle name="asd 54 7 2 18" xfId="36360"/>
    <cellStyle name="asd 54 7 2 19" xfId="38239"/>
    <cellStyle name="asd 54 7 2 2" xfId="6930"/>
    <cellStyle name="asd 54 7 2 20" xfId="39655"/>
    <cellStyle name="asd 54 7 2 21" xfId="41329"/>
    <cellStyle name="asd 54 7 2 22" xfId="42660"/>
    <cellStyle name="asd 54 7 2 3" xfId="8384"/>
    <cellStyle name="asd 54 7 2 4" xfId="10294"/>
    <cellStyle name="asd 54 7 2 5" xfId="12204"/>
    <cellStyle name="asd 54 7 2 6" xfId="13341"/>
    <cellStyle name="asd 54 7 2 7" xfId="15246"/>
    <cellStyle name="asd 54 7 2 8" xfId="17913"/>
    <cellStyle name="asd 54 7 2 9" xfId="19819"/>
    <cellStyle name="asd 54 7 20" xfId="37415"/>
    <cellStyle name="asd 54 7 21" xfId="39393"/>
    <cellStyle name="asd 54 7 22" xfId="41069"/>
    <cellStyle name="asd 54 7 23" xfId="42257"/>
    <cellStyle name="asd 54 7 3" xfId="6109"/>
    <cellStyle name="asd 54 7 4" xfId="7560"/>
    <cellStyle name="asd 54 7 5" xfId="9470"/>
    <cellStyle name="asd 54 7 6" xfId="11454"/>
    <cellStyle name="asd 54 7 7" xfId="12914"/>
    <cellStyle name="asd 54 7 8" xfId="14819"/>
    <cellStyle name="asd 54 7 9" xfId="17089"/>
    <cellStyle name="asd 54 8" xfId="2581"/>
    <cellStyle name="asd 54 9" xfId="2900"/>
    <cellStyle name="asd 55" xfId="1097"/>
    <cellStyle name="asd 55 10" xfId="3786"/>
    <cellStyle name="asd 55 11" xfId="3140"/>
    <cellStyle name="asd 55 12" xfId="2386"/>
    <cellStyle name="asd 55 13" xfId="2285"/>
    <cellStyle name="asd 55 14" xfId="3232"/>
    <cellStyle name="asd 55 15" xfId="2003"/>
    <cellStyle name="asd 55 16" xfId="20420"/>
    <cellStyle name="asd 55 17" xfId="3011"/>
    <cellStyle name="asd 55 18" xfId="15375"/>
    <cellStyle name="asd 55 19" xfId="2384"/>
    <cellStyle name="asd 55 2" xfId="3356"/>
    <cellStyle name="asd 55 2 10" xfId="14629"/>
    <cellStyle name="asd 55 2 11" xfId="16535"/>
    <cellStyle name="asd 55 2 12" xfId="16641"/>
    <cellStyle name="asd 55 2 13" xfId="18548"/>
    <cellStyle name="asd 55 2 14" xfId="20460"/>
    <cellStyle name="asd 55 2 15" xfId="24158"/>
    <cellStyle name="asd 55 2 16" xfId="24262"/>
    <cellStyle name="asd 55 2 17" xfId="26633"/>
    <cellStyle name="asd 55 2 18" xfId="29463"/>
    <cellStyle name="asd 55 2 19" xfId="30236"/>
    <cellStyle name="asd 55 2 2" xfId="3536"/>
    <cellStyle name="asd 55 2 2 10" xfId="17427"/>
    <cellStyle name="asd 55 2 2 11" xfId="19333"/>
    <cellStyle name="asd 55 2 2 12" xfId="21245"/>
    <cellStyle name="asd 55 2 2 13" xfId="22887"/>
    <cellStyle name="asd 55 2 2 14" xfId="25047"/>
    <cellStyle name="asd 55 2 2 15" xfId="27044"/>
    <cellStyle name="asd 55 2 2 16" xfId="29325"/>
    <cellStyle name="asd 55 2 2 17" xfId="30637"/>
    <cellStyle name="asd 55 2 2 18" xfId="32262"/>
    <cellStyle name="asd 55 2 2 19" xfId="34810"/>
    <cellStyle name="asd 55 2 2 2" xfId="5545"/>
    <cellStyle name="asd 55 2 2 2 10" xfId="21795"/>
    <cellStyle name="asd 55 2 2 2 11" xfId="3747"/>
    <cellStyle name="asd 55 2 2 2 12" xfId="25597"/>
    <cellStyle name="asd 55 2 2 2 13" xfId="26146"/>
    <cellStyle name="asd 55 2 2 2 14" xfId="29085"/>
    <cellStyle name="asd 55 2 2 2 15" xfId="29760"/>
    <cellStyle name="asd 55 2 2 2 16" xfId="22314"/>
    <cellStyle name="asd 55 2 2 2 17" xfId="27890"/>
    <cellStyle name="asd 55 2 2 2 18" xfId="36424"/>
    <cellStyle name="asd 55 2 2 2 19" xfId="38303"/>
    <cellStyle name="asd 55 2 2 2 2" xfId="6994"/>
    <cellStyle name="asd 55 2 2 2 20" xfId="33954"/>
    <cellStyle name="asd 55 2 2 2 21" xfId="29281"/>
    <cellStyle name="asd 55 2 2 2 22" xfId="31590"/>
    <cellStyle name="asd 55 2 2 2 3" xfId="8448"/>
    <cellStyle name="asd 55 2 2 2 4" xfId="10358"/>
    <cellStyle name="asd 55 2 2 2 5" xfId="11154"/>
    <cellStyle name="asd 55 2 2 2 6" xfId="2970"/>
    <cellStyle name="asd 55 2 2 2 7" xfId="12070"/>
    <cellStyle name="asd 55 2 2 2 8" xfId="17977"/>
    <cellStyle name="asd 55 2 2 2 9" xfId="19883"/>
    <cellStyle name="asd 55 2 2 20" xfId="35874"/>
    <cellStyle name="asd 55 2 2 21" xfId="37753"/>
    <cellStyle name="asd 55 2 2 22" xfId="39480"/>
    <cellStyle name="asd 55 2 2 23" xfId="41155"/>
    <cellStyle name="asd 55 2 2 24" xfId="42673"/>
    <cellStyle name="asd 55 2 2 3" xfId="4997"/>
    <cellStyle name="asd 55 2 2 4" xfId="6447"/>
    <cellStyle name="asd 55 2 2 5" xfId="7898"/>
    <cellStyle name="asd 55 2 2 6" xfId="9808"/>
    <cellStyle name="asd 55 2 2 7" xfId="12391"/>
    <cellStyle name="asd 55 2 2 8" xfId="13355"/>
    <cellStyle name="asd 55 2 2 9" xfId="15260"/>
    <cellStyle name="asd 55 2 20" xfId="31765"/>
    <cellStyle name="asd 55 2 21" xfId="33724"/>
    <cellStyle name="asd 55 2 22" xfId="35090"/>
    <cellStyle name="asd 55 2 23" xfId="36968"/>
    <cellStyle name="asd 55 2 24" xfId="39005"/>
    <cellStyle name="asd 55 2 25" xfId="40688"/>
    <cellStyle name="asd 55 2 26" xfId="43900"/>
    <cellStyle name="asd 55 2 3" xfId="3829"/>
    <cellStyle name="asd 55 2 3 10" xfId="19556"/>
    <cellStyle name="asd 55 2 3 11" xfId="21468"/>
    <cellStyle name="asd 55 2 3 12" xfId="23922"/>
    <cellStyle name="asd 55 2 3 13" xfId="25270"/>
    <cellStyle name="asd 55 2 3 14" xfId="26957"/>
    <cellStyle name="asd 55 2 3 15" xfId="28559"/>
    <cellStyle name="asd 55 2 3 16" xfId="30551"/>
    <cellStyle name="asd 55 2 3 17" xfId="33087"/>
    <cellStyle name="asd 55 2 3 18" xfId="34788"/>
    <cellStyle name="asd 55 2 3 19" xfId="36097"/>
    <cellStyle name="asd 55 2 3 2" xfId="5826"/>
    <cellStyle name="asd 55 2 3 2 10" xfId="22076"/>
    <cellStyle name="asd 55 2 3 2 11" xfId="24057"/>
    <cellStyle name="asd 55 2 3 2 12" xfId="25878"/>
    <cellStyle name="asd 55 2 3 2 13" xfId="27621"/>
    <cellStyle name="asd 55 2 3 2 14" xfId="29322"/>
    <cellStyle name="asd 55 2 3 2 15" xfId="31199"/>
    <cellStyle name="asd 55 2 3 2 16" xfId="31937"/>
    <cellStyle name="asd 55 2 3 2 17" xfId="34672"/>
    <cellStyle name="asd 55 2 3 2 18" xfId="36705"/>
    <cellStyle name="asd 55 2 3 2 19" xfId="38584"/>
    <cellStyle name="asd 55 2 3 2 2" xfId="7275"/>
    <cellStyle name="asd 55 2 3 2 20" xfId="39167"/>
    <cellStyle name="asd 55 2 3 2 21" xfId="40848"/>
    <cellStyle name="asd 55 2 3 2 22" xfId="43801"/>
    <cellStyle name="asd 55 2 3 2 3" xfId="8729"/>
    <cellStyle name="asd 55 2 3 2 4" xfId="10639"/>
    <cellStyle name="asd 55 2 3 2 5" xfId="12016"/>
    <cellStyle name="asd 55 2 3 2 6" xfId="14527"/>
    <cellStyle name="asd 55 2 3 2 7" xfId="16433"/>
    <cellStyle name="asd 55 2 3 2 8" xfId="18258"/>
    <cellStyle name="asd 55 2 3 2 9" xfId="20164"/>
    <cellStyle name="asd 55 2 3 20" xfId="37976"/>
    <cellStyle name="asd 55 2 3 21" xfId="40283"/>
    <cellStyle name="asd 55 2 3 22" xfId="41939"/>
    <cellStyle name="asd 55 2 3 23" xfId="43668"/>
    <cellStyle name="asd 55 2 3 3" xfId="5220"/>
    <cellStyle name="asd 55 2 3 4" xfId="8121"/>
    <cellStyle name="asd 55 2 3 5" xfId="10031"/>
    <cellStyle name="asd 55 2 3 6" xfId="11881"/>
    <cellStyle name="asd 55 2 3 7" xfId="14390"/>
    <cellStyle name="asd 55 2 3 8" xfId="16296"/>
    <cellStyle name="asd 55 2 3 9" xfId="17650"/>
    <cellStyle name="asd 55 2 4" xfId="3988"/>
    <cellStyle name="asd 55 2 4 10" xfId="19623"/>
    <cellStyle name="asd 55 2 4 11" xfId="21535"/>
    <cellStyle name="asd 55 2 4 12" xfId="22847"/>
    <cellStyle name="asd 55 2 4 13" xfId="25337"/>
    <cellStyle name="asd 55 2 4 14" xfId="26798"/>
    <cellStyle name="asd 55 2 4 15" xfId="29540"/>
    <cellStyle name="asd 55 2 4 16" xfId="30396"/>
    <cellStyle name="asd 55 2 4 17" xfId="31777"/>
    <cellStyle name="asd 55 2 4 18" xfId="34570"/>
    <cellStyle name="asd 55 2 4 19" xfId="36164"/>
    <cellStyle name="asd 55 2 4 2" xfId="5893"/>
    <cellStyle name="asd 55 2 4 2 10" xfId="22143"/>
    <cellStyle name="asd 55 2 4 2 11" xfId="23550"/>
    <cellStyle name="asd 55 2 4 2 12" xfId="25945"/>
    <cellStyle name="asd 55 2 4 2 13" xfId="26650"/>
    <cellStyle name="asd 55 2 4 2 14" xfId="26874"/>
    <cellStyle name="asd 55 2 4 2 15" xfId="30252"/>
    <cellStyle name="asd 55 2 4 2 16" xfId="32299"/>
    <cellStyle name="asd 55 2 4 2 17" xfId="34391"/>
    <cellStyle name="asd 55 2 4 2 18" xfId="36772"/>
    <cellStyle name="asd 55 2 4 2 19" xfId="38651"/>
    <cellStyle name="asd 55 2 4 2 2" xfId="7342"/>
    <cellStyle name="asd 55 2 4 2 20" xfId="39519"/>
    <cellStyle name="asd 55 2 4 2 21" xfId="41193"/>
    <cellStyle name="asd 55 2 4 2 22" xfId="43314"/>
    <cellStyle name="asd 55 2 4 2 3" xfId="8796"/>
    <cellStyle name="asd 55 2 4 2 4" xfId="10706"/>
    <cellStyle name="asd 55 2 4 2 5" xfId="11335"/>
    <cellStyle name="asd 55 2 4 2 6" xfId="14022"/>
    <cellStyle name="asd 55 2 4 2 7" xfId="15923"/>
    <cellStyle name="asd 55 2 4 2 8" xfId="18325"/>
    <cellStyle name="asd 55 2 4 2 9" xfId="20231"/>
    <cellStyle name="asd 55 2 4 20" xfId="38043"/>
    <cellStyle name="asd 55 2 4 21" xfId="39016"/>
    <cellStyle name="asd 55 2 4 22" xfId="40698"/>
    <cellStyle name="asd 55 2 4 23" xfId="42638"/>
    <cellStyle name="asd 55 2 4 3" xfId="6734"/>
    <cellStyle name="asd 55 2 4 4" xfId="8188"/>
    <cellStyle name="asd 55 2 4 5" xfId="10098"/>
    <cellStyle name="asd 55 2 4 6" xfId="11123"/>
    <cellStyle name="asd 55 2 4 7" xfId="13316"/>
    <cellStyle name="asd 55 2 4 8" xfId="15220"/>
    <cellStyle name="asd 55 2 4 9" xfId="17717"/>
    <cellStyle name="asd 55 2 5" xfId="4869"/>
    <cellStyle name="asd 55 2 5 10" xfId="21117"/>
    <cellStyle name="asd 55 2 5 11" xfId="23706"/>
    <cellStyle name="asd 55 2 5 12" xfId="24919"/>
    <cellStyle name="asd 55 2 5 13" xfId="27450"/>
    <cellStyle name="asd 55 2 5 14" xfId="4740"/>
    <cellStyle name="asd 55 2 5 15" xfId="31037"/>
    <cellStyle name="asd 55 2 5 16" xfId="32086"/>
    <cellStyle name="asd 55 2 5 17" xfId="29493"/>
    <cellStyle name="asd 55 2 5 18" xfId="35746"/>
    <cellStyle name="asd 55 2 5 19" xfId="37625"/>
    <cellStyle name="asd 55 2 5 2" xfId="6319"/>
    <cellStyle name="asd 55 2 5 20" xfId="39310"/>
    <cellStyle name="asd 55 2 5 21" xfId="40986"/>
    <cellStyle name="asd 55 2 5 22" xfId="43463"/>
    <cellStyle name="asd 55 2 5 3" xfId="7770"/>
    <cellStyle name="asd 55 2 5 4" xfId="9680"/>
    <cellStyle name="asd 55 2 5 5" xfId="11618"/>
    <cellStyle name="asd 55 2 5 6" xfId="14176"/>
    <cellStyle name="asd 55 2 5 7" xfId="16080"/>
    <cellStyle name="asd 55 2 5 8" xfId="17299"/>
    <cellStyle name="asd 55 2 5 9" xfId="19205"/>
    <cellStyle name="asd 55 2 6" xfId="4590"/>
    <cellStyle name="asd 55 2 6 10" xfId="20835"/>
    <cellStyle name="asd 55 2 6 11" xfId="23357"/>
    <cellStyle name="asd 55 2 6 12" xfId="24637"/>
    <cellStyle name="asd 55 2 6 13" xfId="26831"/>
    <cellStyle name="asd 55 2 6 14" xfId="28061"/>
    <cellStyle name="asd 55 2 6 15" xfId="30429"/>
    <cellStyle name="asd 55 2 6 16" xfId="29440"/>
    <cellStyle name="asd 55 2 6 17" xfId="33373"/>
    <cellStyle name="asd 55 2 6 18" xfId="35465"/>
    <cellStyle name="asd 55 2 6 19" xfId="37343"/>
    <cellStyle name="asd 55 2 6 2" xfId="5396"/>
    <cellStyle name="asd 55 2 6 20" xfId="29748"/>
    <cellStyle name="asd 55 2 6 21" xfId="12144"/>
    <cellStyle name="asd 55 2 6 22" xfId="43127"/>
    <cellStyle name="asd 55 2 6 3" xfId="6725"/>
    <cellStyle name="asd 55 2 6 4" xfId="9397"/>
    <cellStyle name="asd 55 2 6 5" xfId="11315"/>
    <cellStyle name="asd 55 2 6 6" xfId="13829"/>
    <cellStyle name="asd 55 2 6 7" xfId="15731"/>
    <cellStyle name="asd 55 2 6 8" xfId="17016"/>
    <cellStyle name="asd 55 2 6 9" xfId="18923"/>
    <cellStyle name="asd 55 2 7" xfId="4519"/>
    <cellStyle name="asd 55 2 8" xfId="9022"/>
    <cellStyle name="asd 55 2 9" xfId="12118"/>
    <cellStyle name="asd 55 20" xfId="18512"/>
    <cellStyle name="asd 55 21" xfId="28087"/>
    <cellStyle name="asd 55 22" xfId="33343"/>
    <cellStyle name="asd 55 23" xfId="12813"/>
    <cellStyle name="asd 55 24" xfId="31891"/>
    <cellStyle name="asd 55 25" xfId="18526"/>
    <cellStyle name="asd 55 26" xfId="34750"/>
    <cellStyle name="asd 55 27" xfId="42065"/>
    <cellStyle name="asd 55 28" xfId="43987"/>
    <cellStyle name="asd 55 3" xfId="3457"/>
    <cellStyle name="asd 55 3 10" xfId="13786"/>
    <cellStyle name="asd 55 3 11" xfId="15688"/>
    <cellStyle name="asd 55 3 12" xfId="16859"/>
    <cellStyle name="asd 55 3 13" xfId="18766"/>
    <cellStyle name="asd 55 3 14" xfId="20678"/>
    <cellStyle name="asd 55 3 15" xfId="23314"/>
    <cellStyle name="asd 55 3 16" xfId="24480"/>
    <cellStyle name="asd 55 3 17" xfId="26821"/>
    <cellStyle name="asd 55 3 18" xfId="28907"/>
    <cellStyle name="asd 55 3 19" xfId="30420"/>
    <cellStyle name="asd 55 3 2" xfId="3637"/>
    <cellStyle name="asd 55 3 2 10" xfId="17528"/>
    <cellStyle name="asd 55 3 2 11" xfId="19434"/>
    <cellStyle name="asd 55 3 2 12" xfId="21346"/>
    <cellStyle name="asd 55 3 2 13" xfId="23288"/>
    <cellStyle name="asd 55 3 2 14" xfId="25148"/>
    <cellStyle name="asd 55 3 2 15" xfId="27075"/>
    <cellStyle name="asd 55 3 2 16" xfId="2655"/>
    <cellStyle name="asd 55 3 2 17" xfId="30666"/>
    <cellStyle name="asd 55 3 2 18" xfId="32825"/>
    <cellStyle name="asd 55 3 2 19" xfId="34553"/>
    <cellStyle name="asd 55 3 2 2" xfId="5716"/>
    <cellStyle name="asd 55 3 2 2 10" xfId="21966"/>
    <cellStyle name="asd 55 3 2 2 11" xfId="22909"/>
    <cellStyle name="asd 55 3 2 2 12" xfId="25768"/>
    <cellStyle name="asd 55 3 2 2 13" xfId="26697"/>
    <cellStyle name="asd 55 3 2 2 14" xfId="29384"/>
    <cellStyle name="asd 55 3 2 2 15" xfId="30297"/>
    <cellStyle name="asd 55 3 2 2 16" xfId="33051"/>
    <cellStyle name="asd 55 3 2 2 17" xfId="34173"/>
    <cellStyle name="asd 55 3 2 2 18" xfId="36595"/>
    <cellStyle name="asd 55 3 2 2 19" xfId="38474"/>
    <cellStyle name="asd 55 3 2 2 2" xfId="7165"/>
    <cellStyle name="asd 55 3 2 2 20" xfId="40248"/>
    <cellStyle name="asd 55 3 2 2 21" xfId="41906"/>
    <cellStyle name="asd 55 3 2 2 22" xfId="42695"/>
    <cellStyle name="asd 55 3 2 2 3" xfId="8619"/>
    <cellStyle name="asd 55 3 2 2 4" xfId="10529"/>
    <cellStyle name="asd 55 3 2 2 5" xfId="11090"/>
    <cellStyle name="asd 55 3 2 2 6" xfId="13377"/>
    <cellStyle name="asd 55 3 2 2 7" xfId="15282"/>
    <cellStyle name="asd 55 3 2 2 8" xfId="18148"/>
    <cellStyle name="asd 55 3 2 2 9" xfId="20054"/>
    <cellStyle name="asd 55 3 2 20" xfId="35975"/>
    <cellStyle name="asd 55 3 2 21" xfId="37854"/>
    <cellStyle name="asd 55 3 2 22" xfId="40034"/>
    <cellStyle name="asd 55 3 2 23" xfId="41698"/>
    <cellStyle name="asd 55 3 2 24" xfId="43063"/>
    <cellStyle name="asd 55 3 2 3" xfId="5098"/>
    <cellStyle name="asd 55 3 2 4" xfId="6548"/>
    <cellStyle name="asd 55 3 2 5" xfId="7999"/>
    <cellStyle name="asd 55 3 2 6" xfId="9909"/>
    <cellStyle name="asd 55 3 2 7" xfId="11243"/>
    <cellStyle name="asd 55 3 2 8" xfId="13760"/>
    <cellStyle name="asd 55 3 2 9" xfId="15662"/>
    <cellStyle name="asd 55 3 20" xfId="31710"/>
    <cellStyle name="asd 55 3 21" xfId="33652"/>
    <cellStyle name="asd 55 3 22" xfId="35308"/>
    <cellStyle name="asd 55 3 23" xfId="37186"/>
    <cellStyle name="asd 55 3 24" xfId="38951"/>
    <cellStyle name="asd 55 3 25" xfId="40634"/>
    <cellStyle name="asd 55 3 26" xfId="43086"/>
    <cellStyle name="asd 55 3 3" xfId="3824"/>
    <cellStyle name="asd 55 3 3 10" xfId="19552"/>
    <cellStyle name="asd 55 3 3 11" xfId="21464"/>
    <cellStyle name="asd 55 3 3 12" xfId="22440"/>
    <cellStyle name="asd 55 3 3 13" xfId="25266"/>
    <cellStyle name="asd 55 3 3 14" xfId="26162"/>
    <cellStyle name="asd 55 3 3 15" xfId="28083"/>
    <cellStyle name="asd 55 3 3 16" xfId="29776"/>
    <cellStyle name="asd 55 3 3 17" xfId="32128"/>
    <cellStyle name="asd 55 3 3 18" xfId="33941"/>
    <cellStyle name="asd 55 3 3 19" xfId="36093"/>
    <cellStyle name="asd 55 3 3 2" xfId="5822"/>
    <cellStyle name="asd 55 3 3 2 10" xfId="22072"/>
    <cellStyle name="asd 55 3 3 2 11" xfId="23160"/>
    <cellStyle name="asd 55 3 3 2 12" xfId="25874"/>
    <cellStyle name="asd 55 3 3 2 13" xfId="26879"/>
    <cellStyle name="asd 55 3 3 2 14" xfId="29656"/>
    <cellStyle name="asd 55 3 3 2 15" xfId="30476"/>
    <cellStyle name="asd 55 3 3 2 16" xfId="32317"/>
    <cellStyle name="asd 55 3 3 2 17" xfId="33394"/>
    <cellStyle name="asd 55 3 3 2 18" xfId="36701"/>
    <cellStyle name="asd 55 3 3 2 19" xfId="38580"/>
    <cellStyle name="asd 55 3 3 2 2" xfId="7271"/>
    <cellStyle name="asd 55 3 3 2 20" xfId="39536"/>
    <cellStyle name="asd 55 3 3 2 21" xfId="41210"/>
    <cellStyle name="asd 55 3 3 2 22" xfId="42938"/>
    <cellStyle name="asd 55 3 3 2 3" xfId="8725"/>
    <cellStyle name="asd 55 3 3 2 4" xfId="10635"/>
    <cellStyle name="asd 55 3 3 2 5" xfId="10966"/>
    <cellStyle name="asd 55 3 3 2 6" xfId="13631"/>
    <cellStyle name="asd 55 3 3 2 7" xfId="15534"/>
    <cellStyle name="asd 55 3 3 2 8" xfId="18254"/>
    <cellStyle name="asd 55 3 3 2 9" xfId="20160"/>
    <cellStyle name="asd 55 3 3 20" xfId="37972"/>
    <cellStyle name="asd 55 3 3 21" xfId="39351"/>
    <cellStyle name="asd 55 3 3 22" xfId="41027"/>
    <cellStyle name="asd 55 3 3 23" xfId="42251"/>
    <cellStyle name="asd 55 3 3 3" xfId="5216"/>
    <cellStyle name="asd 55 3 3 4" xfId="8117"/>
    <cellStyle name="asd 55 3 3 5" xfId="10027"/>
    <cellStyle name="asd 55 3 3 6" xfId="2306"/>
    <cellStyle name="asd 55 3 3 7" xfId="12908"/>
    <cellStyle name="asd 55 3 3 8" xfId="14813"/>
    <cellStyle name="asd 55 3 3 9" xfId="17646"/>
    <cellStyle name="asd 55 3 4" xfId="4089"/>
    <cellStyle name="asd 55 3 4 10" xfId="19724"/>
    <cellStyle name="asd 55 3 4 11" xfId="21636"/>
    <cellStyle name="asd 55 3 4 12" xfId="22963"/>
    <cellStyle name="asd 55 3 4 13" xfId="25438"/>
    <cellStyle name="asd 55 3 4 14" xfId="26294"/>
    <cellStyle name="asd 55 3 4 15" xfId="28360"/>
    <cellStyle name="asd 55 3 4 16" xfId="29903"/>
    <cellStyle name="asd 55 3 4 17" xfId="31633"/>
    <cellStyle name="asd 55 3 4 18" xfId="34494"/>
    <cellStyle name="asd 55 3 4 19" xfId="36265"/>
    <cellStyle name="asd 55 3 4 2" xfId="5994"/>
    <cellStyle name="asd 55 3 4 2 10" xfId="22244"/>
    <cellStyle name="asd 55 3 4 2 11" xfId="22974"/>
    <cellStyle name="asd 55 3 4 2 12" xfId="26046"/>
    <cellStyle name="asd 55 3 4 2 13" xfId="26648"/>
    <cellStyle name="asd 55 3 4 2 14" xfId="28974"/>
    <cellStyle name="asd 55 3 4 2 15" xfId="30250"/>
    <cellStyle name="asd 55 3 4 2 16" xfId="31629"/>
    <cellStyle name="asd 55 3 4 2 17" xfId="33380"/>
    <cellStyle name="asd 55 3 4 2 18" xfId="36873"/>
    <cellStyle name="asd 55 3 4 2 19" xfId="38752"/>
    <cellStyle name="asd 55 3 4 2 2" xfId="7443"/>
    <cellStyle name="asd 55 3 4 2 20" xfId="38876"/>
    <cellStyle name="asd 55 3 4 2 21" xfId="40561"/>
    <cellStyle name="asd 55 3 4 2 22" xfId="42760"/>
    <cellStyle name="asd 55 3 4 2 3" xfId="8897"/>
    <cellStyle name="asd 55 3 4 2 4" xfId="10807"/>
    <cellStyle name="asd 55 3 4 2 5" xfId="12335"/>
    <cellStyle name="asd 55 3 4 2 6" xfId="13443"/>
    <cellStyle name="asd 55 3 4 2 7" xfId="15348"/>
    <cellStyle name="asd 55 3 4 2 8" xfId="18426"/>
    <cellStyle name="asd 55 3 4 2 9" xfId="20332"/>
    <cellStyle name="asd 55 3 4 20" xfId="38144"/>
    <cellStyle name="asd 55 3 4 21" xfId="38880"/>
    <cellStyle name="asd 55 3 4 22" xfId="40565"/>
    <cellStyle name="asd 55 3 4 23" xfId="42749"/>
    <cellStyle name="asd 55 3 4 3" xfId="6835"/>
    <cellStyle name="asd 55 3 4 4" xfId="8289"/>
    <cellStyle name="asd 55 3 4 5" xfId="10199"/>
    <cellStyle name="asd 55 3 4 6" xfId="12434"/>
    <cellStyle name="asd 55 3 4 7" xfId="13432"/>
    <cellStyle name="asd 55 3 4 8" xfId="15337"/>
    <cellStyle name="asd 55 3 4 9" xfId="17818"/>
    <cellStyle name="asd 55 3 5" xfId="4943"/>
    <cellStyle name="asd 55 3 5 10" xfId="21191"/>
    <cellStyle name="asd 55 3 5 11" xfId="22655"/>
    <cellStyle name="asd 55 3 5 12" xfId="24993"/>
    <cellStyle name="asd 55 3 5 13" xfId="27814"/>
    <cellStyle name="asd 55 3 5 14" xfId="29163"/>
    <cellStyle name="asd 55 3 5 15" xfId="31392"/>
    <cellStyle name="asd 55 3 5 16" xfId="32306"/>
    <cellStyle name="asd 55 3 5 17" xfId="33847"/>
    <cellStyle name="asd 55 3 5 18" xfId="35820"/>
    <cellStyle name="asd 55 3 5 19" xfId="37699"/>
    <cellStyle name="asd 55 3 5 2" xfId="6393"/>
    <cellStyle name="asd 55 3 5 20" xfId="39525"/>
    <cellStyle name="asd 55 3 5 21" xfId="41199"/>
    <cellStyle name="asd 55 3 5 22" xfId="42461"/>
    <cellStyle name="asd 55 3 5 3" xfId="7844"/>
    <cellStyle name="asd 55 3 5 4" xfId="9754"/>
    <cellStyle name="asd 55 3 5 5" xfId="12283"/>
    <cellStyle name="asd 55 3 5 6" xfId="13122"/>
    <cellStyle name="asd 55 3 5 7" xfId="15027"/>
    <cellStyle name="asd 55 3 5 8" xfId="17373"/>
    <cellStyle name="asd 55 3 5 9" xfId="19279"/>
    <cellStyle name="asd 55 3 6" xfId="4573"/>
    <cellStyle name="asd 55 3 6 10" xfId="20818"/>
    <cellStyle name="asd 55 3 6 11" xfId="22568"/>
    <cellStyle name="asd 55 3 6 12" xfId="24620"/>
    <cellStyle name="asd 55 3 6 13" xfId="27156"/>
    <cellStyle name="asd 55 3 6 14" xfId="29633"/>
    <cellStyle name="asd 55 3 6 15" xfId="30747"/>
    <cellStyle name="asd 55 3 6 16" xfId="31671"/>
    <cellStyle name="asd 55 3 6 17" xfId="33379"/>
    <cellStyle name="asd 55 3 6 18" xfId="35448"/>
    <cellStyle name="asd 55 3 6 19" xfId="37326"/>
    <cellStyle name="asd 55 3 6 2" xfId="2693"/>
    <cellStyle name="asd 55 3 6 20" xfId="38915"/>
    <cellStyle name="asd 55 3 6 21" xfId="40599"/>
    <cellStyle name="asd 55 3 6 22" xfId="42377"/>
    <cellStyle name="asd 55 3 6 3" xfId="4503"/>
    <cellStyle name="asd 55 3 6 4" xfId="9380"/>
    <cellStyle name="asd 55 3 6 5" xfId="11841"/>
    <cellStyle name="asd 55 3 6 6" xfId="13036"/>
    <cellStyle name="asd 55 3 6 7" xfId="14940"/>
    <cellStyle name="asd 55 3 6 8" xfId="16999"/>
    <cellStyle name="asd 55 3 6 9" xfId="18906"/>
    <cellStyle name="asd 55 3 7" xfId="6142"/>
    <cellStyle name="asd 55 3 8" xfId="9240"/>
    <cellStyle name="asd 55 3 9" xfId="12175"/>
    <cellStyle name="asd 55 4" xfId="3383"/>
    <cellStyle name="asd 55 4 10" xfId="15493"/>
    <cellStyle name="asd 55 4 11" xfId="16705"/>
    <cellStyle name="asd 55 4 12" xfId="18612"/>
    <cellStyle name="asd 55 4 13" xfId="20524"/>
    <cellStyle name="asd 55 4 14" xfId="23119"/>
    <cellStyle name="asd 55 4 15" xfId="24326"/>
    <cellStyle name="asd 55 4 16" xfId="27951"/>
    <cellStyle name="asd 55 4 17" xfId="29531"/>
    <cellStyle name="asd 55 4 18" xfId="31531"/>
    <cellStyle name="asd 55 4 19" xfId="33283"/>
    <cellStyle name="asd 55 4 2" xfId="3563"/>
    <cellStyle name="asd 55 4 2 10" xfId="17454"/>
    <cellStyle name="asd 55 4 2 11" xfId="19360"/>
    <cellStyle name="asd 55 4 2 12" xfId="21272"/>
    <cellStyle name="asd 55 4 2 13" xfId="22721"/>
    <cellStyle name="asd 55 4 2 14" xfId="25074"/>
    <cellStyle name="asd 55 4 2 15" xfId="27779"/>
    <cellStyle name="asd 55 4 2 16" xfId="29358"/>
    <cellStyle name="asd 55 4 2 17" xfId="31356"/>
    <cellStyle name="asd 55 4 2 18" xfId="32364"/>
    <cellStyle name="asd 55 4 2 19" xfId="33586"/>
    <cellStyle name="asd 55 4 2 2" xfId="4475"/>
    <cellStyle name="asd 55 4 2 2 10" xfId="20720"/>
    <cellStyle name="asd 55 4 2 2 11" xfId="23191"/>
    <cellStyle name="asd 55 4 2 2 12" xfId="24522"/>
    <cellStyle name="asd 55 4 2 2 13" xfId="27481"/>
    <cellStyle name="asd 55 4 2 2 14" xfId="2662"/>
    <cellStyle name="asd 55 4 2 2 15" xfId="31068"/>
    <cellStyle name="asd 55 4 2 2 16" xfId="32176"/>
    <cellStyle name="asd 55 4 2 2 17" xfId="35005"/>
    <cellStyle name="asd 55 4 2 2 18" xfId="35350"/>
    <cellStyle name="asd 55 4 2 2 19" xfId="37228"/>
    <cellStyle name="asd 55 4 2 2 2" xfId="3055"/>
    <cellStyle name="asd 55 4 2 2 20" xfId="39398"/>
    <cellStyle name="asd 55 4 2 2 21" xfId="41074"/>
    <cellStyle name="asd 55 4 2 2 22" xfId="42969"/>
    <cellStyle name="asd 55 4 2 2 3" xfId="4684"/>
    <cellStyle name="asd 55 4 2 2 4" xfId="9282"/>
    <cellStyle name="asd 55 4 2 2 5" xfId="11037"/>
    <cellStyle name="asd 55 4 2 2 6" xfId="13663"/>
    <cellStyle name="asd 55 4 2 2 7" xfId="15565"/>
    <cellStyle name="asd 55 4 2 2 8" xfId="16901"/>
    <cellStyle name="asd 55 4 2 2 9" xfId="18808"/>
    <cellStyle name="asd 55 4 2 20" xfId="35901"/>
    <cellStyle name="asd 55 4 2 21" xfId="37780"/>
    <cellStyle name="asd 55 4 2 22" xfId="39583"/>
    <cellStyle name="asd 55 4 2 23" xfId="41257"/>
    <cellStyle name="asd 55 4 2 24" xfId="42519"/>
    <cellStyle name="asd 55 4 2 25" xfId="45922"/>
    <cellStyle name="asd 55 4 2 3" xfId="5024"/>
    <cellStyle name="asd 55 4 2 4" xfId="6474"/>
    <cellStyle name="asd 55 4 2 5" xfId="7925"/>
    <cellStyle name="asd 55 4 2 6" xfId="9835"/>
    <cellStyle name="asd 55 4 2 7" xfId="11526"/>
    <cellStyle name="asd 55 4 2 8" xfId="13190"/>
    <cellStyle name="asd 55 4 2 9" xfId="15093"/>
    <cellStyle name="asd 55 4 20" xfId="34260"/>
    <cellStyle name="asd 55 4 21" xfId="35154"/>
    <cellStyle name="asd 55 4 22" xfId="37032"/>
    <cellStyle name="asd 55 4 23" xfId="40467"/>
    <cellStyle name="asd 55 4 24" xfId="42122"/>
    <cellStyle name="asd 55 4 25" xfId="42899"/>
    <cellStyle name="asd 55 4 26" xfId="45335"/>
    <cellStyle name="asd 55 4 3" xfId="3172"/>
    <cellStyle name="asd 55 4 3 10" xfId="19172"/>
    <cellStyle name="asd 55 4 3 11" xfId="21084"/>
    <cellStyle name="asd 55 4 3 12" xfId="22468"/>
    <cellStyle name="asd 55 4 3 13" xfId="24886"/>
    <cellStyle name="asd 55 4 3 14" xfId="27756"/>
    <cellStyle name="asd 55 4 3 15" xfId="29330"/>
    <cellStyle name="asd 55 4 3 16" xfId="31335"/>
    <cellStyle name="asd 55 4 3 17" xfId="32363"/>
    <cellStyle name="asd 55 4 3 18" xfId="34276"/>
    <cellStyle name="asd 55 4 3 19" xfId="35713"/>
    <cellStyle name="asd 55 4 3 2" xfId="5702"/>
    <cellStyle name="asd 55 4 3 2 10" xfId="21952"/>
    <cellStyle name="asd 55 4 3 2 11" xfId="23038"/>
    <cellStyle name="asd 55 4 3 2 12" xfId="25754"/>
    <cellStyle name="asd 55 4 3 2 13" xfId="27642"/>
    <cellStyle name="asd 55 4 3 2 14" xfId="4179"/>
    <cellStyle name="asd 55 4 3 2 15" xfId="31219"/>
    <cellStyle name="asd 55 4 3 2 16" xfId="2779"/>
    <cellStyle name="asd 55 4 3 2 17" xfId="2838"/>
    <cellStyle name="asd 55 4 3 2 18" xfId="36581"/>
    <cellStyle name="asd 55 4 3 2 19" xfId="38460"/>
    <cellStyle name="asd 55 4 3 2 2" xfId="7151"/>
    <cellStyle name="asd 55 4 3 2 20" xfId="30119"/>
    <cellStyle name="asd 55 4 3 2 21" xfId="28468"/>
    <cellStyle name="asd 55 4 3 2 22" xfId="42821"/>
    <cellStyle name="asd 55 4 3 2 3" xfId="8605"/>
    <cellStyle name="asd 55 4 3 2 4" xfId="10515"/>
    <cellStyle name="asd 55 4 3 2 5" xfId="12633"/>
    <cellStyle name="asd 55 4 3 2 6" xfId="13508"/>
    <cellStyle name="asd 55 4 3 2 7" xfId="15412"/>
    <cellStyle name="asd 55 4 3 2 8" xfId="18134"/>
    <cellStyle name="asd 55 4 3 2 9" xfId="20040"/>
    <cellStyle name="asd 55 4 3 20" xfId="37592"/>
    <cellStyle name="asd 55 4 3 21" xfId="39582"/>
    <cellStyle name="asd 55 4 3 22" xfId="41256"/>
    <cellStyle name="asd 55 4 3 23" xfId="42279"/>
    <cellStyle name="asd 55 4 3 24" xfId="46280"/>
    <cellStyle name="asd 55 4 3 3" xfId="4836"/>
    <cellStyle name="asd 55 4 3 4" xfId="7737"/>
    <cellStyle name="asd 55 4 3 5" xfId="9647"/>
    <cellStyle name="asd 55 4 3 6" xfId="11672"/>
    <cellStyle name="asd 55 4 3 7" xfId="12936"/>
    <cellStyle name="asd 55 4 3 8" xfId="14841"/>
    <cellStyle name="asd 55 4 3 9" xfId="17266"/>
    <cellStyle name="asd 55 4 4" xfId="4015"/>
    <cellStyle name="asd 55 4 4 10" xfId="19650"/>
    <cellStyle name="asd 55 4 4 11" xfId="21562"/>
    <cellStyle name="asd 55 4 4 12" xfId="23203"/>
    <cellStyle name="asd 55 4 4 13" xfId="25364"/>
    <cellStyle name="asd 55 4 4 14" xfId="26426"/>
    <cellStyle name="asd 55 4 4 15" xfId="28086"/>
    <cellStyle name="asd 55 4 4 16" xfId="30032"/>
    <cellStyle name="asd 55 4 4 17" xfId="33271"/>
    <cellStyle name="asd 55 4 4 18" xfId="34953"/>
    <cellStyle name="asd 55 4 4 19" xfId="36191"/>
    <cellStyle name="asd 55 4 4 2" xfId="5920"/>
    <cellStyle name="asd 55 4 4 2 10" xfId="22170"/>
    <cellStyle name="asd 55 4 4 2 11" xfId="23774"/>
    <cellStyle name="asd 55 4 4 2 12" xfId="25972"/>
    <cellStyle name="asd 55 4 4 2 13" xfId="26299"/>
    <cellStyle name="asd 55 4 4 2 14" xfId="29343"/>
    <cellStyle name="asd 55 4 4 2 15" xfId="29908"/>
    <cellStyle name="asd 55 4 4 2 16" xfId="32055"/>
    <cellStyle name="asd 55 4 4 2 17" xfId="34745"/>
    <cellStyle name="asd 55 4 4 2 18" xfId="36799"/>
    <cellStyle name="asd 55 4 4 2 19" xfId="38678"/>
    <cellStyle name="asd 55 4 4 2 2" xfId="7369"/>
    <cellStyle name="asd 55 4 4 2 20" xfId="39282"/>
    <cellStyle name="asd 55 4 4 2 21" xfId="40958"/>
    <cellStyle name="asd 55 4 4 2 22" xfId="43527"/>
    <cellStyle name="asd 55 4 4 2 3" xfId="8823"/>
    <cellStyle name="asd 55 4 4 2 4" xfId="10733"/>
    <cellStyle name="asd 55 4 4 2 5" xfId="11734"/>
    <cellStyle name="asd 55 4 4 2 6" xfId="14244"/>
    <cellStyle name="asd 55 4 4 2 7" xfId="16148"/>
    <cellStyle name="asd 55 4 4 2 8" xfId="18352"/>
    <cellStyle name="asd 55 4 4 2 9" xfId="20258"/>
    <cellStyle name="asd 55 4 4 20" xfId="38070"/>
    <cellStyle name="asd 55 4 4 21" xfId="40457"/>
    <cellStyle name="asd 55 4 4 22" xfId="42112"/>
    <cellStyle name="asd 55 4 4 23" xfId="42981"/>
    <cellStyle name="asd 55 4 4 24" xfId="46632"/>
    <cellStyle name="asd 55 4 4 3" xfId="6761"/>
    <cellStyle name="asd 55 4 4 4" xfId="8215"/>
    <cellStyle name="asd 55 4 4 5" xfId="10125"/>
    <cellStyle name="asd 55 4 4 6" xfId="11071"/>
    <cellStyle name="asd 55 4 4 7" xfId="13675"/>
    <cellStyle name="asd 55 4 4 8" xfId="15577"/>
    <cellStyle name="asd 55 4 4 9" xfId="17744"/>
    <cellStyle name="asd 55 4 5" xfId="5724"/>
    <cellStyle name="asd 55 4 5 10" xfId="21974"/>
    <cellStyle name="asd 55 4 5 11" xfId="22553"/>
    <cellStyle name="asd 55 4 5 12" xfId="25776"/>
    <cellStyle name="asd 55 4 5 13" xfId="26260"/>
    <cellStyle name="asd 55 4 5 14" xfId="29512"/>
    <cellStyle name="asd 55 4 5 15" xfId="29870"/>
    <cellStyle name="asd 55 4 5 16" xfId="31965"/>
    <cellStyle name="asd 55 4 5 17" xfId="33655"/>
    <cellStyle name="asd 55 4 5 18" xfId="36603"/>
    <cellStyle name="asd 55 4 5 19" xfId="38482"/>
    <cellStyle name="asd 55 4 5 2" xfId="7173"/>
    <cellStyle name="asd 55 4 5 20" xfId="39194"/>
    <cellStyle name="asd 55 4 5 21" xfId="40875"/>
    <cellStyle name="asd 55 4 5 22" xfId="42362"/>
    <cellStyle name="asd 55 4 5 23" xfId="45552"/>
    <cellStyle name="asd 55 4 5 3" xfId="8627"/>
    <cellStyle name="asd 55 4 5 4" xfId="10537"/>
    <cellStyle name="asd 55 4 5 5" xfId="12387"/>
    <cellStyle name="asd 55 4 5 6" xfId="13021"/>
    <cellStyle name="asd 55 4 5 7" xfId="14925"/>
    <cellStyle name="asd 55 4 5 8" xfId="18156"/>
    <cellStyle name="asd 55 4 5 9" xfId="20062"/>
    <cellStyle name="asd 55 4 6" xfId="5408"/>
    <cellStyle name="asd 55 4 7" xfId="9086"/>
    <cellStyle name="asd 55 4 8" xfId="11695"/>
    <cellStyle name="asd 55 4 9" xfId="13590"/>
    <cellStyle name="asd 55 5" xfId="2367"/>
    <cellStyle name="asd 55 5 10" xfId="17153"/>
    <cellStyle name="asd 55 5 11" xfId="19059"/>
    <cellStyle name="asd 55 5 12" xfId="20971"/>
    <cellStyle name="asd 55 5 13" xfId="22390"/>
    <cellStyle name="asd 55 5 14" xfId="24773"/>
    <cellStyle name="asd 55 5 15" xfId="16591"/>
    <cellStyle name="asd 55 5 16" xfId="24218"/>
    <cellStyle name="asd 55 5 17" xfId="16616"/>
    <cellStyle name="asd 55 5 18" xfId="13165"/>
    <cellStyle name="asd 55 5 19" xfId="26143"/>
    <cellStyle name="asd 55 5 2" xfId="4280"/>
    <cellStyle name="asd 55 5 2 10" xfId="20556"/>
    <cellStyle name="asd 55 5 2 11" xfId="22745"/>
    <cellStyle name="asd 55 5 2 12" xfId="24358"/>
    <cellStyle name="asd 55 5 2 13" xfId="26456"/>
    <cellStyle name="asd 55 5 2 14" xfId="29153"/>
    <cellStyle name="asd 55 5 2 15" xfId="30062"/>
    <cellStyle name="asd 55 5 2 16" xfId="31595"/>
    <cellStyle name="asd 55 5 2 17" xfId="33744"/>
    <cellStyle name="asd 55 5 2 18" xfId="35186"/>
    <cellStyle name="asd 55 5 2 19" xfId="37064"/>
    <cellStyle name="asd 55 5 2 2" xfId="4450"/>
    <cellStyle name="asd 55 5 2 20" xfId="38842"/>
    <cellStyle name="asd 55 5 2 21" xfId="40528"/>
    <cellStyle name="asd 55 5 2 22" xfId="42543"/>
    <cellStyle name="asd 55 5 2 23" xfId="45645"/>
    <cellStyle name="asd 55 5 2 3" xfId="5294"/>
    <cellStyle name="asd 55 5 2 4" xfId="9118"/>
    <cellStyle name="asd 55 5 2 5" xfId="12197"/>
    <cellStyle name="asd 55 5 2 6" xfId="13214"/>
    <cellStyle name="asd 55 5 2 7" xfId="15117"/>
    <cellStyle name="asd 55 5 2 8" xfId="16737"/>
    <cellStyle name="asd 55 5 2 9" xfId="18644"/>
    <cellStyle name="asd 55 5 20" xfId="35600"/>
    <cellStyle name="asd 55 5 21" xfId="37479"/>
    <cellStyle name="asd 55 5 22" xfId="27977"/>
    <cellStyle name="asd 55 5 23" xfId="29348"/>
    <cellStyle name="asd 55 5 24" xfId="42201"/>
    <cellStyle name="asd 55 5 3" xfId="4725"/>
    <cellStyle name="asd 55 5 3 2" xfId="46034"/>
    <cellStyle name="asd 55 5 4" xfId="6173"/>
    <cellStyle name="asd 55 5 4 2" xfId="46392"/>
    <cellStyle name="asd 55 5 5" xfId="7624"/>
    <cellStyle name="asd 55 5 5 2" xfId="46744"/>
    <cellStyle name="asd 55 5 6" xfId="9534"/>
    <cellStyle name="asd 55 5 6 2" xfId="47059"/>
    <cellStyle name="asd 55 5 7" xfId="11501"/>
    <cellStyle name="asd 55 5 7 2" xfId="47378"/>
    <cellStyle name="asd 55 5 8" xfId="12857"/>
    <cellStyle name="asd 55 5 8 2" xfId="47696"/>
    <cellStyle name="asd 55 5 9" xfId="14762"/>
    <cellStyle name="asd 55 6" xfId="3153"/>
    <cellStyle name="asd 55 6 10" xfId="19165"/>
    <cellStyle name="asd 55 6 11" xfId="21077"/>
    <cellStyle name="asd 55 6 12" xfId="24108"/>
    <cellStyle name="asd 55 6 13" xfId="24879"/>
    <cellStyle name="asd 55 6 14" xfId="26569"/>
    <cellStyle name="asd 55 6 15" xfId="27976"/>
    <cellStyle name="asd 55 6 16" xfId="30171"/>
    <cellStyle name="asd 55 6 17" xfId="32421"/>
    <cellStyle name="asd 55 6 18" xfId="33375"/>
    <cellStyle name="asd 55 6 19" xfId="35706"/>
    <cellStyle name="asd 55 6 2" xfId="5506"/>
    <cellStyle name="asd 55 6 2 10" xfId="21756"/>
    <cellStyle name="asd 55 6 2 11" xfId="23579"/>
    <cellStyle name="asd 55 6 2 12" xfId="25558"/>
    <cellStyle name="asd 55 6 2 13" xfId="26816"/>
    <cellStyle name="asd 55 6 2 14" xfId="28564"/>
    <cellStyle name="asd 55 6 2 15" xfId="30415"/>
    <cellStyle name="asd 55 6 2 16" xfId="32663"/>
    <cellStyle name="asd 55 6 2 17" xfId="34531"/>
    <cellStyle name="asd 55 6 2 18" xfId="36385"/>
    <cellStyle name="asd 55 6 2 19" xfId="38264"/>
    <cellStyle name="asd 55 6 2 2" xfId="6955"/>
    <cellStyle name="asd 55 6 2 20" xfId="39870"/>
    <cellStyle name="asd 55 6 2 21" xfId="41539"/>
    <cellStyle name="asd 55 6 2 22" xfId="43341"/>
    <cellStyle name="asd 55 6 2 23" xfId="45618"/>
    <cellStyle name="asd 55 6 2 3" xfId="8409"/>
    <cellStyle name="asd 55 6 2 4" xfId="10319"/>
    <cellStyle name="asd 55 6 2 5" xfId="12532"/>
    <cellStyle name="asd 55 6 2 6" xfId="14051"/>
    <cellStyle name="asd 55 6 2 7" xfId="15952"/>
    <cellStyle name="asd 55 6 2 8" xfId="17938"/>
    <cellStyle name="asd 55 6 2 9" xfId="19844"/>
    <cellStyle name="asd 55 6 20" xfId="37585"/>
    <cellStyle name="asd 55 6 21" xfId="39638"/>
    <cellStyle name="asd 55 6 22" xfId="41312"/>
    <cellStyle name="asd 55 6 23" xfId="43851"/>
    <cellStyle name="asd 55 6 24" xfId="45381"/>
    <cellStyle name="asd 55 6 3" xfId="4829"/>
    <cellStyle name="asd 55 6 3 2" xfId="46007"/>
    <cellStyle name="asd 55 6 4" xfId="7730"/>
    <cellStyle name="asd 55 6 4 2" xfId="46365"/>
    <cellStyle name="asd 55 6 5" xfId="9640"/>
    <cellStyle name="asd 55 6 5 2" xfId="46717"/>
    <cellStyle name="asd 55 6 6" xfId="12067"/>
    <cellStyle name="asd 55 6 6 2" xfId="47032"/>
    <cellStyle name="asd 55 6 7" xfId="14578"/>
    <cellStyle name="asd 55 6 7 2" xfId="47351"/>
    <cellStyle name="asd 55 6 8" xfId="16484"/>
    <cellStyle name="asd 55 6 8 2" xfId="47669"/>
    <cellStyle name="asd 55 6 9" xfId="17259"/>
    <cellStyle name="asd 55 7" xfId="2909"/>
    <cellStyle name="asd 55 7 10" xfId="19124"/>
    <cellStyle name="asd 55 7 11" xfId="21036"/>
    <cellStyle name="asd 55 7 12" xfId="14727"/>
    <cellStyle name="asd 55 7 13" xfId="24838"/>
    <cellStyle name="asd 55 7 14" xfId="3084"/>
    <cellStyle name="asd 55 7 15" xfId="16606"/>
    <cellStyle name="asd 55 7 16" xfId="20427"/>
    <cellStyle name="asd 55 7 17" xfId="27958"/>
    <cellStyle name="asd 55 7 18" xfId="2858"/>
    <cellStyle name="asd 55 7 19" xfId="35665"/>
    <cellStyle name="asd 55 7 2" xfId="5639"/>
    <cellStyle name="asd 55 7 2 10" xfId="21889"/>
    <cellStyle name="asd 55 7 2 11" xfId="23995"/>
    <cellStyle name="asd 55 7 2 12" xfId="25691"/>
    <cellStyle name="asd 55 7 2 13" xfId="27430"/>
    <cellStyle name="asd 55 7 2 14" xfId="28660"/>
    <cellStyle name="asd 55 7 2 15" xfId="31016"/>
    <cellStyle name="asd 55 7 2 16" xfId="32239"/>
    <cellStyle name="asd 55 7 2 17" xfId="34464"/>
    <cellStyle name="asd 55 7 2 18" xfId="36518"/>
    <cellStyle name="asd 55 7 2 19" xfId="38397"/>
    <cellStyle name="asd 55 7 2 2" xfId="7088"/>
    <cellStyle name="asd 55 7 2 20" xfId="39457"/>
    <cellStyle name="asd 55 7 2 21" xfId="41132"/>
    <cellStyle name="asd 55 7 2 22" xfId="43739"/>
    <cellStyle name="asd 55 7 2 23" xfId="45683"/>
    <cellStyle name="asd 55 7 2 3" xfId="8542"/>
    <cellStyle name="asd 55 7 2 4" xfId="10452"/>
    <cellStyle name="asd 55 7 2 5" xfId="11954"/>
    <cellStyle name="asd 55 7 2 6" xfId="14465"/>
    <cellStyle name="asd 55 7 2 7" xfId="16371"/>
    <cellStyle name="asd 55 7 2 8" xfId="18071"/>
    <cellStyle name="asd 55 7 2 9" xfId="19977"/>
    <cellStyle name="asd 55 7 20" xfId="37544"/>
    <cellStyle name="asd 55 7 21" xfId="2160"/>
    <cellStyle name="asd 55 7 22" xfId="34427"/>
    <cellStyle name="asd 55 7 23" xfId="40104"/>
    <cellStyle name="asd 55 7 24" xfId="45394"/>
    <cellStyle name="asd 55 7 3" xfId="6238"/>
    <cellStyle name="asd 55 7 3 2" xfId="46072"/>
    <cellStyle name="asd 55 7 4" xfId="7689"/>
    <cellStyle name="asd 55 7 4 2" xfId="46430"/>
    <cellStyle name="asd 55 7 5" xfId="9599"/>
    <cellStyle name="asd 55 7 5 2" xfId="46782"/>
    <cellStyle name="asd 55 7 6" xfId="12347"/>
    <cellStyle name="asd 55 7 6 2" xfId="47097"/>
    <cellStyle name="asd 55 7 7" xfId="4157"/>
    <cellStyle name="asd 55 7 7 2" xfId="47416"/>
    <cellStyle name="asd 55 7 8" xfId="2857"/>
    <cellStyle name="asd 55 7 8 2" xfId="47734"/>
    <cellStyle name="asd 55 7 9" xfId="17218"/>
    <cellStyle name="asd 55 8" xfId="4263"/>
    <cellStyle name="asd 55 9" xfId="3112"/>
    <cellStyle name="asd 56" xfId="45290"/>
    <cellStyle name="asd 56 2" xfId="45303"/>
    <cellStyle name="asd 57" xfId="45300"/>
    <cellStyle name="asd 57 2" xfId="45337"/>
    <cellStyle name="asd 57 2 2" xfId="45582"/>
    <cellStyle name="asd 57 2 3" xfId="45931"/>
    <cellStyle name="asd 57 2 4" xfId="46289"/>
    <cellStyle name="asd 57 2 5" xfId="46641"/>
    <cellStyle name="asd 57 2 6" xfId="46992"/>
    <cellStyle name="asd 57 2 7" xfId="47309"/>
    <cellStyle name="asd 57 2 8" xfId="45559"/>
    <cellStyle name="asd 57 3" xfId="45395"/>
    <cellStyle name="asd 57 3 2" xfId="45688"/>
    <cellStyle name="asd 57 3 3" xfId="46077"/>
    <cellStyle name="asd 57 3 4" xfId="46435"/>
    <cellStyle name="asd 57 3 5" xfId="46787"/>
    <cellStyle name="asd 57 3 6" xfId="47102"/>
    <cellStyle name="asd 57 3 7" xfId="47421"/>
    <cellStyle name="asd 57 3 8" xfId="47739"/>
    <cellStyle name="asd 57 4" xfId="45385"/>
    <cellStyle name="asd 57 4 2" xfId="45627"/>
    <cellStyle name="asd 57 4 3" xfId="46016"/>
    <cellStyle name="asd 57 4 4" xfId="46374"/>
    <cellStyle name="asd 57 4 5" xfId="46726"/>
    <cellStyle name="asd 57 4 6" xfId="47041"/>
    <cellStyle name="asd 57 4 7" xfId="47360"/>
    <cellStyle name="asd 57 4 8" xfId="47678"/>
    <cellStyle name="asd 57 5" xfId="45545"/>
    <cellStyle name="asd 57 6" xfId="45533"/>
    <cellStyle name="asd 57 7" xfId="45307"/>
    <cellStyle name="asd 57 8" xfId="47937"/>
    <cellStyle name="asd 58" xfId="45302"/>
    <cellStyle name="asd 58 2" xfId="45340"/>
    <cellStyle name="asd 58 2 2" xfId="45934"/>
    <cellStyle name="asd 58 2 3" xfId="46292"/>
    <cellStyle name="asd 58 2 4" xfId="46644"/>
    <cellStyle name="asd 58 2 5" xfId="46278"/>
    <cellStyle name="asd 58 3" xfId="45398"/>
    <cellStyle name="asd 58 3 2" xfId="45694"/>
    <cellStyle name="asd 58 3 3" xfId="46083"/>
    <cellStyle name="asd 58 3 4" xfId="46441"/>
    <cellStyle name="asd 58 3 5" xfId="46793"/>
    <cellStyle name="asd 58 3 6" xfId="47108"/>
    <cellStyle name="asd 58 3 7" xfId="47427"/>
    <cellStyle name="asd 58 3 8" xfId="47745"/>
    <cellStyle name="asd 58 4" xfId="45423"/>
    <cellStyle name="asd 58 4 2" xfId="45751"/>
    <cellStyle name="asd 58 4 3" xfId="46140"/>
    <cellStyle name="asd 58 4 4" xfId="46498"/>
    <cellStyle name="asd 58 4 5" xfId="46850"/>
    <cellStyle name="asd 58 4 6" xfId="47165"/>
    <cellStyle name="asd 58 4 7" xfId="47484"/>
    <cellStyle name="asd 58 4 8" xfId="47802"/>
    <cellStyle name="asd 58 5" xfId="45453"/>
    <cellStyle name="asd 58 5 2" xfId="46208"/>
    <cellStyle name="asd 58 5 3" xfId="46566"/>
    <cellStyle name="asd 58 5 4" xfId="46918"/>
    <cellStyle name="asd 58 5 5" xfId="47233"/>
    <cellStyle name="asd 58 5 6" xfId="47552"/>
    <cellStyle name="asd 58 5 7" xfId="47870"/>
    <cellStyle name="asd 58 6" xfId="45889"/>
    <cellStyle name="asd 58 7" xfId="45520"/>
    <cellStyle name="asd 58 8" xfId="45510"/>
    <cellStyle name="asd 58 9" xfId="47939"/>
    <cellStyle name="asd 6" xfId="713"/>
    <cellStyle name="asd 6 10" xfId="3825"/>
    <cellStyle name="asd 6 11" xfId="9002"/>
    <cellStyle name="asd 6 12" xfId="2449"/>
    <cellStyle name="asd 6 13" xfId="12801"/>
    <cellStyle name="asd 6 14" xfId="10885"/>
    <cellStyle name="asd 6 15" xfId="3284"/>
    <cellStyle name="asd 6 16" xfId="2943"/>
    <cellStyle name="asd 6 17" xfId="15136"/>
    <cellStyle name="asd 6 18" xfId="10882"/>
    <cellStyle name="asd 6 19" xfId="27368"/>
    <cellStyle name="asd 6 2" xfId="3361"/>
    <cellStyle name="asd 6 2 10" xfId="14370"/>
    <cellStyle name="asd 6 2 11" xfId="16277"/>
    <cellStyle name="asd 6 2 12" xfId="16654"/>
    <cellStyle name="asd 6 2 13" xfId="18561"/>
    <cellStyle name="asd 6 2 14" xfId="20473"/>
    <cellStyle name="asd 6 2 15" xfId="23902"/>
    <cellStyle name="asd 6 2 16" xfId="24275"/>
    <cellStyle name="asd 6 2 17" xfId="27115"/>
    <cellStyle name="asd 6 2 18" xfId="28697"/>
    <cellStyle name="asd 6 2 19" xfId="30706"/>
    <cellStyle name="asd 6 2 2" xfId="3541"/>
    <cellStyle name="asd 6 2 2 10" xfId="17432"/>
    <cellStyle name="asd 6 2 2 11" xfId="19338"/>
    <cellStyle name="asd 6 2 2 12" xfId="21250"/>
    <cellStyle name="asd 6 2 2 13" xfId="23077"/>
    <cellStyle name="asd 6 2 2 14" xfId="25052"/>
    <cellStyle name="asd 6 2 2 15" xfId="26407"/>
    <cellStyle name="asd 6 2 2 16" xfId="2924"/>
    <cellStyle name="asd 6 2 2 17" xfId="30015"/>
    <cellStyle name="asd 6 2 2 18" xfId="32602"/>
    <cellStyle name="asd 6 2 2 19" xfId="33614"/>
    <cellStyle name="asd 6 2 2 2" xfId="5623"/>
    <cellStyle name="asd 6 2 2 2 10" xfId="21873"/>
    <cellStyle name="asd 6 2 2 2 11" xfId="23737"/>
    <cellStyle name="asd 6 2 2 2 12" xfId="25675"/>
    <cellStyle name="asd 6 2 2 2 13" xfId="27478"/>
    <cellStyle name="asd 6 2 2 2 14" xfId="28524"/>
    <cellStyle name="asd 6 2 2 2 15" xfId="31065"/>
    <cellStyle name="asd 6 2 2 2 16" xfId="31817"/>
    <cellStyle name="asd 6 2 2 2 17" xfId="34904"/>
    <cellStyle name="asd 6 2 2 2 18" xfId="36502"/>
    <cellStyle name="asd 6 2 2 2 19" xfId="38381"/>
    <cellStyle name="asd 6 2 2 2 2" xfId="7072"/>
    <cellStyle name="asd 6 2 2 2 20" xfId="39055"/>
    <cellStyle name="asd 6 2 2 2 21" xfId="40737"/>
    <cellStyle name="asd 6 2 2 2 22" xfId="43490"/>
    <cellStyle name="asd 6 2 2 2 3" xfId="8526"/>
    <cellStyle name="asd 6 2 2 2 4" xfId="10436"/>
    <cellStyle name="asd 6 2 2 2 5" xfId="11767"/>
    <cellStyle name="asd 6 2 2 2 6" xfId="14207"/>
    <cellStyle name="asd 6 2 2 2 7" xfId="16111"/>
    <cellStyle name="asd 6 2 2 2 8" xfId="18055"/>
    <cellStyle name="asd 6 2 2 2 9" xfId="19961"/>
    <cellStyle name="asd 6 2 2 20" xfId="35879"/>
    <cellStyle name="asd 6 2 2 21" xfId="37758"/>
    <cellStyle name="asd 6 2 2 22" xfId="39812"/>
    <cellStyle name="asd 6 2 2 23" xfId="41481"/>
    <cellStyle name="asd 6 2 2 24" xfId="42859"/>
    <cellStyle name="asd 6 2 2 3" xfId="5002"/>
    <cellStyle name="asd 6 2 2 4" xfId="6452"/>
    <cellStyle name="asd 6 2 2 5" xfId="7903"/>
    <cellStyle name="asd 6 2 2 6" xfId="9813"/>
    <cellStyle name="asd 6 2 2 7" xfId="12685"/>
    <cellStyle name="asd 6 2 2 8" xfId="13548"/>
    <cellStyle name="asd 6 2 2 9" xfId="15451"/>
    <cellStyle name="asd 6 2 20" xfId="31628"/>
    <cellStyle name="asd 6 2 21" xfId="33781"/>
    <cellStyle name="asd 6 2 22" xfId="35103"/>
    <cellStyle name="asd 6 2 23" xfId="36981"/>
    <cellStyle name="asd 6 2 24" xfId="38875"/>
    <cellStyle name="asd 6 2 25" xfId="40560"/>
    <cellStyle name="asd 6 2 26" xfId="43649"/>
    <cellStyle name="asd 6 2 3" xfId="3810"/>
    <cellStyle name="asd 6 2 3 10" xfId="19541"/>
    <cellStyle name="asd 6 2 3 11" xfId="21453"/>
    <cellStyle name="asd 6 2 3 12" xfId="22763"/>
    <cellStyle name="asd 6 2 3 13" xfId="25255"/>
    <cellStyle name="asd 6 2 3 14" xfId="27753"/>
    <cellStyle name="asd 6 2 3 15" xfId="29355"/>
    <cellStyle name="asd 6 2 3 16" xfId="31332"/>
    <cellStyle name="asd 6 2 3 17" xfId="33121"/>
    <cellStyle name="asd 6 2 3 18" xfId="33426"/>
    <cellStyle name="asd 6 2 3 19" xfId="36082"/>
    <cellStyle name="asd 6 2 3 2" xfId="5811"/>
    <cellStyle name="asd 6 2 3 2 10" xfId="22061"/>
    <cellStyle name="asd 6 2 3 2 11" xfId="22930"/>
    <cellStyle name="asd 6 2 3 2 12" xfId="25863"/>
    <cellStyle name="asd 6 2 3 2 13" xfId="26513"/>
    <cellStyle name="asd 6 2 3 2 14" xfId="28861"/>
    <cellStyle name="asd 6 2 3 2 15" xfId="30118"/>
    <cellStyle name="asd 6 2 3 2 16" xfId="32804"/>
    <cellStyle name="asd 6 2 3 2 17" xfId="34130"/>
    <cellStyle name="asd 6 2 3 2 18" xfId="36690"/>
    <cellStyle name="asd 6 2 3 2 19" xfId="38569"/>
    <cellStyle name="asd 6 2 3 2 2" xfId="7260"/>
    <cellStyle name="asd 6 2 3 2 20" xfId="40013"/>
    <cellStyle name="asd 6 2 3 2 21" xfId="41677"/>
    <cellStyle name="asd 6 2 3 2 22" xfId="42716"/>
    <cellStyle name="asd 6 2 3 2 3" xfId="8714"/>
    <cellStyle name="asd 6 2 3 2 4" xfId="10624"/>
    <cellStyle name="asd 6 2 3 2 5" xfId="12386"/>
    <cellStyle name="asd 6 2 3 2 6" xfId="13398"/>
    <cellStyle name="asd 6 2 3 2 7" xfId="15303"/>
    <cellStyle name="asd 6 2 3 2 8" xfId="18243"/>
    <cellStyle name="asd 6 2 3 2 9" xfId="20149"/>
    <cellStyle name="asd 6 2 3 20" xfId="37961"/>
    <cellStyle name="asd 6 2 3 21" xfId="40315"/>
    <cellStyle name="asd 6 2 3 22" xfId="41971"/>
    <cellStyle name="asd 6 2 3 23" xfId="42560"/>
    <cellStyle name="asd 6 2 3 3" xfId="5205"/>
    <cellStyle name="asd 6 2 3 4" xfId="8106"/>
    <cellStyle name="asd 6 2 3 5" xfId="10016"/>
    <cellStyle name="asd 6 2 3 6" xfId="11820"/>
    <cellStyle name="asd 6 2 3 7" xfId="13232"/>
    <cellStyle name="asd 6 2 3 8" xfId="15135"/>
    <cellStyle name="asd 6 2 3 9" xfId="17635"/>
    <cellStyle name="asd 6 2 4" xfId="3993"/>
    <cellStyle name="asd 6 2 4 10" xfId="19628"/>
    <cellStyle name="asd 6 2 4 11" xfId="21540"/>
    <cellStyle name="asd 6 2 4 12" xfId="23472"/>
    <cellStyle name="asd 6 2 4 13" xfId="25342"/>
    <cellStyle name="asd 6 2 4 14" xfId="27917"/>
    <cellStyle name="asd 6 2 4 15" xfId="28358"/>
    <cellStyle name="asd 6 2 4 16" xfId="31499"/>
    <cellStyle name="asd 6 2 4 17" xfId="32787"/>
    <cellStyle name="asd 6 2 4 18" xfId="34909"/>
    <cellStyle name="asd 6 2 4 19" xfId="36169"/>
    <cellStyle name="asd 6 2 4 2" xfId="5898"/>
    <cellStyle name="asd 6 2 4 2 10" xfId="22148"/>
    <cellStyle name="asd 6 2 4 2 11" xfId="22622"/>
    <cellStyle name="asd 6 2 4 2 12" xfId="25950"/>
    <cellStyle name="asd 6 2 4 2 13" xfId="27860"/>
    <cellStyle name="asd 6 2 4 2 14" xfId="28227"/>
    <cellStyle name="asd 6 2 4 2 15" xfId="31440"/>
    <cellStyle name="asd 6 2 4 2 16" xfId="32454"/>
    <cellStyle name="asd 6 2 4 2 17" xfId="34088"/>
    <cellStyle name="asd 6 2 4 2 18" xfId="36777"/>
    <cellStyle name="asd 6 2 4 2 19" xfId="38656"/>
    <cellStyle name="asd 6 2 4 2 2" xfId="7347"/>
    <cellStyle name="asd 6 2 4 2 20" xfId="39671"/>
    <cellStyle name="asd 6 2 4 2 21" xfId="41345"/>
    <cellStyle name="asd 6 2 4 2 22" xfId="42428"/>
    <cellStyle name="asd 6 2 4 2 3" xfId="8801"/>
    <cellStyle name="asd 6 2 4 2 4" xfId="10711"/>
    <cellStyle name="asd 6 2 4 2 5" xfId="11046"/>
    <cellStyle name="asd 6 2 4 2 6" xfId="13089"/>
    <cellStyle name="asd 6 2 4 2 7" xfId="14994"/>
    <cellStyle name="asd 6 2 4 2 8" xfId="18330"/>
    <cellStyle name="asd 6 2 4 2 9" xfId="20236"/>
    <cellStyle name="asd 6 2 4 20" xfId="38048"/>
    <cellStyle name="asd 6 2 4 21" xfId="39996"/>
    <cellStyle name="asd 6 2 4 22" xfId="41660"/>
    <cellStyle name="asd 6 2 4 23" xfId="43239"/>
    <cellStyle name="asd 6 2 4 3" xfId="6739"/>
    <cellStyle name="asd 6 2 4 4" xfId="8193"/>
    <cellStyle name="asd 6 2 4 5" xfId="10103"/>
    <cellStyle name="asd 6 2 4 6" xfId="12581"/>
    <cellStyle name="asd 6 2 4 7" xfId="13944"/>
    <cellStyle name="asd 6 2 4 8" xfId="15845"/>
    <cellStyle name="asd 6 2 4 9" xfId="17722"/>
    <cellStyle name="asd 6 2 5" xfId="4871"/>
    <cellStyle name="asd 6 2 5 10" xfId="21119"/>
    <cellStyle name="asd 6 2 5 11" xfId="24089"/>
    <cellStyle name="asd 6 2 5 12" xfId="24921"/>
    <cellStyle name="asd 6 2 5 13" xfId="26721"/>
    <cellStyle name="asd 6 2 5 14" xfId="28140"/>
    <cellStyle name="asd 6 2 5 15" xfId="30321"/>
    <cellStyle name="asd 6 2 5 16" xfId="33054"/>
    <cellStyle name="asd 6 2 5 17" xfId="33987"/>
    <cellStyle name="asd 6 2 5 18" xfId="35748"/>
    <cellStyle name="asd 6 2 5 19" xfId="37627"/>
    <cellStyle name="asd 6 2 5 2" xfId="6321"/>
    <cellStyle name="asd 6 2 5 20" xfId="40251"/>
    <cellStyle name="asd 6 2 5 21" xfId="41909"/>
    <cellStyle name="asd 6 2 5 22" xfId="43832"/>
    <cellStyle name="asd 6 2 5 3" xfId="7772"/>
    <cellStyle name="asd 6 2 5 4" xfId="9682"/>
    <cellStyle name="asd 6 2 5 5" xfId="12048"/>
    <cellStyle name="asd 6 2 5 6" xfId="14559"/>
    <cellStyle name="asd 6 2 5 7" xfId="16465"/>
    <cellStyle name="asd 6 2 5 8" xfId="17301"/>
    <cellStyle name="asd 6 2 5 9" xfId="19207"/>
    <cellStyle name="asd 6 2 6" xfId="4589"/>
    <cellStyle name="asd 6 2 6 10" xfId="20834"/>
    <cellStyle name="asd 6 2 6 11" xfId="23961"/>
    <cellStyle name="asd 6 2 6 12" xfId="24636"/>
    <cellStyle name="asd 6 2 6 13" xfId="26685"/>
    <cellStyle name="asd 6 2 6 14" xfId="20445"/>
    <cellStyle name="asd 6 2 6 15" xfId="30285"/>
    <cellStyle name="asd 6 2 6 16" xfId="32644"/>
    <cellStyle name="asd 6 2 6 17" xfId="28261"/>
    <cellStyle name="asd 6 2 6 18" xfId="35464"/>
    <cellStyle name="asd 6 2 6 19" xfId="37342"/>
    <cellStyle name="asd 6 2 6 2" xfId="4490"/>
    <cellStyle name="asd 6 2 6 20" xfId="39851"/>
    <cellStyle name="asd 6 2 6 21" xfId="41520"/>
    <cellStyle name="asd 6 2 6 22" xfId="43707"/>
    <cellStyle name="asd 6 2 6 3" xfId="5341"/>
    <cellStyle name="asd 6 2 6 4" xfId="9396"/>
    <cellStyle name="asd 6 2 6 5" xfId="11921"/>
    <cellStyle name="asd 6 2 6 6" xfId="14431"/>
    <cellStyle name="asd 6 2 6 7" xfId="16337"/>
    <cellStyle name="asd 6 2 6 8" xfId="17015"/>
    <cellStyle name="asd 6 2 6 9" xfId="18922"/>
    <cellStyle name="asd 6 2 7" xfId="6259"/>
    <cellStyle name="asd 6 2 8" xfId="9035"/>
    <cellStyle name="asd 6 2 9" xfId="11861"/>
    <cellStyle name="asd 6 20" xfId="29515"/>
    <cellStyle name="asd 6 21" xfId="3123"/>
    <cellStyle name="asd 6 22" xfId="28004"/>
    <cellStyle name="asd 6 23" xfId="1981"/>
    <cellStyle name="asd 6 24" xfId="16600"/>
    <cellStyle name="asd 6 25" xfId="35067"/>
    <cellStyle name="asd 6 26" xfId="3937"/>
    <cellStyle name="asd 6 27" xfId="40479"/>
    <cellStyle name="asd 6 3" xfId="3427"/>
    <cellStyle name="asd 6 3 10" xfId="12836"/>
    <cellStyle name="asd 6 3 11" xfId="14741"/>
    <cellStyle name="asd 6 3 12" xfId="16803"/>
    <cellStyle name="asd 6 3 13" xfId="18710"/>
    <cellStyle name="asd 6 3 14" xfId="20622"/>
    <cellStyle name="asd 6 3 15" xfId="22369"/>
    <cellStyle name="asd 6 3 16" xfId="24424"/>
    <cellStyle name="asd 6 3 17" xfId="27342"/>
    <cellStyle name="asd 6 3 18" xfId="28929"/>
    <cellStyle name="asd 6 3 19" xfId="30931"/>
    <cellStyle name="asd 6 3 2" xfId="3607"/>
    <cellStyle name="asd 6 3 2 10" xfId="17498"/>
    <cellStyle name="asd 6 3 2 11" xfId="19404"/>
    <cellStyle name="asd 6 3 2 12" xfId="21316"/>
    <cellStyle name="asd 6 3 2 13" xfId="23018"/>
    <cellStyle name="asd 6 3 2 14" xfId="25118"/>
    <cellStyle name="asd 6 3 2 15" xfId="26285"/>
    <cellStyle name="asd 6 3 2 16" xfId="29149"/>
    <cellStyle name="asd 6 3 2 17" xfId="29894"/>
    <cellStyle name="asd 6 3 2 18" xfId="32077"/>
    <cellStyle name="asd 6 3 2 19" xfId="34680"/>
    <cellStyle name="asd 6 3 2 2" xfId="4523"/>
    <cellStyle name="asd 6 3 2 2 10" xfId="20768"/>
    <cellStyle name="asd 6 3 2 2 11" xfId="24003"/>
    <cellStyle name="asd 6 3 2 2 12" xfId="24570"/>
    <cellStyle name="asd 6 3 2 2 13" xfId="27417"/>
    <cellStyle name="asd 6 3 2 2 14" xfId="29100"/>
    <cellStyle name="asd 6 3 2 2 15" xfId="31003"/>
    <cellStyle name="asd 6 3 2 2 16" xfId="32805"/>
    <cellStyle name="asd 6 3 2 2 17" xfId="33458"/>
    <cellStyle name="asd 6 3 2 2 18" xfId="35398"/>
    <cellStyle name="asd 6 3 2 2 19" xfId="37276"/>
    <cellStyle name="asd 6 3 2 2 2" xfId="4385"/>
    <cellStyle name="asd 6 3 2 2 20" xfId="40014"/>
    <cellStyle name="asd 6 3 2 2 21" xfId="41678"/>
    <cellStyle name="asd 6 3 2 2 22" xfId="43747"/>
    <cellStyle name="asd 6 3 2 2 3" xfId="4296"/>
    <cellStyle name="asd 6 3 2 2 4" xfId="9330"/>
    <cellStyle name="asd 6 3 2 2 5" xfId="11962"/>
    <cellStyle name="asd 6 3 2 2 6" xfId="14473"/>
    <cellStyle name="asd 6 3 2 2 7" xfId="16379"/>
    <cellStyle name="asd 6 3 2 2 8" xfId="16949"/>
    <cellStyle name="asd 6 3 2 2 9" xfId="18856"/>
    <cellStyle name="asd 6 3 2 20" xfId="35945"/>
    <cellStyle name="asd 6 3 2 21" xfId="37824"/>
    <cellStyle name="asd 6 3 2 22" xfId="39301"/>
    <cellStyle name="asd 6 3 2 23" xfId="40977"/>
    <cellStyle name="asd 6 3 2 24" xfId="42801"/>
    <cellStyle name="asd 6 3 2 3" xfId="5068"/>
    <cellStyle name="asd 6 3 2 4" xfId="6518"/>
    <cellStyle name="asd 6 3 2 5" xfId="7969"/>
    <cellStyle name="asd 6 3 2 6" xfId="9879"/>
    <cellStyle name="asd 6 3 2 7" xfId="12599"/>
    <cellStyle name="asd 6 3 2 8" xfId="13488"/>
    <cellStyle name="asd 6 3 2 9" xfId="15392"/>
    <cellStyle name="asd 6 3 20" xfId="32321"/>
    <cellStyle name="asd 6 3 21" xfId="34493"/>
    <cellStyle name="asd 6 3 22" xfId="35252"/>
    <cellStyle name="asd 6 3 23" xfId="37130"/>
    <cellStyle name="asd 6 3 24" xfId="39540"/>
    <cellStyle name="asd 6 3 25" xfId="41214"/>
    <cellStyle name="asd 6 3 26" xfId="42181"/>
    <cellStyle name="asd 6 3 3" xfId="2150"/>
    <cellStyle name="asd 6 3 3 10" xfId="19027"/>
    <cellStyle name="asd 6 3 3 11" xfId="20939"/>
    <cellStyle name="asd 6 3 3 12" xfId="22984"/>
    <cellStyle name="asd 6 3 3 13" xfId="24741"/>
    <cellStyle name="asd 6 3 3 14" xfId="26218"/>
    <cellStyle name="asd 6 3 3 15" xfId="28065"/>
    <cellStyle name="asd 6 3 3 16" xfId="29829"/>
    <cellStyle name="asd 6 3 3 17" xfId="31657"/>
    <cellStyle name="asd 6 3 3 18" xfId="34658"/>
    <cellStyle name="asd 6 3 3 19" xfId="35568"/>
    <cellStyle name="asd 6 3 3 2" xfId="5700"/>
    <cellStyle name="asd 6 3 3 2 10" xfId="21950"/>
    <cellStyle name="asd 6 3 3 2 11" xfId="22713"/>
    <cellStyle name="asd 6 3 3 2 12" xfId="25752"/>
    <cellStyle name="asd 6 3 3 2 13" xfId="27653"/>
    <cellStyle name="asd 6 3 3 2 14" xfId="29431"/>
    <cellStyle name="asd 6 3 3 2 15" xfId="31230"/>
    <cellStyle name="asd 6 3 3 2 16" xfId="32107"/>
    <cellStyle name="asd 6 3 3 2 17" xfId="34126"/>
    <cellStyle name="asd 6 3 3 2 18" xfId="36579"/>
    <cellStyle name="asd 6 3 3 2 19" xfId="38458"/>
    <cellStyle name="asd 6 3 3 2 2" xfId="7149"/>
    <cellStyle name="asd 6 3 3 2 20" xfId="39331"/>
    <cellStyle name="asd 6 3 3 2 21" xfId="41007"/>
    <cellStyle name="asd 6 3 3 2 22" xfId="42513"/>
    <cellStyle name="asd 6 3 3 2 3" xfId="8603"/>
    <cellStyle name="asd 6 3 3 2 4" xfId="10513"/>
    <cellStyle name="asd 6 3 3 2 5" xfId="12286"/>
    <cellStyle name="asd 6 3 3 2 6" xfId="13181"/>
    <cellStyle name="asd 6 3 3 2 7" xfId="15085"/>
    <cellStyle name="asd 6 3 3 2 8" xfId="18132"/>
    <cellStyle name="asd 6 3 3 2 9" xfId="20038"/>
    <cellStyle name="asd 6 3 3 20" xfId="37447"/>
    <cellStyle name="asd 6 3 3 21" xfId="38902"/>
    <cellStyle name="asd 6 3 3 22" xfId="40587"/>
    <cellStyle name="asd 6 3 3 23" xfId="42770"/>
    <cellStyle name="asd 6 3 3 3" xfId="4693"/>
    <cellStyle name="asd 6 3 3 4" xfId="7592"/>
    <cellStyle name="asd 6 3 3 5" xfId="9502"/>
    <cellStyle name="asd 6 3 3 6" xfId="11307"/>
    <cellStyle name="asd 6 3 3 7" xfId="13453"/>
    <cellStyle name="asd 6 3 3 8" xfId="15358"/>
    <cellStyle name="asd 6 3 3 9" xfId="17121"/>
    <cellStyle name="asd 6 3 4" xfId="4059"/>
    <cellStyle name="asd 6 3 4 10" xfId="19694"/>
    <cellStyle name="asd 6 3 4 11" xfId="21606"/>
    <cellStyle name="asd 6 3 4 12" xfId="23470"/>
    <cellStyle name="asd 6 3 4 13" xfId="25408"/>
    <cellStyle name="asd 6 3 4 14" xfId="26594"/>
    <cellStyle name="asd 6 3 4 15" xfId="3709"/>
    <cellStyle name="asd 6 3 4 16" xfId="30196"/>
    <cellStyle name="asd 6 3 4 17" xfId="31835"/>
    <cellStyle name="asd 6 3 4 18" xfId="34902"/>
    <cellStyle name="asd 6 3 4 19" xfId="36235"/>
    <cellStyle name="asd 6 3 4 2" xfId="5964"/>
    <cellStyle name="asd 6 3 4 2 10" xfId="22214"/>
    <cellStyle name="asd 6 3 4 2 11" xfId="22477"/>
    <cellStyle name="asd 6 3 4 2 12" xfId="26016"/>
    <cellStyle name="asd 6 3 4 2 13" xfId="27767"/>
    <cellStyle name="asd 6 3 4 2 14" xfId="26842"/>
    <cellStyle name="asd 6 3 4 2 15" xfId="31345"/>
    <cellStyle name="asd 6 3 4 2 16" xfId="3737"/>
    <cellStyle name="asd 6 3 4 2 17" xfId="30160"/>
    <cellStyle name="asd 6 3 4 2 18" xfId="36843"/>
    <cellStyle name="asd 6 3 4 2 19" xfId="38722"/>
    <cellStyle name="asd 6 3 4 2 2" xfId="7413"/>
    <cellStyle name="asd 6 3 4 2 20" xfId="33357"/>
    <cellStyle name="asd 6 3 4 2 21" xfId="15369"/>
    <cellStyle name="asd 6 3 4 2 22" xfId="42287"/>
    <cellStyle name="asd 6 3 4 2 3" xfId="8867"/>
    <cellStyle name="asd 6 3 4 2 4" xfId="10777"/>
    <cellStyle name="asd 6 3 4 2 5" xfId="11066"/>
    <cellStyle name="asd 6 3 4 2 6" xfId="12945"/>
    <cellStyle name="asd 6 3 4 2 7" xfId="14849"/>
    <cellStyle name="asd 6 3 4 2 8" xfId="18396"/>
    <cellStyle name="asd 6 3 4 2 9" xfId="20302"/>
    <cellStyle name="asd 6 3 4 20" xfId="38114"/>
    <cellStyle name="asd 6 3 4 21" xfId="39072"/>
    <cellStyle name="asd 6 3 4 22" xfId="40754"/>
    <cellStyle name="asd 6 3 4 23" xfId="43237"/>
    <cellStyle name="asd 6 3 4 3" xfId="6805"/>
    <cellStyle name="asd 6 3 4 4" xfId="8259"/>
    <cellStyle name="asd 6 3 4 5" xfId="10169"/>
    <cellStyle name="asd 6 3 4 6" xfId="12312"/>
    <cellStyle name="asd 6 3 4 7" xfId="13942"/>
    <cellStyle name="asd 6 3 4 8" xfId="15843"/>
    <cellStyle name="asd 6 3 4 9" xfId="17788"/>
    <cellStyle name="asd 6 3 5" xfId="4918"/>
    <cellStyle name="asd 6 3 5 10" xfId="21166"/>
    <cellStyle name="asd 6 3 5 11" xfId="23263"/>
    <cellStyle name="asd 6 3 5 12" xfId="24968"/>
    <cellStyle name="asd 6 3 5 13" xfId="27691"/>
    <cellStyle name="asd 6 3 5 14" xfId="28467"/>
    <cellStyle name="asd 6 3 5 15" xfId="31265"/>
    <cellStyle name="asd 6 3 5 16" xfId="32640"/>
    <cellStyle name="asd 6 3 5 17" xfId="34295"/>
    <cellStyle name="asd 6 3 5 18" xfId="35795"/>
    <cellStyle name="asd 6 3 5 19" xfId="37674"/>
    <cellStyle name="asd 6 3 5 2" xfId="6368"/>
    <cellStyle name="asd 6 3 5 20" xfId="39847"/>
    <cellStyle name="asd 6 3 5 21" xfId="41516"/>
    <cellStyle name="asd 6 3 5 22" xfId="43039"/>
    <cellStyle name="asd 6 3 5 3" xfId="7819"/>
    <cellStyle name="asd 6 3 5 4" xfId="9729"/>
    <cellStyle name="asd 6 3 5 5" xfId="11198"/>
    <cellStyle name="asd 6 3 5 6" xfId="13735"/>
    <cellStyle name="asd 6 3 5 7" xfId="15637"/>
    <cellStyle name="asd 6 3 5 8" xfId="17348"/>
    <cellStyle name="asd 6 3 5 9" xfId="19254"/>
    <cellStyle name="asd 6 3 6" xfId="5530"/>
    <cellStyle name="asd 6 3 6 10" xfId="21780"/>
    <cellStyle name="asd 6 3 6 11" xfId="23527"/>
    <cellStyle name="asd 6 3 6 12" xfId="25582"/>
    <cellStyle name="asd 6 3 6 13" xfId="27690"/>
    <cellStyle name="asd 6 3 6 14" xfId="22316"/>
    <cellStyle name="asd 6 3 6 15" xfId="31264"/>
    <cellStyle name="asd 6 3 6 16" xfId="33201"/>
    <cellStyle name="asd 6 3 6 17" xfId="34863"/>
    <cellStyle name="asd 6 3 6 18" xfId="36409"/>
    <cellStyle name="asd 6 3 6 19" xfId="38288"/>
    <cellStyle name="asd 6 3 6 2" xfId="6979"/>
    <cellStyle name="asd 6 3 6 20" xfId="40391"/>
    <cellStyle name="asd 6 3 6 21" xfId="42047"/>
    <cellStyle name="asd 6 3 6 22" xfId="43292"/>
    <cellStyle name="asd 6 3 6 3" xfId="8433"/>
    <cellStyle name="asd 6 3 6 4" xfId="10343"/>
    <cellStyle name="asd 6 3 6 5" xfId="12597"/>
    <cellStyle name="asd 6 3 6 6" xfId="13999"/>
    <cellStyle name="asd 6 3 6 7" xfId="15900"/>
    <cellStyle name="asd 6 3 6 8" xfId="17962"/>
    <cellStyle name="asd 6 3 6 9" xfId="19868"/>
    <cellStyle name="asd 6 3 7" xfId="6282"/>
    <cellStyle name="asd 6 3 8" xfId="9184"/>
    <cellStyle name="asd 6 3 9" xfId="12241"/>
    <cellStyle name="asd 6 4" xfId="3357"/>
    <cellStyle name="asd 6 4 10" xfId="15928"/>
    <cellStyle name="asd 6 4 11" xfId="16642"/>
    <cellStyle name="asd 6 4 12" xfId="18549"/>
    <cellStyle name="asd 6 4 13" xfId="20461"/>
    <cellStyle name="asd 6 4 14" xfId="23555"/>
    <cellStyle name="asd 6 4 15" xfId="24263"/>
    <cellStyle name="asd 6 4 16" xfId="26914"/>
    <cellStyle name="asd 6 4 17" xfId="29296"/>
    <cellStyle name="asd 6 4 18" xfId="30510"/>
    <cellStyle name="asd 6 4 19" xfId="32743"/>
    <cellStyle name="asd 6 4 2" xfId="3537"/>
    <cellStyle name="asd 6 4 2 10" xfId="17428"/>
    <cellStyle name="asd 6 4 2 11" xfId="19334"/>
    <cellStyle name="asd 6 4 2 12" xfId="21246"/>
    <cellStyle name="asd 6 4 2 13" xfId="23829"/>
    <cellStyle name="asd 6 4 2 14" xfId="25048"/>
    <cellStyle name="asd 6 4 2 15" xfId="27538"/>
    <cellStyle name="asd 6 4 2 16" xfId="28787"/>
    <cellStyle name="asd 6 4 2 17" xfId="31119"/>
    <cellStyle name="asd 6 4 2 18" xfId="33118"/>
    <cellStyle name="asd 6 4 2 19" xfId="34307"/>
    <cellStyle name="asd 6 4 2 2" xfId="4234"/>
    <cellStyle name="asd 6 4 2 2 10" xfId="20475"/>
    <cellStyle name="asd 6 4 2 2 11" xfId="22702"/>
    <cellStyle name="asd 6 4 2 2 12" xfId="24277"/>
    <cellStyle name="asd 6 4 2 2 13" xfId="26392"/>
    <cellStyle name="asd 6 4 2 2 14" xfId="28902"/>
    <cellStyle name="asd 6 4 2 2 15" xfId="30000"/>
    <cellStyle name="asd 6 4 2 2 16" xfId="31709"/>
    <cellStyle name="asd 6 4 2 2 17" xfId="34223"/>
    <cellStyle name="asd 6 4 2 2 18" xfId="35105"/>
    <cellStyle name="asd 6 4 2 2 19" xfId="36983"/>
    <cellStyle name="asd 6 4 2 2 2" xfId="5375"/>
    <cellStyle name="asd 6 4 2 2 20" xfId="38950"/>
    <cellStyle name="asd 6 4 2 2 21" xfId="40633"/>
    <cellStyle name="asd 6 4 2 2 22" xfId="42503"/>
    <cellStyle name="asd 6 4 2 2 3" xfId="6643"/>
    <cellStyle name="asd 6 4 2 2 4" xfId="9037"/>
    <cellStyle name="asd 6 4 2 2 5" xfId="2562"/>
    <cellStyle name="asd 6 4 2 2 6" xfId="13170"/>
    <cellStyle name="asd 6 4 2 2 7" xfId="15074"/>
    <cellStyle name="asd 6 4 2 2 8" xfId="16656"/>
    <cellStyle name="asd 6 4 2 2 9" xfId="18563"/>
    <cellStyle name="asd 6 4 2 20" xfId="35875"/>
    <cellStyle name="asd 6 4 2 21" xfId="37754"/>
    <cellStyle name="asd 6 4 2 22" xfId="40312"/>
    <cellStyle name="asd 6 4 2 23" xfId="41968"/>
    <cellStyle name="asd 6 4 2 24" xfId="43580"/>
    <cellStyle name="asd 6 4 2 3" xfId="4998"/>
    <cellStyle name="asd 6 4 2 4" xfId="6448"/>
    <cellStyle name="asd 6 4 2 5" xfId="7899"/>
    <cellStyle name="asd 6 4 2 6" xfId="9809"/>
    <cellStyle name="asd 6 4 2 7" xfId="11728"/>
    <cellStyle name="asd 6 4 2 8" xfId="14299"/>
    <cellStyle name="asd 6 4 2 9" xfId="16203"/>
    <cellStyle name="asd 6 4 20" xfId="33630"/>
    <cellStyle name="asd 6 4 21" xfId="35091"/>
    <cellStyle name="asd 6 4 22" xfId="36969"/>
    <cellStyle name="asd 6 4 23" xfId="39951"/>
    <cellStyle name="asd 6 4 24" xfId="41616"/>
    <cellStyle name="asd 6 4 25" xfId="43319"/>
    <cellStyle name="asd 6 4 3" xfId="3875"/>
    <cellStyle name="asd 6 4 3 10" xfId="19586"/>
    <cellStyle name="asd 6 4 3 11" xfId="21498"/>
    <cellStyle name="asd 6 4 3 12" xfId="12823"/>
    <cellStyle name="asd 6 4 3 13" xfId="25300"/>
    <cellStyle name="asd 6 4 3 14" xfId="2079"/>
    <cellStyle name="asd 6 4 3 15" xfId="24250"/>
    <cellStyle name="asd 6 4 3 16" xfId="10886"/>
    <cellStyle name="asd 6 4 3 17" xfId="26595"/>
    <cellStyle name="asd 6 4 3 18" xfId="13765"/>
    <cellStyle name="asd 6 4 3 19" xfId="36127"/>
    <cellStyle name="asd 6 4 3 2" xfId="5856"/>
    <cellStyle name="asd 6 4 3 2 10" xfId="22106"/>
    <cellStyle name="asd 6 4 3 2 11" xfId="22415"/>
    <cellStyle name="asd 6 4 3 2 12" xfId="25908"/>
    <cellStyle name="asd 6 4 3 2 13" xfId="26311"/>
    <cellStyle name="asd 6 4 3 2 14" xfId="28649"/>
    <cellStyle name="asd 6 4 3 2 15" xfId="29919"/>
    <cellStyle name="asd 6 4 3 2 16" xfId="31953"/>
    <cellStyle name="asd 6 4 3 2 17" xfId="34139"/>
    <cellStyle name="asd 6 4 3 2 18" xfId="36735"/>
    <cellStyle name="asd 6 4 3 2 19" xfId="38614"/>
    <cellStyle name="asd 6 4 3 2 2" xfId="7305"/>
    <cellStyle name="asd 6 4 3 2 20" xfId="39182"/>
    <cellStyle name="asd 6 4 3 2 21" xfId="40863"/>
    <cellStyle name="asd 6 4 3 2 22" xfId="42226"/>
    <cellStyle name="asd 6 4 3 2 3" xfId="8759"/>
    <cellStyle name="asd 6 4 3 2 4" xfId="10669"/>
    <cellStyle name="asd 6 4 3 2 5" xfId="12193"/>
    <cellStyle name="asd 6 4 3 2 6" xfId="12882"/>
    <cellStyle name="asd 6 4 3 2 7" xfId="14787"/>
    <cellStyle name="asd 6 4 3 2 8" xfId="18288"/>
    <cellStyle name="asd 6 4 3 2 9" xfId="20194"/>
    <cellStyle name="asd 6 4 3 20" xfId="38006"/>
    <cellStyle name="asd 6 4 3 21" xfId="34417"/>
    <cellStyle name="asd 6 4 3 22" xfId="11447"/>
    <cellStyle name="asd 6 4 3 23" xfId="28799"/>
    <cellStyle name="asd 6 4 3 3" xfId="5250"/>
    <cellStyle name="asd 6 4 3 4" xfId="8151"/>
    <cellStyle name="asd 6 4 3 5" xfId="10061"/>
    <cellStyle name="asd 6 4 3 6" xfId="12190"/>
    <cellStyle name="asd 6 4 3 7" xfId="9006"/>
    <cellStyle name="asd 6 4 3 8" xfId="2170"/>
    <cellStyle name="asd 6 4 3 9" xfId="17680"/>
    <cellStyle name="asd 6 4 4" xfId="3989"/>
    <cellStyle name="asd 6 4 4 10" xfId="19624"/>
    <cellStyle name="asd 6 4 4 11" xfId="21536"/>
    <cellStyle name="asd 6 4 4 12" xfId="22560"/>
    <cellStyle name="asd 6 4 4 13" xfId="25338"/>
    <cellStyle name="asd 6 4 4 14" xfId="26422"/>
    <cellStyle name="asd 6 4 4 15" xfId="28207"/>
    <cellStyle name="asd 6 4 4 16" xfId="30028"/>
    <cellStyle name="asd 6 4 4 17" xfId="32390"/>
    <cellStyle name="asd 6 4 4 18" xfId="34605"/>
    <cellStyle name="asd 6 4 4 19" xfId="36165"/>
    <cellStyle name="asd 6 4 4 2" xfId="5894"/>
    <cellStyle name="asd 6 4 4 2 10" xfId="22144"/>
    <cellStyle name="asd 6 4 4 2 11" xfId="22772"/>
    <cellStyle name="asd 6 4 4 2 12" xfId="25946"/>
    <cellStyle name="asd 6 4 4 2 13" xfId="27127"/>
    <cellStyle name="asd 6 4 4 2 14" xfId="28176"/>
    <cellStyle name="asd 6 4 4 2 15" xfId="30717"/>
    <cellStyle name="asd 6 4 4 2 16" xfId="32221"/>
    <cellStyle name="asd 6 4 4 2 17" xfId="33631"/>
    <cellStyle name="asd 6 4 4 2 18" xfId="36773"/>
    <cellStyle name="asd 6 4 4 2 19" xfId="38652"/>
    <cellStyle name="asd 6 4 4 2 2" xfId="7343"/>
    <cellStyle name="asd 6 4 4 2 20" xfId="39440"/>
    <cellStyle name="asd 6 4 4 2 21" xfId="41116"/>
    <cellStyle name="asd 6 4 4 2 22" xfId="42567"/>
    <cellStyle name="asd 6 4 4 2 3" xfId="8797"/>
    <cellStyle name="asd 6 4 4 2 4" xfId="10707"/>
    <cellStyle name="asd 6 4 4 2 5" xfId="11496"/>
    <cellStyle name="asd 6 4 4 2 6" xfId="13242"/>
    <cellStyle name="asd 6 4 4 2 7" xfId="15145"/>
    <cellStyle name="asd 6 4 4 2 8" xfId="18326"/>
    <cellStyle name="asd 6 4 4 2 9" xfId="20232"/>
    <cellStyle name="asd 6 4 4 20" xfId="38044"/>
    <cellStyle name="asd 6 4 4 21" xfId="39607"/>
    <cellStyle name="asd 6 4 4 22" xfId="41281"/>
    <cellStyle name="asd 6 4 4 23" xfId="42369"/>
    <cellStyle name="asd 6 4 4 3" xfId="6735"/>
    <cellStyle name="asd 6 4 4 4" xfId="8189"/>
    <cellStyle name="asd 6 4 4 5" xfId="10099"/>
    <cellStyle name="asd 6 4 4 6" xfId="11582"/>
    <cellStyle name="asd 6 4 4 7" xfId="13028"/>
    <cellStyle name="asd 6 4 4 8" xfId="14932"/>
    <cellStyle name="asd 6 4 4 9" xfId="17718"/>
    <cellStyle name="asd 6 4 5" xfId="4358"/>
    <cellStyle name="asd 6 4 5 10" xfId="20463"/>
    <cellStyle name="asd 6 4 5 11" xfId="23325"/>
    <cellStyle name="asd 6 4 5 12" xfId="24265"/>
    <cellStyle name="asd 6 4 5 13" xfId="27859"/>
    <cellStyle name="asd 6 4 5 14" xfId="28516"/>
    <cellStyle name="asd 6 4 5 15" xfId="31439"/>
    <cellStyle name="asd 6 4 5 16" xfId="32271"/>
    <cellStyle name="asd 6 4 5 17" xfId="34850"/>
    <cellStyle name="asd 6 4 5 18" xfId="35093"/>
    <cellStyle name="asd 6 4 5 19" xfId="36971"/>
    <cellStyle name="asd 6 4 5 2" xfId="5285"/>
    <cellStyle name="asd 6 4 5 20" xfId="39489"/>
    <cellStyle name="asd 6 4 5 21" xfId="41164"/>
    <cellStyle name="asd 6 4 5 22" xfId="43096"/>
    <cellStyle name="asd 6 4 5 3" xfId="6686"/>
    <cellStyle name="asd 6 4 5 4" xfId="9025"/>
    <cellStyle name="asd 6 4 5 5" xfId="12443"/>
    <cellStyle name="asd 6 4 5 6" xfId="13797"/>
    <cellStyle name="asd 6 4 5 7" xfId="15699"/>
    <cellStyle name="asd 6 4 5 8" xfId="16644"/>
    <cellStyle name="asd 6 4 5 9" xfId="18551"/>
    <cellStyle name="asd 6 4 6" xfId="1866"/>
    <cellStyle name="asd 6 4 7" xfId="9023"/>
    <cellStyle name="asd 6 4 8" xfId="12492"/>
    <cellStyle name="asd 6 4 9" xfId="14027"/>
    <cellStyle name="asd 6 5" xfId="1888"/>
    <cellStyle name="asd 6 5 10" xfId="17076"/>
    <cellStyle name="asd 6 5 11" xfId="18982"/>
    <cellStyle name="asd 6 5 12" xfId="20894"/>
    <cellStyle name="asd 6 5 13" xfId="22510"/>
    <cellStyle name="asd 6 5 14" xfId="24696"/>
    <cellStyle name="asd 6 5 15" xfId="26571"/>
    <cellStyle name="asd 6 5 16" xfId="27505"/>
    <cellStyle name="asd 6 5 17" xfId="30173"/>
    <cellStyle name="asd 6 5 18" xfId="23857"/>
    <cellStyle name="asd 6 5 19" xfId="30701"/>
    <cellStyle name="asd 6 5 2" xfId="4624"/>
    <cellStyle name="asd 6 5 2 10" xfId="20869"/>
    <cellStyle name="asd 6 5 2 11" xfId="22753"/>
    <cellStyle name="asd 6 5 2 12" xfId="24671"/>
    <cellStyle name="asd 6 5 2 13" xfId="27245"/>
    <cellStyle name="asd 6 5 2 14" xfId="28873"/>
    <cellStyle name="asd 6 5 2 15" xfId="30836"/>
    <cellStyle name="asd 6 5 2 16" xfId="33233"/>
    <cellStyle name="asd 6 5 2 17" xfId="34818"/>
    <cellStyle name="asd 6 5 2 18" xfId="35499"/>
    <cellStyle name="asd 6 5 2 19" xfId="37377"/>
    <cellStyle name="asd 6 5 2 2" xfId="6072"/>
    <cellStyle name="asd 6 5 2 20" xfId="40422"/>
    <cellStyle name="asd 6 5 2 21" xfId="42078"/>
    <cellStyle name="asd 6 5 2 22" xfId="42550"/>
    <cellStyle name="asd 6 5 2 3" xfId="7521"/>
    <cellStyle name="asd 6 5 2 4" xfId="9431"/>
    <cellStyle name="asd 6 5 2 5" xfId="11790"/>
    <cellStyle name="asd 6 5 2 6" xfId="13222"/>
    <cellStyle name="asd 6 5 2 7" xfId="15125"/>
    <cellStyle name="asd 6 5 2 8" xfId="17050"/>
    <cellStyle name="asd 6 5 2 9" xfId="18957"/>
    <cellStyle name="asd 6 5 20" xfId="35523"/>
    <cellStyle name="asd 6 5 21" xfId="37402"/>
    <cellStyle name="asd 6 5 22" xfId="2308"/>
    <cellStyle name="asd 6 5 23" xfId="28185"/>
    <cellStyle name="asd 6 5 24" xfId="42320"/>
    <cellStyle name="asd 6 5 3" xfId="4650"/>
    <cellStyle name="asd 6 5 4" xfId="6097"/>
    <cellStyle name="asd 6 5 5" xfId="7547"/>
    <cellStyle name="asd 6 5 6" xfId="9457"/>
    <cellStyle name="asd 6 5 7" xfId="11172"/>
    <cellStyle name="asd 6 5 8" xfId="12978"/>
    <cellStyle name="asd 6 5 9" xfId="14882"/>
    <cellStyle name="asd 6 6" xfId="2579"/>
    <cellStyle name="asd 6 6 10" xfId="19086"/>
    <cellStyle name="asd 6 6 11" xfId="20998"/>
    <cellStyle name="asd 6 6 12" xfId="23669"/>
    <cellStyle name="asd 6 6 13" xfId="24800"/>
    <cellStyle name="asd 6 6 14" xfId="27836"/>
    <cellStyle name="asd 6 6 15" xfId="28729"/>
    <cellStyle name="asd 6 6 16" xfId="31414"/>
    <cellStyle name="asd 6 6 17" xfId="32837"/>
    <cellStyle name="asd 6 6 18" xfId="33598"/>
    <cellStyle name="asd 6 6 19" xfId="35627"/>
    <cellStyle name="asd 6 6 2" xfId="5616"/>
    <cellStyle name="asd 6 6 2 10" xfId="21866"/>
    <cellStyle name="asd 6 6 2 11" xfId="22366"/>
    <cellStyle name="asd 6 6 2 12" xfId="25668"/>
    <cellStyle name="asd 6 6 2 13" xfId="26802"/>
    <cellStyle name="asd 6 6 2 14" xfId="2136"/>
    <cellStyle name="asd 6 6 2 15" xfId="30400"/>
    <cellStyle name="asd 6 6 2 16" xfId="32945"/>
    <cellStyle name="asd 6 6 2 17" xfId="23122"/>
    <cellStyle name="asd 6 6 2 18" xfId="36495"/>
    <cellStyle name="asd 6 6 2 19" xfId="38374"/>
    <cellStyle name="asd 6 6 2 2" xfId="7065"/>
    <cellStyle name="asd 6 6 2 20" xfId="40148"/>
    <cellStyle name="asd 6 6 2 21" xfId="41807"/>
    <cellStyle name="asd 6 6 2 22" xfId="42178"/>
    <cellStyle name="asd 6 6 2 3" xfId="8519"/>
    <cellStyle name="asd 6 6 2 4" xfId="10429"/>
    <cellStyle name="asd 6 6 2 5" xfId="11467"/>
    <cellStyle name="asd 6 6 2 6" xfId="12833"/>
    <cellStyle name="asd 6 6 2 7" xfId="14738"/>
    <cellStyle name="asd 6 6 2 8" xfId="18048"/>
    <cellStyle name="asd 6 6 2 9" xfId="19954"/>
    <cellStyle name="asd 6 6 20" xfId="37506"/>
    <cellStyle name="asd 6 6 21" xfId="40045"/>
    <cellStyle name="asd 6 6 22" xfId="41709"/>
    <cellStyle name="asd 6 6 23" xfId="43427"/>
    <cellStyle name="asd 6 6 3" xfId="4751"/>
    <cellStyle name="asd 6 6 4" xfId="7651"/>
    <cellStyle name="asd 6 6 5" xfId="9561"/>
    <cellStyle name="asd 6 6 6" xfId="11418"/>
    <cellStyle name="asd 6 6 7" xfId="14140"/>
    <cellStyle name="asd 6 6 8" xfId="16043"/>
    <cellStyle name="asd 6 6 9" xfId="17180"/>
    <cellStyle name="asd 6 7" xfId="2701"/>
    <cellStyle name="asd 6 7 10" xfId="19095"/>
    <cellStyle name="asd 6 7 11" xfId="21007"/>
    <cellStyle name="asd 6 7 12" xfId="22897"/>
    <cellStyle name="asd 6 7 13" xfId="24809"/>
    <cellStyle name="asd 6 7 14" xfId="26235"/>
    <cellStyle name="asd 6 7 15" xfId="28911"/>
    <cellStyle name="asd 6 7 16" xfId="29845"/>
    <cellStyle name="asd 6 7 17" xfId="32486"/>
    <cellStyle name="asd 6 7 18" xfId="33850"/>
    <cellStyle name="asd 6 7 19" xfId="35636"/>
    <cellStyle name="asd 6 7 2" xfId="4517"/>
    <cellStyle name="asd 6 7 2 10" xfId="20762"/>
    <cellStyle name="asd 6 7 2 11" xfId="23235"/>
    <cellStyle name="asd 6 7 2 12" xfId="24564"/>
    <cellStyle name="asd 6 7 2 13" xfId="26626"/>
    <cellStyle name="asd 6 7 2 14" xfId="29170"/>
    <cellStyle name="asd 6 7 2 15" xfId="30229"/>
    <cellStyle name="asd 6 7 2 16" xfId="32279"/>
    <cellStyle name="asd 6 7 2 17" xfId="33808"/>
    <cellStyle name="asd 6 7 2 18" xfId="35392"/>
    <cellStyle name="asd 6 7 2 19" xfId="37270"/>
    <cellStyle name="asd 6 7 2 2" xfId="4395"/>
    <cellStyle name="asd 6 7 2 20" xfId="39498"/>
    <cellStyle name="asd 6 7 2 21" xfId="41173"/>
    <cellStyle name="asd 6 7 2 22" xfId="43012"/>
    <cellStyle name="asd 6 7 2 3" xfId="5286"/>
    <cellStyle name="asd 6 7 2 4" xfId="9324"/>
    <cellStyle name="asd 6 7 2 5" xfId="11120"/>
    <cellStyle name="asd 6 7 2 6" xfId="13707"/>
    <cellStyle name="asd 6 7 2 7" xfId="15609"/>
    <cellStyle name="asd 6 7 2 8" xfId="16943"/>
    <cellStyle name="asd 6 7 2 9" xfId="18850"/>
    <cellStyle name="asd 6 7 20" xfId="37515"/>
    <cellStyle name="asd 6 7 21" xfId="39702"/>
    <cellStyle name="asd 6 7 22" xfId="41374"/>
    <cellStyle name="asd 6 7 23" xfId="42683"/>
    <cellStyle name="asd 6 7 3" xfId="6209"/>
    <cellStyle name="asd 6 7 4" xfId="7660"/>
    <cellStyle name="asd 6 7 5" xfId="9570"/>
    <cellStyle name="asd 6 7 6" xfId="10999"/>
    <cellStyle name="asd 6 7 7" xfId="13365"/>
    <cellStyle name="asd 6 7 8" xfId="15270"/>
    <cellStyle name="asd 6 7 9" xfId="17189"/>
    <cellStyle name="asd 6 8" xfId="2295"/>
    <cellStyle name="asd 6 9" xfId="2992"/>
    <cellStyle name="asd 7" xfId="721"/>
    <cellStyle name="asd 7 10" xfId="3340"/>
    <cellStyle name="asd 7 11" xfId="6248"/>
    <cellStyle name="asd 7 12" xfId="2047"/>
    <cellStyle name="asd 7 13" xfId="2364"/>
    <cellStyle name="asd 7 14" xfId="2588"/>
    <cellStyle name="asd 7 15" xfId="11858"/>
    <cellStyle name="asd 7 16" xfId="20442"/>
    <cellStyle name="asd 7 17" xfId="2898"/>
    <cellStyle name="asd 7 18" xfId="1900"/>
    <cellStyle name="asd 7 19" xfId="5444"/>
    <cellStyle name="asd 7 2" xfId="3515"/>
    <cellStyle name="asd 7 2 10" xfId="13659"/>
    <cellStyle name="asd 7 2 11" xfId="15562"/>
    <cellStyle name="asd 7 2 12" xfId="17009"/>
    <cellStyle name="asd 7 2 13" xfId="18916"/>
    <cellStyle name="asd 7 2 14" xfId="20828"/>
    <cellStyle name="asd 7 2 15" xfId="23188"/>
    <cellStyle name="asd 7 2 16" xfId="24630"/>
    <cellStyle name="asd 7 2 17" xfId="27190"/>
    <cellStyle name="asd 7 2 18" xfId="29400"/>
    <cellStyle name="asd 7 2 19" xfId="30781"/>
    <cellStyle name="asd 7 2 2" xfId="3695"/>
    <cellStyle name="asd 7 2 2 10" xfId="17586"/>
    <cellStyle name="asd 7 2 2 11" xfId="19492"/>
    <cellStyle name="asd 7 2 2 12" xfId="21404"/>
    <cellStyle name="asd 7 2 2 13" xfId="22738"/>
    <cellStyle name="asd 7 2 2 14" xfId="25206"/>
    <cellStyle name="asd 7 2 2 15" xfId="27322"/>
    <cellStyle name="asd 7 2 2 16" xfId="20400"/>
    <cellStyle name="asd 7 2 2 17" xfId="30912"/>
    <cellStyle name="asd 7 2 2 18" xfId="32933"/>
    <cellStyle name="asd 7 2 2 19" xfId="33581"/>
    <cellStyle name="asd 7 2 2 2" xfId="5762"/>
    <cellStyle name="asd 7 2 2 2 10" xfId="22012"/>
    <cellStyle name="asd 7 2 2 2 11" xfId="24013"/>
    <cellStyle name="asd 7 2 2 2 12" xfId="25814"/>
    <cellStyle name="asd 7 2 2 2 13" xfId="26881"/>
    <cellStyle name="asd 7 2 2 2 14" xfId="29679"/>
    <cellStyle name="asd 7 2 2 2 15" xfId="30478"/>
    <cellStyle name="asd 7 2 2 2 16" xfId="32735"/>
    <cellStyle name="asd 7 2 2 2 17" xfId="33697"/>
    <cellStyle name="asd 7 2 2 2 18" xfId="36641"/>
    <cellStyle name="asd 7 2 2 2 19" xfId="38520"/>
    <cellStyle name="asd 7 2 2 2 2" xfId="7211"/>
    <cellStyle name="asd 7 2 2 2 20" xfId="39944"/>
    <cellStyle name="asd 7 2 2 2 21" xfId="41610"/>
    <cellStyle name="asd 7 2 2 2 22" xfId="43757"/>
    <cellStyle name="asd 7 2 2 2 3" xfId="8665"/>
    <cellStyle name="asd 7 2 2 2 4" xfId="10575"/>
    <cellStyle name="asd 7 2 2 2 5" xfId="11972"/>
    <cellStyle name="asd 7 2 2 2 6" xfId="14483"/>
    <cellStyle name="asd 7 2 2 2 7" xfId="16389"/>
    <cellStyle name="asd 7 2 2 2 8" xfId="18194"/>
    <cellStyle name="asd 7 2 2 2 9" xfId="20100"/>
    <cellStyle name="asd 7 2 2 20" xfId="36033"/>
    <cellStyle name="asd 7 2 2 21" xfId="37912"/>
    <cellStyle name="asd 7 2 2 22" xfId="40137"/>
    <cellStyle name="asd 7 2 2 23" xfId="41796"/>
    <cellStyle name="asd 7 2 2 24" xfId="42536"/>
    <cellStyle name="asd 7 2 2 3" xfId="5156"/>
    <cellStyle name="asd 7 2 2 4" xfId="6606"/>
    <cellStyle name="asd 7 2 2 5" xfId="8057"/>
    <cellStyle name="asd 7 2 2 6" xfId="9967"/>
    <cellStyle name="asd 7 2 2 7" xfId="11441"/>
    <cellStyle name="asd 7 2 2 8" xfId="13207"/>
    <cellStyle name="asd 7 2 2 9" xfId="15110"/>
    <cellStyle name="asd 7 2 20" xfId="32502"/>
    <cellStyle name="asd 7 2 21" xfId="33536"/>
    <cellStyle name="asd 7 2 22" xfId="35458"/>
    <cellStyle name="asd 7 2 23" xfId="37336"/>
    <cellStyle name="asd 7 2 24" xfId="39717"/>
    <cellStyle name="asd 7 2 25" xfId="41389"/>
    <cellStyle name="asd 7 2 26" xfId="42966"/>
    <cellStyle name="asd 7 2 3" xfId="3009"/>
    <cellStyle name="asd 7 2 3 10" xfId="19137"/>
    <cellStyle name="asd 7 2 3 11" xfId="21049"/>
    <cellStyle name="asd 7 2 3 12" xfId="23154"/>
    <cellStyle name="asd 7 2 3 13" xfId="24851"/>
    <cellStyle name="asd 7 2 3 14" xfId="26414"/>
    <cellStyle name="asd 7 2 3 15" xfId="29374"/>
    <cellStyle name="asd 7 2 3 16" xfId="30021"/>
    <cellStyle name="asd 7 2 3 17" xfId="32191"/>
    <cellStyle name="asd 7 2 3 18" xfId="34430"/>
    <cellStyle name="asd 7 2 3 19" xfId="35678"/>
    <cellStyle name="asd 7 2 3 2" xfId="4627"/>
    <cellStyle name="asd 7 2 3 2 10" xfId="20872"/>
    <cellStyle name="asd 7 2 3 2 11" xfId="3527"/>
    <cellStyle name="asd 7 2 3 2 12" xfId="24674"/>
    <cellStyle name="asd 7 2 3 2 13" xfId="3017"/>
    <cellStyle name="asd 7 2 3 2 14" xfId="23583"/>
    <cellStyle name="asd 7 2 3 2 15" xfId="3015"/>
    <cellStyle name="asd 7 2 3 2 16" xfId="31500"/>
    <cellStyle name="asd 7 2 3 2 17" xfId="29083"/>
    <cellStyle name="asd 7 2 3 2 18" xfId="35502"/>
    <cellStyle name="asd 7 2 3 2 19" xfId="37380"/>
    <cellStyle name="asd 7 2 3 2 2" xfId="6075"/>
    <cellStyle name="asd 7 2 3 2 20" xfId="3782"/>
    <cellStyle name="asd 7 2 3 2 21" xfId="39445"/>
    <cellStyle name="asd 7 2 3 2 22" xfId="33739"/>
    <cellStyle name="asd 7 2 3 2 3" xfId="7524"/>
    <cellStyle name="asd 7 2 3 2 4" xfId="9434"/>
    <cellStyle name="asd 7 2 3 2 5" xfId="12396"/>
    <cellStyle name="asd 7 2 3 2 6" xfId="2301"/>
    <cellStyle name="asd 7 2 3 2 7" xfId="1804"/>
    <cellStyle name="asd 7 2 3 2 8" xfId="17053"/>
    <cellStyle name="asd 7 2 3 2 9" xfId="18960"/>
    <cellStyle name="asd 7 2 3 20" xfId="37557"/>
    <cellStyle name="asd 7 2 3 21" xfId="39413"/>
    <cellStyle name="asd 7 2 3 22" xfId="41089"/>
    <cellStyle name="asd 7 2 3 23" xfId="42932"/>
    <cellStyle name="asd 7 2 3 3" xfId="4801"/>
    <cellStyle name="asd 7 2 3 4" xfId="7702"/>
    <cellStyle name="asd 7 2 3 5" xfId="9612"/>
    <cellStyle name="asd 7 2 3 6" xfId="10949"/>
    <cellStyle name="asd 7 2 3 7" xfId="13625"/>
    <cellStyle name="asd 7 2 3 8" xfId="15528"/>
    <cellStyle name="asd 7 2 3 9" xfId="17231"/>
    <cellStyle name="asd 7 2 4" xfId="4147"/>
    <cellStyle name="asd 7 2 4 10" xfId="19782"/>
    <cellStyle name="asd 7 2 4 11" xfId="21694"/>
    <cellStyle name="asd 7 2 4 12" xfId="23212"/>
    <cellStyle name="asd 7 2 4 13" xfId="25496"/>
    <cellStyle name="asd 7 2 4 14" xfId="26412"/>
    <cellStyle name="asd 7 2 4 15" xfId="20429"/>
    <cellStyle name="asd 7 2 4 16" xfId="30019"/>
    <cellStyle name="asd 7 2 4 17" xfId="32007"/>
    <cellStyle name="asd 7 2 4 18" xfId="34972"/>
    <cellStyle name="asd 7 2 4 19" xfId="36323"/>
    <cellStyle name="asd 7 2 4 2" xfId="6052"/>
    <cellStyle name="asd 7 2 4 2 10" xfId="22302"/>
    <cellStyle name="asd 7 2 4 2 11" xfId="2294"/>
    <cellStyle name="asd 7 2 4 2 12" xfId="26104"/>
    <cellStyle name="asd 7 2 4 2 13" xfId="2866"/>
    <cellStyle name="asd 7 2 4 2 14" xfId="29277"/>
    <cellStyle name="asd 7 2 4 2 15" xfId="9008"/>
    <cellStyle name="asd 7 2 4 2 16" xfId="28887"/>
    <cellStyle name="asd 7 2 4 2 17" xfId="34141"/>
    <cellStyle name="asd 7 2 4 2 18" xfId="36931"/>
    <cellStyle name="asd 7 2 4 2 19" xfId="38810"/>
    <cellStyle name="asd 7 2 4 2 2" xfId="7501"/>
    <cellStyle name="asd 7 2 4 2 20" xfId="28613"/>
    <cellStyle name="asd 7 2 4 2 21" xfId="3217"/>
    <cellStyle name="asd 7 2 4 2 22" xfId="41359"/>
    <cellStyle name="asd 7 2 4 2 3" xfId="8955"/>
    <cellStyle name="asd 7 2 4 2 4" xfId="10865"/>
    <cellStyle name="asd 7 2 4 2 5" xfId="2018"/>
    <cellStyle name="asd 7 2 4 2 6" xfId="3046"/>
    <cellStyle name="asd 7 2 4 2 7" xfId="2374"/>
    <cellStyle name="asd 7 2 4 2 8" xfId="18484"/>
    <cellStyle name="asd 7 2 4 2 9" xfId="20390"/>
    <cellStyle name="asd 7 2 4 20" xfId="38202"/>
    <cellStyle name="asd 7 2 4 21" xfId="39238"/>
    <cellStyle name="asd 7 2 4 22" xfId="40915"/>
    <cellStyle name="asd 7 2 4 23" xfId="42990"/>
    <cellStyle name="asd 7 2 4 3" xfId="6893"/>
    <cellStyle name="asd 7 2 4 4" xfId="8347"/>
    <cellStyle name="asd 7 2 4 5" xfId="10257"/>
    <cellStyle name="asd 7 2 4 6" xfId="11084"/>
    <cellStyle name="asd 7 2 4 7" xfId="13684"/>
    <cellStyle name="asd 7 2 4 8" xfId="15586"/>
    <cellStyle name="asd 7 2 4 9" xfId="17876"/>
    <cellStyle name="asd 7 2 5" xfId="4988"/>
    <cellStyle name="asd 7 2 5 10" xfId="21236"/>
    <cellStyle name="asd 7 2 5 11" xfId="22914"/>
    <cellStyle name="asd 7 2 5 12" xfId="25038"/>
    <cellStyle name="asd 7 2 5 13" xfId="26530"/>
    <cellStyle name="asd 7 2 5 14" xfId="29340"/>
    <cellStyle name="asd 7 2 5 15" xfId="30136"/>
    <cellStyle name="asd 7 2 5 16" xfId="32295"/>
    <cellStyle name="asd 7 2 5 17" xfId="34221"/>
    <cellStyle name="asd 7 2 5 18" xfId="35865"/>
    <cellStyle name="asd 7 2 5 19" xfId="37744"/>
    <cellStyle name="asd 7 2 5 2" xfId="6438"/>
    <cellStyle name="asd 7 2 5 20" xfId="39515"/>
    <cellStyle name="asd 7 2 5 21" xfId="41189"/>
    <cellStyle name="asd 7 2 5 22" xfId="42700"/>
    <cellStyle name="asd 7 2 5 3" xfId="7889"/>
    <cellStyle name="asd 7 2 5 4" xfId="9799"/>
    <cellStyle name="asd 7 2 5 5" xfId="11211"/>
    <cellStyle name="asd 7 2 5 6" xfId="13382"/>
    <cellStyle name="asd 7 2 5 7" xfId="15287"/>
    <cellStyle name="asd 7 2 5 8" xfId="17418"/>
    <cellStyle name="asd 7 2 5 9" xfId="19324"/>
    <cellStyle name="asd 7 2 6" xfId="5692"/>
    <cellStyle name="asd 7 2 6 10" xfId="21942"/>
    <cellStyle name="asd 7 2 6 11" xfId="23680"/>
    <cellStyle name="asd 7 2 6 12" xfId="25744"/>
    <cellStyle name="asd 7 2 6 13" xfId="27811"/>
    <cellStyle name="asd 7 2 6 14" xfId="28525"/>
    <cellStyle name="asd 7 2 6 15" xfId="31389"/>
    <cellStyle name="asd 7 2 6 16" xfId="32472"/>
    <cellStyle name="asd 7 2 6 17" xfId="34140"/>
    <cellStyle name="asd 7 2 6 18" xfId="36571"/>
    <cellStyle name="asd 7 2 6 19" xfId="38450"/>
    <cellStyle name="asd 7 2 6 2" xfId="7141"/>
    <cellStyle name="asd 7 2 6 20" xfId="39690"/>
    <cellStyle name="asd 7 2 6 21" xfId="41363"/>
    <cellStyle name="asd 7 2 6 22" xfId="43437"/>
    <cellStyle name="asd 7 2 6 3" xfId="8595"/>
    <cellStyle name="asd 7 2 6 4" xfId="10505"/>
    <cellStyle name="asd 7 2 6 5" xfId="11699"/>
    <cellStyle name="asd 7 2 6 6" xfId="14150"/>
    <cellStyle name="asd 7 2 6 7" xfId="16054"/>
    <cellStyle name="asd 7 2 6 8" xfId="18124"/>
    <cellStyle name="asd 7 2 6 9" xfId="20030"/>
    <cellStyle name="asd 7 2 7" xfId="5403"/>
    <cellStyle name="asd 7 2 8" xfId="9390"/>
    <cellStyle name="asd 7 2 9" xfId="11028"/>
    <cellStyle name="asd 7 20" xfId="29042"/>
    <cellStyle name="asd 7 21" xfId="29088"/>
    <cellStyle name="asd 7 22" xfId="1826"/>
    <cellStyle name="asd 7 23" xfId="33481"/>
    <cellStyle name="asd 7 24" xfId="22353"/>
    <cellStyle name="asd 7 25" xfId="23479"/>
    <cellStyle name="asd 7 26" xfId="33337"/>
    <cellStyle name="asd 7 27" xfId="40100"/>
    <cellStyle name="asd 7 3" xfId="1764"/>
    <cellStyle name="asd 7 3 10" xfId="2849"/>
    <cellStyle name="asd 7 3 11" xfId="2894"/>
    <cellStyle name="asd 7 3 12" xfId="2596"/>
    <cellStyle name="asd 7 3 13" xfId="3313"/>
    <cellStyle name="asd 7 3 14" xfId="4583"/>
    <cellStyle name="asd 7 3 15" xfId="1921"/>
    <cellStyle name="asd 7 3 16" xfId="2787"/>
    <cellStyle name="asd 7 3 17" xfId="20441"/>
    <cellStyle name="asd 7 3 18" xfId="2721"/>
    <cellStyle name="asd 7 3 19" xfId="26127"/>
    <cellStyle name="asd 7 3 2" xfId="2072"/>
    <cellStyle name="asd 7 3 2 10" xfId="17104"/>
    <cellStyle name="asd 7 3 2 11" xfId="19010"/>
    <cellStyle name="asd 7 3 2 12" xfId="20922"/>
    <cellStyle name="asd 7 3 2 13" xfId="23580"/>
    <cellStyle name="asd 7 3 2 14" xfId="24724"/>
    <cellStyle name="asd 7 3 2 15" xfId="27822"/>
    <cellStyle name="asd 7 3 2 16" xfId="29519"/>
    <cellStyle name="asd 7 3 2 17" xfId="31400"/>
    <cellStyle name="asd 7 3 2 18" xfId="31711"/>
    <cellStyle name="asd 7 3 2 19" xfId="34544"/>
    <cellStyle name="asd 7 3 2 2" xfId="4390"/>
    <cellStyle name="asd 7 3 2 2 10" xfId="20633"/>
    <cellStyle name="asd 7 3 2 2 11" xfId="23021"/>
    <cellStyle name="asd 7 3 2 2 12" xfId="24435"/>
    <cellStyle name="asd 7 3 2 2 13" xfId="27864"/>
    <cellStyle name="asd 7 3 2 2 14" xfId="29623"/>
    <cellStyle name="asd 7 3 2 2 15" xfId="31444"/>
    <cellStyle name="asd 7 3 2 2 16" xfId="32138"/>
    <cellStyle name="asd 7 3 2 2 17" xfId="34794"/>
    <cellStyle name="asd 7 3 2 2 18" xfId="35263"/>
    <cellStyle name="asd 7 3 2 2 19" xfId="37141"/>
    <cellStyle name="asd 7 3 2 2 2" xfId="5394"/>
    <cellStyle name="asd 7 3 2 2 20" xfId="39361"/>
    <cellStyle name="asd 7 3 2 2 21" xfId="41037"/>
    <cellStyle name="asd 7 3 2 2 22" xfId="42804"/>
    <cellStyle name="asd 7 3 2 2 3" xfId="6680"/>
    <cellStyle name="asd 7 3 2 2 4" xfId="9195"/>
    <cellStyle name="asd 7 3 2 2 5" xfId="12607"/>
    <cellStyle name="asd 7 3 2 2 6" xfId="13491"/>
    <cellStyle name="asd 7 3 2 2 7" xfId="15395"/>
    <cellStyle name="asd 7 3 2 2 8" xfId="16814"/>
    <cellStyle name="asd 7 3 2 2 9" xfId="18721"/>
    <cellStyle name="asd 7 3 2 20" xfId="35551"/>
    <cellStyle name="asd 7 3 2 21" xfId="37430"/>
    <cellStyle name="asd 7 3 2 22" xfId="38952"/>
    <cellStyle name="asd 7 3 2 23" xfId="40635"/>
    <cellStyle name="asd 7 3 2 24" xfId="43342"/>
    <cellStyle name="asd 7 3 2 3" xfId="4677"/>
    <cellStyle name="asd 7 3 2 4" xfId="6124"/>
    <cellStyle name="asd 7 3 2 5" xfId="7575"/>
    <cellStyle name="asd 7 3 2 6" xfId="9485"/>
    <cellStyle name="asd 7 3 2 7" xfId="12572"/>
    <cellStyle name="asd 7 3 2 8" xfId="14052"/>
    <cellStyle name="asd 7 3 2 9" xfId="15953"/>
    <cellStyle name="asd 7 3 20" xfId="28596"/>
    <cellStyle name="asd 7 3 21" xfId="22859"/>
    <cellStyle name="asd 7 3 22" xfId="29151"/>
    <cellStyle name="asd 7 3 23" xfId="33345"/>
    <cellStyle name="asd 7 3 24" xfId="34376"/>
    <cellStyle name="asd 7 3 25" xfId="34048"/>
    <cellStyle name="asd 7 3 26" xfId="29209"/>
    <cellStyle name="asd 7 3 3" xfId="2144"/>
    <cellStyle name="asd 7 3 3 10" xfId="19026"/>
    <cellStyle name="asd 7 3 3 11" xfId="20938"/>
    <cellStyle name="asd 7 3 3 12" xfId="23852"/>
    <cellStyle name="asd 7 3 3 13" xfId="24740"/>
    <cellStyle name="asd 7 3 3 14" xfId="27846"/>
    <cellStyle name="asd 7 3 3 15" xfId="2404"/>
    <cellStyle name="asd 7 3 3 16" xfId="31425"/>
    <cellStyle name="asd 7 3 3 17" xfId="32287"/>
    <cellStyle name="asd 7 3 3 18" xfId="29548"/>
    <cellStyle name="asd 7 3 3 19" xfId="35567"/>
    <cellStyle name="asd 7 3 3 2" xfId="4931"/>
    <cellStyle name="asd 7 3 3 2 10" xfId="21179"/>
    <cellStyle name="asd 7 3 3 2 11" xfId="23010"/>
    <cellStyle name="asd 7 3 3 2 12" xfId="24981"/>
    <cellStyle name="asd 7 3 3 2 13" xfId="26748"/>
    <cellStyle name="asd 7 3 3 2 14" xfId="29586"/>
    <cellStyle name="asd 7 3 3 2 15" xfId="30347"/>
    <cellStyle name="asd 7 3 3 2 16" xfId="31714"/>
    <cellStyle name="asd 7 3 3 2 17" xfId="33925"/>
    <cellStyle name="asd 7 3 3 2 18" xfId="35808"/>
    <cellStyle name="asd 7 3 3 2 19" xfId="37687"/>
    <cellStyle name="asd 7 3 3 2 2" xfId="6381"/>
    <cellStyle name="asd 7 3 3 2 20" xfId="38955"/>
    <cellStyle name="asd 7 3 3 2 21" xfId="40638"/>
    <cellStyle name="asd 7 3 3 2 22" xfId="42794"/>
    <cellStyle name="asd 7 3 3 2 3" xfId="7832"/>
    <cellStyle name="asd 7 3 3 2 4" xfId="9742"/>
    <cellStyle name="asd 7 3 3 2 5" xfId="12374"/>
    <cellStyle name="asd 7 3 3 2 6" xfId="13480"/>
    <cellStyle name="asd 7 3 3 2 7" xfId="15385"/>
    <cellStyle name="asd 7 3 3 2 8" xfId="17361"/>
    <cellStyle name="asd 7 3 3 2 9" xfId="19267"/>
    <cellStyle name="asd 7 3 3 20" xfId="37446"/>
    <cellStyle name="asd 7 3 3 21" xfId="39507"/>
    <cellStyle name="asd 7 3 3 22" xfId="41181"/>
    <cellStyle name="asd 7 3 3 23" xfId="43603"/>
    <cellStyle name="asd 7 3 3 3" xfId="4692"/>
    <cellStyle name="asd 7 3 3 4" xfId="7591"/>
    <cellStyle name="asd 7 3 3 5" xfId="9501"/>
    <cellStyle name="asd 7 3 3 6" xfId="11549"/>
    <cellStyle name="asd 7 3 3 7" xfId="14322"/>
    <cellStyle name="asd 7 3 3 8" xfId="16226"/>
    <cellStyle name="asd 7 3 3 9" xfId="17120"/>
    <cellStyle name="asd 7 3 4" xfId="2218"/>
    <cellStyle name="asd 7 3 4 10" xfId="19035"/>
    <cellStyle name="asd 7 3 4 11" xfId="20947"/>
    <cellStyle name="asd 7 3 4 12" xfId="24014"/>
    <cellStyle name="asd 7 3 4 13" xfId="24749"/>
    <cellStyle name="asd 7 3 4 14" xfId="27908"/>
    <cellStyle name="asd 7 3 4 15" xfId="28263"/>
    <cellStyle name="asd 7 3 4 16" xfId="31490"/>
    <cellStyle name="asd 7 3 4 17" xfId="31659"/>
    <cellStyle name="asd 7 3 4 18" xfId="34573"/>
    <cellStyle name="asd 7 3 4 19" xfId="35576"/>
    <cellStyle name="asd 7 3 4 2" xfId="4533"/>
    <cellStyle name="asd 7 3 4 2 10" xfId="20778"/>
    <cellStyle name="asd 7 3 4 2 11" xfId="23747"/>
    <cellStyle name="asd 7 3 4 2 12" xfId="24580"/>
    <cellStyle name="asd 7 3 4 2 13" xfId="27206"/>
    <cellStyle name="asd 7 3 4 2 14" xfId="2998"/>
    <cellStyle name="asd 7 3 4 2 15" xfId="30797"/>
    <cellStyle name="asd 7 3 4 2 16" xfId="32515"/>
    <cellStyle name="asd 7 3 4 2 17" xfId="34324"/>
    <cellStyle name="asd 7 3 4 2 18" xfId="35408"/>
    <cellStyle name="asd 7 3 4 2 19" xfId="37286"/>
    <cellStyle name="asd 7 3 4 2 2" xfId="4547"/>
    <cellStyle name="asd 7 3 4 2 20" xfId="39729"/>
    <cellStyle name="asd 7 3 4 2 21" xfId="41401"/>
    <cellStyle name="asd 7 3 4 2 22" xfId="43500"/>
    <cellStyle name="asd 7 3 4 2 3" xfId="4290"/>
    <cellStyle name="asd 7 3 4 2 4" xfId="9340"/>
    <cellStyle name="asd 7 3 4 2 5" xfId="11383"/>
    <cellStyle name="asd 7 3 4 2 6" xfId="14217"/>
    <cellStyle name="asd 7 3 4 2 7" xfId="16121"/>
    <cellStyle name="asd 7 3 4 2 8" xfId="16959"/>
    <cellStyle name="asd 7 3 4 2 9" xfId="18866"/>
    <cellStyle name="asd 7 3 4 20" xfId="37455"/>
    <cellStyle name="asd 7 3 4 21" xfId="38903"/>
    <cellStyle name="asd 7 3 4 22" xfId="40588"/>
    <cellStyle name="asd 7 3 4 23" xfId="43758"/>
    <cellStyle name="asd 7 3 4 3" xfId="6149"/>
    <cellStyle name="asd 7 3 4 4" xfId="7600"/>
    <cellStyle name="asd 7 3 4 5" xfId="9510"/>
    <cellStyle name="asd 7 3 4 6" xfId="11973"/>
    <cellStyle name="asd 7 3 4 7" xfId="14484"/>
    <cellStyle name="asd 7 3 4 8" xfId="16390"/>
    <cellStyle name="asd 7 3 4 9" xfId="17129"/>
    <cellStyle name="asd 7 3 5" xfId="4632"/>
    <cellStyle name="asd 7 3 5 10" xfId="20876"/>
    <cellStyle name="asd 7 3 5 11" xfId="23070"/>
    <cellStyle name="asd 7 3 5 12" xfId="24678"/>
    <cellStyle name="asd 7 3 5 13" xfId="27766"/>
    <cellStyle name="asd 7 3 5 14" xfId="23369"/>
    <cellStyle name="asd 7 3 5 15" xfId="31344"/>
    <cellStyle name="asd 7 3 5 16" xfId="31869"/>
    <cellStyle name="asd 7 3 5 17" xfId="34154"/>
    <cellStyle name="asd 7 3 5 18" xfId="35505"/>
    <cellStyle name="asd 7 3 5 19" xfId="37384"/>
    <cellStyle name="asd 7 3 5 2" xfId="6079"/>
    <cellStyle name="asd 7 3 5 20" xfId="39104"/>
    <cellStyle name="asd 7 3 5 21" xfId="40785"/>
    <cellStyle name="asd 7 3 5 22" xfId="42852"/>
    <cellStyle name="asd 7 3 5 3" xfId="7529"/>
    <cellStyle name="asd 7 3 5 4" xfId="9439"/>
    <cellStyle name="asd 7 3 5 5" xfId="11572"/>
    <cellStyle name="asd 7 3 5 6" xfId="13541"/>
    <cellStyle name="asd 7 3 5 7" xfId="15444"/>
    <cellStyle name="asd 7 3 5 8" xfId="17058"/>
    <cellStyle name="asd 7 3 5 9" xfId="18964"/>
    <cellStyle name="asd 7 3 6" xfId="4336"/>
    <cellStyle name="asd 7 3 6 10" xfId="20493"/>
    <cellStyle name="asd 7 3 6 11" xfId="23576"/>
    <cellStyle name="asd 7 3 6 12" xfId="24295"/>
    <cellStyle name="asd 7 3 6 13" xfId="26956"/>
    <cellStyle name="asd 7 3 6 14" xfId="29555"/>
    <cellStyle name="asd 7 3 6 15" xfId="30550"/>
    <cellStyle name="asd 7 3 6 16" xfId="32702"/>
    <cellStyle name="asd 7 3 6 17" xfId="34241"/>
    <cellStyle name="asd 7 3 6 18" xfId="35123"/>
    <cellStyle name="asd 7 3 6 19" xfId="37001"/>
    <cellStyle name="asd 7 3 6 2" xfId="2648"/>
    <cellStyle name="asd 7 3 6 20" xfId="39910"/>
    <cellStyle name="asd 7 3 6 21" xfId="41579"/>
    <cellStyle name="asd 7 3 6 22" xfId="43339"/>
    <cellStyle name="asd 7 3 6 3" xfId="3934"/>
    <cellStyle name="asd 7 3 6 4" xfId="9055"/>
    <cellStyle name="asd 7 3 6 5" xfId="12513"/>
    <cellStyle name="asd 7 3 6 6" xfId="14048"/>
    <cellStyle name="asd 7 3 6 7" xfId="15949"/>
    <cellStyle name="asd 7 3 6 8" xfId="16674"/>
    <cellStyle name="asd 7 3 6 9" xfId="18581"/>
    <cellStyle name="asd 7 3 7" xfId="2045"/>
    <cellStyle name="asd 7 3 8" xfId="2709"/>
    <cellStyle name="asd 7 3 9" xfId="2795"/>
    <cellStyle name="asd 7 4" xfId="3442"/>
    <cellStyle name="asd 7 4 10" xfId="15354"/>
    <cellStyle name="asd 7 4 11" xfId="16826"/>
    <cellStyle name="asd 7 4 12" xfId="18733"/>
    <cellStyle name="asd 7 4 13" xfId="20645"/>
    <cellStyle name="asd 7 4 14" xfId="22980"/>
    <cellStyle name="asd 7 4 15" xfId="24447"/>
    <cellStyle name="asd 7 4 16" xfId="27882"/>
    <cellStyle name="asd 7 4 17" xfId="3214"/>
    <cellStyle name="asd 7 4 18" xfId="31463"/>
    <cellStyle name="asd 7 4 19" xfId="31990"/>
    <cellStyle name="asd 7 4 2" xfId="3622"/>
    <cellStyle name="asd 7 4 2 10" xfId="17513"/>
    <cellStyle name="asd 7 4 2 11" xfId="19419"/>
    <cellStyle name="asd 7 4 2 12" xfId="21331"/>
    <cellStyle name="asd 7 4 2 13" xfId="23184"/>
    <cellStyle name="asd 7 4 2 14" xfId="25133"/>
    <cellStyle name="asd 7 4 2 15" xfId="26909"/>
    <cellStyle name="asd 7 4 2 16" xfId="29357"/>
    <cellStyle name="asd 7 4 2 17" xfId="30505"/>
    <cellStyle name="asd 7 4 2 18" xfId="32349"/>
    <cellStyle name="asd 7 4 2 19" xfId="34598"/>
    <cellStyle name="asd 7 4 2 2" xfId="5538"/>
    <cellStyle name="asd 7 4 2 2 10" xfId="21788"/>
    <cellStyle name="asd 7 4 2 2 11" xfId="24135"/>
    <cellStyle name="asd 7 4 2 2 12" xfId="25590"/>
    <cellStyle name="asd 7 4 2 2 13" xfId="26838"/>
    <cellStyle name="asd 7 4 2 2 14" xfId="28991"/>
    <cellStyle name="asd 7 4 2 2 15" xfId="30436"/>
    <cellStyle name="asd 7 4 2 2 16" xfId="32816"/>
    <cellStyle name="asd 7 4 2 2 17" xfId="34077"/>
    <cellStyle name="asd 7 4 2 2 18" xfId="36417"/>
    <cellStyle name="asd 7 4 2 2 19" xfId="38296"/>
    <cellStyle name="asd 7 4 2 2 2" xfId="6987"/>
    <cellStyle name="asd 7 4 2 2 20" xfId="40025"/>
    <cellStyle name="asd 7 4 2 2 21" xfId="41689"/>
    <cellStyle name="asd 7 4 2 2 22" xfId="43878"/>
    <cellStyle name="asd 7 4 2 2 3" xfId="8441"/>
    <cellStyle name="asd 7 4 2 2 4" xfId="10351"/>
    <cellStyle name="asd 7 4 2 2 5" xfId="12095"/>
    <cellStyle name="asd 7 4 2 2 6" xfId="14606"/>
    <cellStyle name="asd 7 4 2 2 7" xfId="16512"/>
    <cellStyle name="asd 7 4 2 2 8" xfId="17970"/>
    <cellStyle name="asd 7 4 2 2 9" xfId="19876"/>
    <cellStyle name="asd 7 4 2 20" xfId="35960"/>
    <cellStyle name="asd 7 4 2 21" xfId="37839"/>
    <cellStyle name="asd 7 4 2 22" xfId="39568"/>
    <cellStyle name="asd 7 4 2 23" xfId="41242"/>
    <cellStyle name="asd 7 4 2 24" xfId="42962"/>
    <cellStyle name="asd 7 4 2 3" xfId="5083"/>
    <cellStyle name="asd 7 4 2 4" xfId="6533"/>
    <cellStyle name="asd 7 4 2 5" xfId="7984"/>
    <cellStyle name="asd 7 4 2 6" xfId="9894"/>
    <cellStyle name="asd 7 4 2 7" xfId="11019"/>
    <cellStyle name="asd 7 4 2 8" xfId="13655"/>
    <cellStyle name="asd 7 4 2 9" xfId="15558"/>
    <cellStyle name="asd 7 4 20" xfId="34175"/>
    <cellStyle name="asd 7 4 21" xfId="35275"/>
    <cellStyle name="asd 7 4 22" xfId="37153"/>
    <cellStyle name="asd 7 4 23" xfId="39221"/>
    <cellStyle name="asd 7 4 24" xfId="40899"/>
    <cellStyle name="asd 7 4 25" xfId="42766"/>
    <cellStyle name="asd 7 4 3" xfId="3856"/>
    <cellStyle name="asd 7 4 3 10" xfId="19577"/>
    <cellStyle name="asd 7 4 3 11" xfId="21489"/>
    <cellStyle name="asd 7 4 3 12" xfId="22628"/>
    <cellStyle name="asd 7 4 3 13" xfId="25291"/>
    <cellStyle name="asd 7 4 3 14" xfId="26271"/>
    <cellStyle name="asd 7 4 3 15" xfId="29015"/>
    <cellStyle name="asd 7 4 3 16" xfId="29880"/>
    <cellStyle name="asd 7 4 3 17" xfId="32319"/>
    <cellStyle name="asd 7 4 3 18" xfId="34075"/>
    <cellStyle name="asd 7 4 3 19" xfId="36118"/>
    <cellStyle name="asd 7 4 3 2" xfId="5847"/>
    <cellStyle name="asd 7 4 3 2 10" xfId="22097"/>
    <cellStyle name="asd 7 4 3 2 11" xfId="23613"/>
    <cellStyle name="asd 7 4 3 2 12" xfId="25899"/>
    <cellStyle name="asd 7 4 3 2 13" xfId="27865"/>
    <cellStyle name="asd 7 4 3 2 14" xfId="29001"/>
    <cellStyle name="asd 7 4 3 2 15" xfId="31446"/>
    <cellStyle name="asd 7 4 3 2 16" xfId="32068"/>
    <cellStyle name="asd 7 4 3 2 17" xfId="34656"/>
    <cellStyle name="asd 7 4 3 2 18" xfId="36726"/>
    <cellStyle name="asd 7 4 3 2 19" xfId="38605"/>
    <cellStyle name="asd 7 4 3 2 2" xfId="7296"/>
    <cellStyle name="asd 7 4 3 2 20" xfId="39294"/>
    <cellStyle name="asd 7 4 3 2 21" xfId="40970"/>
    <cellStyle name="asd 7 4 3 2 22" xfId="43371"/>
    <cellStyle name="asd 7 4 3 2 3" xfId="8750"/>
    <cellStyle name="asd 7 4 3 2 4" xfId="10660"/>
    <cellStyle name="asd 7 4 3 2 5" xfId="11353"/>
    <cellStyle name="asd 7 4 3 2 6" xfId="14083"/>
    <cellStyle name="asd 7 4 3 2 7" xfId="15986"/>
    <cellStyle name="asd 7 4 3 2 8" xfId="18279"/>
    <cellStyle name="asd 7 4 3 2 9" xfId="20185"/>
    <cellStyle name="asd 7 4 3 20" xfId="37997"/>
    <cellStyle name="asd 7 4 3 21" xfId="39538"/>
    <cellStyle name="asd 7 4 3 22" xfId="41212"/>
    <cellStyle name="asd 7 4 3 23" xfId="42434"/>
    <cellStyle name="asd 7 4 3 3" xfId="5241"/>
    <cellStyle name="asd 7 4 3 4" xfId="8142"/>
    <cellStyle name="asd 7 4 3 5" xfId="10052"/>
    <cellStyle name="asd 7 4 3 6" xfId="11678"/>
    <cellStyle name="asd 7 4 3 7" xfId="13095"/>
    <cellStyle name="asd 7 4 3 8" xfId="15000"/>
    <cellStyle name="asd 7 4 3 9" xfId="17671"/>
    <cellStyle name="asd 7 4 4" xfId="4074"/>
    <cellStyle name="asd 7 4 4 10" xfId="19709"/>
    <cellStyle name="asd 7 4 4 11" xfId="21621"/>
    <cellStyle name="asd 7 4 4 12" xfId="23605"/>
    <cellStyle name="asd 7 4 4 13" xfId="25423"/>
    <cellStyle name="asd 7 4 4 14" xfId="27230"/>
    <cellStyle name="asd 7 4 4 15" xfId="29674"/>
    <cellStyle name="asd 7 4 4 16" xfId="30821"/>
    <cellStyle name="asd 7 4 4 17" xfId="32595"/>
    <cellStyle name="asd 7 4 4 18" xfId="34055"/>
    <cellStyle name="asd 7 4 4 19" xfId="36250"/>
    <cellStyle name="asd 7 4 4 2" xfId="5979"/>
    <cellStyle name="asd 7 4 4 2 10" xfId="22229"/>
    <cellStyle name="asd 7 4 4 2 11" xfId="22600"/>
    <cellStyle name="asd 7 4 4 2 12" xfId="26031"/>
    <cellStyle name="asd 7 4 4 2 13" xfId="27736"/>
    <cellStyle name="asd 7 4 4 2 14" xfId="28736"/>
    <cellStyle name="asd 7 4 4 2 15" xfId="31314"/>
    <cellStyle name="asd 7 4 4 2 16" xfId="31727"/>
    <cellStyle name="asd 7 4 4 2 17" xfId="33677"/>
    <cellStyle name="asd 7 4 4 2 18" xfId="36858"/>
    <cellStyle name="asd 7 4 4 2 19" xfId="38737"/>
    <cellStyle name="asd 7 4 4 2 2" xfId="7428"/>
    <cellStyle name="asd 7 4 4 2 20" xfId="38968"/>
    <cellStyle name="asd 7 4 4 2 21" xfId="40651"/>
    <cellStyle name="asd 7 4 4 2 22" xfId="42409"/>
    <cellStyle name="asd 7 4 4 2 3" xfId="8882"/>
    <cellStyle name="asd 7 4 4 2 4" xfId="10792"/>
    <cellStyle name="asd 7 4 4 2 5" xfId="11378"/>
    <cellStyle name="asd 7 4 4 2 6" xfId="13068"/>
    <cellStyle name="asd 7 4 4 2 7" xfId="14972"/>
    <cellStyle name="asd 7 4 4 2 8" xfId="18411"/>
    <cellStyle name="asd 7 4 4 2 9" xfId="20317"/>
    <cellStyle name="asd 7 4 4 20" xfId="38129"/>
    <cellStyle name="asd 7 4 4 21" xfId="39806"/>
    <cellStyle name="asd 7 4 4 22" xfId="41475"/>
    <cellStyle name="asd 7 4 4 23" xfId="43363"/>
    <cellStyle name="asd 7 4 4 3" xfId="6820"/>
    <cellStyle name="asd 7 4 4 4" xfId="8274"/>
    <cellStyle name="asd 7 4 4 5" xfId="10184"/>
    <cellStyle name="asd 7 4 4 6" xfId="11702"/>
    <cellStyle name="asd 7 4 4 7" xfId="14075"/>
    <cellStyle name="asd 7 4 4 8" xfId="15978"/>
    <cellStyle name="asd 7 4 4 9" xfId="17803"/>
    <cellStyle name="asd 7 4 5" xfId="4341"/>
    <cellStyle name="asd 7 4 5 10" xfId="20577"/>
    <cellStyle name="asd 7 4 5 11" xfId="22945"/>
    <cellStyle name="asd 7 4 5 12" xfId="24379"/>
    <cellStyle name="asd 7 4 5 13" xfId="26236"/>
    <cellStyle name="asd 7 4 5 14" xfId="29407"/>
    <cellStyle name="asd 7 4 5 15" xfId="29846"/>
    <cellStyle name="asd 7 4 5 16" xfId="31922"/>
    <cellStyle name="asd 7 4 5 17" xfId="34723"/>
    <cellStyle name="asd 7 4 5 18" xfId="35207"/>
    <cellStyle name="asd 7 4 5 19" xfId="37085"/>
    <cellStyle name="asd 7 4 5 2" xfId="5425"/>
    <cellStyle name="asd 7 4 5 20" xfId="39153"/>
    <cellStyle name="asd 7 4 5 21" xfId="40834"/>
    <cellStyle name="asd 7 4 5 22" xfId="42731"/>
    <cellStyle name="asd 7 4 5 3" xfId="6681"/>
    <cellStyle name="asd 7 4 5 4" xfId="9139"/>
    <cellStyle name="asd 7 4 5 5" xfId="12298"/>
    <cellStyle name="asd 7 4 5 6" xfId="13413"/>
    <cellStyle name="asd 7 4 5 7" xfId="15318"/>
    <cellStyle name="asd 7 4 5 8" xfId="16758"/>
    <cellStyle name="asd 7 4 5 9" xfId="18665"/>
    <cellStyle name="asd 7 4 6" xfId="2250"/>
    <cellStyle name="asd 7 4 7" xfId="9207"/>
    <cellStyle name="asd 7 4 8" xfId="11026"/>
    <cellStyle name="asd 7 4 9" xfId="13449"/>
    <cellStyle name="asd 7 5" xfId="2309"/>
    <cellStyle name="asd 7 5 10" xfId="17143"/>
    <cellStyle name="asd 7 5 11" xfId="19049"/>
    <cellStyle name="asd 7 5 12" xfId="20961"/>
    <cellStyle name="asd 7 5 13" xfId="23784"/>
    <cellStyle name="asd 7 5 14" xfId="24763"/>
    <cellStyle name="asd 7 5 15" xfId="27535"/>
    <cellStyle name="asd 7 5 16" xfId="28302"/>
    <cellStyle name="asd 7 5 17" xfId="31116"/>
    <cellStyle name="asd 7 5 18" xfId="32253"/>
    <cellStyle name="asd 7 5 19" xfId="35046"/>
    <cellStyle name="asd 7 5 2" xfId="4340"/>
    <cellStyle name="asd 7 5 2 10" xfId="20557"/>
    <cellStyle name="asd 7 5 2 11" xfId="23636"/>
    <cellStyle name="asd 7 5 2 12" xfId="24359"/>
    <cellStyle name="asd 7 5 2 13" xfId="27611"/>
    <cellStyle name="asd 7 5 2 14" xfId="1879"/>
    <cellStyle name="asd 7 5 2 15" xfId="31189"/>
    <cellStyle name="asd 7 5 2 16" xfId="32145"/>
    <cellStyle name="asd 7 5 2 17" xfId="33528"/>
    <cellStyle name="asd 7 5 2 18" xfId="35187"/>
    <cellStyle name="asd 7 5 2 19" xfId="37065"/>
    <cellStyle name="asd 7 5 2 2" xfId="2049"/>
    <cellStyle name="asd 7 5 2 20" xfId="39368"/>
    <cellStyle name="asd 7 5 2 21" xfId="41044"/>
    <cellStyle name="asd 7 5 2 22" xfId="43394"/>
    <cellStyle name="asd 7 5 2 3" xfId="3763"/>
    <cellStyle name="asd 7 5 2 4" xfId="9119"/>
    <cellStyle name="asd 7 5 2 5" xfId="11668"/>
    <cellStyle name="asd 7 5 2 6" xfId="14106"/>
    <cellStyle name="asd 7 5 2 7" xfId="16009"/>
    <cellStyle name="asd 7 5 2 8" xfId="16738"/>
    <cellStyle name="asd 7 5 2 9" xfId="18645"/>
    <cellStyle name="asd 7 5 20" xfId="35590"/>
    <cellStyle name="asd 7 5 21" xfId="37469"/>
    <cellStyle name="asd 7 5 22" xfId="39471"/>
    <cellStyle name="asd 7 5 23" xfId="41146"/>
    <cellStyle name="asd 7 5 24" xfId="43537"/>
    <cellStyle name="asd 7 5 3" xfId="4715"/>
    <cellStyle name="asd 7 5 4" xfId="6163"/>
    <cellStyle name="asd 7 5 5" xfId="7614"/>
    <cellStyle name="asd 7 5 6" xfId="9524"/>
    <cellStyle name="asd 7 5 7" xfId="11600"/>
    <cellStyle name="asd 7 5 8" xfId="14254"/>
    <cellStyle name="asd 7 5 9" xfId="16158"/>
    <cellStyle name="asd 7 6" xfId="3052"/>
    <cellStyle name="asd 7 6 10" xfId="19147"/>
    <cellStyle name="asd 7 6 11" xfId="21059"/>
    <cellStyle name="asd 7 6 12" xfId="22752"/>
    <cellStyle name="asd 7 6 13" xfId="24861"/>
    <cellStyle name="asd 7 6 14" xfId="27838"/>
    <cellStyle name="asd 7 6 15" xfId="28098"/>
    <cellStyle name="asd 7 6 16" xfId="31416"/>
    <cellStyle name="asd 7 6 17" xfId="32943"/>
    <cellStyle name="asd 7 6 18" xfId="34157"/>
    <cellStyle name="asd 7 6 19" xfId="35688"/>
    <cellStyle name="asd 7 6 2" xfId="5587"/>
    <cellStyle name="asd 7 6 2 10" xfId="21837"/>
    <cellStyle name="asd 7 6 2 11" xfId="23601"/>
    <cellStyle name="asd 7 6 2 12" xfId="25639"/>
    <cellStyle name="asd 7 6 2 13" xfId="26306"/>
    <cellStyle name="asd 7 6 2 14" xfId="29069"/>
    <cellStyle name="asd 7 6 2 15" xfId="29915"/>
    <cellStyle name="asd 7 6 2 16" xfId="32758"/>
    <cellStyle name="asd 7 6 2 17" xfId="34164"/>
    <cellStyle name="asd 7 6 2 18" xfId="36466"/>
    <cellStyle name="asd 7 6 2 19" xfId="38345"/>
    <cellStyle name="asd 7 6 2 2" xfId="7036"/>
    <cellStyle name="asd 7 6 2 20" xfId="39967"/>
    <cellStyle name="asd 7 6 2 21" xfId="41631"/>
    <cellStyle name="asd 7 6 2 22" xfId="43360"/>
    <cellStyle name="asd 7 6 2 3" xfId="8490"/>
    <cellStyle name="asd 7 6 2 4" xfId="10400"/>
    <cellStyle name="asd 7 6 2 5" xfId="12257"/>
    <cellStyle name="asd 7 6 2 6" xfId="14071"/>
    <cellStyle name="asd 7 6 2 7" xfId="15974"/>
    <cellStyle name="asd 7 6 2 8" xfId="18019"/>
    <cellStyle name="asd 7 6 2 9" xfId="19925"/>
    <cellStyle name="asd 7 6 20" xfId="37567"/>
    <cellStyle name="asd 7 6 21" xfId="40146"/>
    <cellStyle name="asd 7 6 22" xfId="41805"/>
    <cellStyle name="asd 7 6 23" xfId="42549"/>
    <cellStyle name="asd 7 6 3" xfId="4811"/>
    <cellStyle name="asd 7 6 4" xfId="7712"/>
    <cellStyle name="asd 7 6 5" xfId="9622"/>
    <cellStyle name="asd 7 6 6" xfId="11060"/>
    <cellStyle name="asd 7 6 7" xfId="13221"/>
    <cellStyle name="asd 7 6 8" xfId="15124"/>
    <cellStyle name="asd 7 6 9" xfId="17241"/>
    <cellStyle name="asd 7 7" xfId="2932"/>
    <cellStyle name="asd 7 7 10" xfId="19129"/>
    <cellStyle name="asd 7 7 11" xfId="21041"/>
    <cellStyle name="asd 7 7 12" xfId="22439"/>
    <cellStyle name="asd 7 7 13" xfId="24843"/>
    <cellStyle name="asd 7 7 14" xfId="26495"/>
    <cellStyle name="asd 7 7 15" xfId="28843"/>
    <cellStyle name="asd 7 7 16" xfId="30100"/>
    <cellStyle name="asd 7 7 17" xfId="32980"/>
    <cellStyle name="asd 7 7 18" xfId="33951"/>
    <cellStyle name="asd 7 7 19" xfId="35670"/>
    <cellStyle name="asd 7 7 2" xfId="5480"/>
    <cellStyle name="asd 7 7 2 10" xfId="21730"/>
    <cellStyle name="asd 7 7 2 11" xfId="23622"/>
    <cellStyle name="asd 7 7 2 12" xfId="25532"/>
    <cellStyle name="asd 7 7 2 13" xfId="27840"/>
    <cellStyle name="asd 7 7 2 14" xfId="28367"/>
    <cellStyle name="asd 7 7 2 15" xfId="31418"/>
    <cellStyle name="asd 7 7 2 16" xfId="32636"/>
    <cellStyle name="asd 7 7 2 17" xfId="34011"/>
    <cellStyle name="asd 7 7 2 18" xfId="36359"/>
    <cellStyle name="asd 7 7 2 19" xfId="38238"/>
    <cellStyle name="asd 7 7 2 2" xfId="6929"/>
    <cellStyle name="asd 7 7 2 20" xfId="39843"/>
    <cellStyle name="asd 7 7 2 21" xfId="41512"/>
    <cellStyle name="asd 7 7 2 22" xfId="43380"/>
    <cellStyle name="asd 7 7 2 3" xfId="8383"/>
    <cellStyle name="asd 7 7 2 4" xfId="10293"/>
    <cellStyle name="asd 7 7 2 5" xfId="11437"/>
    <cellStyle name="asd 7 7 2 6" xfId="14092"/>
    <cellStyle name="asd 7 7 2 7" xfId="15995"/>
    <cellStyle name="asd 7 7 2 8" xfId="17912"/>
    <cellStyle name="asd 7 7 2 9" xfId="19818"/>
    <cellStyle name="asd 7 7 20" xfId="37549"/>
    <cellStyle name="asd 7 7 21" xfId="40181"/>
    <cellStyle name="asd 7 7 22" xfId="41840"/>
    <cellStyle name="asd 7 7 23" xfId="42250"/>
    <cellStyle name="asd 7 7 3" xfId="6243"/>
    <cellStyle name="asd 7 7 4" xfId="7694"/>
    <cellStyle name="asd 7 7 5" xfId="9604"/>
    <cellStyle name="asd 7 7 6" xfId="11547"/>
    <cellStyle name="asd 7 7 7" xfId="12907"/>
    <cellStyle name="asd 7 7 8" xfId="14812"/>
    <cellStyle name="asd 7 7 9" xfId="17223"/>
    <cellStyle name="asd 7 8" xfId="3967"/>
    <cellStyle name="asd 7 9" xfId="2938"/>
    <cellStyle name="asd 8" xfId="729"/>
    <cellStyle name="asd 8 10" xfId="3773"/>
    <cellStyle name="asd 8 11" xfId="2685"/>
    <cellStyle name="asd 8 12" xfId="2641"/>
    <cellStyle name="asd 8 13" xfId="1907"/>
    <cellStyle name="asd 8 14" xfId="1896"/>
    <cellStyle name="asd 8 15" xfId="2124"/>
    <cellStyle name="asd 8 16" xfId="4171"/>
    <cellStyle name="asd 8 17" xfId="20444"/>
    <cellStyle name="asd 8 18" xfId="18535"/>
    <cellStyle name="asd 8 19" xfId="28408"/>
    <cellStyle name="asd 8 2" xfId="3489"/>
    <cellStyle name="asd 8 2 10" xfId="13859"/>
    <cellStyle name="asd 8 2 11" xfId="15760"/>
    <cellStyle name="asd 8 2 12" xfId="16932"/>
    <cellStyle name="asd 8 2 13" xfId="18839"/>
    <cellStyle name="asd 8 2 14" xfId="20751"/>
    <cellStyle name="asd 8 2 15" xfId="23387"/>
    <cellStyle name="asd 8 2 16" xfId="24553"/>
    <cellStyle name="asd 8 2 17" xfId="27094"/>
    <cellStyle name="asd 8 2 18" xfId="28593"/>
    <cellStyle name="asd 8 2 19" xfId="30685"/>
    <cellStyle name="asd 8 2 2" xfId="3669"/>
    <cellStyle name="asd 8 2 2 10" xfId="17560"/>
    <cellStyle name="asd 8 2 2 11" xfId="19466"/>
    <cellStyle name="asd 8 2 2 12" xfId="21378"/>
    <cellStyle name="asd 8 2 2 13" xfId="23840"/>
    <cellStyle name="asd 8 2 2 14" xfId="25180"/>
    <cellStyle name="asd 8 2 2 15" xfId="26258"/>
    <cellStyle name="asd 8 2 2 16" xfId="29134"/>
    <cellStyle name="asd 8 2 2 17" xfId="29868"/>
    <cellStyle name="asd 8 2 2 18" xfId="33059"/>
    <cellStyle name="asd 8 2 2 19" xfId="33688"/>
    <cellStyle name="asd 8 2 2 2" xfId="4578"/>
    <cellStyle name="asd 8 2 2 2 10" xfId="20823"/>
    <cellStyle name="asd 8 2 2 2 11" xfId="24081"/>
    <cellStyle name="asd 8 2 2 2 12" xfId="24625"/>
    <cellStyle name="asd 8 2 2 2 13" xfId="27335"/>
    <cellStyle name="asd 8 2 2 2 14" xfId="28230"/>
    <cellStyle name="asd 8 2 2 2 15" xfId="30924"/>
    <cellStyle name="asd 8 2 2 2 16" xfId="32761"/>
    <cellStyle name="asd 8 2 2 2 17" xfId="34534"/>
    <cellStyle name="asd 8 2 2 2 18" xfId="35453"/>
    <cellStyle name="asd 8 2 2 2 19" xfId="37331"/>
    <cellStyle name="asd 8 2 2 2 2" xfId="5374"/>
    <cellStyle name="asd 8 2 2 2 20" xfId="39970"/>
    <cellStyle name="asd 8 2 2 2 21" xfId="41634"/>
    <cellStyle name="asd 8 2 2 2 22" xfId="43825"/>
    <cellStyle name="asd 8 2 2 2 3" xfId="6662"/>
    <cellStyle name="asd 8 2 2 2 4" xfId="9385"/>
    <cellStyle name="asd 8 2 2 2 5" xfId="12040"/>
    <cellStyle name="asd 8 2 2 2 6" xfId="14551"/>
    <cellStyle name="asd 8 2 2 2 7" xfId="16457"/>
    <cellStyle name="asd 8 2 2 2 8" xfId="17004"/>
    <cellStyle name="asd 8 2 2 2 9" xfId="18911"/>
    <cellStyle name="asd 8 2 2 20" xfId="36007"/>
    <cellStyle name="asd 8 2 2 21" xfId="37886"/>
    <cellStyle name="asd 8 2 2 22" xfId="40255"/>
    <cellStyle name="asd 8 2 2 23" xfId="41913"/>
    <cellStyle name="asd 8 2 2 24" xfId="43591"/>
    <cellStyle name="asd 8 2 2 3" xfId="5130"/>
    <cellStyle name="asd 8 2 2 4" xfId="6580"/>
    <cellStyle name="asd 8 2 2 5" xfId="8031"/>
    <cellStyle name="asd 8 2 2 6" xfId="9941"/>
    <cellStyle name="asd 8 2 2 7" xfId="11756"/>
    <cellStyle name="asd 8 2 2 8" xfId="14310"/>
    <cellStyle name="asd 8 2 2 9" xfId="16214"/>
    <cellStyle name="asd 8 2 20" xfId="33064"/>
    <cellStyle name="asd 8 2 21" xfId="34380"/>
    <cellStyle name="asd 8 2 22" xfId="35381"/>
    <cellStyle name="asd 8 2 23" xfId="37259"/>
    <cellStyle name="asd 8 2 24" xfId="40260"/>
    <cellStyle name="asd 8 2 25" xfId="41918"/>
    <cellStyle name="asd 8 2 26" xfId="43154"/>
    <cellStyle name="asd 8 2 3" xfId="3850"/>
    <cellStyle name="asd 8 2 3 10" xfId="19572"/>
    <cellStyle name="asd 8 2 3 11" xfId="21484"/>
    <cellStyle name="asd 8 2 3 12" xfId="22423"/>
    <cellStyle name="asd 8 2 3 13" xfId="25286"/>
    <cellStyle name="asd 8 2 3 14" xfId="26807"/>
    <cellStyle name="asd 8 2 3 15" xfId="22339"/>
    <cellStyle name="asd 8 2 3 16" xfId="30406"/>
    <cellStyle name="asd 8 2 3 17" xfId="32664"/>
    <cellStyle name="asd 8 2 3 18" xfId="34199"/>
    <cellStyle name="asd 8 2 3 19" xfId="36113"/>
    <cellStyle name="asd 8 2 3 2" xfId="5842"/>
    <cellStyle name="asd 8 2 3 2 10" xfId="22092"/>
    <cellStyle name="asd 8 2 3 2 11" xfId="13217"/>
    <cellStyle name="asd 8 2 3 2 12" xfId="25894"/>
    <cellStyle name="asd 8 2 3 2 13" xfId="3717"/>
    <cellStyle name="asd 8 2 3 2 14" xfId="2336"/>
    <cellStyle name="asd 8 2 3 2 15" xfId="2083"/>
    <cellStyle name="asd 8 2 3 2 16" xfId="12782"/>
    <cellStyle name="asd 8 2 3 2 17" xfId="31624"/>
    <cellStyle name="asd 8 2 3 2 18" xfId="36721"/>
    <cellStyle name="asd 8 2 3 2 19" xfId="38600"/>
    <cellStyle name="asd 8 2 3 2 2" xfId="7291"/>
    <cellStyle name="asd 8 2 3 2 20" xfId="6249"/>
    <cellStyle name="asd 8 2 3 2 21" xfId="24237"/>
    <cellStyle name="asd 8 2 3 2 22" xfId="38836"/>
    <cellStyle name="asd 8 2 3 2 3" xfId="8745"/>
    <cellStyle name="asd 8 2 3 2 4" xfId="10655"/>
    <cellStyle name="asd 8 2 3 2 5" xfId="12320"/>
    <cellStyle name="asd 8 2 3 2 6" xfId="1775"/>
    <cellStyle name="asd 8 2 3 2 7" xfId="12149"/>
    <cellStyle name="asd 8 2 3 2 8" xfId="18274"/>
    <cellStyle name="asd 8 2 3 2 9" xfId="20180"/>
    <cellStyle name="asd 8 2 3 20" xfId="37992"/>
    <cellStyle name="asd 8 2 3 21" xfId="39871"/>
    <cellStyle name="asd 8 2 3 22" xfId="41540"/>
    <cellStyle name="asd 8 2 3 23" xfId="42234"/>
    <cellStyle name="asd 8 2 3 3" xfId="5236"/>
    <cellStyle name="asd 8 2 3 4" xfId="8137"/>
    <cellStyle name="asd 8 2 3 5" xfId="10047"/>
    <cellStyle name="asd 8 2 3 6" xfId="11559"/>
    <cellStyle name="asd 8 2 3 7" xfId="12890"/>
    <cellStyle name="asd 8 2 3 8" xfId="14795"/>
    <cellStyle name="asd 8 2 3 9" xfId="17666"/>
    <cellStyle name="asd 8 2 4" xfId="4121"/>
    <cellStyle name="asd 8 2 4 10" xfId="19756"/>
    <cellStyle name="asd 8 2 4 11" xfId="21668"/>
    <cellStyle name="asd 8 2 4 12" xfId="22714"/>
    <cellStyle name="asd 8 2 4 13" xfId="25470"/>
    <cellStyle name="asd 8 2 4 14" xfId="26714"/>
    <cellStyle name="asd 8 2 4 15" xfId="28631"/>
    <cellStyle name="asd 8 2 4 16" xfId="30314"/>
    <cellStyle name="asd 8 2 4 17" xfId="31612"/>
    <cellStyle name="asd 8 2 4 18" xfId="34626"/>
    <cellStyle name="asd 8 2 4 19" xfId="36297"/>
    <cellStyle name="asd 8 2 4 2" xfId="6026"/>
    <cellStyle name="asd 8 2 4 2 10" xfId="22276"/>
    <cellStyle name="asd 8 2 4 2 11" xfId="23979"/>
    <cellStyle name="asd 8 2 4 2 12" xfId="26078"/>
    <cellStyle name="asd 8 2 4 2 13" xfId="27485"/>
    <cellStyle name="asd 8 2 4 2 14" xfId="2304"/>
    <cellStyle name="asd 8 2 4 2 15" xfId="31072"/>
    <cellStyle name="asd 8 2 4 2 16" xfId="33235"/>
    <cellStyle name="asd 8 2 4 2 17" xfId="34214"/>
    <cellStyle name="asd 8 2 4 2 18" xfId="36905"/>
    <cellStyle name="asd 8 2 4 2 19" xfId="38784"/>
    <cellStyle name="asd 8 2 4 2 2" xfId="7475"/>
    <cellStyle name="asd 8 2 4 2 20" xfId="40425"/>
    <cellStyle name="asd 8 2 4 2 21" xfId="42080"/>
    <cellStyle name="asd 8 2 4 2 22" xfId="43724"/>
    <cellStyle name="asd 8 2 4 2 3" xfId="8929"/>
    <cellStyle name="asd 8 2 4 2 4" xfId="10839"/>
    <cellStyle name="asd 8 2 4 2 5" xfId="11939"/>
    <cellStyle name="asd 8 2 4 2 6" xfId="14449"/>
    <cellStyle name="asd 8 2 4 2 7" xfId="16355"/>
    <cellStyle name="asd 8 2 4 2 8" xfId="18458"/>
    <cellStyle name="asd 8 2 4 2 9" xfId="20364"/>
    <cellStyle name="asd 8 2 4 20" xfId="38176"/>
    <cellStyle name="asd 8 2 4 21" xfId="38859"/>
    <cellStyle name="asd 8 2 4 22" xfId="40545"/>
    <cellStyle name="asd 8 2 4 23" xfId="42514"/>
    <cellStyle name="asd 8 2 4 3" xfId="6867"/>
    <cellStyle name="asd 8 2 4 4" xfId="8321"/>
    <cellStyle name="asd 8 2 4 5" xfId="10231"/>
    <cellStyle name="asd 8 2 4 6" xfId="11448"/>
    <cellStyle name="asd 8 2 4 7" xfId="13182"/>
    <cellStyle name="asd 8 2 4 8" xfId="15086"/>
    <cellStyle name="asd 8 2 4 9" xfId="17850"/>
    <cellStyle name="asd 8 2 5" xfId="4969"/>
    <cellStyle name="asd 8 2 5 10" xfId="21217"/>
    <cellStyle name="asd 8 2 5 11" xfId="23123"/>
    <cellStyle name="asd 8 2 5 12" xfId="25019"/>
    <cellStyle name="asd 8 2 5 13" xfId="26266"/>
    <cellStyle name="asd 8 2 5 14" xfId="28835"/>
    <cellStyle name="asd 8 2 5 15" xfId="29876"/>
    <cellStyle name="asd 8 2 5 16" xfId="32557"/>
    <cellStyle name="asd 8 2 5 17" xfId="34914"/>
    <cellStyle name="asd 8 2 5 18" xfId="35846"/>
    <cellStyle name="asd 8 2 5 19" xfId="37725"/>
    <cellStyle name="asd 8 2 5 2" xfId="6419"/>
    <cellStyle name="asd 8 2 5 20" xfId="39770"/>
    <cellStyle name="asd 8 2 5 21" xfId="41440"/>
    <cellStyle name="asd 8 2 5 22" xfId="42902"/>
    <cellStyle name="asd 8 2 5 3" xfId="7870"/>
    <cellStyle name="asd 8 2 5 4" xfId="9780"/>
    <cellStyle name="asd 8 2 5 5" xfId="12742"/>
    <cellStyle name="asd 8 2 5 6" xfId="13594"/>
    <cellStyle name="asd 8 2 5 7" xfId="15497"/>
    <cellStyle name="asd 8 2 5 8" xfId="17399"/>
    <cellStyle name="asd 8 2 5 9" xfId="19305"/>
    <cellStyle name="asd 8 2 6" xfId="4618"/>
    <cellStyle name="asd 8 2 6 10" xfId="20863"/>
    <cellStyle name="asd 8 2 6 11" xfId="22619"/>
    <cellStyle name="asd 8 2 6 12" xfId="24665"/>
    <cellStyle name="asd 8 2 6 13" xfId="27614"/>
    <cellStyle name="asd 8 2 6 14" xfId="29481"/>
    <cellStyle name="asd 8 2 6 15" xfId="31192"/>
    <cellStyle name="asd 8 2 6 16" xfId="32771"/>
    <cellStyle name="asd 8 2 6 17" xfId="34537"/>
    <cellStyle name="asd 8 2 6 18" xfId="35493"/>
    <cellStyle name="asd 8 2 6 19" xfId="37371"/>
    <cellStyle name="asd 8 2 6 2" xfId="6066"/>
    <cellStyle name="asd 8 2 6 20" xfId="39980"/>
    <cellStyle name="asd 8 2 6 21" xfId="41644"/>
    <cellStyle name="asd 8 2 6 22" xfId="42425"/>
    <cellStyle name="asd 8 2 6 3" xfId="7515"/>
    <cellStyle name="asd 8 2 6 4" xfId="9425"/>
    <cellStyle name="asd 8 2 6 5" xfId="11639"/>
    <cellStyle name="asd 8 2 6 6" xfId="13086"/>
    <cellStyle name="asd 8 2 6 7" xfId="14991"/>
    <cellStyle name="asd 8 2 6 8" xfId="17044"/>
    <cellStyle name="asd 8 2 6 9" xfId="18951"/>
    <cellStyle name="asd 8 2 7" xfId="6626"/>
    <cellStyle name="asd 8 2 8" xfId="9313"/>
    <cellStyle name="asd 8 2 9" xfId="12303"/>
    <cellStyle name="asd 8 20" xfId="10891"/>
    <cellStyle name="asd 8 21" xfId="3064"/>
    <cellStyle name="asd 8 22" xfId="32838"/>
    <cellStyle name="asd 8 23" xfId="34000"/>
    <cellStyle name="asd 8 24" xfId="34128"/>
    <cellStyle name="asd 8 25" xfId="35072"/>
    <cellStyle name="asd 8 26" xfId="34381"/>
    <cellStyle name="asd 8 27" xfId="2402"/>
    <cellStyle name="asd 8 3" xfId="3468"/>
    <cellStyle name="asd 8 3 10" xfId="13734"/>
    <cellStyle name="asd 8 3 11" xfId="15636"/>
    <cellStyle name="asd 8 3 12" xfId="16886"/>
    <cellStyle name="asd 8 3 13" xfId="18793"/>
    <cellStyle name="asd 8 3 14" xfId="20705"/>
    <cellStyle name="asd 8 3 15" xfId="23262"/>
    <cellStyle name="asd 8 3 16" xfId="24507"/>
    <cellStyle name="asd 8 3 17" xfId="26792"/>
    <cellStyle name="asd 8 3 18" xfId="28658"/>
    <cellStyle name="asd 8 3 19" xfId="30390"/>
    <cellStyle name="asd 8 3 2" xfId="3648"/>
    <cellStyle name="asd 8 3 2 10" xfId="17539"/>
    <cellStyle name="asd 8 3 2 11" xfId="19445"/>
    <cellStyle name="asd 8 3 2 12" xfId="21357"/>
    <cellStyle name="asd 8 3 2 13" xfId="22449"/>
    <cellStyle name="asd 8 3 2 14" xfId="25159"/>
    <cellStyle name="asd 8 3 2 15" xfId="14712"/>
    <cellStyle name="asd 8 3 2 16" xfId="8994"/>
    <cellStyle name="asd 8 3 2 17" xfId="26863"/>
    <cellStyle name="asd 8 3 2 18" xfId="27955"/>
    <cellStyle name="asd 8 3 2 19" xfId="29495"/>
    <cellStyle name="asd 8 3 2 2" xfId="5522"/>
    <cellStyle name="asd 8 3 2 2 10" xfId="21772"/>
    <cellStyle name="asd 8 3 2 2 11" xfId="23931"/>
    <cellStyle name="asd 8 3 2 2 12" xfId="25574"/>
    <cellStyle name="asd 8 3 2 2 13" xfId="27948"/>
    <cellStyle name="asd 8 3 2 2 14" xfId="29566"/>
    <cellStyle name="asd 8 3 2 2 15" xfId="31528"/>
    <cellStyle name="asd 8 3 2 2 16" xfId="31867"/>
    <cellStyle name="asd 8 3 2 2 17" xfId="34884"/>
    <cellStyle name="asd 8 3 2 2 18" xfId="36401"/>
    <cellStyle name="asd 8 3 2 2 19" xfId="38280"/>
    <cellStyle name="asd 8 3 2 2 2" xfId="6971"/>
    <cellStyle name="asd 8 3 2 2 20" xfId="39102"/>
    <cellStyle name="asd 8 3 2 2 21" xfId="40783"/>
    <cellStyle name="asd 8 3 2 2 22" xfId="43677"/>
    <cellStyle name="asd 8 3 2 2 3" xfId="8425"/>
    <cellStyle name="asd 8 3 2 2 4" xfId="10335"/>
    <cellStyle name="asd 8 3 2 2 5" xfId="11890"/>
    <cellStyle name="asd 8 3 2 2 6" xfId="14400"/>
    <cellStyle name="asd 8 3 2 2 7" xfId="16306"/>
    <cellStyle name="asd 8 3 2 2 8" xfId="17954"/>
    <cellStyle name="asd 8 3 2 2 9" xfId="19860"/>
    <cellStyle name="asd 8 3 2 20" xfId="35986"/>
    <cellStyle name="asd 8 3 2 21" xfId="37865"/>
    <cellStyle name="asd 8 3 2 22" xfId="15142"/>
    <cellStyle name="asd 8 3 2 23" xfId="40239"/>
    <cellStyle name="asd 8 3 2 24" xfId="42260"/>
    <cellStyle name="asd 8 3 2 3" xfId="5109"/>
    <cellStyle name="asd 8 3 2 4" xfId="6559"/>
    <cellStyle name="asd 8 3 2 5" xfId="8010"/>
    <cellStyle name="asd 8 3 2 6" xfId="9920"/>
    <cellStyle name="asd 8 3 2 7" xfId="11703"/>
    <cellStyle name="asd 8 3 2 8" xfId="12917"/>
    <cellStyle name="asd 8 3 2 9" xfId="14822"/>
    <cellStyle name="asd 8 3 20" xfId="33258"/>
    <cellStyle name="asd 8 3 21" xfId="33940"/>
    <cellStyle name="asd 8 3 22" xfId="35335"/>
    <cellStyle name="asd 8 3 23" xfId="37213"/>
    <cellStyle name="asd 8 3 24" xfId="40444"/>
    <cellStyle name="asd 8 3 25" xfId="42099"/>
    <cellStyle name="asd 8 3 26" xfId="43038"/>
    <cellStyle name="asd 8 3 3" xfId="3836"/>
    <cellStyle name="asd 8 3 3 10" xfId="19561"/>
    <cellStyle name="asd 8 3 3 11" xfId="21473"/>
    <cellStyle name="asd 8 3 3 12" xfId="24038"/>
    <cellStyle name="asd 8 3 3 13" xfId="25275"/>
    <cellStyle name="asd 8 3 3 14" xfId="27927"/>
    <cellStyle name="asd 8 3 3 15" xfId="29705"/>
    <cellStyle name="asd 8 3 3 16" xfId="31509"/>
    <cellStyle name="asd 8 3 3 17" xfId="31722"/>
    <cellStyle name="asd 8 3 3 18" xfId="34595"/>
    <cellStyle name="asd 8 3 3 19" xfId="36102"/>
    <cellStyle name="asd 8 3 3 2" xfId="5831"/>
    <cellStyle name="asd 8 3 3 2 10" xfId="22081"/>
    <cellStyle name="asd 8 3 3 2 11" xfId="23164"/>
    <cellStyle name="asd 8 3 3 2 12" xfId="25883"/>
    <cellStyle name="asd 8 3 3 2 13" xfId="27131"/>
    <cellStyle name="asd 8 3 3 2 14" xfId="29316"/>
    <cellStyle name="asd 8 3 3 2 15" xfId="30722"/>
    <cellStyle name="asd 8 3 3 2 16" xfId="31791"/>
    <cellStyle name="asd 8 3 3 2 17" xfId="35012"/>
    <cellStyle name="asd 8 3 3 2 18" xfId="36710"/>
    <cellStyle name="asd 8 3 3 2 19" xfId="38589"/>
    <cellStyle name="asd 8 3 3 2 2" xfId="7280"/>
    <cellStyle name="asd 8 3 3 2 20" xfId="39030"/>
    <cellStyle name="asd 8 3 3 2 21" xfId="40712"/>
    <cellStyle name="asd 8 3 3 2 22" xfId="42942"/>
    <cellStyle name="asd 8 3 3 2 3" xfId="8734"/>
    <cellStyle name="asd 8 3 3 2 4" xfId="10644"/>
    <cellStyle name="asd 8 3 3 2 5" xfId="10976"/>
    <cellStyle name="asd 8 3 3 2 6" xfId="13635"/>
    <cellStyle name="asd 8 3 3 2 7" xfId="15538"/>
    <cellStyle name="asd 8 3 3 2 8" xfId="18263"/>
    <cellStyle name="asd 8 3 3 2 9" xfId="20169"/>
    <cellStyle name="asd 8 3 3 20" xfId="37981"/>
    <cellStyle name="asd 8 3 3 21" xfId="38963"/>
    <cellStyle name="asd 8 3 3 22" xfId="40646"/>
    <cellStyle name="asd 8 3 3 23" xfId="43782"/>
    <cellStyle name="asd 8 3 3 3" xfId="5225"/>
    <cellStyle name="asd 8 3 3 4" xfId="8126"/>
    <cellStyle name="asd 8 3 3 5" xfId="10036"/>
    <cellStyle name="asd 8 3 3 6" xfId="11997"/>
    <cellStyle name="asd 8 3 3 7" xfId="14508"/>
    <cellStyle name="asd 8 3 3 8" xfId="16414"/>
    <cellStyle name="asd 8 3 3 9" xfId="17655"/>
    <cellStyle name="asd 8 3 4" xfId="4100"/>
    <cellStyle name="asd 8 3 4 10" xfId="19735"/>
    <cellStyle name="asd 8 3 4 11" xfId="21647"/>
    <cellStyle name="asd 8 3 4 12" xfId="24199"/>
    <cellStyle name="asd 8 3 4 13" xfId="25449"/>
    <cellStyle name="asd 8 3 4 14" xfId="14451"/>
    <cellStyle name="asd 8 3 4 15" xfId="2431"/>
    <cellStyle name="asd 8 3 4 16" xfId="18496"/>
    <cellStyle name="asd 8 3 4 17" xfId="29472"/>
    <cellStyle name="asd 8 3 4 18" xfId="31541"/>
    <cellStyle name="asd 8 3 4 19" xfId="36276"/>
    <cellStyle name="asd 8 3 4 2" xfId="6005"/>
    <cellStyle name="asd 8 3 4 2 10" xfId="22255"/>
    <cellStyle name="asd 8 3 4 2 11" xfId="23142"/>
    <cellStyle name="asd 8 3 4 2 12" xfId="26057"/>
    <cellStyle name="asd 8 3 4 2 13" xfId="27573"/>
    <cellStyle name="asd 8 3 4 2 14" xfId="28755"/>
    <cellStyle name="asd 8 3 4 2 15" xfId="31152"/>
    <cellStyle name="asd 8 3 4 2 16" xfId="32238"/>
    <cellStyle name="asd 8 3 4 2 17" xfId="35017"/>
    <cellStyle name="asd 8 3 4 2 18" xfId="36884"/>
    <cellStyle name="asd 8 3 4 2 19" xfId="38763"/>
    <cellStyle name="asd 8 3 4 2 2" xfId="7454"/>
    <cellStyle name="asd 8 3 4 2 20" xfId="39456"/>
    <cellStyle name="asd 8 3 4 2 21" xfId="41131"/>
    <cellStyle name="asd 8 3 4 2 22" xfId="42920"/>
    <cellStyle name="asd 8 3 4 2 3" xfId="8908"/>
    <cellStyle name="asd 8 3 4 2 4" xfId="10818"/>
    <cellStyle name="asd 8 3 4 2 5" xfId="10922"/>
    <cellStyle name="asd 8 3 4 2 6" xfId="13613"/>
    <cellStyle name="asd 8 3 4 2 7" xfId="15516"/>
    <cellStyle name="asd 8 3 4 2 8" xfId="18437"/>
    <cellStyle name="asd 8 3 4 2 9" xfId="20343"/>
    <cellStyle name="asd 8 3 4 20" xfId="38155"/>
    <cellStyle name="asd 8 3 4 21" xfId="33632"/>
    <cellStyle name="asd 8 3 4 22" xfId="38832"/>
    <cellStyle name="asd 8 3 4 23" xfId="43937"/>
    <cellStyle name="asd 8 3 4 3" xfId="6846"/>
    <cellStyle name="asd 8 3 4 4" xfId="8300"/>
    <cellStyle name="asd 8 3 4 5" xfId="10210"/>
    <cellStyle name="asd 8 3 4 6" xfId="12159"/>
    <cellStyle name="asd 8 3 4 7" xfId="14671"/>
    <cellStyle name="asd 8 3 4 8" xfId="16577"/>
    <cellStyle name="asd 8 3 4 9" xfId="17829"/>
    <cellStyle name="asd 8 3 5" xfId="4952"/>
    <cellStyle name="asd 8 3 5 10" xfId="21200"/>
    <cellStyle name="asd 8 3 5 11" xfId="22432"/>
    <cellStyle name="asd 8 3 5 12" xfId="25002"/>
    <cellStyle name="asd 8 3 5 13" xfId="26922"/>
    <cellStyle name="asd 8 3 5 14" xfId="29450"/>
    <cellStyle name="asd 8 3 5 15" xfId="30517"/>
    <cellStyle name="asd 8 3 5 16" xfId="33250"/>
    <cellStyle name="asd 8 3 5 17" xfId="34342"/>
    <cellStyle name="asd 8 3 5 18" xfId="35829"/>
    <cellStyle name="asd 8 3 5 19" xfId="37708"/>
    <cellStyle name="asd 8 3 5 2" xfId="6402"/>
    <cellStyle name="asd 8 3 5 20" xfId="40437"/>
    <cellStyle name="asd 8 3 5 21" xfId="42092"/>
    <cellStyle name="asd 8 3 5 22" xfId="42243"/>
    <cellStyle name="asd 8 3 5 3" xfId="7853"/>
    <cellStyle name="asd 8 3 5 4" xfId="9763"/>
    <cellStyle name="asd 8 3 5 5" xfId="1833"/>
    <cellStyle name="asd 8 3 5 6" xfId="12900"/>
    <cellStyle name="asd 8 3 5 7" xfId="14805"/>
    <cellStyle name="asd 8 3 5 8" xfId="17382"/>
    <cellStyle name="asd 8 3 5 9" xfId="19288"/>
    <cellStyle name="asd 8 3 6" xfId="5486"/>
    <cellStyle name="asd 8 3 6 10" xfId="21736"/>
    <cellStyle name="asd 8 3 6 11" xfId="23828"/>
    <cellStyle name="asd 8 3 6 12" xfId="25538"/>
    <cellStyle name="asd 8 3 6 13" xfId="26728"/>
    <cellStyle name="asd 8 3 6 14" xfId="12536"/>
    <cellStyle name="asd 8 3 6 15" xfId="30328"/>
    <cellStyle name="asd 8 3 6 16" xfId="31751"/>
    <cellStyle name="asd 8 3 6 17" xfId="34882"/>
    <cellStyle name="asd 8 3 6 18" xfId="36365"/>
    <cellStyle name="asd 8 3 6 19" xfId="38244"/>
    <cellStyle name="asd 8 3 6 2" xfId="6935"/>
    <cellStyle name="asd 8 3 6 20" xfId="38991"/>
    <cellStyle name="asd 8 3 6 21" xfId="40674"/>
    <cellStyle name="asd 8 3 6 22" xfId="43579"/>
    <cellStyle name="asd 8 3 6 3" xfId="8389"/>
    <cellStyle name="asd 8 3 6 4" xfId="10299"/>
    <cellStyle name="asd 8 3 6 5" xfId="12635"/>
    <cellStyle name="asd 8 3 6 6" xfId="14298"/>
    <cellStyle name="asd 8 3 6 7" xfId="16202"/>
    <cellStyle name="asd 8 3 6 8" xfId="17918"/>
    <cellStyle name="asd 8 3 6 9" xfId="19824"/>
    <cellStyle name="asd 8 3 7" xfId="6205"/>
    <cellStyle name="asd 8 3 8" xfId="9267"/>
    <cellStyle name="asd 8 3 9" xfId="11195"/>
    <cellStyle name="asd 8 4" xfId="3517"/>
    <cellStyle name="asd 8 4 10" xfId="15033"/>
    <cellStyle name="asd 8 4 11" xfId="17021"/>
    <cellStyle name="asd 8 4 12" xfId="18928"/>
    <cellStyle name="asd 8 4 13" xfId="20840"/>
    <cellStyle name="asd 8 4 14" xfId="22661"/>
    <cellStyle name="asd 8 4 15" xfId="24642"/>
    <cellStyle name="asd 8 4 16" xfId="26159"/>
    <cellStyle name="asd 8 4 17" xfId="18528"/>
    <cellStyle name="asd 8 4 18" xfId="29773"/>
    <cellStyle name="asd 8 4 19" xfId="31979"/>
    <cellStyle name="asd 8 4 2" xfId="3697"/>
    <cellStyle name="asd 8 4 2 10" xfId="17588"/>
    <cellStyle name="asd 8 4 2 11" xfId="19494"/>
    <cellStyle name="asd 8 4 2 12" xfId="21406"/>
    <cellStyle name="asd 8 4 2 13" xfId="23762"/>
    <cellStyle name="asd 8 4 2 14" xfId="25208"/>
    <cellStyle name="asd 8 4 2 15" xfId="26737"/>
    <cellStyle name="asd 8 4 2 16" xfId="28912"/>
    <cellStyle name="asd 8 4 2 17" xfId="30337"/>
    <cellStyle name="asd 8 4 2 18" xfId="32180"/>
    <cellStyle name="asd 8 4 2 19" xfId="34191"/>
    <cellStyle name="asd 8 4 2 2" xfId="5764"/>
    <cellStyle name="asd 8 4 2 2 10" xfId="22014"/>
    <cellStyle name="asd 8 4 2 2 11" xfId="22696"/>
    <cellStyle name="asd 8 4 2 2 12" xfId="25816"/>
    <cellStyle name="asd 8 4 2 2 13" xfId="27915"/>
    <cellStyle name="asd 8 4 2 2 14" xfId="28457"/>
    <cellStyle name="asd 8 4 2 2 15" xfId="31497"/>
    <cellStyle name="asd 8 4 2 2 16" xfId="32383"/>
    <cellStyle name="asd 8 4 2 2 17" xfId="35034"/>
    <cellStyle name="asd 8 4 2 2 18" xfId="36643"/>
    <cellStyle name="asd 8 4 2 2 19" xfId="38522"/>
    <cellStyle name="asd 8 4 2 2 2" xfId="7213"/>
    <cellStyle name="asd 8 4 2 2 20" xfId="39601"/>
    <cellStyle name="asd 8 4 2 2 21" xfId="41275"/>
    <cellStyle name="asd 8 4 2 2 22" xfId="42498"/>
    <cellStyle name="asd 8 4 2 2 3" xfId="8667"/>
    <cellStyle name="asd 8 4 2 2 4" xfId="10577"/>
    <cellStyle name="asd 8 4 2 2 5" xfId="11738"/>
    <cellStyle name="asd 8 4 2 2 6" xfId="13164"/>
    <cellStyle name="asd 8 4 2 2 7" xfId="15069"/>
    <cellStyle name="asd 8 4 2 2 8" xfId="18196"/>
    <cellStyle name="asd 8 4 2 2 9" xfId="20102"/>
    <cellStyle name="asd 8 4 2 20" xfId="36035"/>
    <cellStyle name="asd 8 4 2 21" xfId="37914"/>
    <cellStyle name="asd 8 4 2 22" xfId="39402"/>
    <cellStyle name="asd 8 4 2 23" xfId="41078"/>
    <cellStyle name="asd 8 4 2 24" xfId="43515"/>
    <cellStyle name="asd 8 4 2 3" xfId="5158"/>
    <cellStyle name="asd 8 4 2 4" xfId="6608"/>
    <cellStyle name="asd 8 4 2 5" xfId="8059"/>
    <cellStyle name="asd 8 4 2 6" xfId="9969"/>
    <cellStyle name="asd 8 4 2 7" xfId="12676"/>
    <cellStyle name="asd 8 4 2 8" xfId="14232"/>
    <cellStyle name="asd 8 4 2 9" xfId="16136"/>
    <cellStyle name="asd 8 4 20" xfId="34426"/>
    <cellStyle name="asd 8 4 21" xfId="35470"/>
    <cellStyle name="asd 8 4 22" xfId="37348"/>
    <cellStyle name="asd 8 4 23" xfId="39210"/>
    <cellStyle name="asd 8 4 24" xfId="40890"/>
    <cellStyle name="asd 8 4 25" xfId="42467"/>
    <cellStyle name="asd 8 4 3" xfId="2993"/>
    <cellStyle name="asd 8 4 3 10" xfId="19134"/>
    <cellStyle name="asd 8 4 3 11" xfId="21046"/>
    <cellStyle name="asd 8 4 3 12" xfId="24024"/>
    <cellStyle name="asd 8 4 3 13" xfId="24848"/>
    <cellStyle name="asd 8 4 3 14" xfId="27601"/>
    <cellStyle name="asd 8 4 3 15" xfId="28819"/>
    <cellStyle name="asd 8 4 3 16" xfId="31179"/>
    <cellStyle name="asd 8 4 3 17" xfId="32314"/>
    <cellStyle name="asd 8 4 3 18" xfId="34290"/>
    <cellStyle name="asd 8 4 3 19" xfId="35675"/>
    <cellStyle name="asd 8 4 3 2" xfId="4393"/>
    <cellStyle name="asd 8 4 3 2 10" xfId="20637"/>
    <cellStyle name="asd 8 4 3 2 11" xfId="23353"/>
    <cellStyle name="asd 8 4 3 2 12" xfId="24439"/>
    <cellStyle name="asd 8 4 3 2 13" xfId="26557"/>
    <cellStyle name="asd 8 4 3 2 14" xfId="29698"/>
    <cellStyle name="asd 8 4 3 2 15" xfId="30162"/>
    <cellStyle name="asd 8 4 3 2 16" xfId="33117"/>
    <cellStyle name="asd 8 4 3 2 17" xfId="34859"/>
    <cellStyle name="asd 8 4 3 2 18" xfId="35267"/>
    <cellStyle name="asd 8 4 3 2 19" xfId="37145"/>
    <cellStyle name="asd 8 4 3 2 2" xfId="2796"/>
    <cellStyle name="asd 8 4 3 2 20" xfId="40311"/>
    <cellStyle name="asd 8 4 3 2 21" xfId="41967"/>
    <cellStyle name="asd 8 4 3 2 22" xfId="43123"/>
    <cellStyle name="asd 8 4 3 2 3" xfId="2368"/>
    <cellStyle name="asd 8 4 3 2 4" xfId="9199"/>
    <cellStyle name="asd 8 4 3 2 5" xfId="12334"/>
    <cellStyle name="asd 8 4 3 2 6" xfId="13825"/>
    <cellStyle name="asd 8 4 3 2 7" xfId="15727"/>
    <cellStyle name="asd 8 4 3 2 8" xfId="16818"/>
    <cellStyle name="asd 8 4 3 2 9" xfId="18725"/>
    <cellStyle name="asd 8 4 3 20" xfId="37554"/>
    <cellStyle name="asd 8 4 3 21" xfId="39533"/>
    <cellStyle name="asd 8 4 3 22" xfId="41207"/>
    <cellStyle name="asd 8 4 3 23" xfId="43768"/>
    <cellStyle name="asd 8 4 3 3" xfId="4798"/>
    <cellStyle name="asd 8 4 3 4" xfId="7699"/>
    <cellStyle name="asd 8 4 3 5" xfId="9609"/>
    <cellStyle name="asd 8 4 3 6" xfId="11983"/>
    <cellStyle name="asd 8 4 3 7" xfId="14494"/>
    <cellStyle name="asd 8 4 3 8" xfId="16400"/>
    <cellStyle name="asd 8 4 3 9" xfId="17228"/>
    <cellStyle name="asd 8 4 4" xfId="4149"/>
    <cellStyle name="asd 8 4 4 10" xfId="19784"/>
    <cellStyle name="asd 8 4 4 11" xfId="21696"/>
    <cellStyle name="asd 8 4 4 12" xfId="15852"/>
    <cellStyle name="asd 8 4 4 13" xfId="25498"/>
    <cellStyle name="asd 8 4 4 14" xfId="26120"/>
    <cellStyle name="asd 8 4 4 15" xfId="1779"/>
    <cellStyle name="asd 8 4 4 16" xfId="29732"/>
    <cellStyle name="asd 8 4 4 17" xfId="2811"/>
    <cellStyle name="asd 8 4 4 18" xfId="28331"/>
    <cellStyle name="asd 8 4 4 19" xfId="36325"/>
    <cellStyle name="asd 8 4 4 2" xfId="6054"/>
    <cellStyle name="asd 8 4 4 2 10" xfId="22304"/>
    <cellStyle name="asd 8 4 4 2 11" xfId="20875"/>
    <cellStyle name="asd 8 4 4 2 12" xfId="26106"/>
    <cellStyle name="asd 8 4 4 2 13" xfId="2395"/>
    <cellStyle name="asd 8 4 4 2 14" xfId="29332"/>
    <cellStyle name="asd 8 4 4 2 15" xfId="6653"/>
    <cellStyle name="asd 8 4 4 2 16" xfId="29697"/>
    <cellStyle name="asd 8 4 4 2 17" xfId="29027"/>
    <cellStyle name="asd 8 4 4 2 18" xfId="36933"/>
    <cellStyle name="asd 8 4 4 2 19" xfId="38812"/>
    <cellStyle name="asd 8 4 4 2 2" xfId="7503"/>
    <cellStyle name="asd 8 4 4 2 20" xfId="34319"/>
    <cellStyle name="asd 8 4 4 2 21" xfId="40272"/>
    <cellStyle name="asd 8 4 4 2 22" xfId="32998"/>
    <cellStyle name="asd 8 4 4 2 3" xfId="8957"/>
    <cellStyle name="asd 8 4 4 2 4" xfId="10867"/>
    <cellStyle name="asd 8 4 4 2 5" xfId="1872"/>
    <cellStyle name="asd 8 4 4 2 6" xfId="2207"/>
    <cellStyle name="asd 8 4 4 2 7" xfId="2441"/>
    <cellStyle name="asd 8 4 4 2 8" xfId="18486"/>
    <cellStyle name="asd 8 4 4 2 9" xfId="20392"/>
    <cellStyle name="asd 8 4 4 20" xfId="38204"/>
    <cellStyle name="asd 8 4 4 21" xfId="3115"/>
    <cellStyle name="asd 8 4 4 22" xfId="31770"/>
    <cellStyle name="asd 8 4 4 23" xfId="38871"/>
    <cellStyle name="asd 8 4 4 3" xfId="6895"/>
    <cellStyle name="asd 8 4 4 4" xfId="8349"/>
    <cellStyle name="asd 8 4 4 5" xfId="10259"/>
    <cellStyle name="asd 8 4 4 6" xfId="12181"/>
    <cellStyle name="asd 8 4 4 7" xfId="1940"/>
    <cellStyle name="asd 8 4 4 8" xfId="2110"/>
    <cellStyle name="asd 8 4 4 9" xfId="17878"/>
    <cellStyle name="asd 8 4 5" xfId="5732"/>
    <cellStyle name="asd 8 4 5 10" xfId="21982"/>
    <cellStyle name="asd 8 4 5 11" xfId="23227"/>
    <cellStyle name="asd 8 4 5 12" xfId="25784"/>
    <cellStyle name="asd 8 4 5 13" xfId="27261"/>
    <cellStyle name="asd 8 4 5 14" xfId="24208"/>
    <cellStyle name="asd 8 4 5 15" xfId="30852"/>
    <cellStyle name="asd 8 4 5 16" xfId="32712"/>
    <cellStyle name="asd 8 4 5 17" xfId="34873"/>
    <cellStyle name="asd 8 4 5 18" xfId="36611"/>
    <cellStyle name="asd 8 4 5 19" xfId="38490"/>
    <cellStyle name="asd 8 4 5 2" xfId="7181"/>
    <cellStyle name="asd 8 4 5 20" xfId="39922"/>
    <cellStyle name="asd 8 4 5 21" xfId="41589"/>
    <cellStyle name="asd 8 4 5 22" xfId="43004"/>
    <cellStyle name="asd 8 4 5 3" xfId="8635"/>
    <cellStyle name="asd 8 4 5 4" xfId="10545"/>
    <cellStyle name="asd 8 4 5 5" xfId="11109"/>
    <cellStyle name="asd 8 4 5 6" xfId="13699"/>
    <cellStyle name="asd 8 4 5 7" xfId="15601"/>
    <cellStyle name="asd 8 4 5 8" xfId="18164"/>
    <cellStyle name="asd 8 4 5 9" xfId="20070"/>
    <cellStyle name="asd 8 4 6" xfId="1823"/>
    <cellStyle name="asd 8 4 7" xfId="9402"/>
    <cellStyle name="asd 8 4 8" xfId="11436"/>
    <cellStyle name="asd 8 4 9" xfId="13128"/>
    <cellStyle name="asd 8 5" xfId="2056"/>
    <cellStyle name="asd 8 5 10" xfId="17101"/>
    <cellStyle name="asd 8 5 11" xfId="19007"/>
    <cellStyle name="asd 8 5 12" xfId="20919"/>
    <cellStyle name="asd 8 5 13" xfId="22458"/>
    <cellStyle name="asd 8 5 14" xfId="24721"/>
    <cellStyle name="asd 8 5 15" xfId="27381"/>
    <cellStyle name="asd 8 5 16" xfId="14700"/>
    <cellStyle name="asd 8 5 17" xfId="30967"/>
    <cellStyle name="asd 8 5 18" xfId="2266"/>
    <cellStyle name="asd 8 5 19" xfId="33339"/>
    <cellStyle name="asd 8 5 2" xfId="4347"/>
    <cellStyle name="asd 8 5 2 10" xfId="20583"/>
    <cellStyle name="asd 8 5 2 11" xfId="24124"/>
    <cellStyle name="asd 8 5 2 12" xfId="24385"/>
    <cellStyle name="asd 8 5 2 13" xfId="26397"/>
    <cellStyle name="asd 8 5 2 14" xfId="29399"/>
    <cellStyle name="asd 8 5 2 15" xfId="30005"/>
    <cellStyle name="asd 8 5 2 16" xfId="33100"/>
    <cellStyle name="asd 8 5 2 17" xfId="33504"/>
    <cellStyle name="asd 8 5 2 18" xfId="35213"/>
    <cellStyle name="asd 8 5 2 19" xfId="37091"/>
    <cellStyle name="asd 8 5 2 2" xfId="5302"/>
    <cellStyle name="asd 8 5 2 20" xfId="40296"/>
    <cellStyle name="asd 8 5 2 21" xfId="41952"/>
    <cellStyle name="asd 8 5 2 22" xfId="43867"/>
    <cellStyle name="asd 8 5 2 3" xfId="6185"/>
    <cellStyle name="asd 8 5 2 4" xfId="9145"/>
    <cellStyle name="asd 8 5 2 5" xfId="12084"/>
    <cellStyle name="asd 8 5 2 6" xfId="14595"/>
    <cellStyle name="asd 8 5 2 7" xfId="16501"/>
    <cellStyle name="asd 8 5 2 8" xfId="16764"/>
    <cellStyle name="asd 8 5 2 9" xfId="18671"/>
    <cellStyle name="asd 8 5 20" xfId="35548"/>
    <cellStyle name="asd 8 5 21" xfId="37427"/>
    <cellStyle name="asd 8 5 22" xfId="34719"/>
    <cellStyle name="asd 8 5 23" xfId="29742"/>
    <cellStyle name="asd 8 5 24" xfId="42269"/>
    <cellStyle name="asd 8 5 3" xfId="4674"/>
    <cellStyle name="asd 8 5 4" xfId="6121"/>
    <cellStyle name="asd 8 5 5" xfId="7572"/>
    <cellStyle name="asd 8 5 6" xfId="9482"/>
    <cellStyle name="asd 8 5 7" xfId="11693"/>
    <cellStyle name="asd 8 5 8" xfId="12926"/>
    <cellStyle name="asd 8 5 9" xfId="14831"/>
    <cellStyle name="asd 8 6" xfId="2873"/>
    <cellStyle name="asd 8 6 10" xfId="19122"/>
    <cellStyle name="asd 8 6 11" xfId="21034"/>
    <cellStyle name="asd 8 6 12" xfId="23244"/>
    <cellStyle name="asd 8 6 13" xfId="24836"/>
    <cellStyle name="asd 8 6 14" xfId="26610"/>
    <cellStyle name="asd 8 6 15" xfId="28067"/>
    <cellStyle name="asd 8 6 16" xfId="30213"/>
    <cellStyle name="asd 8 6 17" xfId="31982"/>
    <cellStyle name="asd 8 6 18" xfId="34763"/>
    <cellStyle name="asd 8 6 19" xfId="35663"/>
    <cellStyle name="asd 8 6 2" xfId="4579"/>
    <cellStyle name="asd 8 6 2 10" xfId="20824"/>
    <cellStyle name="asd 8 6 2 11" xfId="23477"/>
    <cellStyle name="asd 8 6 2 12" xfId="24626"/>
    <cellStyle name="asd 8 6 2 13" xfId="27045"/>
    <cellStyle name="asd 8 6 2 14" xfId="29650"/>
    <cellStyle name="asd 8 6 2 15" xfId="30638"/>
    <cellStyle name="asd 8 6 2 16" xfId="33231"/>
    <cellStyle name="asd 8 6 2 17" xfId="35029"/>
    <cellStyle name="asd 8 6 2 18" xfId="35454"/>
    <cellStyle name="asd 8 6 2 19" xfId="37332"/>
    <cellStyle name="asd 8 6 2 2" xfId="4403"/>
    <cellStyle name="asd 8 6 2 20" xfId="40420"/>
    <cellStyle name="asd 8 6 2 21" xfId="42076"/>
    <cellStyle name="asd 8 6 2 22" xfId="43244"/>
    <cellStyle name="asd 8 6 2 3" xfId="5361"/>
    <cellStyle name="asd 8 6 2 4" xfId="9386"/>
    <cellStyle name="asd 8 6 2 5" xfId="12517"/>
    <cellStyle name="asd 8 6 2 6" xfId="13949"/>
    <cellStyle name="asd 8 6 2 7" xfId="15850"/>
    <cellStyle name="asd 8 6 2 8" xfId="17005"/>
    <cellStyle name="asd 8 6 2 9" xfId="18912"/>
    <cellStyle name="asd 8 6 20" xfId="37542"/>
    <cellStyle name="asd 8 6 21" xfId="39212"/>
    <cellStyle name="asd 8 6 22" xfId="40892"/>
    <cellStyle name="asd 8 6 23" xfId="43021"/>
    <cellStyle name="asd 8 6 3" xfId="4787"/>
    <cellStyle name="asd 8 6 4" xfId="7687"/>
    <cellStyle name="asd 8 6 5" xfId="9597"/>
    <cellStyle name="asd 8 6 6" xfId="11138"/>
    <cellStyle name="asd 8 6 7" xfId="13716"/>
    <cellStyle name="asd 8 6 8" xfId="15618"/>
    <cellStyle name="asd 8 6 9" xfId="17216"/>
    <cellStyle name="asd 8 7" xfId="2853"/>
    <cellStyle name="asd 8 7 10" xfId="19118"/>
    <cellStyle name="asd 8 7 11" xfId="21030"/>
    <cellStyle name="asd 8 7 12" xfId="23534"/>
    <cellStyle name="asd 8 7 13" xfId="24832"/>
    <cellStyle name="asd 8 7 14" xfId="26637"/>
    <cellStyle name="asd 8 7 15" xfId="29037"/>
    <cellStyle name="asd 8 7 16" xfId="30240"/>
    <cellStyle name="asd 8 7 17" xfId="31962"/>
    <cellStyle name="asd 8 7 18" xfId="34197"/>
    <cellStyle name="asd 8 7 19" xfId="35659"/>
    <cellStyle name="asd 8 7 2" xfId="5491"/>
    <cellStyle name="asd 8 7 2 10" xfId="21741"/>
    <cellStyle name="asd 8 7 2 11" xfId="23653"/>
    <cellStyle name="asd 8 7 2 12" xfId="25543"/>
    <cellStyle name="asd 8 7 2 13" xfId="26572"/>
    <cellStyle name="asd 8 7 2 14" xfId="1919"/>
    <cellStyle name="asd 8 7 2 15" xfId="30174"/>
    <cellStyle name="asd 8 7 2 16" xfId="32984"/>
    <cellStyle name="asd 8 7 2 17" xfId="34955"/>
    <cellStyle name="asd 8 7 2 18" xfId="36370"/>
    <cellStyle name="asd 8 7 2 19" xfId="38249"/>
    <cellStyle name="asd 8 7 2 2" xfId="6940"/>
    <cellStyle name="asd 8 7 2 20" xfId="40185"/>
    <cellStyle name="asd 8 7 2 21" xfId="41844"/>
    <cellStyle name="asd 8 7 2 22" xfId="43411"/>
    <cellStyle name="asd 8 7 2 3" xfId="8394"/>
    <cellStyle name="asd 8 7 2 4" xfId="10304"/>
    <cellStyle name="asd 8 7 2 5" xfId="11746"/>
    <cellStyle name="asd 8 7 2 6" xfId="14123"/>
    <cellStyle name="asd 8 7 2 7" xfId="16026"/>
    <cellStyle name="asd 8 7 2 8" xfId="17923"/>
    <cellStyle name="asd 8 7 2 9" xfId="19829"/>
    <cellStyle name="asd 8 7 20" xfId="37538"/>
    <cellStyle name="asd 8 7 21" xfId="39191"/>
    <cellStyle name="asd 8 7 22" xfId="40872"/>
    <cellStyle name="asd 8 7 23" xfId="43299"/>
    <cellStyle name="asd 8 7 3" xfId="6232"/>
    <cellStyle name="asd 8 7 4" xfId="7683"/>
    <cellStyle name="asd 8 7 5" xfId="9593"/>
    <cellStyle name="asd 8 7 6" xfId="11088"/>
    <cellStyle name="asd 8 7 7" xfId="14006"/>
    <cellStyle name="asd 8 7 8" xfId="15907"/>
    <cellStyle name="asd 8 7 9" xfId="17212"/>
    <cellStyle name="asd 8 8" xfId="3787"/>
    <cellStyle name="asd 8 9" xfId="4205"/>
    <cellStyle name="asd 9" xfId="737"/>
    <cellStyle name="asd 9 10" xfId="1865"/>
    <cellStyle name="asd 9 11" xfId="11342"/>
    <cellStyle name="asd 9 12" xfId="8986"/>
    <cellStyle name="asd 9 13" xfId="2966"/>
    <cellStyle name="asd 9 14" xfId="2357"/>
    <cellStyle name="asd 9 15" xfId="2174"/>
    <cellStyle name="asd 9 16" xfId="2901"/>
    <cellStyle name="asd 9 17" xfId="2286"/>
    <cellStyle name="asd 9 18" xfId="3751"/>
    <cellStyle name="asd 9 19" xfId="27580"/>
    <cellStyle name="asd 9 2" xfId="3358"/>
    <cellStyle name="asd 9 2 10" xfId="14660"/>
    <cellStyle name="asd 9 2 11" xfId="16566"/>
    <cellStyle name="asd 9 2 12" xfId="16650"/>
    <cellStyle name="asd 9 2 13" xfId="18557"/>
    <cellStyle name="asd 9 2 14" xfId="20469"/>
    <cellStyle name="asd 9 2 15" xfId="24188"/>
    <cellStyle name="asd 9 2 16" xfId="24271"/>
    <cellStyle name="asd 9 2 17" xfId="12419"/>
    <cellStyle name="asd 9 2 18" xfId="3089"/>
    <cellStyle name="asd 9 2 19" xfId="29255"/>
    <cellStyle name="asd 9 2 2" xfId="3538"/>
    <cellStyle name="asd 9 2 2 10" xfId="17429"/>
    <cellStyle name="asd 9 2 2 11" xfId="19335"/>
    <cellStyle name="asd 9 2 2 12" xfId="21247"/>
    <cellStyle name="asd 9 2 2 13" xfId="23161"/>
    <cellStyle name="asd 9 2 2 14" xfId="25049"/>
    <cellStyle name="asd 9 2 2 15" xfId="27905"/>
    <cellStyle name="asd 9 2 2 16" xfId="28677"/>
    <cellStyle name="asd 9 2 2 17" xfId="31487"/>
    <cellStyle name="asd 9 2 2 18" xfId="32778"/>
    <cellStyle name="asd 9 2 2 19" xfId="34857"/>
    <cellStyle name="asd 9 2 2 2" xfId="4548"/>
    <cellStyle name="asd 9 2 2 2 10" xfId="20793"/>
    <cellStyle name="asd 9 2 2 2 11" xfId="22960"/>
    <cellStyle name="asd 9 2 2 2 12" xfId="24595"/>
    <cellStyle name="asd 9 2 2 2 13" xfId="27696"/>
    <cellStyle name="asd 9 2 2 2 14" xfId="28562"/>
    <cellStyle name="asd 9 2 2 2 15" xfId="31270"/>
    <cellStyle name="asd 9 2 2 2 16" xfId="31656"/>
    <cellStyle name="asd 9 2 2 2 17" xfId="35006"/>
    <cellStyle name="asd 9 2 2 2 18" xfId="35423"/>
    <cellStyle name="asd 9 2 2 2 19" xfId="37301"/>
    <cellStyle name="asd 9 2 2 2 2" xfId="5366"/>
    <cellStyle name="asd 9 2 2 2 20" xfId="38901"/>
    <cellStyle name="asd 9 2 2 2 21" xfId="40586"/>
    <cellStyle name="asd 9 2 2 2 22" xfId="42746"/>
    <cellStyle name="asd 9 2 2 2 3" xfId="6640"/>
    <cellStyle name="asd 9 2 2 2 4" xfId="9355"/>
    <cellStyle name="asd 9 2 2 2 5" xfId="12392"/>
    <cellStyle name="asd 9 2 2 2 6" xfId="13429"/>
    <cellStyle name="asd 9 2 2 2 7" xfId="15334"/>
    <cellStyle name="asd 9 2 2 2 8" xfId="16974"/>
    <cellStyle name="asd 9 2 2 2 9" xfId="18881"/>
    <cellStyle name="asd 9 2 2 20" xfId="35876"/>
    <cellStyle name="asd 9 2 2 21" xfId="37755"/>
    <cellStyle name="asd 9 2 2 22" xfId="39987"/>
    <cellStyle name="asd 9 2 2 23" xfId="41651"/>
    <cellStyle name="asd 9 2 2 24" xfId="42939"/>
    <cellStyle name="asd 9 2 2 3" xfId="4999"/>
    <cellStyle name="asd 9 2 2 4" xfId="6449"/>
    <cellStyle name="asd 9 2 2 5" xfId="7900"/>
    <cellStyle name="asd 9 2 2 6" xfId="9810"/>
    <cellStyle name="asd 9 2 2 7" xfId="10968"/>
    <cellStyle name="asd 9 2 2 8" xfId="13632"/>
    <cellStyle name="asd 9 2 2 9" xfId="15535"/>
    <cellStyle name="asd 9 2 20" xfId="29583"/>
    <cellStyle name="asd 9 2 21" xfId="26438"/>
    <cellStyle name="asd 9 2 22" xfId="35099"/>
    <cellStyle name="asd 9 2 23" xfId="36977"/>
    <cellStyle name="asd 9 2 24" xfId="5289"/>
    <cellStyle name="asd 9 2 25" xfId="36954"/>
    <cellStyle name="asd 9 2 26" xfId="43927"/>
    <cellStyle name="asd 9 2 3" xfId="3845"/>
    <cellStyle name="asd 9 2 3 10" xfId="19568"/>
    <cellStyle name="asd 9 2 3 11" xfId="21480"/>
    <cellStyle name="asd 9 2 3 12" xfId="22384"/>
    <cellStyle name="asd 9 2 3 13" xfId="25282"/>
    <cellStyle name="asd 9 2 3 14" xfId="2521"/>
    <cellStyle name="asd 9 2 3 15" xfId="26137"/>
    <cellStyle name="asd 9 2 3 16" xfId="14702"/>
    <cellStyle name="asd 9 2 3 17" xfId="2183"/>
    <cellStyle name="asd 9 2 3 18" xfId="29670"/>
    <cellStyle name="asd 9 2 3 19" xfId="36109"/>
    <cellStyle name="asd 9 2 3 2" xfId="5838"/>
    <cellStyle name="asd 9 2 3 2 10" xfId="22088"/>
    <cellStyle name="asd 9 2 3 2 11" xfId="23412"/>
    <cellStyle name="asd 9 2 3 2 12" xfId="25890"/>
    <cellStyle name="asd 9 2 3 2 13" xfId="26331"/>
    <cellStyle name="asd 9 2 3 2 14" xfId="28102"/>
    <cellStyle name="asd 9 2 3 2 15" xfId="29939"/>
    <cellStyle name="asd 9 2 3 2 16" xfId="32999"/>
    <cellStyle name="asd 9 2 3 2 17" xfId="33702"/>
    <cellStyle name="asd 9 2 3 2 18" xfId="36717"/>
    <cellStyle name="asd 9 2 3 2 19" xfId="38596"/>
    <cellStyle name="asd 9 2 3 2 2" xfId="7287"/>
    <cellStyle name="asd 9 2 3 2 20" xfId="40199"/>
    <cellStyle name="asd 9 2 3 2 21" xfId="41858"/>
    <cellStyle name="asd 9 2 3 2 22" xfId="43179"/>
    <cellStyle name="asd 9 2 3 2 3" xfId="8741"/>
    <cellStyle name="asd 9 2 3 2 4" xfId="10651"/>
    <cellStyle name="asd 9 2 3 2 5" xfId="11187"/>
    <cellStyle name="asd 9 2 3 2 6" xfId="13884"/>
    <cellStyle name="asd 9 2 3 2 7" xfId="15785"/>
    <cellStyle name="asd 9 2 3 2 8" xfId="18270"/>
    <cellStyle name="asd 9 2 3 2 9" xfId="20176"/>
    <cellStyle name="asd 9 2 3 20" xfId="37988"/>
    <cellStyle name="asd 9 2 3 21" xfId="30418"/>
    <cellStyle name="asd 9 2 3 22" xfId="34549"/>
    <cellStyle name="asd 9 2 3 23" xfId="42195"/>
    <cellStyle name="asd 9 2 3 3" xfId="5232"/>
    <cellStyle name="asd 9 2 3 4" xfId="8133"/>
    <cellStyle name="asd 9 2 3 5" xfId="10043"/>
    <cellStyle name="asd 9 2 3 6" xfId="11700"/>
    <cellStyle name="asd 9 2 3 7" xfId="12851"/>
    <cellStyle name="asd 9 2 3 8" xfId="14756"/>
    <cellStyle name="asd 9 2 3 9" xfId="17662"/>
    <cellStyle name="asd 9 2 4" xfId="3990"/>
    <cellStyle name="asd 9 2 4 10" xfId="19625"/>
    <cellStyle name="asd 9 2 4 11" xfId="21537"/>
    <cellStyle name="asd 9 2 4 12" xfId="23016"/>
    <cellStyle name="asd 9 2 4 13" xfId="25339"/>
    <cellStyle name="asd 9 2 4 14" xfId="27577"/>
    <cellStyle name="asd 9 2 4 15" xfId="28351"/>
    <cellStyle name="asd 9 2 4 16" xfId="31156"/>
    <cellStyle name="asd 9 2 4 17" xfId="32791"/>
    <cellStyle name="asd 9 2 4 18" xfId="33436"/>
    <cellStyle name="asd 9 2 4 19" xfId="36166"/>
    <cellStyle name="asd 9 2 4 2" xfId="5895"/>
    <cellStyle name="asd 9 2 4 2 10" xfId="22145"/>
    <cellStyle name="asd 9 2 4 2 11" xfId="22932"/>
    <cellStyle name="asd 9 2 4 2 12" xfId="25947"/>
    <cellStyle name="asd 9 2 4 2 13" xfId="26884"/>
    <cellStyle name="asd 9 2 4 2 14" xfId="28212"/>
    <cellStyle name="asd 9 2 4 2 15" xfId="30481"/>
    <cellStyle name="asd 9 2 4 2 16" xfId="32907"/>
    <cellStyle name="asd 9 2 4 2 17" xfId="34403"/>
    <cellStyle name="asd 9 2 4 2 18" xfId="36774"/>
    <cellStyle name="asd 9 2 4 2 19" xfId="38653"/>
    <cellStyle name="asd 9 2 4 2 2" xfId="7344"/>
    <cellStyle name="asd 9 2 4 2 20" xfId="40111"/>
    <cellStyle name="asd 9 2 4 2 21" xfId="41771"/>
    <cellStyle name="asd 9 2 4 2 22" xfId="42718"/>
    <cellStyle name="asd 9 2 4 2 3" xfId="8798"/>
    <cellStyle name="asd 9 2 4 2 4" xfId="10708"/>
    <cellStyle name="asd 9 2 4 2 5" xfId="11269"/>
    <cellStyle name="asd 9 2 4 2 6" xfId="13400"/>
    <cellStyle name="asd 9 2 4 2 7" xfId="15305"/>
    <cellStyle name="asd 9 2 4 2 8" xfId="18327"/>
    <cellStyle name="asd 9 2 4 2 9" xfId="20233"/>
    <cellStyle name="asd 9 2 4 20" xfId="38045"/>
    <cellStyle name="asd 9 2 4 21" xfId="40000"/>
    <cellStyle name="asd 9 2 4 22" xfId="41664"/>
    <cellStyle name="asd 9 2 4 23" xfId="42799"/>
    <cellStyle name="asd 9 2 4 3" xfId="6736"/>
    <cellStyle name="asd 9 2 4 4" xfId="8190"/>
    <cellStyle name="asd 9 2 4 5" xfId="10100"/>
    <cellStyle name="asd 9 2 4 6" xfId="12366"/>
    <cellStyle name="asd 9 2 4 7" xfId="13486"/>
    <cellStyle name="asd 9 2 4 8" xfId="15390"/>
    <cellStyle name="asd 9 2 4 9" xfId="17719"/>
    <cellStyle name="asd 9 2 5" xfId="4870"/>
    <cellStyle name="asd 9 2 5 10" xfId="21118"/>
    <cellStyle name="asd 9 2 5 11" xfId="23051"/>
    <cellStyle name="asd 9 2 5 12" xfId="24920"/>
    <cellStyle name="asd 9 2 5 13" xfId="26528"/>
    <cellStyle name="asd 9 2 5 14" xfId="29084"/>
    <cellStyle name="asd 9 2 5 15" xfId="30134"/>
    <cellStyle name="asd 9 2 5 16" xfId="31696"/>
    <cellStyle name="asd 9 2 5 17" xfId="34053"/>
    <cellStyle name="asd 9 2 5 18" xfId="35747"/>
    <cellStyle name="asd 9 2 5 19" xfId="37626"/>
    <cellStyle name="asd 9 2 5 2" xfId="6320"/>
    <cellStyle name="asd 9 2 5 20" xfId="38938"/>
    <cellStyle name="asd 9 2 5 21" xfId="40622"/>
    <cellStyle name="asd 9 2 5 22" xfId="42834"/>
    <cellStyle name="asd 9 2 5 3" xfId="7771"/>
    <cellStyle name="asd 9 2 5 4" xfId="9681"/>
    <cellStyle name="asd 9 2 5 5" xfId="12652"/>
    <cellStyle name="asd 9 2 5 6" xfId="13522"/>
    <cellStyle name="asd 9 2 5 7" xfId="15425"/>
    <cellStyle name="asd 9 2 5 8" xfId="17300"/>
    <cellStyle name="asd 9 2 5 9" xfId="19206"/>
    <cellStyle name="asd 9 2 6" xfId="4329"/>
    <cellStyle name="asd 9 2 6 10" xfId="20456"/>
    <cellStyle name="asd 9 2 6 11" xfId="22918"/>
    <cellStyle name="asd 9 2 6 12" xfId="24258"/>
    <cellStyle name="asd 9 2 6 13" xfId="26773"/>
    <cellStyle name="asd 9 2 6 14" xfId="28566"/>
    <cellStyle name="asd 9 2 6 15" xfId="30372"/>
    <cellStyle name="asd 9 2 6 16" xfId="32769"/>
    <cellStyle name="asd 9 2 6 17" xfId="34584"/>
    <cellStyle name="asd 9 2 6 18" xfId="35086"/>
    <cellStyle name="asd 9 2 6 19" xfId="36964"/>
    <cellStyle name="asd 9 2 6 2" xfId="4291"/>
    <cellStyle name="asd 9 2 6 20" xfId="39978"/>
    <cellStyle name="asd 9 2 6 21" xfId="41642"/>
    <cellStyle name="asd 9 2 6 22" xfId="42704"/>
    <cellStyle name="asd 9 2 6 3" xfId="4817"/>
    <cellStyle name="asd 9 2 6 4" xfId="9018"/>
    <cellStyle name="asd 9 2 6 5" xfId="12228"/>
    <cellStyle name="asd 9 2 6 6" xfId="13386"/>
    <cellStyle name="asd 9 2 6 7" xfId="15291"/>
    <cellStyle name="asd 9 2 6 8" xfId="16637"/>
    <cellStyle name="asd 9 2 6 9" xfId="18544"/>
    <cellStyle name="asd 9 2 7" xfId="2401"/>
    <cellStyle name="asd 9 2 8" xfId="9031"/>
    <cellStyle name="asd 9 2 9" xfId="12148"/>
    <cellStyle name="asd 9 20" xfId="27994"/>
    <cellStyle name="asd 9 21" xfId="3099"/>
    <cellStyle name="asd 9 22" xfId="33079"/>
    <cellStyle name="asd 9 23" xfId="27775"/>
    <cellStyle name="asd 9 24" xfId="33438"/>
    <cellStyle name="asd 9 25" xfId="32738"/>
    <cellStyle name="asd 9 26" xfId="26151"/>
    <cellStyle name="asd 9 27" xfId="41898"/>
    <cellStyle name="asd 9 3" xfId="3506"/>
    <cellStyle name="asd 9 3 10" xfId="14300"/>
    <cellStyle name="asd 9 3 11" xfId="16204"/>
    <cellStyle name="asd 9 3 12" xfId="16975"/>
    <cellStyle name="asd 9 3 13" xfId="18882"/>
    <cellStyle name="asd 9 3 14" xfId="20794"/>
    <cellStyle name="asd 9 3 15" xfId="23830"/>
    <cellStyle name="asd 9 3 16" xfId="24596"/>
    <cellStyle name="asd 9 3 17" xfId="26783"/>
    <cellStyle name="asd 9 3 18" xfId="28505"/>
    <cellStyle name="asd 9 3 19" xfId="30382"/>
    <cellStyle name="asd 9 3 2" xfId="3686"/>
    <cellStyle name="asd 9 3 2 10" xfId="17577"/>
    <cellStyle name="asd 9 3 2 11" xfId="19483"/>
    <cellStyle name="asd 9 3 2 12" xfId="21395"/>
    <cellStyle name="asd 9 3 2 13" xfId="22886"/>
    <cellStyle name="asd 9 3 2 14" xfId="25197"/>
    <cellStyle name="asd 9 3 2 15" xfId="26374"/>
    <cellStyle name="asd 9 3 2 16" xfId="28892"/>
    <cellStyle name="asd 9 3 2 17" xfId="29982"/>
    <cellStyle name="asd 9 3 2 18" xfId="32553"/>
    <cellStyle name="asd 9 3 2 19" xfId="34807"/>
    <cellStyle name="asd 9 3 2 2" xfId="5753"/>
    <cellStyle name="asd 9 3 2 2 10" xfId="22003"/>
    <cellStyle name="asd 9 3 2 2 11" xfId="23927"/>
    <cellStyle name="asd 9 3 2 2 12" xfId="25805"/>
    <cellStyle name="asd 9 3 2 2 13" xfId="26577"/>
    <cellStyle name="asd 9 3 2 2 14" xfId="28598"/>
    <cellStyle name="asd 9 3 2 2 15" xfId="30180"/>
    <cellStyle name="asd 9 3 2 2 16" xfId="31847"/>
    <cellStyle name="asd 9 3 2 2 17" xfId="33714"/>
    <cellStyle name="asd 9 3 2 2 18" xfId="36632"/>
    <cellStyle name="asd 9 3 2 2 19" xfId="38511"/>
    <cellStyle name="asd 9 3 2 2 2" xfId="7202"/>
    <cellStyle name="asd 9 3 2 2 20" xfId="39084"/>
    <cellStyle name="asd 9 3 2 2 21" xfId="40765"/>
    <cellStyle name="asd 9 3 2 2 22" xfId="43673"/>
    <cellStyle name="asd 9 3 2 2 3" xfId="8656"/>
    <cellStyle name="asd 9 3 2 2 4" xfId="10566"/>
    <cellStyle name="asd 9 3 2 2 5" xfId="11886"/>
    <cellStyle name="asd 9 3 2 2 6" xfId="14396"/>
    <cellStyle name="asd 9 3 2 2 7" xfId="16302"/>
    <cellStyle name="asd 9 3 2 2 8" xfId="18185"/>
    <cellStyle name="asd 9 3 2 2 9" xfId="20091"/>
    <cellStyle name="asd 9 3 2 20" xfId="36024"/>
    <cellStyle name="asd 9 3 2 21" xfId="37903"/>
    <cellStyle name="asd 9 3 2 22" xfId="39766"/>
    <cellStyle name="asd 9 3 2 23" xfId="41437"/>
    <cellStyle name="asd 9 3 2 24" xfId="42672"/>
    <cellStyle name="asd 9 3 2 3" xfId="5147"/>
    <cellStyle name="asd 9 3 2 4" xfId="6597"/>
    <cellStyle name="asd 9 3 2 5" xfId="8048"/>
    <cellStyle name="asd 9 3 2 6" xfId="9958"/>
    <cellStyle name="asd 9 3 2 7" xfId="11101"/>
    <cellStyle name="asd 9 3 2 8" xfId="13354"/>
    <cellStyle name="asd 9 3 2 9" xfId="15259"/>
    <cellStyle name="asd 9 3 20" xfId="33289"/>
    <cellStyle name="asd 9 3 21" xfId="33931"/>
    <cellStyle name="asd 9 3 22" xfId="35424"/>
    <cellStyle name="asd 9 3 23" xfId="37302"/>
    <cellStyle name="asd 9 3 24" xfId="40473"/>
    <cellStyle name="asd 9 3 25" xfId="42128"/>
    <cellStyle name="asd 9 3 26" xfId="43581"/>
    <cellStyle name="asd 9 3 3" xfId="3171"/>
    <cellStyle name="asd 9 3 3 10" xfId="19171"/>
    <cellStyle name="asd 9 3 3 11" xfId="21083"/>
    <cellStyle name="asd 9 3 3 12" xfId="22523"/>
    <cellStyle name="asd 9 3 3 13" xfId="24885"/>
    <cellStyle name="asd 9 3 3 14" xfId="27817"/>
    <cellStyle name="asd 9 3 3 15" xfId="28310"/>
    <cellStyle name="asd 9 3 3 16" xfId="31395"/>
    <cellStyle name="asd 9 3 3 17" xfId="31988"/>
    <cellStyle name="asd 9 3 3 18" xfId="34271"/>
    <cellStyle name="asd 9 3 3 19" xfId="35712"/>
    <cellStyle name="asd 9 3 3 2" xfId="4619"/>
    <cellStyle name="asd 9 3 3 2 10" xfId="20864"/>
    <cellStyle name="asd 9 3 3 2 11" xfId="23072"/>
    <cellStyle name="asd 9 3 3 2 12" xfId="24666"/>
    <cellStyle name="asd 9 3 3 2 13" xfId="27492"/>
    <cellStyle name="asd 9 3 3 2 14" xfId="28676"/>
    <cellStyle name="asd 9 3 3 2 15" xfId="31078"/>
    <cellStyle name="asd 9 3 3 2 16" xfId="31719"/>
    <cellStyle name="asd 9 3 3 2 17" xfId="34447"/>
    <cellStyle name="asd 9 3 3 2 18" xfId="35494"/>
    <cellStyle name="asd 9 3 3 2 19" xfId="37372"/>
    <cellStyle name="asd 9 3 3 2 2" xfId="6067"/>
    <cellStyle name="asd 9 3 3 2 20" xfId="38960"/>
    <cellStyle name="asd 9 3 3 2 21" xfId="40643"/>
    <cellStyle name="asd 9 3 3 2 22" xfId="42854"/>
    <cellStyle name="asd 9 3 3 2 3" xfId="7516"/>
    <cellStyle name="asd 9 3 3 2 4" xfId="9426"/>
    <cellStyle name="asd 9 3 3 2 5" xfId="12680"/>
    <cellStyle name="asd 9 3 3 2 6" xfId="13543"/>
    <cellStyle name="asd 9 3 3 2 7" xfId="15446"/>
    <cellStyle name="asd 9 3 3 2 8" xfId="17045"/>
    <cellStyle name="asd 9 3 3 2 9" xfId="18952"/>
    <cellStyle name="asd 9 3 3 20" xfId="37591"/>
    <cellStyle name="asd 9 3 3 21" xfId="39219"/>
    <cellStyle name="asd 9 3 3 22" xfId="40897"/>
    <cellStyle name="asd 9 3 3 23" xfId="42333"/>
    <cellStyle name="asd 9 3 3 3" xfId="4835"/>
    <cellStyle name="asd 9 3 3 4" xfId="7736"/>
    <cellStyle name="asd 9 3 3 5" xfId="9646"/>
    <cellStyle name="asd 9 3 3 6" xfId="11031"/>
    <cellStyle name="asd 9 3 3 7" xfId="12991"/>
    <cellStyle name="asd 9 3 3 8" xfId="14895"/>
    <cellStyle name="asd 9 3 3 9" xfId="17265"/>
    <cellStyle name="asd 9 3 4" xfId="4138"/>
    <cellStyle name="asd 9 3 4 10" xfId="19773"/>
    <cellStyle name="asd 9 3 4 11" xfId="21685"/>
    <cellStyle name="asd 9 3 4 12" xfId="23152"/>
    <cellStyle name="asd 9 3 4 13" xfId="25487"/>
    <cellStyle name="asd 9 3 4 14" xfId="27895"/>
    <cellStyle name="asd 9 3 4 15" xfId="28791"/>
    <cellStyle name="asd 9 3 4 16" xfId="31477"/>
    <cellStyle name="asd 9 3 4 17" xfId="32019"/>
    <cellStyle name="asd 9 3 4 18" xfId="33771"/>
    <cellStyle name="asd 9 3 4 19" xfId="36314"/>
    <cellStyle name="asd 9 3 4 2" xfId="6043"/>
    <cellStyle name="asd 9 3 4 2 10" xfId="22293"/>
    <cellStyle name="asd 9 3 4 2 11" xfId="14371"/>
    <cellStyle name="asd 9 3 4 2 12" xfId="26095"/>
    <cellStyle name="asd 9 3 4 2 13" xfId="24231"/>
    <cellStyle name="asd 9 3 4 2 14" xfId="26795"/>
    <cellStyle name="asd 9 3 4 2 15" xfId="3759"/>
    <cellStyle name="asd 9 3 4 2 16" xfId="29194"/>
    <cellStyle name="asd 9 3 4 2 17" xfId="32766"/>
    <cellStyle name="asd 9 3 4 2 18" xfId="36922"/>
    <cellStyle name="asd 9 3 4 2 19" xfId="38801"/>
    <cellStyle name="asd 9 3 4 2 2" xfId="7492"/>
    <cellStyle name="asd 9 3 4 2 20" xfId="33251"/>
    <cellStyle name="asd 9 3 4 2 21" xfId="34349"/>
    <cellStyle name="asd 9 3 4 2 22" xfId="29935"/>
    <cellStyle name="asd 9 3 4 2 3" xfId="8946"/>
    <cellStyle name="asd 9 3 4 2 4" xfId="10856"/>
    <cellStyle name="asd 9 3 4 2 5" xfId="5327"/>
    <cellStyle name="asd 9 3 4 2 6" xfId="1796"/>
    <cellStyle name="asd 9 3 4 2 7" xfId="2829"/>
    <cellStyle name="asd 9 3 4 2 8" xfId="18475"/>
    <cellStyle name="asd 9 3 4 2 9" xfId="20381"/>
    <cellStyle name="asd 9 3 4 20" xfId="38193"/>
    <cellStyle name="asd 9 3 4 21" xfId="39249"/>
    <cellStyle name="asd 9 3 4 22" xfId="40926"/>
    <cellStyle name="asd 9 3 4 23" xfId="42930"/>
    <cellStyle name="asd 9 3 4 3" xfId="6884"/>
    <cellStyle name="asd 9 3 4 4" xfId="8338"/>
    <cellStyle name="asd 9 3 4 5" xfId="10248"/>
    <cellStyle name="asd 9 3 4 6" xfId="10944"/>
    <cellStyle name="asd 9 3 4 7" xfId="13623"/>
    <cellStyle name="asd 9 3 4 8" xfId="15526"/>
    <cellStyle name="asd 9 3 4 9" xfId="17867"/>
    <cellStyle name="asd 9 3 5" xfId="4979"/>
    <cellStyle name="asd 9 3 5 10" xfId="21227"/>
    <cellStyle name="asd 9 3 5 11" xfId="24115"/>
    <cellStyle name="asd 9 3 5 12" xfId="25029"/>
    <cellStyle name="asd 9 3 5 13" xfId="27201"/>
    <cellStyle name="asd 9 3 5 14" xfId="28549"/>
    <cellStyle name="asd 9 3 5 15" xfId="30792"/>
    <cellStyle name="asd 9 3 5 16" xfId="32944"/>
    <cellStyle name="asd 9 3 5 17" xfId="33515"/>
    <cellStyle name="asd 9 3 5 18" xfId="35856"/>
    <cellStyle name="asd 9 3 5 19" xfId="37735"/>
    <cellStyle name="asd 9 3 5 2" xfId="6429"/>
    <cellStyle name="asd 9 3 5 20" xfId="40147"/>
    <cellStyle name="asd 9 3 5 21" xfId="41806"/>
    <cellStyle name="asd 9 3 5 22" xfId="43858"/>
    <cellStyle name="asd 9 3 5 3" xfId="7880"/>
    <cellStyle name="asd 9 3 5 4" xfId="9790"/>
    <cellStyle name="asd 9 3 5 5" xfId="12075"/>
    <cellStyle name="asd 9 3 5 6" xfId="14586"/>
    <cellStyle name="asd 9 3 5 7" xfId="16492"/>
    <cellStyle name="asd 9 3 5 8" xfId="17409"/>
    <cellStyle name="asd 9 3 5 9" xfId="19315"/>
    <cellStyle name="asd 9 3 6" xfId="4970"/>
    <cellStyle name="asd 9 3 6 10" xfId="21218"/>
    <cellStyle name="asd 9 3 6 11" xfId="24178"/>
    <cellStyle name="asd 9 3 6 12" xfId="25020"/>
    <cellStyle name="asd 9 3 6 13" xfId="27922"/>
    <cellStyle name="asd 9 3 6 14" xfId="29663"/>
    <cellStyle name="asd 9 3 6 15" xfId="31504"/>
    <cellStyle name="asd 9 3 6 16" xfId="32510"/>
    <cellStyle name="asd 9 3 6 17" xfId="34582"/>
    <cellStyle name="asd 9 3 6 18" xfId="35847"/>
    <cellStyle name="asd 9 3 6 19" xfId="37726"/>
    <cellStyle name="asd 9 3 6 2" xfId="6420"/>
    <cellStyle name="asd 9 3 6 20" xfId="39725"/>
    <cellStyle name="asd 9 3 6 21" xfId="41397"/>
    <cellStyle name="asd 9 3 6 22" xfId="43919"/>
    <cellStyle name="asd 9 3 6 3" xfId="7871"/>
    <cellStyle name="asd 9 3 6 4" xfId="9781"/>
    <cellStyle name="asd 9 3 6 5" xfId="12138"/>
    <cellStyle name="asd 9 3 6 6" xfId="14649"/>
    <cellStyle name="asd 9 3 6 7" xfId="16555"/>
    <cellStyle name="asd 9 3 6 8" xfId="17400"/>
    <cellStyle name="asd 9 3 6 9" xfId="19306"/>
    <cellStyle name="asd 9 3 7" xfId="4451"/>
    <cellStyle name="asd 9 3 8" xfId="9356"/>
    <cellStyle name="asd 9 3 9" xfId="11815"/>
    <cellStyle name="asd 9 4" xfId="3451"/>
    <cellStyle name="asd 9 4 10" xfId="16239"/>
    <cellStyle name="asd 9 4 11" xfId="16843"/>
    <cellStyle name="asd 9 4 12" xfId="18750"/>
    <cellStyle name="asd 9 4 13" xfId="20662"/>
    <cellStyle name="asd 9 4 14" xfId="23865"/>
    <cellStyle name="asd 9 4 15" xfId="24464"/>
    <cellStyle name="asd 9 4 16" xfId="26702"/>
    <cellStyle name="asd 9 4 17" xfId="28807"/>
    <cellStyle name="asd 9 4 18" xfId="30302"/>
    <cellStyle name="asd 9 4 19" xfId="32115"/>
    <cellStyle name="asd 9 4 2" xfId="3631"/>
    <cellStyle name="asd 9 4 2 10" xfId="17522"/>
    <cellStyle name="asd 9 4 2 11" xfId="19428"/>
    <cellStyle name="asd 9 4 2 12" xfId="21340"/>
    <cellStyle name="asd 9 4 2 13" xfId="22593"/>
    <cellStyle name="asd 9 4 2 14" xfId="25142"/>
    <cellStyle name="asd 9 4 2 15" xfId="26186"/>
    <cellStyle name="asd 9 4 2 16" xfId="28369"/>
    <cellStyle name="asd 9 4 2 17" xfId="29798"/>
    <cellStyle name="asd 9 4 2 18" xfId="30306"/>
    <cellStyle name="asd 9 4 2 19" xfId="29598"/>
    <cellStyle name="asd 9 4 2 2" xfId="5511"/>
    <cellStyle name="asd 9 4 2 2 10" xfId="21761"/>
    <cellStyle name="asd 9 4 2 2 11" xfId="22681"/>
    <cellStyle name="asd 9 4 2 2 12" xfId="25563"/>
    <cellStyle name="asd 9 4 2 2 13" xfId="26561"/>
    <cellStyle name="asd 9 4 2 2 14" xfId="28563"/>
    <cellStyle name="asd 9 4 2 2 15" xfId="30164"/>
    <cellStyle name="asd 9 4 2 2 16" xfId="31744"/>
    <cellStyle name="asd 9 4 2 2 17" xfId="34662"/>
    <cellStyle name="asd 9 4 2 2 18" xfId="36390"/>
    <cellStyle name="asd 9 4 2 2 19" xfId="38269"/>
    <cellStyle name="asd 9 4 2 2 2" xfId="6960"/>
    <cellStyle name="asd 9 4 2 2 20" xfId="38985"/>
    <cellStyle name="asd 9 4 2 2 21" xfId="40668"/>
    <cellStyle name="asd 9 4 2 2 22" xfId="42485"/>
    <cellStyle name="asd 9 4 2 2 3" xfId="8414"/>
    <cellStyle name="asd 9 4 2 2 4" xfId="10324"/>
    <cellStyle name="asd 9 4 2 2 5" xfId="2913"/>
    <cellStyle name="asd 9 4 2 2 6" xfId="13148"/>
    <cellStyle name="asd 9 4 2 2 7" xfId="15053"/>
    <cellStyle name="asd 9 4 2 2 8" xfId="17943"/>
    <cellStyle name="asd 9 4 2 2 9" xfId="19849"/>
    <cellStyle name="asd 9 4 2 20" xfId="35969"/>
    <cellStyle name="asd 9 4 2 21" xfId="37848"/>
    <cellStyle name="asd 9 4 2 22" xfId="4376"/>
    <cellStyle name="asd 9 4 2 23" xfId="39263"/>
    <cellStyle name="asd 9 4 2 24" xfId="42402"/>
    <cellStyle name="asd 9 4 2 3" xfId="5092"/>
    <cellStyle name="asd 9 4 2 4" xfId="6542"/>
    <cellStyle name="asd 9 4 2 5" xfId="7993"/>
    <cellStyle name="asd 9 4 2 6" xfId="9903"/>
    <cellStyle name="asd 9 4 2 7" xfId="12745"/>
    <cellStyle name="asd 9 4 2 8" xfId="13061"/>
    <cellStyle name="asd 9 4 2 9" xfId="14965"/>
    <cellStyle name="asd 9 4 20" xfId="34791"/>
    <cellStyle name="asd 9 4 21" xfId="35292"/>
    <cellStyle name="asd 9 4 22" xfId="37170"/>
    <cellStyle name="asd 9 4 23" xfId="39339"/>
    <cellStyle name="asd 9 4 24" xfId="41015"/>
    <cellStyle name="asd 9 4 25" xfId="43615"/>
    <cellStyle name="asd 9 4 3" xfId="1765"/>
    <cellStyle name="asd 9 4 3 10" xfId="18965"/>
    <cellStyle name="asd 9 4 3 11" xfId="20877"/>
    <cellStyle name="asd 9 4 3 12" xfId="23006"/>
    <cellStyle name="asd 9 4 3 13" xfId="24679"/>
    <cellStyle name="asd 9 4 3 14" xfId="26596"/>
    <cellStyle name="asd 9 4 3 15" xfId="28827"/>
    <cellStyle name="asd 9 4 3 16" xfId="30198"/>
    <cellStyle name="asd 9 4 3 17" xfId="33188"/>
    <cellStyle name="asd 9 4 3 18" xfId="34337"/>
    <cellStyle name="asd 9 4 3 19" xfId="35506"/>
    <cellStyle name="asd 9 4 3 2" xfId="5612"/>
    <cellStyle name="asd 9 4 3 2 10" xfId="21862"/>
    <cellStyle name="asd 9 4 3 2 11" xfId="23877"/>
    <cellStyle name="asd 9 4 3 2 12" xfId="25664"/>
    <cellStyle name="asd 9 4 3 2 13" xfId="27304"/>
    <cellStyle name="asd 9 4 3 2 14" xfId="28894"/>
    <cellStyle name="asd 9 4 3 2 15" xfId="30894"/>
    <cellStyle name="asd 9 4 3 2 16" xfId="32508"/>
    <cellStyle name="asd 9 4 3 2 17" xfId="34110"/>
    <cellStyle name="asd 9 4 3 2 18" xfId="36491"/>
    <cellStyle name="asd 9 4 3 2 19" xfId="38370"/>
    <cellStyle name="asd 9 4 3 2 2" xfId="7061"/>
    <cellStyle name="asd 9 4 3 2 20" xfId="39723"/>
    <cellStyle name="asd 9 4 3 2 21" xfId="41395"/>
    <cellStyle name="asd 9 4 3 2 22" xfId="43627"/>
    <cellStyle name="asd 9 4 3 2 3" xfId="8515"/>
    <cellStyle name="asd 9 4 3 2 4" xfId="10425"/>
    <cellStyle name="asd 9 4 3 2 5" xfId="11508"/>
    <cellStyle name="asd 9 4 3 2 6" xfId="14347"/>
    <cellStyle name="asd 9 4 3 2 7" xfId="16251"/>
    <cellStyle name="asd 9 4 3 2 8" xfId="18044"/>
    <cellStyle name="asd 9 4 3 2 9" xfId="19950"/>
    <cellStyle name="asd 9 4 3 20" xfId="37385"/>
    <cellStyle name="asd 9 4 3 21" xfId="40379"/>
    <cellStyle name="asd 9 4 3 22" xfId="42035"/>
    <cellStyle name="asd 9 4 3 23" xfId="42790"/>
    <cellStyle name="asd 9 4 3 3" xfId="4633"/>
    <cellStyle name="asd 9 4 3 4" xfId="7530"/>
    <cellStyle name="asd 9 4 3 5" xfId="9440"/>
    <cellStyle name="asd 9 4 3 6" xfId="11184"/>
    <cellStyle name="asd 9 4 3 7" xfId="13476"/>
    <cellStyle name="asd 9 4 3 8" xfId="15381"/>
    <cellStyle name="asd 9 4 3 9" xfId="17059"/>
    <cellStyle name="asd 9 4 4" xfId="4083"/>
    <cellStyle name="asd 9 4 4 10" xfId="19718"/>
    <cellStyle name="asd 9 4 4 11" xfId="21630"/>
    <cellStyle name="asd 9 4 4 12" xfId="2156"/>
    <cellStyle name="asd 9 4 4 13" xfId="25432"/>
    <cellStyle name="asd 9 4 4 14" xfId="22332"/>
    <cellStyle name="asd 9 4 4 15" xfId="28011"/>
    <cellStyle name="asd 9 4 4 16" xfId="24245"/>
    <cellStyle name="asd 9 4 4 17" xfId="31575"/>
    <cellStyle name="asd 9 4 4 18" xfId="3045"/>
    <cellStyle name="asd 9 4 4 19" xfId="36259"/>
    <cellStyle name="asd 9 4 4 2" xfId="5988"/>
    <cellStyle name="asd 9 4 4 2 10" xfId="22238"/>
    <cellStyle name="asd 9 4 4 2 11" xfId="22554"/>
    <cellStyle name="asd 9 4 4 2 12" xfId="26040"/>
    <cellStyle name="asd 9 4 4 2 13" xfId="26668"/>
    <cellStyle name="asd 9 4 4 2 14" xfId="2516"/>
    <cellStyle name="asd 9 4 4 2 15" xfId="30268"/>
    <cellStyle name="asd 9 4 4 2 16" xfId="31623"/>
    <cellStyle name="asd 9 4 4 2 17" xfId="31940"/>
    <cellStyle name="asd 9 4 4 2 18" xfId="36867"/>
    <cellStyle name="asd 9 4 4 2 19" xfId="38746"/>
    <cellStyle name="asd 9 4 4 2 2" xfId="7437"/>
    <cellStyle name="asd 9 4 4 2 20" xfId="38870"/>
    <cellStyle name="asd 9 4 4 2 21" xfId="40556"/>
    <cellStyle name="asd 9 4 4 2 22" xfId="42363"/>
    <cellStyle name="asd 9 4 4 2 3" xfId="8891"/>
    <cellStyle name="asd 9 4 4 2 4" xfId="10801"/>
    <cellStyle name="asd 9 4 4 2 5" xfId="10991"/>
    <cellStyle name="asd 9 4 4 2 6" xfId="13022"/>
    <cellStyle name="asd 9 4 4 2 7" xfId="14926"/>
    <cellStyle name="asd 9 4 4 2 8" xfId="18420"/>
    <cellStyle name="asd 9 4 4 2 9" xfId="20326"/>
    <cellStyle name="asd 9 4 4 20" xfId="38138"/>
    <cellStyle name="asd 9 4 4 21" xfId="38829"/>
    <cellStyle name="asd 9 4 4 22" xfId="40520"/>
    <cellStyle name="asd 9 4 4 23" xfId="40946"/>
    <cellStyle name="asd 9 4 4 3" xfId="6829"/>
    <cellStyle name="asd 9 4 4 4" xfId="8283"/>
    <cellStyle name="asd 9 4 4 5" xfId="10193"/>
    <cellStyle name="asd 9 4 4 6" xfId="10935"/>
    <cellStyle name="asd 9 4 4 7" xfId="12754"/>
    <cellStyle name="asd 9 4 4 8" xfId="13601"/>
    <cellStyle name="asd 9 4 4 9" xfId="17812"/>
    <cellStyle name="asd 9 4 5" xfId="5696"/>
    <cellStyle name="asd 9 4 5 10" xfId="21946"/>
    <cellStyle name="asd 9 4 5 11" xfId="23837"/>
    <cellStyle name="asd 9 4 5 12" xfId="25748"/>
    <cellStyle name="asd 9 4 5 13" xfId="27117"/>
    <cellStyle name="asd 9 4 5 14" xfId="28459"/>
    <cellStyle name="asd 9 4 5 15" xfId="30708"/>
    <cellStyle name="asd 9 4 5 16" xfId="32255"/>
    <cellStyle name="asd 9 4 5 17" xfId="34786"/>
    <cellStyle name="asd 9 4 5 18" xfId="36575"/>
    <cellStyle name="asd 9 4 5 19" xfId="38454"/>
    <cellStyle name="asd 9 4 5 2" xfId="7145"/>
    <cellStyle name="asd 9 4 5 20" xfId="39473"/>
    <cellStyle name="asd 9 4 5 21" xfId="41148"/>
    <cellStyle name="asd 9 4 5 22" xfId="43588"/>
    <cellStyle name="asd 9 4 5 3" xfId="8599"/>
    <cellStyle name="asd 9 4 5 4" xfId="10509"/>
    <cellStyle name="asd 9 4 5 5" xfId="11541"/>
    <cellStyle name="asd 9 4 5 6" xfId="14307"/>
    <cellStyle name="asd 9 4 5 7" xfId="16211"/>
    <cellStyle name="asd 9 4 5 8" xfId="18128"/>
    <cellStyle name="asd 9 4 5 9" xfId="20034"/>
    <cellStyle name="asd 9 4 6" xfId="6234"/>
    <cellStyle name="asd 9 4 7" xfId="9224"/>
    <cellStyle name="asd 9 4 8" xfId="11813"/>
    <cellStyle name="asd 9 4 9" xfId="14335"/>
    <cellStyle name="asd 9 5" xfId="3326"/>
    <cellStyle name="asd 9 5 10" xfId="17293"/>
    <cellStyle name="asd 9 5 11" xfId="19199"/>
    <cellStyle name="asd 9 5 12" xfId="21111"/>
    <cellStyle name="asd 9 5 13" xfId="23486"/>
    <cellStyle name="asd 9 5 14" xfId="24913"/>
    <cellStyle name="asd 9 5 15" xfId="27042"/>
    <cellStyle name="asd 9 5 16" xfId="15496"/>
    <cellStyle name="asd 9 5 17" xfId="30635"/>
    <cellStyle name="asd 9 5 18" xfId="31903"/>
    <cellStyle name="asd 9 5 19" xfId="31289"/>
    <cellStyle name="asd 9 5 2" xfId="4252"/>
    <cellStyle name="asd 9 5 2 10" xfId="20519"/>
    <cellStyle name="asd 9 5 2 11" xfId="23761"/>
    <cellStyle name="asd 9 5 2 12" xfId="24321"/>
    <cellStyle name="asd 9 5 2 13" xfId="27660"/>
    <cellStyle name="asd 9 5 2 14" xfId="2107"/>
    <cellStyle name="asd 9 5 2 15" xfId="31237"/>
    <cellStyle name="asd 9 5 2 16" xfId="32691"/>
    <cellStyle name="asd 9 5 2 17" xfId="34258"/>
    <cellStyle name="asd 9 5 2 18" xfId="35149"/>
    <cellStyle name="asd 9 5 2 19" xfId="37027"/>
    <cellStyle name="asd 9 5 2 2" xfId="5390"/>
    <cellStyle name="asd 9 5 2 20" xfId="39899"/>
    <cellStyle name="asd 9 5 2 21" xfId="41568"/>
    <cellStyle name="asd 9 5 2 22" xfId="43514"/>
    <cellStyle name="asd 9 5 2 3" xfId="6648"/>
    <cellStyle name="asd 9 5 2 4" xfId="9081"/>
    <cellStyle name="asd 9 5 2 5" xfId="11345"/>
    <cellStyle name="asd 9 5 2 6" xfId="14231"/>
    <cellStyle name="asd 9 5 2 7" xfId="16135"/>
    <cellStyle name="asd 9 5 2 8" xfId="16700"/>
    <cellStyle name="asd 9 5 2 9" xfId="18607"/>
    <cellStyle name="asd 9 5 20" xfId="35740"/>
    <cellStyle name="asd 9 5 21" xfId="37619"/>
    <cellStyle name="asd 9 5 22" xfId="39135"/>
    <cellStyle name="asd 9 5 23" xfId="40816"/>
    <cellStyle name="asd 9 5 24" xfId="43252"/>
    <cellStyle name="asd 9 5 3" xfId="4863"/>
    <cellStyle name="asd 9 5 4" xfId="6313"/>
    <cellStyle name="asd 9 5 5" xfId="7764"/>
    <cellStyle name="asd 9 5 6" xfId="9674"/>
    <cellStyle name="asd 9 5 7" xfId="11306"/>
    <cellStyle name="asd 9 5 8" xfId="13958"/>
    <cellStyle name="asd 9 5 9" xfId="15859"/>
    <cellStyle name="asd 9 6" xfId="2690"/>
    <cellStyle name="asd 9 6 10" xfId="19094"/>
    <cellStyle name="asd 9 6 11" xfId="21006"/>
    <cellStyle name="asd 9 6 12" xfId="22710"/>
    <cellStyle name="asd 9 6 13" xfId="24808"/>
    <cellStyle name="asd 9 6 14" xfId="27029"/>
    <cellStyle name="asd 9 6 15" xfId="2021"/>
    <cellStyle name="asd 9 6 16" xfId="30622"/>
    <cellStyle name="asd 9 6 17" xfId="32249"/>
    <cellStyle name="asd 9 6 18" xfId="33888"/>
    <cellStyle name="asd 9 6 19" xfId="35635"/>
    <cellStyle name="asd 9 6 2" xfId="4522"/>
    <cellStyle name="asd 9 6 2 10" xfId="20767"/>
    <cellStyle name="asd 9 6 2 11" xfId="23445"/>
    <cellStyle name="asd 9 6 2 12" xfId="24569"/>
    <cellStyle name="asd 9 6 2 13" xfId="26250"/>
    <cellStyle name="asd 9 6 2 14" xfId="28817"/>
    <cellStyle name="asd 9 6 2 15" xfId="29860"/>
    <cellStyle name="asd 9 6 2 16" xfId="32148"/>
    <cellStyle name="asd 9 6 2 17" xfId="34196"/>
    <cellStyle name="asd 9 6 2 18" xfId="35397"/>
    <cellStyle name="asd 9 6 2 19" xfId="37275"/>
    <cellStyle name="asd 9 6 2 2" xfId="5362"/>
    <cellStyle name="asd 9 6 2 20" xfId="39371"/>
    <cellStyle name="asd 9 6 2 21" xfId="41047"/>
    <cellStyle name="asd 9 6 2 22" xfId="43212"/>
    <cellStyle name="asd 9 6 2 3" xfId="6624"/>
    <cellStyle name="asd 9 6 2 4" xfId="9329"/>
    <cellStyle name="asd 9 6 2 5" xfId="12566"/>
    <cellStyle name="asd 9 6 2 6" xfId="13917"/>
    <cellStyle name="asd 9 6 2 7" xfId="15818"/>
    <cellStyle name="asd 9 6 2 8" xfId="16948"/>
    <cellStyle name="asd 9 6 2 9" xfId="18855"/>
    <cellStyle name="asd 9 6 20" xfId="37514"/>
    <cellStyle name="asd 9 6 21" xfId="39467"/>
    <cellStyle name="asd 9 6 22" xfId="41142"/>
    <cellStyle name="asd 9 6 23" xfId="42510"/>
    <cellStyle name="asd 9 6 3" xfId="4759"/>
    <cellStyle name="asd 9 6 4" xfId="7659"/>
    <cellStyle name="asd 9 6 5" xfId="9569"/>
    <cellStyle name="asd 9 6 6" xfId="11461"/>
    <cellStyle name="asd 9 6 7" xfId="13178"/>
    <cellStyle name="asd 9 6 8" xfId="15082"/>
    <cellStyle name="asd 9 6 9" xfId="17188"/>
    <cellStyle name="asd 9 7" xfId="2513"/>
    <cellStyle name="asd 9 7 10" xfId="19075"/>
    <cellStyle name="asd 9 7 11" xfId="20987"/>
    <cellStyle name="asd 9 7 12" xfId="24068"/>
    <cellStyle name="asd 9 7 13" xfId="24789"/>
    <cellStyle name="asd 9 7 14" xfId="26213"/>
    <cellStyle name="asd 9 7 15" xfId="2702"/>
    <cellStyle name="asd 9 7 16" xfId="29824"/>
    <cellStyle name="asd 9 7 17" xfId="27501"/>
    <cellStyle name="asd 9 7 18" xfId="16621"/>
    <cellStyle name="asd 9 7 19" xfId="35616"/>
    <cellStyle name="asd 9 7 2" xfId="5460"/>
    <cellStyle name="asd 9 7 2 10" xfId="21710"/>
    <cellStyle name="asd 9 7 2 11" xfId="22386"/>
    <cellStyle name="asd 9 7 2 12" xfId="25512"/>
    <cellStyle name="asd 9 7 2 13" xfId="14800"/>
    <cellStyle name="asd 9 7 2 14" xfId="29208"/>
    <cellStyle name="asd 9 7 2 15" xfId="28688"/>
    <cellStyle name="asd 9 7 2 16" xfId="28967"/>
    <cellStyle name="asd 9 7 2 17" xfId="34169"/>
    <cellStyle name="asd 9 7 2 18" xfId="36339"/>
    <cellStyle name="asd 9 7 2 19" xfId="38218"/>
    <cellStyle name="asd 9 7 2 2" xfId="6909"/>
    <cellStyle name="asd 9 7 2 20" xfId="3079"/>
    <cellStyle name="asd 9 7 2 21" xfId="32634"/>
    <cellStyle name="asd 9 7 2 22" xfId="42197"/>
    <cellStyle name="asd 9 7 2 3" xfId="8363"/>
    <cellStyle name="asd 9 7 2 4" xfId="10273"/>
    <cellStyle name="asd 9 7 2 5" xfId="11151"/>
    <cellStyle name="asd 9 7 2 6" xfId="12853"/>
    <cellStyle name="asd 9 7 2 7" xfId="14758"/>
    <cellStyle name="asd 9 7 2 8" xfId="17892"/>
    <cellStyle name="asd 9 7 2 9" xfId="19798"/>
    <cellStyle name="asd 9 7 20" xfId="37495"/>
    <cellStyle name="asd 9 7 21" xfId="34820"/>
    <cellStyle name="asd 9 7 22" xfId="31902"/>
    <cellStyle name="asd 9 7 23" xfId="43812"/>
    <cellStyle name="asd 9 7 3" xfId="6189"/>
    <cellStyle name="asd 9 7 4" xfId="7640"/>
    <cellStyle name="asd 9 7 5" xfId="9550"/>
    <cellStyle name="asd 9 7 6" xfId="12027"/>
    <cellStyle name="asd 9 7 7" xfId="14538"/>
    <cellStyle name="asd 9 7 8" xfId="16444"/>
    <cellStyle name="asd 9 7 9" xfId="17169"/>
    <cellStyle name="asd 9 8" xfId="3306"/>
    <cellStyle name="asd 9 9" xfId="1910"/>
    <cellStyle name="asd_Mem." xfId="48073"/>
    <cellStyle name="Bad" xfId="51551"/>
    <cellStyle name="Bom" xfId="43947" builtinId="26" customBuiltin="1"/>
    <cellStyle name="Bom 10" xfId="51962"/>
    <cellStyle name="Bom 11" xfId="52004"/>
    <cellStyle name="Bom 12" xfId="52047"/>
    <cellStyle name="Bom 13" xfId="52090"/>
    <cellStyle name="Bom 14" xfId="52133"/>
    <cellStyle name="Bom 2" xfId="22"/>
    <cellStyle name="Bom 3" xfId="51654"/>
    <cellStyle name="Bom 4" xfId="51704"/>
    <cellStyle name="Bom 5" xfId="51747"/>
    <cellStyle name="Bom 6" xfId="51789"/>
    <cellStyle name="Bom 7" xfId="51831"/>
    <cellStyle name="Bom 8" xfId="51872"/>
    <cellStyle name="Bom 9" xfId="51919"/>
    <cellStyle name="Calculation" xfId="51552"/>
    <cellStyle name="Cálculo" xfId="43952" builtinId="22" customBuiltin="1"/>
    <cellStyle name="Cálculo 10" xfId="51961"/>
    <cellStyle name="Cálculo 11" xfId="52003"/>
    <cellStyle name="Cálculo 12" xfId="52046"/>
    <cellStyle name="Cálculo 13" xfId="52089"/>
    <cellStyle name="Cálculo 14" xfId="52132"/>
    <cellStyle name="Cálculo 2" xfId="23"/>
    <cellStyle name="Cálculo 2 10" xfId="2209"/>
    <cellStyle name="Cálculo 2 11" xfId="10889"/>
    <cellStyle name="Cálculo 2 12" xfId="12800"/>
    <cellStyle name="Cálculo 2 13" xfId="2196"/>
    <cellStyle name="Cálculo 2 14" xfId="2673"/>
    <cellStyle name="Cálculo 2 15" xfId="1797"/>
    <cellStyle name="Cálculo 2 16" xfId="2222"/>
    <cellStyle name="Cálculo 2 17" xfId="3725"/>
    <cellStyle name="Cálculo 2 18" xfId="22310"/>
    <cellStyle name="Cálculo 2 19" xfId="28069"/>
    <cellStyle name="Cálculo 2 2" xfId="3418"/>
    <cellStyle name="Cálculo 2 2 10" xfId="13202"/>
    <cellStyle name="Cálculo 2 2 11" xfId="15105"/>
    <cellStyle name="Cálculo 2 2 12" xfId="16788"/>
    <cellStyle name="Cálculo 2 2 13" xfId="18695"/>
    <cellStyle name="Cálculo 2 2 14" xfId="20607"/>
    <cellStyle name="Cálculo 2 2 15" xfId="22733"/>
    <cellStyle name="Cálculo 2 2 16" xfId="24409"/>
    <cellStyle name="Cálculo 2 2 17" xfId="26982"/>
    <cellStyle name="Cálculo 2 2 18" xfId="29307"/>
    <cellStyle name="Cálculo 2 2 19" xfId="30576"/>
    <cellStyle name="Cálculo 2 2 2" xfId="3598"/>
    <cellStyle name="Cálculo 2 2 2 10" xfId="17489"/>
    <cellStyle name="Cálculo 2 2 2 11" xfId="19395"/>
    <cellStyle name="Cálculo 2 2 2 12" xfId="21307"/>
    <cellStyle name="Cálculo 2 2 2 13" xfId="23868"/>
    <cellStyle name="Cálculo 2 2 2 14" xfId="25109"/>
    <cellStyle name="Cálculo 2 2 2 15" xfId="27309"/>
    <cellStyle name="Cálculo 2 2 2 16" xfId="26542"/>
    <cellStyle name="Cálculo 2 2 2 17" xfId="30899"/>
    <cellStyle name="Cálculo 2 2 2 18" xfId="32334"/>
    <cellStyle name="Cálculo 2 2 2 19" xfId="11614"/>
    <cellStyle name="Cálculo 2 2 2 2" xfId="5704"/>
    <cellStyle name="Cálculo 2 2 2 2 10" xfId="21954"/>
    <cellStyle name="Cálculo 2 2 2 2 11" xfId="23466"/>
    <cellStyle name="Cálculo 2 2 2 2 12" xfId="25756"/>
    <cellStyle name="Cálculo 2 2 2 2 13" xfId="26583"/>
    <cellStyle name="Cálculo 2 2 2 2 14" xfId="29646"/>
    <cellStyle name="Cálculo 2 2 2 2 15" xfId="30185"/>
    <cellStyle name="Cálculo 2 2 2 2 16" xfId="32499"/>
    <cellStyle name="Cálculo 2 2 2 2 17" xfId="34853"/>
    <cellStyle name="Cálculo 2 2 2 2 18" xfId="36583"/>
    <cellStyle name="Cálculo 2 2 2 2 19" xfId="38462"/>
    <cellStyle name="Cálculo 2 2 2 2 2" xfId="7153"/>
    <cellStyle name="Cálculo 2 2 2 2 20" xfId="39714"/>
    <cellStyle name="Cálculo 2 2 2 2 21" xfId="41386"/>
    <cellStyle name="Cálculo 2 2 2 2 22" xfId="43233"/>
    <cellStyle name="Cálculo 2 2 2 2 3" xfId="8607"/>
    <cellStyle name="Cálculo 2 2 2 2 4" xfId="10517"/>
    <cellStyle name="Cálculo 2 2 2 2 5" xfId="11258"/>
    <cellStyle name="Cálculo 2 2 2 2 6" xfId="13938"/>
    <cellStyle name="Cálculo 2 2 2 2 7" xfId="15839"/>
    <cellStyle name="Cálculo 2 2 2 2 8" xfId="18136"/>
    <cellStyle name="Cálculo 2 2 2 2 9" xfId="20042"/>
    <cellStyle name="Cálculo 2 2 2 20" xfId="35936"/>
    <cellStyle name="Cálculo 2 2 2 21" xfId="37815"/>
    <cellStyle name="Cálculo 2 2 2 22" xfId="39553"/>
    <cellStyle name="Cálculo 2 2 2 23" xfId="41227"/>
    <cellStyle name="Cálculo 2 2 2 24" xfId="43618"/>
    <cellStyle name="Cálculo 2 2 2 3" xfId="5059"/>
    <cellStyle name="Cálculo 2 2 2 3 2" xfId="45665"/>
    <cellStyle name="Cálculo 2 2 2 3 3" xfId="46054"/>
    <cellStyle name="Cálculo 2 2 2 3 4" xfId="46412"/>
    <cellStyle name="Cálculo 2 2 2 3 5" xfId="46764"/>
    <cellStyle name="Cálculo 2 2 2 3 6" xfId="47079"/>
    <cellStyle name="Cálculo 2 2 2 3 7" xfId="47398"/>
    <cellStyle name="Cálculo 2 2 2 3 8" xfId="47716"/>
    <cellStyle name="Cálculo 2 2 2 4" xfId="6509"/>
    <cellStyle name="Cálculo 2 2 2 4 2" xfId="45646"/>
    <cellStyle name="Cálculo 2 2 2 4 3" xfId="46035"/>
    <cellStyle name="Cálculo 2 2 2 4 4" xfId="46393"/>
    <cellStyle name="Cálculo 2 2 2 4 5" xfId="46745"/>
    <cellStyle name="Cálculo 2 2 2 4 6" xfId="47060"/>
    <cellStyle name="Cálculo 2 2 2 4 7" xfId="47379"/>
    <cellStyle name="Cálculo 2 2 2 4 8" xfId="47697"/>
    <cellStyle name="Cálculo 2 2 2 5" xfId="7960"/>
    <cellStyle name="Cálculo 2 2 2 6" xfId="9870"/>
    <cellStyle name="Cálculo 2 2 2 7" xfId="12741"/>
    <cellStyle name="Cálculo 2 2 2 8" xfId="14338"/>
    <cellStyle name="Cálculo 2 2 2 9" xfId="16242"/>
    <cellStyle name="Cálculo 2 2 20" xfId="32583"/>
    <cellStyle name="Cálculo 2 2 21" xfId="34251"/>
    <cellStyle name="Cálculo 2 2 22" xfId="35237"/>
    <cellStyle name="Cálculo 2 2 23" xfId="37115"/>
    <cellStyle name="Cálculo 2 2 24" xfId="39794"/>
    <cellStyle name="Cálculo 2 2 25" xfId="41463"/>
    <cellStyle name="Cálculo 2 2 26" xfId="42531"/>
    <cellStyle name="Cálculo 2 2 3" xfId="3841"/>
    <cellStyle name="Cálculo 2 2 3 10" xfId="19564"/>
    <cellStyle name="Cálculo 2 2 3 11" xfId="21476"/>
    <cellStyle name="Cálculo 2 2 3 12" xfId="22850"/>
    <cellStyle name="Cálculo 2 2 3 13" xfId="25278"/>
    <cellStyle name="Cálculo 2 2 3 14" xfId="27236"/>
    <cellStyle name="Cálculo 2 2 3 15" xfId="28195"/>
    <cellStyle name="Cálculo 2 2 3 16" xfId="30827"/>
    <cellStyle name="Cálculo 2 2 3 17" xfId="33291"/>
    <cellStyle name="Cálculo 2 2 3 18" xfId="34707"/>
    <cellStyle name="Cálculo 2 2 3 19" xfId="36105"/>
    <cellStyle name="Cálculo 2 2 3 2" xfId="5834"/>
    <cellStyle name="Cálculo 2 2 3 2 10" xfId="22084"/>
    <cellStyle name="Cálculo 2 2 3 2 11" xfId="23114"/>
    <cellStyle name="Cálculo 2 2 3 2 12" xfId="25886"/>
    <cellStyle name="Cálculo 2 2 3 2 13" xfId="27518"/>
    <cellStyle name="Cálculo 2 2 3 2 14" xfId="29080"/>
    <cellStyle name="Cálculo 2 2 3 2 15" xfId="31101"/>
    <cellStyle name="Cálculo 2 2 3 2 16" xfId="33332"/>
    <cellStyle name="Cálculo 2 2 3 2 17" xfId="32572"/>
    <cellStyle name="Cálculo 2 2 3 2 18" xfId="36713"/>
    <cellStyle name="Cálculo 2 2 3 2 19" xfId="38592"/>
    <cellStyle name="Cálculo 2 2 3 2 2" xfId="7283"/>
    <cellStyle name="Cálculo 2 2 3 2 20" xfId="40512"/>
    <cellStyle name="Cálculo 2 2 3 2 21" xfId="42164"/>
    <cellStyle name="Cálculo 2 2 3 2 22" xfId="42894"/>
    <cellStyle name="Cálculo 2 2 3 2 3" xfId="8737"/>
    <cellStyle name="Cálculo 2 2 3 2 4" xfId="10647"/>
    <cellStyle name="Cálculo 2 2 3 2 5" xfId="12730"/>
    <cellStyle name="Cálculo 2 2 3 2 6" xfId="13585"/>
    <cellStyle name="Cálculo 2 2 3 2 7" xfId="15488"/>
    <cellStyle name="Cálculo 2 2 3 2 8" xfId="18266"/>
    <cellStyle name="Cálculo 2 2 3 2 9" xfId="20172"/>
    <cellStyle name="Cálculo 2 2 3 20" xfId="37984"/>
    <cellStyle name="Cálculo 2 2 3 21" xfId="40475"/>
    <cellStyle name="Cálculo 2 2 3 22" xfId="42130"/>
    <cellStyle name="Cálculo 2 2 3 23" xfId="42641"/>
    <cellStyle name="Cálculo 2 2 3 3" xfId="5228"/>
    <cellStyle name="Cálculo 2 2 3 3 2" xfId="45696"/>
    <cellStyle name="Cálculo 2 2 3 3 3" xfId="46085"/>
    <cellStyle name="Cálculo 2 2 3 3 4" xfId="46443"/>
    <cellStyle name="Cálculo 2 2 3 3 5" xfId="46795"/>
    <cellStyle name="Cálculo 2 2 3 3 6" xfId="47110"/>
    <cellStyle name="Cálculo 2 2 3 3 7" xfId="47429"/>
    <cellStyle name="Cálculo 2 2 3 3 8" xfId="47747"/>
    <cellStyle name="Cálculo 2 2 3 4" xfId="8129"/>
    <cellStyle name="Cálculo 2 2 3 4 2" xfId="45750"/>
    <cellStyle name="Cálculo 2 2 3 4 3" xfId="46139"/>
    <cellStyle name="Cálculo 2 2 3 4 4" xfId="46497"/>
    <cellStyle name="Cálculo 2 2 3 4 5" xfId="46849"/>
    <cellStyle name="Cálculo 2 2 3 4 6" xfId="47164"/>
    <cellStyle name="Cálculo 2 2 3 4 7" xfId="47483"/>
    <cellStyle name="Cálculo 2 2 3 4 8" xfId="47801"/>
    <cellStyle name="Cálculo 2 2 3 5" xfId="10039"/>
    <cellStyle name="Cálculo 2 2 3 5 2" xfId="45818"/>
    <cellStyle name="Cálculo 2 2 3 5 3" xfId="46207"/>
    <cellStyle name="Cálculo 2 2 3 5 4" xfId="46565"/>
    <cellStyle name="Cálculo 2 2 3 5 5" xfId="46917"/>
    <cellStyle name="Cálculo 2 2 3 5 6" xfId="47232"/>
    <cellStyle name="Cálculo 2 2 3 5 7" xfId="47551"/>
    <cellStyle name="Cálculo 2 2 3 5 8" xfId="47869"/>
    <cellStyle name="Cálculo 2 2 3 6" xfId="11188"/>
    <cellStyle name="Cálculo 2 2 3 7" xfId="13319"/>
    <cellStyle name="Cálculo 2 2 3 8" xfId="15223"/>
    <cellStyle name="Cálculo 2 2 3 9" xfId="17658"/>
    <cellStyle name="Cálculo 2 2 4" xfId="4050"/>
    <cellStyle name="Cálculo 2 2 4 10" xfId="19685"/>
    <cellStyle name="Cálculo 2 2 4 11" xfId="21597"/>
    <cellStyle name="Cálculo 2 2 4 12" xfId="16601"/>
    <cellStyle name="Cálculo 2 2 4 13" xfId="25399"/>
    <cellStyle name="Cálculo 2 2 4 14" xfId="2338"/>
    <cellStyle name="Cálculo 2 2 4 15" xfId="16589"/>
    <cellStyle name="Cálculo 2 2 4 16" xfId="2815"/>
    <cellStyle name="Cálculo 2 2 4 17" xfId="32478"/>
    <cellStyle name="Cálculo 2 2 4 18" xfId="33399"/>
    <cellStyle name="Cálculo 2 2 4 19" xfId="36226"/>
    <cellStyle name="Cálculo 2 2 4 2" xfId="5955"/>
    <cellStyle name="Cálculo 2 2 4 2 10" xfId="22205"/>
    <cellStyle name="Cálculo 2 2 4 2 11" xfId="22638"/>
    <cellStyle name="Cálculo 2 2 4 2 12" xfId="26007"/>
    <cellStyle name="Cálculo 2 2 4 2 13" xfId="26196"/>
    <cellStyle name="Cálculo 2 2 4 2 14" xfId="28450"/>
    <cellStyle name="Cálculo 2 2 4 2 15" xfId="29809"/>
    <cellStyle name="Cálculo 2 2 4 2 16" xfId="33310"/>
    <cellStyle name="Cálculo 2 2 4 2 17" xfId="34467"/>
    <cellStyle name="Cálculo 2 2 4 2 18" xfId="36834"/>
    <cellStyle name="Cálculo 2 2 4 2 19" xfId="38713"/>
    <cellStyle name="Cálculo 2 2 4 2 2" xfId="7404"/>
    <cellStyle name="Cálculo 2 2 4 2 20" xfId="40492"/>
    <cellStyle name="Cálculo 2 2 4 2 21" xfId="42145"/>
    <cellStyle name="Cálculo 2 2 4 2 22" xfId="42444"/>
    <cellStyle name="Cálculo 2 2 4 2 3" xfId="8858"/>
    <cellStyle name="Cálculo 2 2 4 2 4" xfId="10768"/>
    <cellStyle name="Cálculo 2 2 4 2 5" xfId="12235"/>
    <cellStyle name="Cálculo 2 2 4 2 6" xfId="13105"/>
    <cellStyle name="Cálculo 2 2 4 2 7" xfId="15010"/>
    <cellStyle name="Cálculo 2 2 4 2 8" xfId="18387"/>
    <cellStyle name="Cálculo 2 2 4 2 9" xfId="20293"/>
    <cellStyle name="Cálculo 2 2 4 20" xfId="38105"/>
    <cellStyle name="Cálculo 2 2 4 21" xfId="39696"/>
    <cellStyle name="Cálculo 2 2 4 22" xfId="41369"/>
    <cellStyle name="Cálculo 2 2 4 23" xfId="34666"/>
    <cellStyle name="Cálculo 2 2 4 3" xfId="6796"/>
    <cellStyle name="Cálculo 2 2 4 3 2" xfId="45711"/>
    <cellStyle name="Cálculo 2 2 4 3 3" xfId="46100"/>
    <cellStyle name="Cálculo 2 2 4 3 4" xfId="46458"/>
    <cellStyle name="Cálculo 2 2 4 3 5" xfId="46810"/>
    <cellStyle name="Cálculo 2 2 4 3 6" xfId="47125"/>
    <cellStyle name="Cálculo 2 2 4 3 7" xfId="47444"/>
    <cellStyle name="Cálculo 2 2 4 3 8" xfId="47762"/>
    <cellStyle name="Cálculo 2 2 4 4" xfId="8250"/>
    <cellStyle name="Cálculo 2 2 4 4 2" xfId="45596"/>
    <cellStyle name="Cálculo 2 2 4 4 3" xfId="45985"/>
    <cellStyle name="Cálculo 2 2 4 4 4" xfId="46343"/>
    <cellStyle name="Cálculo 2 2 4 4 5" xfId="46695"/>
    <cellStyle name="Cálculo 2 2 4 4 6" xfId="47010"/>
    <cellStyle name="Cálculo 2 2 4 4 7" xfId="47329"/>
    <cellStyle name="Cálculo 2 2 4 4 8" xfId="47647"/>
    <cellStyle name="Cálculo 2 2 4 5" xfId="10160"/>
    <cellStyle name="Cálculo 2 2 4 5 2" xfId="45619"/>
    <cellStyle name="Cálculo 2 2 4 5 3" xfId="46008"/>
    <cellStyle name="Cálculo 2 2 4 5 4" xfId="46366"/>
    <cellStyle name="Cálculo 2 2 4 5 5" xfId="46718"/>
    <cellStyle name="Cálculo 2 2 4 5 6" xfId="47033"/>
    <cellStyle name="Cálculo 2 2 4 5 7" xfId="47352"/>
    <cellStyle name="Cálculo 2 2 4 5 8" xfId="47670"/>
    <cellStyle name="Cálculo 2 2 4 6" xfId="12318"/>
    <cellStyle name="Cálculo 2 2 4 7" xfId="4182"/>
    <cellStyle name="Cálculo 2 2 4 8" xfId="1912"/>
    <cellStyle name="Cálculo 2 2 4 9" xfId="17779"/>
    <cellStyle name="Cálculo 2 2 5" xfId="4911"/>
    <cellStyle name="Cálculo 2 2 5 10" xfId="21159"/>
    <cellStyle name="Cálculo 2 2 5 11" xfId="23779"/>
    <cellStyle name="Cálculo 2 2 5 12" xfId="24961"/>
    <cellStyle name="Cálculo 2 2 5 13" xfId="27716"/>
    <cellStyle name="Cálculo 2 2 5 14" xfId="29579"/>
    <cellStyle name="Cálculo 2 2 5 15" xfId="31294"/>
    <cellStyle name="Cálculo 2 2 5 16" xfId="31889"/>
    <cellStyle name="Cálculo 2 2 5 17" xfId="34864"/>
    <cellStyle name="Cálculo 2 2 5 18" xfId="35788"/>
    <cellStyle name="Cálculo 2 2 5 19" xfId="37667"/>
    <cellStyle name="Cálculo 2 2 5 2" xfId="6361"/>
    <cellStyle name="Cálculo 2 2 5 2 2" xfId="45967"/>
    <cellStyle name="Cálculo 2 2 5 2 3" xfId="46325"/>
    <cellStyle name="Cálculo 2 2 5 2 4" xfId="46677"/>
    <cellStyle name="Cálculo 2 2 5 2 5" xfId="47629"/>
    <cellStyle name="Cálculo 2 2 5 20" xfId="39124"/>
    <cellStyle name="Cálculo 2 2 5 21" xfId="40805"/>
    <cellStyle name="Cálculo 2 2 5 22" xfId="43532"/>
    <cellStyle name="Cálculo 2 2 5 3" xfId="7812"/>
    <cellStyle name="Cálculo 2 2 5 3 2" xfId="45759"/>
    <cellStyle name="Cálculo 2 2 5 3 3" xfId="46148"/>
    <cellStyle name="Cálculo 2 2 5 3 4" xfId="46506"/>
    <cellStyle name="Cálculo 2 2 5 3 5" xfId="46858"/>
    <cellStyle name="Cálculo 2 2 5 3 6" xfId="47173"/>
    <cellStyle name="Cálculo 2 2 5 3 7" xfId="47492"/>
    <cellStyle name="Cálculo 2 2 5 3 8" xfId="47810"/>
    <cellStyle name="Cálculo 2 2 5 4" xfId="9722"/>
    <cellStyle name="Cálculo 2 2 5 4 2" xfId="45828"/>
    <cellStyle name="Cálculo 2 2 5 4 3" xfId="46217"/>
    <cellStyle name="Cálculo 2 2 5 4 4" xfId="46575"/>
    <cellStyle name="Cálculo 2 2 5 4 5" xfId="46927"/>
    <cellStyle name="Cálculo 2 2 5 4 6" xfId="47242"/>
    <cellStyle name="Cálculo 2 2 5 4 7" xfId="47561"/>
    <cellStyle name="Cálculo 2 2 5 4 8" xfId="47879"/>
    <cellStyle name="Cálculo 2 2 5 5" xfId="11674"/>
    <cellStyle name="Cálculo 2 2 5 5 2" xfId="45865"/>
    <cellStyle name="Cálculo 2 2 5 5 3" xfId="46254"/>
    <cellStyle name="Cálculo 2 2 5 5 4" xfId="46612"/>
    <cellStyle name="Cálculo 2 2 5 5 5" xfId="46964"/>
    <cellStyle name="Cálculo 2 2 5 5 6" xfId="47279"/>
    <cellStyle name="Cálculo 2 2 5 5 7" xfId="47598"/>
    <cellStyle name="Cálculo 2 2 5 5 8" xfId="47916"/>
    <cellStyle name="Cálculo 2 2 5 6" xfId="14249"/>
    <cellStyle name="Cálculo 2 2 5 7" xfId="16153"/>
    <cellStyle name="Cálculo 2 2 5 8" xfId="17341"/>
    <cellStyle name="Cálculo 2 2 5 9" xfId="19247"/>
    <cellStyle name="Cálculo 2 2 6" xfId="4233"/>
    <cellStyle name="Cálculo 2 2 6 10" xfId="20575"/>
    <cellStyle name="Cálculo 2 2 6 11" xfId="16297"/>
    <cellStyle name="Cálculo 2 2 6 12" xfId="24377"/>
    <cellStyle name="Cálculo 2 2 6 13" xfId="2961"/>
    <cellStyle name="Cálculo 2 2 6 14" xfId="28105"/>
    <cellStyle name="Cálculo 2 2 6 15" xfId="2064"/>
    <cellStyle name="Cálculo 2 2 6 16" xfId="4719"/>
    <cellStyle name="Cálculo 2 2 6 17" xfId="26136"/>
    <cellStyle name="Cálculo 2 2 6 18" xfId="35205"/>
    <cellStyle name="Cálculo 2 2 6 19" xfId="37083"/>
    <cellStyle name="Cálculo 2 2 6 2" xfId="5291"/>
    <cellStyle name="Cálculo 2 2 6 20" xfId="32074"/>
    <cellStyle name="Cálculo 2 2 6 21" xfId="33616"/>
    <cellStyle name="Cálculo 2 2 6 22" xfId="41605"/>
    <cellStyle name="Cálculo 2 2 6 3" xfId="6654"/>
    <cellStyle name="Cálculo 2 2 6 4" xfId="9137"/>
    <cellStyle name="Cálculo 2 2 6 5" xfId="12191"/>
    <cellStyle name="Cálculo 2 2 6 6" xfId="2828"/>
    <cellStyle name="Cálculo 2 2 6 7" xfId="3021"/>
    <cellStyle name="Cálculo 2 2 6 8" xfId="16756"/>
    <cellStyle name="Cálculo 2 2 6 9" xfId="18663"/>
    <cellStyle name="Cálculo 2 2 7" xfId="6114"/>
    <cellStyle name="Cálculo 2 2 7 2" xfId="45661"/>
    <cellStyle name="Cálculo 2 2 7 3" xfId="46050"/>
    <cellStyle name="Cálculo 2 2 7 4" xfId="46408"/>
    <cellStyle name="Cálculo 2 2 7 5" xfId="46760"/>
    <cellStyle name="Cálculo 2 2 7 6" xfId="47075"/>
    <cellStyle name="Cálculo 2 2 7 7" xfId="47394"/>
    <cellStyle name="Cálculo 2 2 7 8" xfId="47712"/>
    <cellStyle name="Cálculo 2 2 8" xfId="9169"/>
    <cellStyle name="Cálculo 2 2 9" xfId="2490"/>
    <cellStyle name="Cálculo 2 20" xfId="1756"/>
    <cellStyle name="Cálculo 2 21" xfId="28376"/>
    <cellStyle name="Cálculo 2 22" xfId="18513"/>
    <cellStyle name="Cálculo 2 23" xfId="29767"/>
    <cellStyle name="Cálculo 2 24" xfId="3162"/>
    <cellStyle name="Cálculo 2 25" xfId="29133"/>
    <cellStyle name="Cálculo 2 26" xfId="34787"/>
    <cellStyle name="Cálculo 2 3" xfId="3497"/>
    <cellStyle name="Cálculo 2 3 10" xfId="15530"/>
    <cellStyle name="Cálculo 2 3 11" xfId="16952"/>
    <cellStyle name="Cálculo 2 3 12" xfId="18859"/>
    <cellStyle name="Cálculo 2 3 13" xfId="20771"/>
    <cellStyle name="Cálculo 2 3 14" xfId="23156"/>
    <cellStyle name="Cálculo 2 3 15" xfId="24573"/>
    <cellStyle name="Cálculo 2 3 16" xfId="27547"/>
    <cellStyle name="Cálculo 2 3 17" xfId="28257"/>
    <cellStyle name="Cálculo 2 3 18" xfId="31128"/>
    <cellStyle name="Cálculo 2 3 19" xfId="32203"/>
    <cellStyle name="Cálculo 2 3 2" xfId="3677"/>
    <cellStyle name="Cálculo 2 3 2 10" xfId="17568"/>
    <cellStyle name="Cálculo 2 3 2 11" xfId="19474"/>
    <cellStyle name="Cálculo 2 3 2 12" xfId="21386"/>
    <cellStyle name="Cálculo 2 3 2 13" xfId="23401"/>
    <cellStyle name="Cálculo 2 3 2 14" xfId="25188"/>
    <cellStyle name="Cálculo 2 3 2 15" xfId="27701"/>
    <cellStyle name="Cálculo 2 3 2 16" xfId="22716"/>
    <cellStyle name="Cálculo 2 3 2 17" xfId="31275"/>
    <cellStyle name="Cálculo 2 3 2 18" xfId="33161"/>
    <cellStyle name="Cálculo 2 3 2 19" xfId="29608"/>
    <cellStyle name="Cálculo 2 3 2 2" xfId="5744"/>
    <cellStyle name="Cálculo 2 3 2 2 10" xfId="21994"/>
    <cellStyle name="Cálculo 2 3 2 2 11" xfId="23625"/>
    <cellStyle name="Cálculo 2 3 2 2 12" xfId="25796"/>
    <cellStyle name="Cálculo 2 3 2 2 13" xfId="27217"/>
    <cellStyle name="Cálculo 2 3 2 2 14" xfId="28712"/>
    <cellStyle name="Cálculo 2 3 2 2 15" xfId="30808"/>
    <cellStyle name="Cálculo 2 3 2 2 16" xfId="32397"/>
    <cellStyle name="Cálculo 2 3 2 2 17" xfId="34131"/>
    <cellStyle name="Cálculo 2 3 2 2 18" xfId="36623"/>
    <cellStyle name="Cálculo 2 3 2 2 19" xfId="38502"/>
    <cellStyle name="Cálculo 2 3 2 2 2" xfId="7193"/>
    <cellStyle name="Cálculo 2 3 2 2 20" xfId="39614"/>
    <cellStyle name="Cálculo 2 3 2 2 21" xfId="41288"/>
    <cellStyle name="Cálculo 2 3 2 2 22" xfId="43383"/>
    <cellStyle name="Cálculo 2 3 2 2 3" xfId="8647"/>
    <cellStyle name="Cálculo 2 3 2 2 4" xfId="10557"/>
    <cellStyle name="Cálculo 2 3 2 2 5" xfId="11379"/>
    <cellStyle name="Cálculo 2 3 2 2 6" xfId="14095"/>
    <cellStyle name="Cálculo 2 3 2 2 7" xfId="15998"/>
    <cellStyle name="Cálculo 2 3 2 2 8" xfId="18176"/>
    <cellStyle name="Cálculo 2 3 2 2 9" xfId="20082"/>
    <cellStyle name="Cálculo 2 3 2 20" xfId="36015"/>
    <cellStyle name="Cálculo 2 3 2 21" xfId="37894"/>
    <cellStyle name="Cálculo 2 3 2 22" xfId="40353"/>
    <cellStyle name="Cálculo 2 3 2 23" xfId="42009"/>
    <cellStyle name="Cálculo 2 3 2 24" xfId="43168"/>
    <cellStyle name="Cálculo 2 3 2 3" xfId="5138"/>
    <cellStyle name="Cálculo 2 3 2 3 2" xfId="45725"/>
    <cellStyle name="Cálculo 2 3 2 3 3" xfId="46114"/>
    <cellStyle name="Cálculo 2 3 2 3 4" xfId="46472"/>
    <cellStyle name="Cálculo 2 3 2 3 5" xfId="46824"/>
    <cellStyle name="Cálculo 2 3 2 3 6" xfId="47139"/>
    <cellStyle name="Cálculo 2 3 2 3 7" xfId="47458"/>
    <cellStyle name="Cálculo 2 3 2 3 8" xfId="47776"/>
    <cellStyle name="Cálculo 2 3 2 4" xfId="6588"/>
    <cellStyle name="Cálculo 2 3 2 4 2" xfId="45787"/>
    <cellStyle name="Cálculo 2 3 2 4 3" xfId="46176"/>
    <cellStyle name="Cálculo 2 3 2 4 4" xfId="46534"/>
    <cellStyle name="Cálculo 2 3 2 4 5" xfId="46886"/>
    <cellStyle name="Cálculo 2 3 2 4 6" xfId="47201"/>
    <cellStyle name="Cálculo 2 3 2 4 7" xfId="47520"/>
    <cellStyle name="Cálculo 2 3 2 4 8" xfId="47838"/>
    <cellStyle name="Cálculo 2 3 2 5" xfId="8039"/>
    <cellStyle name="Cálculo 2 3 2 5 2" xfId="45614"/>
    <cellStyle name="Cálculo 2 3 2 5 3" xfId="46003"/>
    <cellStyle name="Cálculo 2 3 2 5 4" xfId="46361"/>
    <cellStyle name="Cálculo 2 3 2 5 5" xfId="46713"/>
    <cellStyle name="Cálculo 2 3 2 5 6" xfId="47028"/>
    <cellStyle name="Cálculo 2 3 2 5 7" xfId="47347"/>
    <cellStyle name="Cálculo 2 3 2 5 8" xfId="47665"/>
    <cellStyle name="Cálculo 2 3 2 6" xfId="9949"/>
    <cellStyle name="Cálculo 2 3 2 7" xfId="10947"/>
    <cellStyle name="Cálculo 2 3 2 8" xfId="13873"/>
    <cellStyle name="Cálculo 2 3 2 9" xfId="15774"/>
    <cellStyle name="Cálculo 2 3 20" xfId="34624"/>
    <cellStyle name="Cálculo 2 3 21" xfId="35401"/>
    <cellStyle name="Cálculo 2 3 22" xfId="37279"/>
    <cellStyle name="Cálculo 2 3 23" xfId="39425"/>
    <cellStyle name="Cálculo 2 3 24" xfId="41101"/>
    <cellStyle name="Cálculo 2 3 25" xfId="42934"/>
    <cellStyle name="Cálculo 2 3 3" xfId="3799"/>
    <cellStyle name="Cálculo 2 3 3 10" xfId="19534"/>
    <cellStyle name="Cálculo 2 3 3 11" xfId="21446"/>
    <cellStyle name="Cálculo 2 3 3 12" xfId="22522"/>
    <cellStyle name="Cálculo 2 3 3 13" xfId="25248"/>
    <cellStyle name="Cálculo 2 3 3 14" xfId="26169"/>
    <cellStyle name="Cálculo 2 3 3 15" xfId="28769"/>
    <cellStyle name="Cálculo 2 3 3 16" xfId="29783"/>
    <cellStyle name="Cálculo 2 3 3 17" xfId="32512"/>
    <cellStyle name="Cálculo 2 3 3 18" xfId="34959"/>
    <cellStyle name="Cálculo 2 3 3 19" xfId="36075"/>
    <cellStyle name="Cálculo 2 3 3 2" xfId="5804"/>
    <cellStyle name="Cálculo 2 3 3 2 10" xfId="22054"/>
    <cellStyle name="Cálculo 2 3 3 2 11" xfId="23889"/>
    <cellStyle name="Cálculo 2 3 3 2 12" xfId="25856"/>
    <cellStyle name="Cálculo 2 3 3 2 13" xfId="27099"/>
    <cellStyle name="Cálculo 2 3 3 2 14" xfId="29272"/>
    <cellStyle name="Cálculo 2 3 3 2 15" xfId="30690"/>
    <cellStyle name="Cálculo 2 3 3 2 16" xfId="32089"/>
    <cellStyle name="Cálculo 2 3 3 2 17" xfId="33660"/>
    <cellStyle name="Cálculo 2 3 3 2 18" xfId="36683"/>
    <cellStyle name="Cálculo 2 3 3 2 19" xfId="38562"/>
    <cellStyle name="Cálculo 2 3 3 2 2" xfId="7253"/>
    <cellStyle name="Cálculo 2 3 3 2 20" xfId="39313"/>
    <cellStyle name="Cálculo 2 3 3 2 21" xfId="40989"/>
    <cellStyle name="Cálculo 2 3 3 2 22" xfId="43639"/>
    <cellStyle name="Cálculo 2 3 3 2 3" xfId="8707"/>
    <cellStyle name="Cálculo 2 3 3 2 4" xfId="10617"/>
    <cellStyle name="Cálculo 2 3 3 2 5" xfId="11490"/>
    <cellStyle name="Cálculo 2 3 3 2 6" xfId="14359"/>
    <cellStyle name="Cálculo 2 3 3 2 7" xfId="16264"/>
    <cellStyle name="Cálculo 2 3 3 2 8" xfId="18236"/>
    <cellStyle name="Cálculo 2 3 3 2 9" xfId="20142"/>
    <cellStyle name="Cálculo 2 3 3 20" xfId="37954"/>
    <cellStyle name="Cálculo 2 3 3 21" xfId="39727"/>
    <cellStyle name="Cálculo 2 3 3 22" xfId="41399"/>
    <cellStyle name="Cálculo 2 3 3 23" xfId="42332"/>
    <cellStyle name="Cálculo 2 3 3 3" xfId="5198"/>
    <cellStyle name="Cálculo 2 3 3 3 2" xfId="45740"/>
    <cellStyle name="Cálculo 2 3 3 3 3" xfId="46129"/>
    <cellStyle name="Cálculo 2 3 3 3 4" xfId="46487"/>
    <cellStyle name="Cálculo 2 3 3 3 5" xfId="46839"/>
    <cellStyle name="Cálculo 2 3 3 3 6" xfId="47154"/>
    <cellStyle name="Cálculo 2 3 3 3 7" xfId="47473"/>
    <cellStyle name="Cálculo 2 3 3 3 8" xfId="47791"/>
    <cellStyle name="Cálculo 2 3 3 4" xfId="8099"/>
    <cellStyle name="Cálculo 2 3 3 4 2" xfId="45802"/>
    <cellStyle name="Cálculo 2 3 3 4 3" xfId="46191"/>
    <cellStyle name="Cálculo 2 3 3 4 4" xfId="46549"/>
    <cellStyle name="Cálculo 2 3 3 4 5" xfId="46901"/>
    <cellStyle name="Cálculo 2 3 3 4 6" xfId="47216"/>
    <cellStyle name="Cálculo 2 3 3 4 7" xfId="47535"/>
    <cellStyle name="Cálculo 2 3 3 4 8" xfId="47853"/>
    <cellStyle name="Cálculo 2 3 3 5" xfId="10009"/>
    <cellStyle name="Cálculo 2 3 3 5 2" xfId="45855"/>
    <cellStyle name="Cálculo 2 3 3 5 3" xfId="46244"/>
    <cellStyle name="Cálculo 2 3 3 5 4" xfId="46602"/>
    <cellStyle name="Cálculo 2 3 3 5 5" xfId="46954"/>
    <cellStyle name="Cálculo 2 3 3 5 6" xfId="47269"/>
    <cellStyle name="Cálculo 2 3 3 5 7" xfId="47588"/>
    <cellStyle name="Cálculo 2 3 3 5 8" xfId="47906"/>
    <cellStyle name="Cálculo 2 3 3 6" xfId="10975"/>
    <cellStyle name="Cálculo 2 3 3 7" xfId="12990"/>
    <cellStyle name="Cálculo 2 3 3 8" xfId="14894"/>
    <cellStyle name="Cálculo 2 3 3 9" xfId="17628"/>
    <cellStyle name="Cálculo 2 3 4" xfId="4129"/>
    <cellStyle name="Cálculo 2 3 4 10" xfId="19764"/>
    <cellStyle name="Cálculo 2 3 4 11" xfId="21676"/>
    <cellStyle name="Cálculo 2 3 4 12" xfId="23162"/>
    <cellStyle name="Cálculo 2 3 4 13" xfId="25478"/>
    <cellStyle name="Cálculo 2 3 4 14" xfId="27315"/>
    <cellStyle name="Cálculo 2 3 4 15" xfId="28382"/>
    <cellStyle name="Cálculo 2 3 4 16" xfId="30905"/>
    <cellStyle name="Cálculo 2 3 4 17" xfId="32492"/>
    <cellStyle name="Cálculo 2 3 4 18" xfId="33382"/>
    <cellStyle name="Cálculo 2 3 4 19" xfId="36305"/>
    <cellStyle name="Cálculo 2 3 4 2" xfId="6034"/>
    <cellStyle name="Cálculo 2 3 4 2 10" xfId="22284"/>
    <cellStyle name="Cálculo 2 3 4 2 11" xfId="23545"/>
    <cellStyle name="Cálculo 2 3 4 2 12" xfId="26086"/>
    <cellStyle name="Cálculo 2 3 4 2 13" xfId="27644"/>
    <cellStyle name="Cálculo 2 3 4 2 14" xfId="29017"/>
    <cellStyle name="Cálculo 2 3 4 2 15" xfId="31221"/>
    <cellStyle name="Cálculo 2 3 4 2 16" xfId="32122"/>
    <cellStyle name="Cálculo 2 3 4 2 17" xfId="33448"/>
    <cellStyle name="Cálculo 2 3 4 2 18" xfId="36913"/>
    <cellStyle name="Cálculo 2 3 4 2 19" xfId="38792"/>
    <cellStyle name="Cálculo 2 3 4 2 2" xfId="7483"/>
    <cellStyle name="Cálculo 2 3 4 2 20" xfId="39346"/>
    <cellStyle name="Cálculo 2 3 4 2 21" xfId="41022"/>
    <cellStyle name="Cálculo 2 3 4 2 22" xfId="43309"/>
    <cellStyle name="Cálculo 2 3 4 2 3" xfId="8937"/>
    <cellStyle name="Cálculo 2 3 4 2 4" xfId="10847"/>
    <cellStyle name="Cálculo 2 3 4 2 5" xfId="12593"/>
    <cellStyle name="Cálculo 2 3 4 2 6" xfId="14017"/>
    <cellStyle name="Cálculo 2 3 4 2 7" xfId="15918"/>
    <cellStyle name="Cálculo 2 3 4 2 8" xfId="18466"/>
    <cellStyle name="Cálculo 2 3 4 2 9" xfId="20372"/>
    <cellStyle name="Cálculo 2 3 4 20" xfId="38184"/>
    <cellStyle name="Cálculo 2 3 4 21" xfId="39707"/>
    <cellStyle name="Cálculo 2 3 4 22" xfId="41379"/>
    <cellStyle name="Cálculo 2 3 4 23" xfId="42940"/>
    <cellStyle name="Cálculo 2 3 4 3" xfId="6875"/>
    <cellStyle name="Cálculo 2 3 4 3 2" xfId="45774"/>
    <cellStyle name="Cálculo 2 3 4 3 3" xfId="46163"/>
    <cellStyle name="Cálculo 2 3 4 3 4" xfId="46521"/>
    <cellStyle name="Cálculo 2 3 4 3 5" xfId="46873"/>
    <cellStyle name="Cálculo 2 3 4 3 6" xfId="47188"/>
    <cellStyle name="Cálculo 2 3 4 3 7" xfId="47507"/>
    <cellStyle name="Cálculo 2 3 4 3 8" xfId="47825"/>
    <cellStyle name="Cálculo 2 3 4 4" xfId="8329"/>
    <cellStyle name="Cálculo 2 3 4 4 2" xfId="45843"/>
    <cellStyle name="Cálculo 2 3 4 4 3" xfId="46232"/>
    <cellStyle name="Cálculo 2 3 4 4 4" xfId="46590"/>
    <cellStyle name="Cálculo 2 3 4 4 5" xfId="46942"/>
    <cellStyle name="Cálculo 2 3 4 4 6" xfId="47257"/>
    <cellStyle name="Cálculo 2 3 4 4 7" xfId="47576"/>
    <cellStyle name="Cálculo 2 3 4 4 8" xfId="47894"/>
    <cellStyle name="Cálculo 2 3 4 5" xfId="10239"/>
    <cellStyle name="Cálculo 2 3 4 5 2" xfId="45880"/>
    <cellStyle name="Cálculo 2 3 4 5 3" xfId="46269"/>
    <cellStyle name="Cálculo 2 3 4 5 4" xfId="46627"/>
    <cellStyle name="Cálculo 2 3 4 5 5" xfId="46979"/>
    <cellStyle name="Cálculo 2 3 4 5 6" xfId="47294"/>
    <cellStyle name="Cálculo 2 3 4 5 7" xfId="47613"/>
    <cellStyle name="Cálculo 2 3 4 5 8" xfId="47931"/>
    <cellStyle name="Cálculo 2 3 4 6" xfId="10969"/>
    <cellStyle name="Cálculo 2 3 4 7" xfId="13633"/>
    <cellStyle name="Cálculo 2 3 4 8" xfId="15536"/>
    <cellStyle name="Cálculo 2 3 4 9" xfId="17858"/>
    <cellStyle name="Cálculo 2 3 5" xfId="5550"/>
    <cellStyle name="Cálculo 2 3 5 10" xfId="21800"/>
    <cellStyle name="Cálculo 2 3 5 11" xfId="23714"/>
    <cellStyle name="Cálculo 2 3 5 12" xfId="25602"/>
    <cellStyle name="Cálculo 2 3 5 13" xfId="27141"/>
    <cellStyle name="Cálculo 2 3 5 14" xfId="27459"/>
    <cellStyle name="Cálculo 2 3 5 15" xfId="30732"/>
    <cellStyle name="Cálculo 2 3 5 16" xfId="33281"/>
    <cellStyle name="Cálculo 2 3 5 17" xfId="34360"/>
    <cellStyle name="Cálculo 2 3 5 18" xfId="36429"/>
    <cellStyle name="Cálculo 2 3 5 19" xfId="38308"/>
    <cellStyle name="Cálculo 2 3 5 2" xfId="6999"/>
    <cellStyle name="Cálculo 2 3 5 20" xfId="40466"/>
    <cellStyle name="Cálculo 2 3 5 21" xfId="42121"/>
    <cellStyle name="Cálculo 2 3 5 22" xfId="43471"/>
    <cellStyle name="Cálculo 2 3 5 3" xfId="8453"/>
    <cellStyle name="Cálculo 2 3 5 4" xfId="10363"/>
    <cellStyle name="Cálculo 2 3 5 5" xfId="11372"/>
    <cellStyle name="Cálculo 2 3 5 6" xfId="14184"/>
    <cellStyle name="Cálculo 2 3 5 7" xfId="16088"/>
    <cellStyle name="Cálculo 2 3 5 8" xfId="17982"/>
    <cellStyle name="Cálculo 2 3 5 9" xfId="19888"/>
    <cellStyle name="Cálculo 2 3 6" xfId="6716"/>
    <cellStyle name="Cálculo 2 3 6 2" xfId="45666"/>
    <cellStyle name="Cálculo 2 3 6 3" xfId="46055"/>
    <cellStyle name="Cálculo 2 3 6 4" xfId="46413"/>
    <cellStyle name="Cálculo 2 3 6 5" xfId="46765"/>
    <cellStyle name="Cálculo 2 3 6 6" xfId="47080"/>
    <cellStyle name="Cálculo 2 3 6 7" xfId="47399"/>
    <cellStyle name="Cálculo 2 3 6 8" xfId="47717"/>
    <cellStyle name="Cálculo 2 3 7" xfId="9333"/>
    <cellStyle name="Cálculo 2 3 7 2" xfId="45826"/>
    <cellStyle name="Cálculo 2 3 7 3" xfId="46215"/>
    <cellStyle name="Cálculo 2 3 7 4" xfId="46573"/>
    <cellStyle name="Cálculo 2 3 7 5" xfId="46925"/>
    <cellStyle name="Cálculo 2 3 7 6" xfId="47240"/>
    <cellStyle name="Cálculo 2 3 7 7" xfId="47559"/>
    <cellStyle name="Cálculo 2 3 7 8" xfId="47877"/>
    <cellStyle name="Cálculo 2 3 8" xfId="10954"/>
    <cellStyle name="Cálculo 2 3 9" xfId="13627"/>
    <cellStyle name="Cálculo 2 4" xfId="3006"/>
    <cellStyle name="Cálculo 2 4 10" xfId="17230"/>
    <cellStyle name="Cálculo 2 4 11" xfId="19136"/>
    <cellStyle name="Cálculo 2 4 12" xfId="21048"/>
    <cellStyle name="Cálculo 2 4 13" xfId="23692"/>
    <cellStyle name="Cálculo 2 4 14" xfId="24850"/>
    <cellStyle name="Cálculo 2 4 15" xfId="27037"/>
    <cellStyle name="Cálculo 2 4 16" xfId="28786"/>
    <cellStyle name="Cálculo 2 4 17" xfId="30630"/>
    <cellStyle name="Cálculo 2 4 18" xfId="32745"/>
    <cellStyle name="Cálculo 2 4 19" xfId="34673"/>
    <cellStyle name="Cálculo 2 4 2" xfId="4299"/>
    <cellStyle name="Cálculo 2 4 2 10" xfId="20457"/>
    <cellStyle name="Cálculo 2 4 2 11" xfId="23666"/>
    <cellStyle name="Cálculo 2 4 2 12" xfId="24259"/>
    <cellStyle name="Cálculo 2 4 2 13" xfId="26452"/>
    <cellStyle name="Cálculo 2 4 2 14" xfId="28617"/>
    <cellStyle name="Cálculo 2 4 2 15" xfId="30058"/>
    <cellStyle name="Cálculo 2 4 2 16" xfId="33133"/>
    <cellStyle name="Cálculo 2 4 2 17" xfId="34771"/>
    <cellStyle name="Cálculo 2 4 2 18" xfId="35087"/>
    <cellStyle name="Cálculo 2 4 2 19" xfId="36965"/>
    <cellStyle name="Cálculo 2 4 2 2" xfId="5384"/>
    <cellStyle name="Cálculo 2 4 2 2 2" xfId="45952"/>
    <cellStyle name="Cálculo 2 4 2 2 3" xfId="46310"/>
    <cellStyle name="Cálculo 2 4 2 2 4" xfId="46662"/>
    <cellStyle name="Cálculo 2 4 2 2 5" xfId="45488"/>
    <cellStyle name="Cálculo 2 4 2 20" xfId="40327"/>
    <cellStyle name="Cálculo 2 4 2 21" xfId="41983"/>
    <cellStyle name="Cálculo 2 4 2 22" xfId="43424"/>
    <cellStyle name="Cálculo 2 4 2 3" xfId="6661"/>
    <cellStyle name="Cálculo 2 4 2 3 2" xfId="45726"/>
    <cellStyle name="Cálculo 2 4 2 3 3" xfId="46115"/>
    <cellStyle name="Cálculo 2 4 2 3 4" xfId="46473"/>
    <cellStyle name="Cálculo 2 4 2 3 5" xfId="46825"/>
    <cellStyle name="Cálculo 2 4 2 3 6" xfId="47140"/>
    <cellStyle name="Cálculo 2 4 2 3 7" xfId="47459"/>
    <cellStyle name="Cálculo 2 4 2 3 8" xfId="47777"/>
    <cellStyle name="Cálculo 2 4 2 4" xfId="9019"/>
    <cellStyle name="Cálculo 2 4 2 4 2" xfId="45788"/>
    <cellStyle name="Cálculo 2 4 2 4 3" xfId="46177"/>
    <cellStyle name="Cálculo 2 4 2 4 4" xfId="46535"/>
    <cellStyle name="Cálculo 2 4 2 4 5" xfId="46887"/>
    <cellStyle name="Cálculo 2 4 2 4 6" xfId="47202"/>
    <cellStyle name="Cálculo 2 4 2 4 7" xfId="47521"/>
    <cellStyle name="Cálculo 2 4 2 4 8" xfId="47839"/>
    <cellStyle name="Cálculo 2 4 2 5" xfId="11573"/>
    <cellStyle name="Cálculo 2 4 2 5 2" xfId="45637"/>
    <cellStyle name="Cálculo 2 4 2 5 3" xfId="46026"/>
    <cellStyle name="Cálculo 2 4 2 5 4" xfId="46384"/>
    <cellStyle name="Cálculo 2 4 2 5 5" xfId="46736"/>
    <cellStyle name="Cálculo 2 4 2 5 6" xfId="47051"/>
    <cellStyle name="Cálculo 2 4 2 5 7" xfId="47370"/>
    <cellStyle name="Cálculo 2 4 2 5 8" xfId="47688"/>
    <cellStyle name="Cálculo 2 4 2 6" xfId="14137"/>
    <cellStyle name="Cálculo 2 4 2 7" xfId="16040"/>
    <cellStyle name="Cálculo 2 4 2 8" xfId="16638"/>
    <cellStyle name="Cálculo 2 4 2 9" xfId="18545"/>
    <cellStyle name="Cálculo 2 4 20" xfId="35677"/>
    <cellStyle name="Cálculo 2 4 21" xfId="37556"/>
    <cellStyle name="Cálculo 2 4 22" xfId="39954"/>
    <cellStyle name="Cálculo 2 4 23" xfId="41618"/>
    <cellStyle name="Cálculo 2 4 24" xfId="43449"/>
    <cellStyle name="Cálculo 2 4 3" xfId="4800"/>
    <cellStyle name="Cálculo 2 4 3 2" xfId="45358"/>
    <cellStyle name="Cálculo 2 4 3 2 2" xfId="45960"/>
    <cellStyle name="Cálculo 2 4 3 2 3" xfId="46318"/>
    <cellStyle name="Cálculo 2 4 3 2 4" xfId="46670"/>
    <cellStyle name="Cálculo 2 4 3 2 5" xfId="47622"/>
    <cellStyle name="Cálculo 2 4 3 3" xfId="45416"/>
    <cellStyle name="Cálculo 2 4 3 3 2" xfId="45741"/>
    <cellStyle name="Cálculo 2 4 3 3 3" xfId="46130"/>
    <cellStyle name="Cálculo 2 4 3 3 4" xfId="46488"/>
    <cellStyle name="Cálculo 2 4 3 3 5" xfId="46840"/>
    <cellStyle name="Cálculo 2 4 3 3 6" xfId="47155"/>
    <cellStyle name="Cálculo 2 4 3 3 7" xfId="47474"/>
    <cellStyle name="Cálculo 2 4 3 3 8" xfId="47792"/>
    <cellStyle name="Cálculo 2 4 3 4" xfId="45443"/>
    <cellStyle name="Cálculo 2 4 3 4 2" xfId="45803"/>
    <cellStyle name="Cálculo 2 4 3 4 3" xfId="46192"/>
    <cellStyle name="Cálculo 2 4 3 4 4" xfId="46550"/>
    <cellStyle name="Cálculo 2 4 3 4 5" xfId="46902"/>
    <cellStyle name="Cálculo 2 4 3 4 6" xfId="47217"/>
    <cellStyle name="Cálculo 2 4 3 4 7" xfId="47536"/>
    <cellStyle name="Cálculo 2 4 3 4 8" xfId="47854"/>
    <cellStyle name="Cálculo 2 4 3 5" xfId="45467"/>
    <cellStyle name="Cálculo 2 4 3 5 2" xfId="45856"/>
    <cellStyle name="Cálculo 2 4 3 5 3" xfId="46245"/>
    <cellStyle name="Cálculo 2 4 3 5 4" xfId="46603"/>
    <cellStyle name="Cálculo 2 4 3 5 5" xfId="46955"/>
    <cellStyle name="Cálculo 2 4 3 5 6" xfId="47270"/>
    <cellStyle name="Cálculo 2 4 3 5 7" xfId="47589"/>
    <cellStyle name="Cálculo 2 4 3 5 8" xfId="47907"/>
    <cellStyle name="Cálculo 2 4 3 6" xfId="45907"/>
    <cellStyle name="Cálculo 2 4 3 7" xfId="45550"/>
    <cellStyle name="Cálculo 2 4 3 8" xfId="45516"/>
    <cellStyle name="Cálculo 2 4 3 9" xfId="45327"/>
    <cellStyle name="Cálculo 2 4 4" xfId="6250"/>
    <cellStyle name="Cálculo 2 4 4 2" xfId="45371"/>
    <cellStyle name="Cálculo 2 4 4 2 2" xfId="45978"/>
    <cellStyle name="Cálculo 2 4 4 2 3" xfId="46336"/>
    <cellStyle name="Cálculo 2 4 4 2 4" xfId="46688"/>
    <cellStyle name="Cálculo 2 4 4 2 5" xfId="47640"/>
    <cellStyle name="Cálculo 2 4 4 3" xfId="45430"/>
    <cellStyle name="Cálculo 2 4 4 3 2" xfId="45775"/>
    <cellStyle name="Cálculo 2 4 4 3 3" xfId="46164"/>
    <cellStyle name="Cálculo 2 4 4 3 4" xfId="46522"/>
    <cellStyle name="Cálculo 2 4 4 3 5" xfId="46874"/>
    <cellStyle name="Cálculo 2 4 4 3 6" xfId="47189"/>
    <cellStyle name="Cálculo 2 4 4 3 7" xfId="47508"/>
    <cellStyle name="Cálculo 2 4 4 3 8" xfId="47826"/>
    <cellStyle name="Cálculo 2 4 4 4" xfId="45460"/>
    <cellStyle name="Cálculo 2 4 4 4 2" xfId="45844"/>
    <cellStyle name="Cálculo 2 4 4 4 3" xfId="46233"/>
    <cellStyle name="Cálculo 2 4 4 4 4" xfId="46591"/>
    <cellStyle name="Cálculo 2 4 4 4 5" xfId="46943"/>
    <cellStyle name="Cálculo 2 4 4 4 6" xfId="47258"/>
    <cellStyle name="Cálculo 2 4 4 4 7" xfId="47577"/>
    <cellStyle name="Cálculo 2 4 4 4 8" xfId="47895"/>
    <cellStyle name="Cálculo 2 4 4 5" xfId="45480"/>
    <cellStyle name="Cálculo 2 4 4 5 2" xfId="45881"/>
    <cellStyle name="Cálculo 2 4 4 5 3" xfId="46270"/>
    <cellStyle name="Cálculo 2 4 4 5 4" xfId="46628"/>
    <cellStyle name="Cálculo 2 4 4 5 5" xfId="46980"/>
    <cellStyle name="Cálculo 2 4 4 5 6" xfId="47295"/>
    <cellStyle name="Cálculo 2 4 4 5 7" xfId="47614"/>
    <cellStyle name="Cálculo 2 4 4 5 8" xfId="47932"/>
    <cellStyle name="Cálculo 2 4 4 6" xfId="45920"/>
    <cellStyle name="Cálculo 2 4 4 7" xfId="45525"/>
    <cellStyle name="Cálculo 2 4 4 8" xfId="45524"/>
    <cellStyle name="Cálculo 2 4 4 9" xfId="47951"/>
    <cellStyle name="Cálculo 2 4 5" xfId="7701"/>
    <cellStyle name="Cálculo 2 4 5 2" xfId="45574"/>
    <cellStyle name="Cálculo 2 4 5 3" xfId="45923"/>
    <cellStyle name="Cálculo 2 4 5 4" xfId="46281"/>
    <cellStyle name="Cálculo 2 4 5 5" xfId="46633"/>
    <cellStyle name="Cálculo 2 4 5 6" xfId="46984"/>
    <cellStyle name="Cálculo 2 4 5 7" xfId="47301"/>
    <cellStyle name="Cálculo 2 4 5 8" xfId="45489"/>
    <cellStyle name="Cálculo 2 4 6" xfId="9611"/>
    <cellStyle name="Cálculo 2 4 6 2" xfId="45667"/>
    <cellStyle name="Cálculo 2 4 6 3" xfId="46056"/>
    <cellStyle name="Cálculo 2 4 6 4" xfId="46414"/>
    <cellStyle name="Cálculo 2 4 6 5" xfId="46766"/>
    <cellStyle name="Cálculo 2 4 6 6" xfId="47081"/>
    <cellStyle name="Cálculo 2 4 6 7" xfId="47400"/>
    <cellStyle name="Cálculo 2 4 6 8" xfId="47718"/>
    <cellStyle name="Cálculo 2 4 7" xfId="11721"/>
    <cellStyle name="Cálculo 2 4 7 2" xfId="45647"/>
    <cellStyle name="Cálculo 2 4 7 3" xfId="46036"/>
    <cellStyle name="Cálculo 2 4 7 4" xfId="46394"/>
    <cellStyle name="Cálculo 2 4 7 5" xfId="46746"/>
    <cellStyle name="Cálculo 2 4 7 6" xfId="47061"/>
    <cellStyle name="Cálculo 2 4 7 7" xfId="47380"/>
    <cellStyle name="Cálculo 2 4 7 8" xfId="47698"/>
    <cellStyle name="Cálculo 2 4 8" xfId="14162"/>
    <cellStyle name="Cálculo 2 4 9" xfId="16066"/>
    <cellStyle name="Cálculo 2 5" xfId="1948"/>
    <cellStyle name="Cálculo 2 5 10" xfId="18991"/>
    <cellStyle name="Cálculo 2 5 11" xfId="20903"/>
    <cellStyle name="Cálculo 2 5 12" xfId="22395"/>
    <cellStyle name="Cálculo 2 5 13" xfId="24705"/>
    <cellStyle name="Cálculo 2 5 14" xfId="26457"/>
    <cellStyle name="Cálculo 2 5 15" xfId="29488"/>
    <cellStyle name="Cálculo 2 5 16" xfId="30063"/>
    <cellStyle name="Cálculo 2 5 17" xfId="32930"/>
    <cellStyle name="Cálculo 2 5 18" xfId="34486"/>
    <cellStyle name="Cálculo 2 5 19" xfId="35532"/>
    <cellStyle name="Cálculo 2 5 2" xfId="4510"/>
    <cellStyle name="Cálculo 2 5 2 10" xfId="20755"/>
    <cellStyle name="Cálculo 2 5 2 11" xfId="23778"/>
    <cellStyle name="Cálculo 2 5 2 12" xfId="24557"/>
    <cellStyle name="Cálculo 2 5 2 13" xfId="27353"/>
    <cellStyle name="Cálculo 2 5 2 14" xfId="28915"/>
    <cellStyle name="Cálculo 2 5 2 15" xfId="30942"/>
    <cellStyle name="Cálculo 2 5 2 16" xfId="32075"/>
    <cellStyle name="Cálculo 2 5 2 17" xfId="34203"/>
    <cellStyle name="Cálculo 2 5 2 18" xfId="35385"/>
    <cellStyle name="Cálculo 2 5 2 19" xfId="37263"/>
    <cellStyle name="Cálculo 2 5 2 2" xfId="5317"/>
    <cellStyle name="Cálculo 2 5 2 2 2" xfId="45584"/>
    <cellStyle name="Cálculo 2 5 2 2 3" xfId="45938"/>
    <cellStyle name="Cálculo 2 5 2 2 4" xfId="46296"/>
    <cellStyle name="Cálculo 2 5 2 2 5" xfId="46648"/>
    <cellStyle name="Cálculo 2 5 2 2 6" xfId="46994"/>
    <cellStyle name="Cálculo 2 5 2 2 7" xfId="47313"/>
    <cellStyle name="Cálculo 2 5 2 2 8" xfId="45519"/>
    <cellStyle name="Cálculo 2 5 2 20" xfId="39299"/>
    <cellStyle name="Cálculo 2 5 2 21" xfId="40975"/>
    <cellStyle name="Cálculo 2 5 2 22" xfId="43531"/>
    <cellStyle name="Cálculo 2 5 2 3" xfId="6102"/>
    <cellStyle name="Cálculo 2 5 2 3 2" xfId="45702"/>
    <cellStyle name="Cálculo 2 5 2 3 3" xfId="46091"/>
    <cellStyle name="Cálculo 2 5 2 3 4" xfId="46449"/>
    <cellStyle name="Cálculo 2 5 2 3 5" xfId="46801"/>
    <cellStyle name="Cálculo 2 5 2 3 6" xfId="47116"/>
    <cellStyle name="Cálculo 2 5 2 3 7" xfId="47435"/>
    <cellStyle name="Cálculo 2 5 2 3 8" xfId="47753"/>
    <cellStyle name="Cálculo 2 5 2 4" xfId="9317"/>
    <cellStyle name="Cálculo 2 5 2 4 2" xfId="45605"/>
    <cellStyle name="Cálculo 2 5 2 4 3" xfId="45994"/>
    <cellStyle name="Cálculo 2 5 2 4 4" xfId="46352"/>
    <cellStyle name="Cálculo 2 5 2 4 5" xfId="46704"/>
    <cellStyle name="Cálculo 2 5 2 4 6" xfId="47019"/>
    <cellStyle name="Cálculo 2 5 2 4 7" xfId="47338"/>
    <cellStyle name="Cálculo 2 5 2 4 8" xfId="47656"/>
    <cellStyle name="Cálculo 2 5 2 5" xfId="11649"/>
    <cellStyle name="Cálculo 2 5 2 6" xfId="14248"/>
    <cellStyle name="Cálculo 2 5 2 7" xfId="16152"/>
    <cellStyle name="Cálculo 2 5 2 8" xfId="16936"/>
    <cellStyle name="Cálculo 2 5 2 9" xfId="18843"/>
    <cellStyle name="Cálculo 2 5 20" xfId="37411"/>
    <cellStyle name="Cálculo 2 5 21" xfId="40134"/>
    <cellStyle name="Cálculo 2 5 22" xfId="41793"/>
    <cellStyle name="Cálculo 2 5 23" xfId="42206"/>
    <cellStyle name="Cálculo 2 5 3" xfId="4659"/>
    <cellStyle name="Cálculo 2 5 3 2" xfId="45347"/>
    <cellStyle name="Cálculo 2 5 3 2 2" xfId="45946"/>
    <cellStyle name="Cálculo 2 5 3 2 3" xfId="46304"/>
    <cellStyle name="Cálculo 2 5 3 2 4" xfId="46656"/>
    <cellStyle name="Cálculo 2 5 3 2 5" xfId="45514"/>
    <cellStyle name="Cálculo 2 5 3 3" xfId="45405"/>
    <cellStyle name="Cálculo 2 5 3 3 2" xfId="45717"/>
    <cellStyle name="Cálculo 2 5 3 3 3" xfId="46106"/>
    <cellStyle name="Cálculo 2 5 3 3 4" xfId="46464"/>
    <cellStyle name="Cálculo 2 5 3 3 5" xfId="46816"/>
    <cellStyle name="Cálculo 2 5 3 3 6" xfId="47131"/>
    <cellStyle name="Cálculo 2 5 3 3 7" xfId="47450"/>
    <cellStyle name="Cálculo 2 5 3 3 8" xfId="47768"/>
    <cellStyle name="Cálculo 2 5 3 4" xfId="45432"/>
    <cellStyle name="Cálculo 2 5 3 4 2" xfId="45779"/>
    <cellStyle name="Cálculo 2 5 3 4 3" xfId="46168"/>
    <cellStyle name="Cálculo 2 5 3 4 4" xfId="46526"/>
    <cellStyle name="Cálculo 2 5 3 4 5" xfId="46878"/>
    <cellStyle name="Cálculo 2 5 3 4 6" xfId="47193"/>
    <cellStyle name="Cálculo 2 5 3 4 7" xfId="47512"/>
    <cellStyle name="Cálculo 2 5 3 4 8" xfId="47830"/>
    <cellStyle name="Cálculo 2 5 3 5" xfId="45389"/>
    <cellStyle name="Cálculo 2 5 3 5 2" xfId="45641"/>
    <cellStyle name="Cálculo 2 5 3 5 3" xfId="46030"/>
    <cellStyle name="Cálculo 2 5 3 5 4" xfId="46388"/>
    <cellStyle name="Cálculo 2 5 3 5 5" xfId="46740"/>
    <cellStyle name="Cálculo 2 5 3 5 6" xfId="47055"/>
    <cellStyle name="Cálculo 2 5 3 5 7" xfId="47374"/>
    <cellStyle name="Cálculo 2 5 3 5 8" xfId="47692"/>
    <cellStyle name="Cálculo 2 5 3 6" xfId="45896"/>
    <cellStyle name="Cálculo 2 5 3 7" xfId="45483"/>
    <cellStyle name="Cálculo 2 5 3 8" xfId="47300"/>
    <cellStyle name="Cálculo 2 5 3 9" xfId="45316"/>
    <cellStyle name="Cálculo 2 5 4" xfId="7556"/>
    <cellStyle name="Cálculo 2 5 4 2" xfId="45352"/>
    <cellStyle name="Cálculo 2 5 4 2 2" xfId="45954"/>
    <cellStyle name="Cálculo 2 5 4 2 3" xfId="46312"/>
    <cellStyle name="Cálculo 2 5 4 2 4" xfId="46664"/>
    <cellStyle name="Cálculo 2 5 4 2 5" xfId="45527"/>
    <cellStyle name="Cálculo 2 5 4 3" xfId="45410"/>
    <cellStyle name="Cálculo 2 5 4 3 2" xfId="45732"/>
    <cellStyle name="Cálculo 2 5 4 3 3" xfId="46121"/>
    <cellStyle name="Cálculo 2 5 4 3 4" xfId="46479"/>
    <cellStyle name="Cálculo 2 5 4 3 5" xfId="46831"/>
    <cellStyle name="Cálculo 2 5 4 3 6" xfId="47146"/>
    <cellStyle name="Cálculo 2 5 4 3 7" xfId="47465"/>
    <cellStyle name="Cálculo 2 5 4 3 8" xfId="47783"/>
    <cellStyle name="Cálculo 2 5 4 4" xfId="45437"/>
    <cellStyle name="Cálculo 2 5 4 4 2" xfId="45794"/>
    <cellStyle name="Cálculo 2 5 4 4 3" xfId="46183"/>
    <cellStyle name="Cálculo 2 5 4 4 4" xfId="46541"/>
    <cellStyle name="Cálculo 2 5 4 4 5" xfId="46893"/>
    <cellStyle name="Cálculo 2 5 4 4 6" xfId="47208"/>
    <cellStyle name="Cálculo 2 5 4 4 7" xfId="47527"/>
    <cellStyle name="Cálculo 2 5 4 4 8" xfId="47845"/>
    <cellStyle name="Cálculo 2 5 4 5" xfId="45388"/>
    <cellStyle name="Cálculo 2 5 4 5 2" xfId="45640"/>
    <cellStyle name="Cálculo 2 5 4 5 3" xfId="46029"/>
    <cellStyle name="Cálculo 2 5 4 5 4" xfId="46387"/>
    <cellStyle name="Cálculo 2 5 4 5 5" xfId="46739"/>
    <cellStyle name="Cálculo 2 5 4 5 6" xfId="47054"/>
    <cellStyle name="Cálculo 2 5 4 5 7" xfId="47373"/>
    <cellStyle name="Cálculo 2 5 4 5 8" xfId="47691"/>
    <cellStyle name="Cálculo 2 5 4 6" xfId="45901"/>
    <cellStyle name="Cálculo 2 5 4 7" xfId="45537"/>
    <cellStyle name="Cálculo 2 5 4 8" xfId="45485"/>
    <cellStyle name="Cálculo 2 5 4 9" xfId="45321"/>
    <cellStyle name="Cálculo 2 5 5" xfId="9466"/>
    <cellStyle name="Cálculo 2 5 5 2" xfId="45360"/>
    <cellStyle name="Cálculo 2 5 5 2 2" xfId="45962"/>
    <cellStyle name="Cálculo 2 5 5 2 3" xfId="46320"/>
    <cellStyle name="Cálculo 2 5 5 2 4" xfId="46672"/>
    <cellStyle name="Cálculo 2 5 5 2 5" xfId="47624"/>
    <cellStyle name="Cálculo 2 5 5 3" xfId="45418"/>
    <cellStyle name="Cálculo 2 5 5 3 2" xfId="45745"/>
    <cellStyle name="Cálculo 2 5 5 3 3" xfId="46134"/>
    <cellStyle name="Cálculo 2 5 5 3 4" xfId="46492"/>
    <cellStyle name="Cálculo 2 5 5 3 5" xfId="46844"/>
    <cellStyle name="Cálculo 2 5 5 3 6" xfId="47159"/>
    <cellStyle name="Cálculo 2 5 5 3 7" xfId="47478"/>
    <cellStyle name="Cálculo 2 5 5 3 8" xfId="47796"/>
    <cellStyle name="Cálculo 2 5 5 4" xfId="45445"/>
    <cellStyle name="Cálculo 2 5 5 4 2" xfId="45807"/>
    <cellStyle name="Cálculo 2 5 5 4 3" xfId="46196"/>
    <cellStyle name="Cálculo 2 5 5 4 4" xfId="46554"/>
    <cellStyle name="Cálculo 2 5 5 4 5" xfId="46906"/>
    <cellStyle name="Cálculo 2 5 5 4 6" xfId="47221"/>
    <cellStyle name="Cálculo 2 5 5 4 7" xfId="47540"/>
    <cellStyle name="Cálculo 2 5 5 4 8" xfId="47858"/>
    <cellStyle name="Cálculo 2 5 5 5" xfId="45469"/>
    <cellStyle name="Cálculo 2 5 5 5 2" xfId="45860"/>
    <cellStyle name="Cálculo 2 5 5 5 3" xfId="46249"/>
    <cellStyle name="Cálculo 2 5 5 5 4" xfId="46607"/>
    <cellStyle name="Cálculo 2 5 5 5 5" xfId="46959"/>
    <cellStyle name="Cálculo 2 5 5 5 6" xfId="47274"/>
    <cellStyle name="Cálculo 2 5 5 5 7" xfId="47593"/>
    <cellStyle name="Cálculo 2 5 5 5 8" xfId="47911"/>
    <cellStyle name="Cálculo 2 5 5 6" xfId="45909"/>
    <cellStyle name="Cálculo 2 5 5 7" xfId="45562"/>
    <cellStyle name="Cálculo 2 5 5 8" xfId="45561"/>
    <cellStyle name="Cálculo 2 5 5 9" xfId="47940"/>
    <cellStyle name="Cálculo 2 5 6" xfId="5398"/>
    <cellStyle name="Cálculo 2 5 6 10" xfId="47945"/>
    <cellStyle name="Cálculo 2 5 6 2" xfId="45365"/>
    <cellStyle name="Cálculo 2 5 6 2 2" xfId="45972"/>
    <cellStyle name="Cálculo 2 5 6 2 3" xfId="46330"/>
    <cellStyle name="Cálculo 2 5 6 2 4" xfId="46682"/>
    <cellStyle name="Cálculo 2 5 6 2 5" xfId="47634"/>
    <cellStyle name="Cálculo 2 5 6 3" xfId="45424"/>
    <cellStyle name="Cálculo 2 5 6 3 2" xfId="45766"/>
    <cellStyle name="Cálculo 2 5 6 3 3" xfId="46155"/>
    <cellStyle name="Cálculo 2 5 6 3 4" xfId="46513"/>
    <cellStyle name="Cálculo 2 5 6 3 5" xfId="46865"/>
    <cellStyle name="Cálculo 2 5 6 3 6" xfId="47180"/>
    <cellStyle name="Cálculo 2 5 6 3 7" xfId="47499"/>
    <cellStyle name="Cálculo 2 5 6 3 8" xfId="47817"/>
    <cellStyle name="Cálculo 2 5 6 4" xfId="45454"/>
    <cellStyle name="Cálculo 2 5 6 4 2" xfId="45835"/>
    <cellStyle name="Cálculo 2 5 6 4 3" xfId="46224"/>
    <cellStyle name="Cálculo 2 5 6 4 4" xfId="46582"/>
    <cellStyle name="Cálculo 2 5 6 4 5" xfId="46934"/>
    <cellStyle name="Cálculo 2 5 6 4 6" xfId="47249"/>
    <cellStyle name="Cálculo 2 5 6 4 7" xfId="47568"/>
    <cellStyle name="Cálculo 2 5 6 4 8" xfId="47886"/>
    <cellStyle name="Cálculo 2 5 6 5" xfId="45474"/>
    <cellStyle name="Cálculo 2 5 6 5 2" xfId="45872"/>
    <cellStyle name="Cálculo 2 5 6 5 3" xfId="46261"/>
    <cellStyle name="Cálculo 2 5 6 5 4" xfId="46619"/>
    <cellStyle name="Cálculo 2 5 6 5 5" xfId="46971"/>
    <cellStyle name="Cálculo 2 5 6 5 6" xfId="47286"/>
    <cellStyle name="Cálculo 2 5 6 5 7" xfId="47605"/>
    <cellStyle name="Cálculo 2 5 6 5 8" xfId="47923"/>
    <cellStyle name="Cálculo 2 5 6 6" xfId="45914"/>
    <cellStyle name="Cálculo 2 5 6 7" xfId="45523"/>
    <cellStyle name="Cálculo 2 5 6 8" xfId="45511"/>
    <cellStyle name="Cálculo 2 5 6 9" xfId="45330"/>
    <cellStyle name="Cálculo 2 5 7" xfId="12862"/>
    <cellStyle name="Cálculo 2 5 7 2" xfId="45575"/>
    <cellStyle name="Cálculo 2 5 7 3" xfId="45924"/>
    <cellStyle name="Cálculo 2 5 7 4" xfId="46282"/>
    <cellStyle name="Cálculo 2 5 7 5" xfId="46634"/>
    <cellStyle name="Cálculo 2 5 7 6" xfId="46985"/>
    <cellStyle name="Cálculo 2 5 7 7" xfId="47302"/>
    <cellStyle name="Cálculo 2 5 7 8" xfId="45539"/>
    <cellStyle name="Cálculo 2 5 8" xfId="14767"/>
    <cellStyle name="Cálculo 2 5 8 2" xfId="45668"/>
    <cellStyle name="Cálculo 2 5 8 3" xfId="46057"/>
    <cellStyle name="Cálculo 2 5 8 4" xfId="46415"/>
    <cellStyle name="Cálculo 2 5 8 5" xfId="46767"/>
    <cellStyle name="Cálculo 2 5 8 6" xfId="47082"/>
    <cellStyle name="Cálculo 2 5 8 7" xfId="47401"/>
    <cellStyle name="Cálculo 2 5 8 8" xfId="47719"/>
    <cellStyle name="Cálculo 2 5 9" xfId="17085"/>
    <cellStyle name="Cálculo 2 6" xfId="2406"/>
    <cellStyle name="Cálculo 2 6 10" xfId="19063"/>
    <cellStyle name="Cálculo 2 6 11" xfId="20975"/>
    <cellStyle name="Cálculo 2 6 12" xfId="23885"/>
    <cellStyle name="Cálculo 2 6 13" xfId="24777"/>
    <cellStyle name="Cálculo 2 6 14" xfId="27380"/>
    <cellStyle name="Cálculo 2 6 15" xfId="29382"/>
    <cellStyle name="Cálculo 2 6 16" xfId="30966"/>
    <cellStyle name="Cálculo 2 6 17" xfId="31747"/>
    <cellStyle name="Cálculo 2 6 18" xfId="33775"/>
    <cellStyle name="Cálculo 2 6 19" xfId="35604"/>
    <cellStyle name="Cálculo 2 6 2" xfId="5579"/>
    <cellStyle name="Cálculo 2 6 2 10" xfId="21829"/>
    <cellStyle name="Cálculo 2 6 2 11" xfId="23644"/>
    <cellStyle name="Cálculo 2 6 2 12" xfId="25631"/>
    <cellStyle name="Cálculo 2 6 2 13" xfId="26207"/>
    <cellStyle name="Cálculo 2 6 2 14" xfId="29725"/>
    <cellStyle name="Cálculo 2 6 2 15" xfId="29819"/>
    <cellStyle name="Cálculo 2 6 2 16" xfId="33123"/>
    <cellStyle name="Cálculo 2 6 2 17" xfId="34066"/>
    <cellStyle name="Cálculo 2 6 2 18" xfId="36458"/>
    <cellStyle name="Cálculo 2 6 2 19" xfId="38337"/>
    <cellStyle name="Cálculo 2 6 2 2" xfId="7028"/>
    <cellStyle name="Cálculo 2 6 2 20" xfId="40317"/>
    <cellStyle name="Cálculo 2 6 2 21" xfId="41973"/>
    <cellStyle name="Cálculo 2 6 2 22" xfId="43402"/>
    <cellStyle name="Cálculo 2 6 2 3" xfId="8482"/>
    <cellStyle name="Cálculo 2 6 2 4" xfId="10392"/>
    <cellStyle name="Cálculo 2 6 2 5" xfId="11570"/>
    <cellStyle name="Cálculo 2 6 2 6" xfId="14114"/>
    <cellStyle name="Cálculo 2 6 2 7" xfId="16017"/>
    <cellStyle name="Cálculo 2 6 2 8" xfId="18011"/>
    <cellStyle name="Cálculo 2 6 2 9" xfId="19917"/>
    <cellStyle name="Cálculo 2 6 20" xfId="37483"/>
    <cellStyle name="Cálculo 2 6 21" xfId="38987"/>
    <cellStyle name="Cálculo 2 6 22" xfId="40670"/>
    <cellStyle name="Cálculo 2 6 23" xfId="43635"/>
    <cellStyle name="Cálculo 2 6 3" xfId="6177"/>
    <cellStyle name="Cálculo 2 6 3 2" xfId="45664"/>
    <cellStyle name="Cálculo 2 6 3 3" xfId="46053"/>
    <cellStyle name="Cálculo 2 6 3 4" xfId="46411"/>
    <cellStyle name="Cálculo 2 6 3 5" xfId="46763"/>
    <cellStyle name="Cálculo 2 6 3 6" xfId="47078"/>
    <cellStyle name="Cálculo 2 6 3 7" xfId="47397"/>
    <cellStyle name="Cálculo 2 6 3 8" xfId="47715"/>
    <cellStyle name="Cálculo 2 6 4" xfId="7628"/>
    <cellStyle name="Cálculo 2 6 4 2" xfId="45827"/>
    <cellStyle name="Cálculo 2 6 4 3" xfId="46216"/>
    <cellStyle name="Cálculo 2 6 4 4" xfId="46574"/>
    <cellStyle name="Cálculo 2 6 4 5" xfId="46926"/>
    <cellStyle name="Cálculo 2 6 4 6" xfId="47241"/>
    <cellStyle name="Cálculo 2 6 4 7" xfId="47560"/>
    <cellStyle name="Cálculo 2 6 4 8" xfId="47878"/>
    <cellStyle name="Cálculo 2 6 5" xfId="9538"/>
    <cellStyle name="Cálculo 2 6 6" xfId="11575"/>
    <cellStyle name="Cálculo 2 6 7" xfId="14355"/>
    <cellStyle name="Cálculo 2 6 8" xfId="16260"/>
    <cellStyle name="Cálculo 2 6 9" xfId="17157"/>
    <cellStyle name="Cálculo 2 7" xfId="2145"/>
    <cellStyle name="Cálculo 2 7 2" xfId="45339"/>
    <cellStyle name="Cálculo 2 7 2 2" xfId="45933"/>
    <cellStyle name="Cálculo 2 7 2 3" xfId="46291"/>
    <cellStyle name="Cálculo 2 7 2 4" xfId="46643"/>
    <cellStyle name="Cálculo 2 7 2 5" xfId="45509"/>
    <cellStyle name="Cálculo 2 7 3" xfId="45397"/>
    <cellStyle name="Cálculo 2 7 3 2" xfId="45691"/>
    <cellStyle name="Cálculo 2 7 3 3" xfId="46080"/>
    <cellStyle name="Cálculo 2 7 3 4" xfId="46438"/>
    <cellStyle name="Cálculo 2 7 3 5" xfId="46790"/>
    <cellStyle name="Cálculo 2 7 3 6" xfId="47105"/>
    <cellStyle name="Cálculo 2 7 3 7" xfId="47424"/>
    <cellStyle name="Cálculo 2 7 3 8" xfId="47742"/>
    <cellStyle name="Cálculo 2 7 4" xfId="45383"/>
    <cellStyle name="Cálculo 2 7 4 2" xfId="45625"/>
    <cellStyle name="Cálculo 2 7 4 3" xfId="46014"/>
    <cellStyle name="Cálculo 2 7 4 4" xfId="46372"/>
    <cellStyle name="Cálculo 2 7 4 5" xfId="46724"/>
    <cellStyle name="Cálculo 2 7 4 6" xfId="47039"/>
    <cellStyle name="Cálculo 2 7 4 7" xfId="47358"/>
    <cellStyle name="Cálculo 2 7 4 8" xfId="47676"/>
    <cellStyle name="Cálculo 2 7 5" xfId="45392"/>
    <cellStyle name="Cálculo 2 7 5 2" xfId="45654"/>
    <cellStyle name="Cálculo 2 7 5 3" xfId="46043"/>
    <cellStyle name="Cálculo 2 7 5 4" xfId="46401"/>
    <cellStyle name="Cálculo 2 7 5 5" xfId="46753"/>
    <cellStyle name="Cálculo 2 7 5 6" xfId="47068"/>
    <cellStyle name="Cálculo 2 7 5 7" xfId="47387"/>
    <cellStyle name="Cálculo 2 7 5 8" xfId="47705"/>
    <cellStyle name="Cálculo 2 7 6" xfId="45888"/>
    <cellStyle name="Cálculo 2 7 7" xfId="45512"/>
    <cellStyle name="Cálculo 2 7 8" xfId="47311"/>
    <cellStyle name="Cálculo 2 7 9" xfId="45309"/>
    <cellStyle name="Cálculo 2 8" xfId="2597"/>
    <cellStyle name="Cálculo 2 8 2" xfId="45345"/>
    <cellStyle name="Cálculo 2 8 2 2" xfId="45944"/>
    <cellStyle name="Cálculo 2 8 2 3" xfId="46302"/>
    <cellStyle name="Cálculo 2 8 2 4" xfId="46654"/>
    <cellStyle name="Cálculo 2 8 2 5" xfId="45493"/>
    <cellStyle name="Cálculo 2 8 3" xfId="45403"/>
    <cellStyle name="Cálculo 2 8 3 2" xfId="45713"/>
    <cellStyle name="Cálculo 2 8 3 3" xfId="46102"/>
    <cellStyle name="Cálculo 2 8 3 4" xfId="46460"/>
    <cellStyle name="Cálculo 2 8 3 5" xfId="46812"/>
    <cellStyle name="Cálculo 2 8 3 6" xfId="47127"/>
    <cellStyle name="Cálculo 2 8 3 7" xfId="47446"/>
    <cellStyle name="Cálculo 2 8 3 8" xfId="47764"/>
    <cellStyle name="Cálculo 2 8 4" xfId="45374"/>
    <cellStyle name="Cálculo 2 8 4 2" xfId="45594"/>
    <cellStyle name="Cálculo 2 8 4 3" xfId="45983"/>
    <cellStyle name="Cálculo 2 8 4 4" xfId="46341"/>
    <cellStyle name="Cálculo 2 8 4 5" xfId="46693"/>
    <cellStyle name="Cálculo 2 8 4 6" xfId="47008"/>
    <cellStyle name="Cálculo 2 8 4 7" xfId="47327"/>
    <cellStyle name="Cálculo 2 8 4 8" xfId="47645"/>
    <cellStyle name="Cálculo 2 8 5" xfId="45390"/>
    <cellStyle name="Cálculo 2 8 5 2" xfId="45643"/>
    <cellStyle name="Cálculo 2 8 5 3" xfId="46032"/>
    <cellStyle name="Cálculo 2 8 5 4" xfId="46390"/>
    <cellStyle name="Cálculo 2 8 5 5" xfId="46742"/>
    <cellStyle name="Cálculo 2 8 5 6" xfId="47057"/>
    <cellStyle name="Cálculo 2 8 5 7" xfId="47376"/>
    <cellStyle name="Cálculo 2 8 5 8" xfId="47694"/>
    <cellStyle name="Cálculo 2 8 6" xfId="45894"/>
    <cellStyle name="Cálculo 2 8 7" xfId="45536"/>
    <cellStyle name="Cálculo 2 8 8" xfId="45886"/>
    <cellStyle name="Cálculo 2 8 9" xfId="45314"/>
    <cellStyle name="Cálculo 2 9" xfId="3211"/>
    <cellStyle name="Cálculo 3" xfId="51653"/>
    <cellStyle name="Cálculo 4" xfId="51703"/>
    <cellStyle name="Cálculo 5" xfId="51746"/>
    <cellStyle name="Cálculo 6" xfId="51788"/>
    <cellStyle name="Cálculo 7" xfId="51830"/>
    <cellStyle name="Cálculo 8" xfId="51871"/>
    <cellStyle name="Cálculo 9" xfId="51918"/>
    <cellStyle name="Célula de Verificação" xfId="43954" builtinId="23" customBuiltin="1"/>
    <cellStyle name="Célula de Verificação 10" xfId="51960"/>
    <cellStyle name="Célula de Verificação 11" xfId="52002"/>
    <cellStyle name="Célula de Verificação 12" xfId="52045"/>
    <cellStyle name="Célula de Verificação 13" xfId="52088"/>
    <cellStyle name="Célula de Verificação 14" xfId="52131"/>
    <cellStyle name="Célula de Verificação 2" xfId="24"/>
    <cellStyle name="Célula de Verificação 3" xfId="51652"/>
    <cellStyle name="Célula de Verificação 4" xfId="51702"/>
    <cellStyle name="Célula de Verificação 5" xfId="51745"/>
    <cellStyle name="Célula de Verificação 6" xfId="51787"/>
    <cellStyle name="Célula de Verificação 7" xfId="51829"/>
    <cellStyle name="Célula de Verificação 8" xfId="51870"/>
    <cellStyle name="Célula de Verificação 9" xfId="51917"/>
    <cellStyle name="Célula Vinculada" xfId="43953" builtinId="24" customBuiltin="1"/>
    <cellStyle name="Célula Vinculada 10" xfId="51959"/>
    <cellStyle name="Célula Vinculada 11" xfId="52001"/>
    <cellStyle name="Célula Vinculada 12" xfId="52044"/>
    <cellStyle name="Célula Vinculada 13" xfId="52087"/>
    <cellStyle name="Célula Vinculada 14" xfId="52130"/>
    <cellStyle name="Célula Vinculada 2" xfId="25"/>
    <cellStyle name="Célula Vinculada 3" xfId="51651"/>
    <cellStyle name="Célula Vinculada 4" xfId="51701"/>
    <cellStyle name="Célula Vinculada 5" xfId="51744"/>
    <cellStyle name="Célula Vinculada 6" xfId="51786"/>
    <cellStyle name="Célula Vinculada 7" xfId="51828"/>
    <cellStyle name="Célula Vinculada 8" xfId="51869"/>
    <cellStyle name="Célula Vinculada 9" xfId="51916"/>
    <cellStyle name="Check Cell" xfId="51553"/>
    <cellStyle name="Ênfase1" xfId="43959" builtinId="29" customBuiltin="1"/>
    <cellStyle name="Ênfase1 10" xfId="51958"/>
    <cellStyle name="Ênfase1 11" xfId="52000"/>
    <cellStyle name="Ênfase1 12" xfId="52043"/>
    <cellStyle name="Ênfase1 13" xfId="52086"/>
    <cellStyle name="Ênfase1 14" xfId="52129"/>
    <cellStyle name="Ênfase1 2" xfId="26"/>
    <cellStyle name="Ênfase1 3" xfId="51650"/>
    <cellStyle name="Ênfase1 4" xfId="51700"/>
    <cellStyle name="Ênfase1 5" xfId="51743"/>
    <cellStyle name="Ênfase1 6" xfId="51785"/>
    <cellStyle name="Ênfase1 7" xfId="51827"/>
    <cellStyle name="Ênfase1 8" xfId="51868"/>
    <cellStyle name="Ênfase1 9" xfId="51915"/>
    <cellStyle name="Ênfase2" xfId="43963" builtinId="33" customBuiltin="1"/>
    <cellStyle name="Ênfase2 10" xfId="51957"/>
    <cellStyle name="Ênfase2 11" xfId="51999"/>
    <cellStyle name="Ênfase2 12" xfId="52042"/>
    <cellStyle name="Ênfase2 13" xfId="52085"/>
    <cellStyle name="Ênfase2 14" xfId="52128"/>
    <cellStyle name="Ênfase2 2" xfId="27"/>
    <cellStyle name="Ênfase2 3" xfId="51649"/>
    <cellStyle name="Ênfase2 4" xfId="51699"/>
    <cellStyle name="Ênfase2 5" xfId="51742"/>
    <cellStyle name="Ênfase2 6" xfId="51784"/>
    <cellStyle name="Ênfase2 7" xfId="51826"/>
    <cellStyle name="Ênfase2 8" xfId="51867"/>
    <cellStyle name="Ênfase2 9" xfId="51914"/>
    <cellStyle name="Ênfase3" xfId="43967" builtinId="37" customBuiltin="1"/>
    <cellStyle name="Ênfase3 10" xfId="51956"/>
    <cellStyle name="Ênfase3 11" xfId="51998"/>
    <cellStyle name="Ênfase3 12" xfId="52041"/>
    <cellStyle name="Ênfase3 13" xfId="52084"/>
    <cellStyle name="Ênfase3 14" xfId="52127"/>
    <cellStyle name="Ênfase3 2" xfId="28"/>
    <cellStyle name="Ênfase3 3" xfId="51648"/>
    <cellStyle name="Ênfase3 4" xfId="51698"/>
    <cellStyle name="Ênfase3 5" xfId="51741"/>
    <cellStyle name="Ênfase3 6" xfId="51783"/>
    <cellStyle name="Ênfase3 7" xfId="51825"/>
    <cellStyle name="Ênfase3 8" xfId="51866"/>
    <cellStyle name="Ênfase3 9" xfId="51913"/>
    <cellStyle name="Ênfase4" xfId="43971" builtinId="41" customBuiltin="1"/>
    <cellStyle name="Ênfase4 10" xfId="51955"/>
    <cellStyle name="Ênfase4 11" xfId="51997"/>
    <cellStyle name="Ênfase4 12" xfId="52040"/>
    <cellStyle name="Ênfase4 13" xfId="52083"/>
    <cellStyle name="Ênfase4 14" xfId="52126"/>
    <cellStyle name="Ênfase4 2" xfId="29"/>
    <cellStyle name="Ênfase4 3" xfId="51647"/>
    <cellStyle name="Ênfase4 4" xfId="51697"/>
    <cellStyle name="Ênfase4 5" xfId="51740"/>
    <cellStyle name="Ênfase4 6" xfId="51782"/>
    <cellStyle name="Ênfase4 7" xfId="51824"/>
    <cellStyle name="Ênfase4 8" xfId="51865"/>
    <cellStyle name="Ênfase4 9" xfId="51912"/>
    <cellStyle name="Ênfase5" xfId="43975" builtinId="45" customBuiltin="1"/>
    <cellStyle name="Ênfase5 10" xfId="51954"/>
    <cellStyle name="Ênfase5 11" xfId="51996"/>
    <cellStyle name="Ênfase5 12" xfId="52039"/>
    <cellStyle name="Ênfase5 13" xfId="52082"/>
    <cellStyle name="Ênfase5 14" xfId="52125"/>
    <cellStyle name="Ênfase5 2" xfId="30"/>
    <cellStyle name="Ênfase5 3" xfId="51646"/>
    <cellStyle name="Ênfase5 4" xfId="51696"/>
    <cellStyle name="Ênfase5 5" xfId="51739"/>
    <cellStyle name="Ênfase5 6" xfId="51781"/>
    <cellStyle name="Ênfase5 7" xfId="51823"/>
    <cellStyle name="Ênfase5 8" xfId="51864"/>
    <cellStyle name="Ênfase5 9" xfId="51911"/>
    <cellStyle name="Ênfase6" xfId="43979" builtinId="49" customBuiltin="1"/>
    <cellStyle name="Ênfase6 10" xfId="51953"/>
    <cellStyle name="Ênfase6 11" xfId="51995"/>
    <cellStyle name="Ênfase6 12" xfId="52038"/>
    <cellStyle name="Ênfase6 13" xfId="52081"/>
    <cellStyle name="Ênfase6 14" xfId="52124"/>
    <cellStyle name="Ênfase6 2" xfId="31"/>
    <cellStyle name="Ênfase6 3" xfId="51645"/>
    <cellStyle name="Ênfase6 4" xfId="51695"/>
    <cellStyle name="Ênfase6 5" xfId="51738"/>
    <cellStyle name="Ênfase6 6" xfId="51780"/>
    <cellStyle name="Ênfase6 7" xfId="51822"/>
    <cellStyle name="Ênfase6 8" xfId="51863"/>
    <cellStyle name="Ênfase6 9" xfId="51910"/>
    <cellStyle name="Entrada" xfId="43950" builtinId="20" customBuiltin="1"/>
    <cellStyle name="Entrada 10" xfId="51952"/>
    <cellStyle name="Entrada 11" xfId="51994"/>
    <cellStyle name="Entrada 12" xfId="52037"/>
    <cellStyle name="Entrada 13" xfId="52080"/>
    <cellStyle name="Entrada 14" xfId="52123"/>
    <cellStyle name="Entrada 2" xfId="32"/>
    <cellStyle name="Entrada 2 10" xfId="4222"/>
    <cellStyle name="Entrada 2 11" xfId="3218"/>
    <cellStyle name="Entrada 2 12" xfId="2249"/>
    <cellStyle name="Entrada 2 13" xfId="11417"/>
    <cellStyle name="Entrada 2 14" xfId="2500"/>
    <cellStyle name="Entrada 2 15" xfId="3928"/>
    <cellStyle name="Entrada 2 16" xfId="14697"/>
    <cellStyle name="Entrada 2 17" xfId="1974"/>
    <cellStyle name="Entrada 2 18" xfId="2225"/>
    <cellStyle name="Entrada 2 19" xfId="29241"/>
    <cellStyle name="Entrada 2 2" xfId="3507"/>
    <cellStyle name="Entrada 2 2 10" xfId="13063"/>
    <cellStyle name="Entrada 2 2 11" xfId="14967"/>
    <cellStyle name="Entrada 2 2 12" xfId="16977"/>
    <cellStyle name="Entrada 2 2 13" xfId="18884"/>
    <cellStyle name="Entrada 2 2 14" xfId="20796"/>
    <cellStyle name="Entrada 2 2 15" xfId="22595"/>
    <cellStyle name="Entrada 2 2 16" xfId="24598"/>
    <cellStyle name="Entrada 2 2 17" xfId="26277"/>
    <cellStyle name="Entrada 2 2 18" xfId="28780"/>
    <cellStyle name="Entrada 2 2 19" xfId="29886"/>
    <cellStyle name="Entrada 2 2 2" xfId="3687"/>
    <cellStyle name="Entrada 2 2 2 10" xfId="17578"/>
    <cellStyle name="Entrada 2 2 2 11" xfId="19484"/>
    <cellStyle name="Entrada 2 2 2 12" xfId="21396"/>
    <cellStyle name="Entrada 2 2 2 13" xfId="22538"/>
    <cellStyle name="Entrada 2 2 2 14" xfId="25198"/>
    <cellStyle name="Entrada 2 2 2 15" xfId="26326"/>
    <cellStyle name="Entrada 2 2 2 16" xfId="28771"/>
    <cellStyle name="Entrada 2 2 2 17" xfId="29934"/>
    <cellStyle name="Entrada 2 2 2 18" xfId="31603"/>
    <cellStyle name="Entrada 2 2 2 19" xfId="34477"/>
    <cellStyle name="Entrada 2 2 2 2" xfId="5754"/>
    <cellStyle name="Entrada 2 2 2 2 10" xfId="22004"/>
    <cellStyle name="Entrada 2 2 2 2 11" xfId="23322"/>
    <cellStyle name="Entrada 2 2 2 2 12" xfId="25806"/>
    <cellStyle name="Entrada 2 2 2 2 13" xfId="26192"/>
    <cellStyle name="Entrada 2 2 2 2 14" xfId="29477"/>
    <cellStyle name="Entrada 2 2 2 2 15" xfId="29805"/>
    <cellStyle name="Entrada 2 2 2 2 16" xfId="32021"/>
    <cellStyle name="Entrada 2 2 2 2 17" xfId="33409"/>
    <cellStyle name="Entrada 2 2 2 2 18" xfId="36633"/>
    <cellStyle name="Entrada 2 2 2 2 19" xfId="38512"/>
    <cellStyle name="Entrada 2 2 2 2 2" xfId="7203"/>
    <cellStyle name="Entrada 2 2 2 2 20" xfId="39251"/>
    <cellStyle name="Entrada 2 2 2 2 21" xfId="40928"/>
    <cellStyle name="Entrada 2 2 2 2 22" xfId="43093"/>
    <cellStyle name="Entrada 2 2 2 2 3" xfId="8657"/>
    <cellStyle name="Entrada 2 2 2 2 4" xfId="10567"/>
    <cellStyle name="Entrada 2 2 2 2 5" xfId="12302"/>
    <cellStyle name="Entrada 2 2 2 2 6" xfId="13794"/>
    <cellStyle name="Entrada 2 2 2 2 7" xfId="15696"/>
    <cellStyle name="Entrada 2 2 2 2 8" xfId="18186"/>
    <cellStyle name="Entrada 2 2 2 2 9" xfId="20092"/>
    <cellStyle name="Entrada 2 2 2 20" xfId="36025"/>
    <cellStyle name="Entrada 2 2 2 21" xfId="37904"/>
    <cellStyle name="Entrada 2 2 2 22" xfId="38850"/>
    <cellStyle name="Entrada 2 2 2 23" xfId="40536"/>
    <cellStyle name="Entrada 2 2 2 24" xfId="42347"/>
    <cellStyle name="Entrada 2 2 2 3" xfId="5148"/>
    <cellStyle name="Entrada 2 2 2 3 2" xfId="45670"/>
    <cellStyle name="Entrada 2 2 2 3 3" xfId="46059"/>
    <cellStyle name="Entrada 2 2 2 3 4" xfId="46417"/>
    <cellStyle name="Entrada 2 2 2 3 5" xfId="46769"/>
    <cellStyle name="Entrada 2 2 2 3 6" xfId="47084"/>
    <cellStyle name="Entrada 2 2 2 3 7" xfId="47403"/>
    <cellStyle name="Entrada 2 2 2 3 8" xfId="47721"/>
    <cellStyle name="Entrada 2 2 2 4" xfId="6598"/>
    <cellStyle name="Entrada 2 2 2 4 2" xfId="45825"/>
    <cellStyle name="Entrada 2 2 2 4 3" xfId="46214"/>
    <cellStyle name="Entrada 2 2 2 4 4" xfId="46572"/>
    <cellStyle name="Entrada 2 2 2 4 5" xfId="46924"/>
    <cellStyle name="Entrada 2 2 2 4 6" xfId="47239"/>
    <cellStyle name="Entrada 2 2 2 4 7" xfId="47558"/>
    <cellStyle name="Entrada 2 2 2 4 8" xfId="47876"/>
    <cellStyle name="Entrada 2 2 2 5" xfId="8049"/>
    <cellStyle name="Entrada 2 2 2 6" xfId="9959"/>
    <cellStyle name="Entrada 2 2 2 7" xfId="11835"/>
    <cellStyle name="Entrada 2 2 2 8" xfId="13006"/>
    <cellStyle name="Entrada 2 2 2 9" xfId="14910"/>
    <cellStyle name="Entrada 2 2 20" xfId="32471"/>
    <cellStyle name="Entrada 2 2 21" xfId="34733"/>
    <cellStyle name="Entrada 2 2 22" xfId="35426"/>
    <cellStyle name="Entrada 2 2 23" xfId="37304"/>
    <cellStyle name="Entrada 2 2 24" xfId="39689"/>
    <cellStyle name="Entrada 2 2 25" xfId="41362"/>
    <cellStyle name="Entrada 2 2 26" xfId="42404"/>
    <cellStyle name="Entrada 2 2 3" xfId="2171"/>
    <cellStyle name="Entrada 2 2 3 10" xfId="19029"/>
    <cellStyle name="Entrada 2 2 3 11" xfId="20941"/>
    <cellStyle name="Entrada 2 2 3 12" xfId="22964"/>
    <cellStyle name="Entrada 2 2 3 13" xfId="24743"/>
    <cellStyle name="Entrada 2 2 3 14" xfId="26880"/>
    <cellStyle name="Entrada 2 2 3 15" xfId="28621"/>
    <cellStyle name="Entrada 2 2 3 16" xfId="30477"/>
    <cellStyle name="Entrada 2 2 3 17" xfId="33301"/>
    <cellStyle name="Entrada 2 2 3 18" xfId="35032"/>
    <cellStyle name="Entrada 2 2 3 19" xfId="35570"/>
    <cellStyle name="Entrada 2 2 3 2" xfId="5576"/>
    <cellStyle name="Entrada 2 2 3 2 10" xfId="21826"/>
    <cellStyle name="Entrada 2 2 3 2 11" xfId="23229"/>
    <cellStyle name="Entrada 2 2 3 2 12" xfId="25628"/>
    <cellStyle name="Entrada 2 2 3 2 13" xfId="27191"/>
    <cellStyle name="Entrada 2 2 3 2 14" xfId="29387"/>
    <cellStyle name="Entrada 2 2 3 2 15" xfId="30782"/>
    <cellStyle name="Entrada 2 2 3 2 16" xfId="32789"/>
    <cellStyle name="Entrada 2 2 3 2 17" xfId="34579"/>
    <cellStyle name="Entrada 2 2 3 2 18" xfId="36455"/>
    <cellStyle name="Entrada 2 2 3 2 19" xfId="38334"/>
    <cellStyle name="Entrada 2 2 3 2 2" xfId="7025"/>
    <cellStyle name="Entrada 2 2 3 2 20" xfId="39998"/>
    <cellStyle name="Entrada 2 2 3 2 21" xfId="41662"/>
    <cellStyle name="Entrada 2 2 3 2 22" xfId="43006"/>
    <cellStyle name="Entrada 2 2 3 2 3" xfId="8479"/>
    <cellStyle name="Entrada 2 2 3 2 4" xfId="10389"/>
    <cellStyle name="Entrada 2 2 3 2 5" xfId="11111"/>
    <cellStyle name="Entrada 2 2 3 2 6" xfId="13701"/>
    <cellStyle name="Entrada 2 2 3 2 7" xfId="15603"/>
    <cellStyle name="Entrada 2 2 3 2 8" xfId="18008"/>
    <cellStyle name="Entrada 2 2 3 2 9" xfId="19914"/>
    <cellStyle name="Entrada 2 2 3 20" xfId="37449"/>
    <cellStyle name="Entrada 2 2 3 21" xfId="40484"/>
    <cellStyle name="Entrada 2 2 3 22" xfId="42138"/>
    <cellStyle name="Entrada 2 2 3 23" xfId="42750"/>
    <cellStyle name="Entrada 2 2 3 3" xfId="4695"/>
    <cellStyle name="Entrada 2 2 3 3 2" xfId="45695"/>
    <cellStyle name="Entrada 2 2 3 3 3" xfId="46084"/>
    <cellStyle name="Entrada 2 2 3 3 4" xfId="46442"/>
    <cellStyle name="Entrada 2 2 3 3 5" xfId="46794"/>
    <cellStyle name="Entrada 2 2 3 3 6" xfId="47109"/>
    <cellStyle name="Entrada 2 2 3 3 7" xfId="47428"/>
    <cellStyle name="Entrada 2 2 3 3 8" xfId="47746"/>
    <cellStyle name="Entrada 2 2 3 4" xfId="7594"/>
    <cellStyle name="Entrada 2 2 3 4 2" xfId="45623"/>
    <cellStyle name="Entrada 2 2 3 4 3" xfId="46012"/>
    <cellStyle name="Entrada 2 2 3 4 4" xfId="46370"/>
    <cellStyle name="Entrada 2 2 3 4 5" xfId="46722"/>
    <cellStyle name="Entrada 2 2 3 4 6" xfId="47037"/>
    <cellStyle name="Entrada 2 2 3 4 7" xfId="47356"/>
    <cellStyle name="Entrada 2 2 3 4 8" xfId="47674"/>
    <cellStyle name="Entrada 2 2 3 5" xfId="9504"/>
    <cellStyle name="Entrada 2 2 3 5 2" xfId="45655"/>
    <cellStyle name="Entrada 2 2 3 5 3" xfId="46044"/>
    <cellStyle name="Entrada 2 2 3 5 4" xfId="46402"/>
    <cellStyle name="Entrada 2 2 3 5 5" xfId="46754"/>
    <cellStyle name="Entrada 2 2 3 5 6" xfId="47069"/>
    <cellStyle name="Entrada 2 2 3 5 7" xfId="47388"/>
    <cellStyle name="Entrada 2 2 3 5 8" xfId="47706"/>
    <cellStyle name="Entrada 2 2 3 6" xfId="12445"/>
    <cellStyle name="Entrada 2 2 3 7" xfId="13433"/>
    <cellStyle name="Entrada 2 2 3 8" xfId="15338"/>
    <cellStyle name="Entrada 2 2 3 9" xfId="17123"/>
    <cellStyle name="Entrada 2 2 4" xfId="4139"/>
    <cellStyle name="Entrada 2 2 4 10" xfId="19774"/>
    <cellStyle name="Entrada 2 2 4 11" xfId="21686"/>
    <cellStyle name="Entrada 2 2 4 12" xfId="22382"/>
    <cellStyle name="Entrada 2 2 4 13" xfId="25488"/>
    <cellStyle name="Entrada 2 2 4 14" xfId="27090"/>
    <cellStyle name="Entrada 2 2 4 15" xfId="29695"/>
    <cellStyle name="Entrada 2 2 4 16" xfId="30681"/>
    <cellStyle name="Entrada 2 2 4 17" xfId="31764"/>
    <cellStyle name="Entrada 2 2 4 18" xfId="33532"/>
    <cellStyle name="Entrada 2 2 4 19" xfId="36315"/>
    <cellStyle name="Entrada 2 2 4 2" xfId="6044"/>
    <cellStyle name="Entrada 2 2 4 2 10" xfId="22294"/>
    <cellStyle name="Entrada 2 2 4 2 11" xfId="18517"/>
    <cellStyle name="Entrada 2 2 4 2 12" xfId="26096"/>
    <cellStyle name="Entrada 2 2 4 2 13" xfId="1798"/>
    <cellStyle name="Entrada 2 2 4 2 14" xfId="28846"/>
    <cellStyle name="Entrada 2 2 4 2 15" xfId="2841"/>
    <cellStyle name="Entrada 2 2 4 2 16" xfId="28174"/>
    <cellStyle name="Entrada 2 2 4 2 17" xfId="31090"/>
    <cellStyle name="Entrada 2 2 4 2 18" xfId="36923"/>
    <cellStyle name="Entrada 2 2 4 2 19" xfId="38802"/>
    <cellStyle name="Entrada 2 2 4 2 2" xfId="7493"/>
    <cellStyle name="Entrada 2 2 4 2 20" xfId="28620"/>
    <cellStyle name="Entrada 2 2 4 2 21" xfId="4542"/>
    <cellStyle name="Entrada 2 2 4 2 22" xfId="41168"/>
    <cellStyle name="Entrada 2 2 4 2 3" xfId="8947"/>
    <cellStyle name="Entrada 2 2 4 2 4" xfId="10857"/>
    <cellStyle name="Entrada 2 2 4 2 5" xfId="2042"/>
    <cellStyle name="Entrada 2 2 4 2 6" xfId="2761"/>
    <cellStyle name="Entrada 2 2 4 2 7" xfId="5381"/>
    <cellStyle name="Entrada 2 2 4 2 8" xfId="18476"/>
    <cellStyle name="Entrada 2 2 4 2 9" xfId="20382"/>
    <cellStyle name="Entrada 2 2 4 20" xfId="38194"/>
    <cellStyle name="Entrada 2 2 4 21" xfId="39004"/>
    <cellStyle name="Entrada 2 2 4 22" xfId="40687"/>
    <cellStyle name="Entrada 2 2 4 23" xfId="42193"/>
    <cellStyle name="Entrada 2 2 4 3" xfId="6885"/>
    <cellStyle name="Entrada 2 2 4 3 2" xfId="45701"/>
    <cellStyle name="Entrada 2 2 4 3 3" xfId="46090"/>
    <cellStyle name="Entrada 2 2 4 3 4" xfId="46448"/>
    <cellStyle name="Entrada 2 2 4 3 5" xfId="46800"/>
    <cellStyle name="Entrada 2 2 4 3 6" xfId="47115"/>
    <cellStyle name="Entrada 2 2 4 3 7" xfId="47434"/>
    <cellStyle name="Entrada 2 2 4 3 8" xfId="47752"/>
    <cellStyle name="Entrada 2 2 4 4" xfId="8339"/>
    <cellStyle name="Entrada 2 2 4 4 2" xfId="45606"/>
    <cellStyle name="Entrada 2 2 4 4 3" xfId="45995"/>
    <cellStyle name="Entrada 2 2 4 4 4" xfId="46353"/>
    <cellStyle name="Entrada 2 2 4 4 5" xfId="46705"/>
    <cellStyle name="Entrada 2 2 4 4 6" xfId="47020"/>
    <cellStyle name="Entrada 2 2 4 4 7" xfId="47339"/>
    <cellStyle name="Entrada 2 2 4 4 8" xfId="47657"/>
    <cellStyle name="Entrada 2 2 4 5" xfId="10249"/>
    <cellStyle name="Entrada 2 2 4 5 2" xfId="45658"/>
    <cellStyle name="Entrada 2 2 4 5 3" xfId="46047"/>
    <cellStyle name="Entrada 2 2 4 5 4" xfId="46405"/>
    <cellStyle name="Entrada 2 2 4 5 5" xfId="46757"/>
    <cellStyle name="Entrada 2 2 4 5 6" xfId="47072"/>
    <cellStyle name="Entrada 2 2 4 5 7" xfId="47391"/>
    <cellStyle name="Entrada 2 2 4 5 8" xfId="47709"/>
    <cellStyle name="Entrada 2 2 4 6" xfId="12410"/>
    <cellStyle name="Entrada 2 2 4 7" xfId="12849"/>
    <cellStyle name="Entrada 2 2 4 8" xfId="14754"/>
    <cellStyle name="Entrada 2 2 4 9" xfId="17868"/>
    <cellStyle name="Entrada 2 2 5" xfId="4980"/>
    <cellStyle name="Entrada 2 2 5 10" xfId="21228"/>
    <cellStyle name="Entrada 2 2 5 11" xfId="23512"/>
    <cellStyle name="Entrada 2 2 5 12" xfId="25030"/>
    <cellStyle name="Entrada 2 2 5 13" xfId="27598"/>
    <cellStyle name="Entrada 2 2 5 14" xfId="29626"/>
    <cellStyle name="Entrada 2 2 5 15" xfId="31176"/>
    <cellStyle name="Entrada 2 2 5 16" xfId="32408"/>
    <cellStyle name="Entrada 2 2 5 17" xfId="34492"/>
    <cellStyle name="Entrada 2 2 5 18" xfId="35857"/>
    <cellStyle name="Entrada 2 2 5 19" xfId="37736"/>
    <cellStyle name="Entrada 2 2 5 2" xfId="6430"/>
    <cellStyle name="Entrada 2 2 5 2 2" xfId="45968"/>
    <cellStyle name="Entrada 2 2 5 2 3" xfId="46326"/>
    <cellStyle name="Entrada 2 2 5 2 4" xfId="46678"/>
    <cellStyle name="Entrada 2 2 5 2 5" xfId="47630"/>
    <cellStyle name="Entrada 2 2 5 20" xfId="39625"/>
    <cellStyle name="Entrada 2 2 5 21" xfId="41299"/>
    <cellStyle name="Entrada 2 2 5 22" xfId="43277"/>
    <cellStyle name="Entrada 2 2 5 3" xfId="7881"/>
    <cellStyle name="Entrada 2 2 5 3 2" xfId="45760"/>
    <cellStyle name="Entrada 2 2 5 3 3" xfId="46149"/>
    <cellStyle name="Entrada 2 2 5 3 4" xfId="46507"/>
    <cellStyle name="Entrada 2 2 5 3 5" xfId="46859"/>
    <cellStyle name="Entrada 2 2 5 3 6" xfId="47174"/>
    <cellStyle name="Entrada 2 2 5 3 7" xfId="47493"/>
    <cellStyle name="Entrada 2 2 5 3 8" xfId="47811"/>
    <cellStyle name="Entrada 2 2 5 4" xfId="9791"/>
    <cellStyle name="Entrada 2 2 5 4 2" xfId="45829"/>
    <cellStyle name="Entrada 2 2 5 4 3" xfId="46218"/>
    <cellStyle name="Entrada 2 2 5 4 4" xfId="46576"/>
    <cellStyle name="Entrada 2 2 5 4 5" xfId="46928"/>
    <cellStyle name="Entrada 2 2 5 4 6" xfId="47243"/>
    <cellStyle name="Entrada 2 2 5 4 7" xfId="47562"/>
    <cellStyle name="Entrada 2 2 5 4 8" xfId="47880"/>
    <cellStyle name="Entrada 2 2 5 5" xfId="12522"/>
    <cellStyle name="Entrada 2 2 5 5 2" xfId="45866"/>
    <cellStyle name="Entrada 2 2 5 5 3" xfId="46255"/>
    <cellStyle name="Entrada 2 2 5 5 4" xfId="46613"/>
    <cellStyle name="Entrada 2 2 5 5 5" xfId="46965"/>
    <cellStyle name="Entrada 2 2 5 5 6" xfId="47280"/>
    <cellStyle name="Entrada 2 2 5 5 7" xfId="47599"/>
    <cellStyle name="Entrada 2 2 5 5 8" xfId="47917"/>
    <cellStyle name="Entrada 2 2 5 6" xfId="13984"/>
    <cellStyle name="Entrada 2 2 5 7" xfId="15885"/>
    <cellStyle name="Entrada 2 2 5 8" xfId="17410"/>
    <cellStyle name="Entrada 2 2 5 9" xfId="19316"/>
    <cellStyle name="Entrada 2 2 6" xfId="5726"/>
    <cellStyle name="Entrada 2 2 6 10" xfId="21976"/>
    <cellStyle name="Entrada 2 2 6 11" xfId="23076"/>
    <cellStyle name="Entrada 2 2 6 12" xfId="25778"/>
    <cellStyle name="Entrada 2 2 6 13" xfId="26565"/>
    <cellStyle name="Entrada 2 2 6 14" xfId="26655"/>
    <cellStyle name="Entrada 2 2 6 15" xfId="30167"/>
    <cellStyle name="Entrada 2 2 6 16" xfId="32687"/>
    <cellStyle name="Entrada 2 2 6 17" xfId="34023"/>
    <cellStyle name="Entrada 2 2 6 18" xfId="36605"/>
    <cellStyle name="Entrada 2 2 6 19" xfId="38484"/>
    <cellStyle name="Entrada 2 2 6 2" xfId="7175"/>
    <cellStyle name="Entrada 2 2 6 20" xfId="39895"/>
    <cellStyle name="Entrada 2 2 6 21" xfId="41564"/>
    <cellStyle name="Entrada 2 2 6 22" xfId="42858"/>
    <cellStyle name="Entrada 2 2 6 3" xfId="8629"/>
    <cellStyle name="Entrada 2 2 6 4" xfId="10539"/>
    <cellStyle name="Entrada 2 2 6 5" xfId="12684"/>
    <cellStyle name="Entrada 2 2 6 6" xfId="13547"/>
    <cellStyle name="Entrada 2 2 6 7" xfId="15450"/>
    <cellStyle name="Entrada 2 2 6 8" xfId="18158"/>
    <cellStyle name="Entrada 2 2 6 9" xfId="20064"/>
    <cellStyle name="Entrada 2 2 7" xfId="5391"/>
    <cellStyle name="Entrada 2 2 7 2" xfId="45660"/>
    <cellStyle name="Entrada 2 2 7 3" xfId="46049"/>
    <cellStyle name="Entrada 2 2 7 4" xfId="46407"/>
    <cellStyle name="Entrada 2 2 7 5" xfId="46759"/>
    <cellStyle name="Entrada 2 2 7 6" xfId="47074"/>
    <cellStyle name="Entrada 2 2 7 7" xfId="47393"/>
    <cellStyle name="Entrada 2 2 7 8" xfId="47711"/>
    <cellStyle name="Entrada 2 2 8" xfId="9358"/>
    <cellStyle name="Entrada 2 2 9" xfId="11112"/>
    <cellStyle name="Entrada 2 20" xfId="31503"/>
    <cellStyle name="Entrada 2 21" xfId="28845"/>
    <cellStyle name="Entrada 2 22" xfId="16631"/>
    <cellStyle name="Entrada 2 23" xfId="20399"/>
    <cellStyle name="Entrada 2 24" xfId="34314"/>
    <cellStyle name="Entrada 2 25" xfId="40269"/>
    <cellStyle name="Entrada 2 26" xfId="40126"/>
    <cellStyle name="Entrada 2 3" xfId="3476"/>
    <cellStyle name="Entrada 2 3 10" xfId="14945"/>
    <cellStyle name="Entrada 2 3 11" xfId="16911"/>
    <cellStyle name="Entrada 2 3 12" xfId="18818"/>
    <cellStyle name="Entrada 2 3 13" xfId="20730"/>
    <cellStyle name="Entrada 2 3 14" xfId="22573"/>
    <cellStyle name="Entrada 2 3 15" xfId="24532"/>
    <cellStyle name="Entrada 2 3 16" xfId="26813"/>
    <cellStyle name="Entrada 2 3 17" xfId="2194"/>
    <cellStyle name="Entrada 2 3 18" xfId="30412"/>
    <cellStyle name="Entrada 2 3 19" xfId="32864"/>
    <cellStyle name="Entrada 2 3 2" xfId="3656"/>
    <cellStyle name="Entrada 2 3 2 10" xfId="17547"/>
    <cellStyle name="Entrada 2 3 2 11" xfId="19453"/>
    <cellStyle name="Entrada 2 3 2 12" xfId="21365"/>
    <cellStyle name="Entrada 2 3 2 13" xfId="22730"/>
    <cellStyle name="Entrada 2 3 2 14" xfId="25167"/>
    <cellStyle name="Entrada 2 3 2 15" xfId="27734"/>
    <cellStyle name="Entrada 2 3 2 16" xfId="20402"/>
    <cellStyle name="Entrada 2 3 2 17" xfId="31312"/>
    <cellStyle name="Entrada 2 3 2 18" xfId="31741"/>
    <cellStyle name="Entrada 2 3 2 19" xfId="20413"/>
    <cellStyle name="Entrada 2 3 2 2" xfId="5733"/>
    <cellStyle name="Entrada 2 3 2 2 10" xfId="21983"/>
    <cellStyle name="Entrada 2 3 2 2 11" xfId="22546"/>
    <cellStyle name="Entrada 2 3 2 2 12" xfId="25785"/>
    <cellStyle name="Entrada 2 3 2 2 13" xfId="26945"/>
    <cellStyle name="Entrada 2 3 2 2 14" xfId="28604"/>
    <cellStyle name="Entrada 2 3 2 2 15" xfId="30539"/>
    <cellStyle name="Entrada 2 3 2 2 16" xfId="32283"/>
    <cellStyle name="Entrada 2 3 2 2 17" xfId="33608"/>
    <cellStyle name="Entrada 2 3 2 2 18" xfId="36612"/>
    <cellStyle name="Entrada 2 3 2 2 19" xfId="38491"/>
    <cellStyle name="Entrada 2 3 2 2 2" xfId="7182"/>
    <cellStyle name="Entrada 2 3 2 2 20" xfId="39502"/>
    <cellStyle name="Entrada 2 3 2 2 21" xfId="41177"/>
    <cellStyle name="Entrada 2 3 2 2 22" xfId="42355"/>
    <cellStyle name="Entrada 2 3 2 2 3" xfId="8636"/>
    <cellStyle name="Entrada 2 3 2 2 4" xfId="10546"/>
    <cellStyle name="Entrada 2 3 2 2 5" xfId="12378"/>
    <cellStyle name="Entrada 2 3 2 2 6" xfId="13014"/>
    <cellStyle name="Entrada 2 3 2 2 7" xfId="14918"/>
    <cellStyle name="Entrada 2 3 2 2 8" xfId="18165"/>
    <cellStyle name="Entrada 2 3 2 2 9" xfId="20071"/>
    <cellStyle name="Entrada 2 3 2 20" xfId="35994"/>
    <cellStyle name="Entrada 2 3 2 21" xfId="37873"/>
    <cellStyle name="Entrada 2 3 2 22" xfId="38982"/>
    <cellStyle name="Entrada 2 3 2 23" xfId="40665"/>
    <cellStyle name="Entrada 2 3 2 24" xfId="42528"/>
    <cellStyle name="Entrada 2 3 2 3" xfId="5117"/>
    <cellStyle name="Entrada 2 3 2 3 2" xfId="45716"/>
    <cellStyle name="Entrada 2 3 2 3 3" xfId="46105"/>
    <cellStyle name="Entrada 2 3 2 3 4" xfId="46463"/>
    <cellStyle name="Entrada 2 3 2 3 5" xfId="46815"/>
    <cellStyle name="Entrada 2 3 2 3 6" xfId="47130"/>
    <cellStyle name="Entrada 2 3 2 3 7" xfId="47449"/>
    <cellStyle name="Entrada 2 3 2 3 8" xfId="47767"/>
    <cellStyle name="Entrada 2 3 2 4" xfId="6567"/>
    <cellStyle name="Entrada 2 3 2 4 2" xfId="45591"/>
    <cellStyle name="Entrada 2 3 2 4 3" xfId="45980"/>
    <cellStyle name="Entrada 2 3 2 4 4" xfId="46338"/>
    <cellStyle name="Entrada 2 3 2 4 5" xfId="46690"/>
    <cellStyle name="Entrada 2 3 2 4 6" xfId="47005"/>
    <cellStyle name="Entrada 2 3 2 4 7" xfId="47324"/>
    <cellStyle name="Entrada 2 3 2 4 8" xfId="47642"/>
    <cellStyle name="Entrada 2 3 2 5" xfId="8018"/>
    <cellStyle name="Entrada 2 3 2 5 2" xfId="45620"/>
    <cellStyle name="Entrada 2 3 2 5 3" xfId="46009"/>
    <cellStyle name="Entrada 2 3 2 5 4" xfId="46367"/>
    <cellStyle name="Entrada 2 3 2 5 5" xfId="46719"/>
    <cellStyle name="Entrada 2 3 2 5 6" xfId="47034"/>
    <cellStyle name="Entrada 2 3 2 5 7" xfId="47353"/>
    <cellStyle name="Entrada 2 3 2 5 8" xfId="47671"/>
    <cellStyle name="Entrada 2 3 2 6" xfId="9928"/>
    <cellStyle name="Entrada 2 3 2 7" xfId="2213"/>
    <cellStyle name="Entrada 2 3 2 8" xfId="13199"/>
    <cellStyle name="Entrada 2 3 2 9" xfId="15102"/>
    <cellStyle name="Entrada 2 3 20" xfId="34576"/>
    <cellStyle name="Entrada 2 3 21" xfId="35360"/>
    <cellStyle name="Entrada 2 3 22" xfId="37238"/>
    <cellStyle name="Entrada 2 3 23" xfId="40070"/>
    <cellStyle name="Entrada 2 3 24" xfId="41734"/>
    <cellStyle name="Entrada 2 3 25" xfId="42382"/>
    <cellStyle name="Entrada 2 3 3" xfId="3774"/>
    <cellStyle name="Entrada 2 3 3 10" xfId="19513"/>
    <cellStyle name="Entrada 2 3 3 11" xfId="21425"/>
    <cellStyle name="Entrada 2 3 3 12" xfId="24084"/>
    <cellStyle name="Entrada 2 3 3 13" xfId="25227"/>
    <cellStyle name="Entrada 2 3 3 14" xfId="26859"/>
    <cellStyle name="Entrada 2 3 3 15" xfId="28758"/>
    <cellStyle name="Entrada 2 3 3 16" xfId="30456"/>
    <cellStyle name="Entrada 2 3 3 17" xfId="33111"/>
    <cellStyle name="Entrada 2 3 3 18" xfId="33583"/>
    <cellStyle name="Entrada 2 3 3 19" xfId="36054"/>
    <cellStyle name="Entrada 2 3 3 2" xfId="5783"/>
    <cellStyle name="Entrada 2 3 3 2 10" xfId="22033"/>
    <cellStyle name="Entrada 2 3 3 2 11" xfId="22587"/>
    <cellStyle name="Entrada 2 3 3 2 12" xfId="25835"/>
    <cellStyle name="Entrada 2 3 3 2 13" xfId="26612"/>
    <cellStyle name="Entrada 2 3 3 2 14" xfId="29221"/>
    <cellStyle name="Entrada 2 3 3 2 15" xfId="30215"/>
    <cellStyle name="Entrada 2 3 3 2 16" xfId="31705"/>
    <cellStyle name="Entrada 2 3 3 2 17" xfId="34487"/>
    <cellStyle name="Entrada 2 3 3 2 18" xfId="36662"/>
    <cellStyle name="Entrada 2 3 3 2 19" xfId="38541"/>
    <cellStyle name="Entrada 2 3 3 2 2" xfId="7232"/>
    <cellStyle name="Entrada 2 3 3 2 20" xfId="38946"/>
    <cellStyle name="Entrada 2 3 3 2 21" xfId="40629"/>
    <cellStyle name="Entrada 2 3 3 2 22" xfId="42396"/>
    <cellStyle name="Entrada 2 3 3 2 3" xfId="8686"/>
    <cellStyle name="Entrada 2 3 3 2 4" xfId="10596"/>
    <cellStyle name="Entrada 2 3 3 2 5" xfId="12739"/>
    <cellStyle name="Entrada 2 3 3 2 6" xfId="13055"/>
    <cellStyle name="Entrada 2 3 3 2 7" xfId="14959"/>
    <cellStyle name="Entrada 2 3 3 2 8" xfId="18215"/>
    <cellStyle name="Entrada 2 3 3 2 9" xfId="20121"/>
    <cellStyle name="Entrada 2 3 3 20" xfId="37933"/>
    <cellStyle name="Entrada 2 3 3 21" xfId="40306"/>
    <cellStyle name="Entrada 2 3 3 22" xfId="41962"/>
    <cellStyle name="Entrada 2 3 3 23" xfId="43827"/>
    <cellStyle name="Entrada 2 3 3 3" xfId="5177"/>
    <cellStyle name="Entrada 2 3 3 3 2" xfId="45731"/>
    <cellStyle name="Entrada 2 3 3 3 3" xfId="46120"/>
    <cellStyle name="Entrada 2 3 3 3 4" xfId="46478"/>
    <cellStyle name="Entrada 2 3 3 3 5" xfId="46830"/>
    <cellStyle name="Entrada 2 3 3 3 6" xfId="47145"/>
    <cellStyle name="Entrada 2 3 3 3 7" xfId="47464"/>
    <cellStyle name="Entrada 2 3 3 3 8" xfId="47782"/>
    <cellStyle name="Entrada 2 3 3 4" xfId="8078"/>
    <cellStyle name="Entrada 2 3 3 4 2" xfId="45793"/>
    <cellStyle name="Entrada 2 3 3 4 3" xfId="46182"/>
    <cellStyle name="Entrada 2 3 3 4 4" xfId="46540"/>
    <cellStyle name="Entrada 2 3 3 4 5" xfId="46892"/>
    <cellStyle name="Entrada 2 3 3 4 6" xfId="47207"/>
    <cellStyle name="Entrada 2 3 3 4 7" xfId="47526"/>
    <cellStyle name="Entrada 2 3 3 4 8" xfId="47844"/>
    <cellStyle name="Entrada 2 3 3 5" xfId="9988"/>
    <cellStyle name="Entrada 2 3 3 5 2" xfId="45617"/>
    <cellStyle name="Entrada 2 3 3 5 3" xfId="46006"/>
    <cellStyle name="Entrada 2 3 3 5 4" xfId="46364"/>
    <cellStyle name="Entrada 2 3 3 5 5" xfId="46716"/>
    <cellStyle name="Entrada 2 3 3 5 6" xfId="47031"/>
    <cellStyle name="Entrada 2 3 3 5 7" xfId="47350"/>
    <cellStyle name="Entrada 2 3 3 5 8" xfId="47668"/>
    <cellStyle name="Entrada 2 3 3 6" xfId="12043"/>
    <cellStyle name="Entrada 2 3 3 7" xfId="14554"/>
    <cellStyle name="Entrada 2 3 3 8" xfId="16460"/>
    <cellStyle name="Entrada 2 3 3 9" xfId="17607"/>
    <cellStyle name="Entrada 2 3 4" xfId="4108"/>
    <cellStyle name="Entrada 2 3 4 10" xfId="19743"/>
    <cellStyle name="Entrada 2 3 4 11" xfId="21655"/>
    <cellStyle name="Entrada 2 3 4 12" xfId="23120"/>
    <cellStyle name="Entrada 2 3 4 13" xfId="25457"/>
    <cellStyle name="Entrada 2 3 4 14" xfId="27360"/>
    <cellStyle name="Entrada 2 3 4 15" xfId="28762"/>
    <cellStyle name="Entrada 2 3 4 16" xfId="30948"/>
    <cellStyle name="Entrada 2 3 4 17" xfId="31859"/>
    <cellStyle name="Entrada 2 3 4 18" xfId="34848"/>
    <cellStyle name="Entrada 2 3 4 19" xfId="36284"/>
    <cellStyle name="Entrada 2 3 4 2" xfId="6013"/>
    <cellStyle name="Entrada 2 3 4 2 10" xfId="22263"/>
    <cellStyle name="Entrada 2 3 4 2 11" xfId="22840"/>
    <cellStyle name="Entrada 2 3 4 2 12" xfId="26065"/>
    <cellStyle name="Entrada 2 3 4 2 13" xfId="26336"/>
    <cellStyle name="Entrada 2 3 4 2 14" xfId="28115"/>
    <cellStyle name="Entrada 2 3 4 2 15" xfId="29944"/>
    <cellStyle name="Entrada 2 3 4 2 16" xfId="31959"/>
    <cellStyle name="Entrada 2 3 4 2 17" xfId="34844"/>
    <cellStyle name="Entrada 2 3 4 2 18" xfId="36892"/>
    <cellStyle name="Entrada 2 3 4 2 19" xfId="38771"/>
    <cellStyle name="Entrada 2 3 4 2 2" xfId="7462"/>
    <cellStyle name="Entrada 2 3 4 2 20" xfId="39188"/>
    <cellStyle name="Entrada 2 3 4 2 21" xfId="40869"/>
    <cellStyle name="Entrada 2 3 4 2 22" xfId="42631"/>
    <cellStyle name="Entrada 2 3 4 2 3" xfId="8916"/>
    <cellStyle name="Entrada 2 3 4 2 4" xfId="10826"/>
    <cellStyle name="Entrada 2 3 4 2 5" xfId="12385"/>
    <cellStyle name="Entrada 2 3 4 2 6" xfId="13309"/>
    <cellStyle name="Entrada 2 3 4 2 7" xfId="15213"/>
    <cellStyle name="Entrada 2 3 4 2 8" xfId="18445"/>
    <cellStyle name="Entrada 2 3 4 2 9" xfId="20351"/>
    <cellStyle name="Entrada 2 3 4 20" xfId="38163"/>
    <cellStyle name="Entrada 2 3 4 21" xfId="39094"/>
    <cellStyle name="Entrada 2 3 4 22" xfId="40775"/>
    <cellStyle name="Entrada 2 3 4 23" xfId="42900"/>
    <cellStyle name="Entrada 2 3 4 3" xfId="6854"/>
    <cellStyle name="Entrada 2 3 4 3 2" xfId="45765"/>
    <cellStyle name="Entrada 2 3 4 3 3" xfId="46154"/>
    <cellStyle name="Entrada 2 3 4 3 4" xfId="46512"/>
    <cellStyle name="Entrada 2 3 4 3 5" xfId="46864"/>
    <cellStyle name="Entrada 2 3 4 3 6" xfId="47179"/>
    <cellStyle name="Entrada 2 3 4 3 7" xfId="47498"/>
    <cellStyle name="Entrada 2 3 4 3 8" xfId="47816"/>
    <cellStyle name="Entrada 2 3 4 4" xfId="8308"/>
    <cellStyle name="Entrada 2 3 4 4 2" xfId="45834"/>
    <cellStyle name="Entrada 2 3 4 4 3" xfId="46223"/>
    <cellStyle name="Entrada 2 3 4 4 4" xfId="46581"/>
    <cellStyle name="Entrada 2 3 4 4 5" xfId="46933"/>
    <cellStyle name="Entrada 2 3 4 4 6" xfId="47248"/>
    <cellStyle name="Entrada 2 3 4 4 7" xfId="47567"/>
    <cellStyle name="Entrada 2 3 4 4 8" xfId="47885"/>
    <cellStyle name="Entrada 2 3 4 5" xfId="10218"/>
    <cellStyle name="Entrada 2 3 4 5 2" xfId="45871"/>
    <cellStyle name="Entrada 2 3 4 5 3" xfId="46260"/>
    <cellStyle name="Entrada 2 3 4 5 4" xfId="46618"/>
    <cellStyle name="Entrada 2 3 4 5 5" xfId="46970"/>
    <cellStyle name="Entrada 2 3 4 5 6" xfId="47285"/>
    <cellStyle name="Entrada 2 3 4 5 7" xfId="47604"/>
    <cellStyle name="Entrada 2 3 4 5 8" xfId="47922"/>
    <cellStyle name="Entrada 2 3 4 6" xfId="12737"/>
    <cellStyle name="Entrada 2 3 4 7" xfId="13591"/>
    <cellStyle name="Entrada 2 3 4 8" xfId="15494"/>
    <cellStyle name="Entrada 2 3 4 9" xfId="17837"/>
    <cellStyle name="Entrada 2 3 5" xfId="4456"/>
    <cellStyle name="Entrada 2 3 5 10" xfId="20701"/>
    <cellStyle name="Entrada 2 3 5 11" xfId="23552"/>
    <cellStyle name="Entrada 2 3 5 12" xfId="24503"/>
    <cellStyle name="Entrada 2 3 5 13" xfId="27101"/>
    <cellStyle name="Entrada 2 3 5 14" xfId="28550"/>
    <cellStyle name="Entrada 2 3 5 15" xfId="30692"/>
    <cellStyle name="Entrada 2 3 5 16" xfId="33247"/>
    <cellStyle name="Entrada 2 3 5 17" xfId="34982"/>
    <cellStyle name="Entrada 2 3 5 18" xfId="35331"/>
    <cellStyle name="Entrada 2 3 5 19" xfId="37209"/>
    <cellStyle name="Entrada 2 3 5 2" xfId="2523"/>
    <cellStyle name="Entrada 2 3 5 20" xfId="40435"/>
    <cellStyle name="Entrada 2 3 5 21" xfId="42090"/>
    <cellStyle name="Entrada 2 3 5 22" xfId="43316"/>
    <cellStyle name="Entrada 2 3 5 3" xfId="2479"/>
    <cellStyle name="Entrada 2 3 5 4" xfId="9263"/>
    <cellStyle name="Entrada 2 3 5 5" xfId="12588"/>
    <cellStyle name="Entrada 2 3 5 6" xfId="14024"/>
    <cellStyle name="Entrada 2 3 5 7" xfId="15925"/>
    <cellStyle name="Entrada 2 3 5 8" xfId="16882"/>
    <cellStyle name="Entrada 2 3 5 9" xfId="18789"/>
    <cellStyle name="Entrada 2 3 6" xfId="4377"/>
    <cellStyle name="Entrada 2 3 6 2" xfId="45671"/>
    <cellStyle name="Entrada 2 3 6 3" xfId="46060"/>
    <cellStyle name="Entrada 2 3 6 4" xfId="46418"/>
    <cellStyle name="Entrada 2 3 6 5" xfId="46770"/>
    <cellStyle name="Entrada 2 3 6 6" xfId="47085"/>
    <cellStyle name="Entrada 2 3 6 7" xfId="47404"/>
    <cellStyle name="Entrada 2 3 6 8" xfId="47722"/>
    <cellStyle name="Entrada 2 3 7" xfId="9292"/>
    <cellStyle name="Entrada 2 3 7 2" xfId="45649"/>
    <cellStyle name="Entrada 2 3 7 3" xfId="46038"/>
    <cellStyle name="Entrada 2 3 7 4" xfId="46396"/>
    <cellStyle name="Entrada 2 3 7 5" xfId="46748"/>
    <cellStyle name="Entrada 2 3 7 6" xfId="47063"/>
    <cellStyle name="Entrada 2 3 7 7" xfId="47382"/>
    <cellStyle name="Entrada 2 3 7 8" xfId="47700"/>
    <cellStyle name="Entrada 2 3 8" xfId="10962"/>
    <cellStyle name="Entrada 2 3 9" xfId="13041"/>
    <cellStyle name="Entrada 2 4" xfId="3288"/>
    <cellStyle name="Entrada 2 4 10" xfId="17287"/>
    <cellStyle name="Entrada 2 4 11" xfId="19193"/>
    <cellStyle name="Entrada 2 4 12" xfId="21105"/>
    <cellStyle name="Entrada 2 4 13" xfId="23793"/>
    <cellStyle name="Entrada 2 4 14" xfId="24907"/>
    <cellStyle name="Entrada 2 4 15" xfId="23731"/>
    <cellStyle name="Entrada 2 4 16" xfId="3276"/>
    <cellStyle name="Entrada 2 4 17" xfId="1755"/>
    <cellStyle name="Entrada 2 4 18" xfId="15691"/>
    <cellStyle name="Entrada 2 4 19" xfId="1897"/>
    <cellStyle name="Entrada 2 4 2" xfId="5517"/>
    <cellStyle name="Entrada 2 4 2 10" xfId="21767"/>
    <cellStyle name="Entrada 2 4 2 11" xfId="22657"/>
    <cellStyle name="Entrada 2 4 2 12" xfId="25569"/>
    <cellStyle name="Entrada 2 4 2 13" xfId="27770"/>
    <cellStyle name="Entrada 2 4 2 14" xfId="29392"/>
    <cellStyle name="Entrada 2 4 2 15" xfId="31348"/>
    <cellStyle name="Entrada 2 4 2 16" xfId="33027"/>
    <cellStyle name="Entrada 2 4 2 17" xfId="33485"/>
    <cellStyle name="Entrada 2 4 2 18" xfId="36396"/>
    <cellStyle name="Entrada 2 4 2 19" xfId="38275"/>
    <cellStyle name="Entrada 2 4 2 2" xfId="6966"/>
    <cellStyle name="Entrada 2 4 2 2 2" xfId="45950"/>
    <cellStyle name="Entrada 2 4 2 2 3" xfId="46308"/>
    <cellStyle name="Entrada 2 4 2 2 4" xfId="46660"/>
    <cellStyle name="Entrada 2 4 2 2 5" xfId="45532"/>
    <cellStyle name="Entrada 2 4 2 20" xfId="40227"/>
    <cellStyle name="Entrada 2 4 2 21" xfId="41886"/>
    <cellStyle name="Entrada 2 4 2 22" xfId="42463"/>
    <cellStyle name="Entrada 2 4 2 3" xfId="8420"/>
    <cellStyle name="Entrada 2 4 2 3 2" xfId="45723"/>
    <cellStyle name="Entrada 2 4 2 3 3" xfId="46112"/>
    <cellStyle name="Entrada 2 4 2 3 4" xfId="46470"/>
    <cellStyle name="Entrada 2 4 2 3 5" xfId="46822"/>
    <cellStyle name="Entrada 2 4 2 3 6" xfId="47137"/>
    <cellStyle name="Entrada 2 4 2 3 7" xfId="47456"/>
    <cellStyle name="Entrada 2 4 2 3 8" xfId="47774"/>
    <cellStyle name="Entrada 2 4 2 4" xfId="10330"/>
    <cellStyle name="Entrada 2 4 2 4 2" xfId="45785"/>
    <cellStyle name="Entrada 2 4 2 4 3" xfId="46174"/>
    <cellStyle name="Entrada 2 4 2 4 4" xfId="46532"/>
    <cellStyle name="Entrada 2 4 2 4 5" xfId="46884"/>
    <cellStyle name="Entrada 2 4 2 4 6" xfId="47199"/>
    <cellStyle name="Entrada 2 4 2 4 7" xfId="47518"/>
    <cellStyle name="Entrada 2 4 2 4 8" xfId="47836"/>
    <cellStyle name="Entrada 2 4 2 5" xfId="11449"/>
    <cellStyle name="Entrada 2 4 2 5 2" xfId="45612"/>
    <cellStyle name="Entrada 2 4 2 5 3" xfId="46001"/>
    <cellStyle name="Entrada 2 4 2 5 4" xfId="46359"/>
    <cellStyle name="Entrada 2 4 2 5 5" xfId="46711"/>
    <cellStyle name="Entrada 2 4 2 5 6" xfId="47026"/>
    <cellStyle name="Entrada 2 4 2 5 7" xfId="47345"/>
    <cellStyle name="Entrada 2 4 2 5 8" xfId="47663"/>
    <cellStyle name="Entrada 2 4 2 6" xfId="13124"/>
    <cellStyle name="Entrada 2 4 2 7" xfId="15029"/>
    <cellStyle name="Entrada 2 4 2 8" xfId="17949"/>
    <cellStyle name="Entrada 2 4 2 9" xfId="19855"/>
    <cellStyle name="Entrada 2 4 20" xfId="35734"/>
    <cellStyle name="Entrada 2 4 21" xfId="37613"/>
    <cellStyle name="Entrada 2 4 22" xfId="26639"/>
    <cellStyle name="Entrada 2 4 23" xfId="29239"/>
    <cellStyle name="Entrada 2 4 24" xfId="43546"/>
    <cellStyle name="Entrada 2 4 3" xfId="4857"/>
    <cellStyle name="Entrada 2 4 3 2" xfId="45356"/>
    <cellStyle name="Entrada 2 4 3 2 2" xfId="45958"/>
    <cellStyle name="Entrada 2 4 3 2 3" xfId="46316"/>
    <cellStyle name="Entrada 2 4 3 2 4" xfId="46668"/>
    <cellStyle name="Entrada 2 4 3 2 5" xfId="47620"/>
    <cellStyle name="Entrada 2 4 3 3" xfId="45414"/>
    <cellStyle name="Entrada 2 4 3 3 2" xfId="45738"/>
    <cellStyle name="Entrada 2 4 3 3 3" xfId="46127"/>
    <cellStyle name="Entrada 2 4 3 3 4" xfId="46485"/>
    <cellStyle name="Entrada 2 4 3 3 5" xfId="46837"/>
    <cellStyle name="Entrada 2 4 3 3 6" xfId="47152"/>
    <cellStyle name="Entrada 2 4 3 3 7" xfId="47471"/>
    <cellStyle name="Entrada 2 4 3 3 8" xfId="47789"/>
    <cellStyle name="Entrada 2 4 3 4" xfId="45441"/>
    <cellStyle name="Entrada 2 4 3 4 2" xfId="45800"/>
    <cellStyle name="Entrada 2 4 3 4 3" xfId="46189"/>
    <cellStyle name="Entrada 2 4 3 4 4" xfId="46547"/>
    <cellStyle name="Entrada 2 4 3 4 5" xfId="46899"/>
    <cellStyle name="Entrada 2 4 3 4 6" xfId="47214"/>
    <cellStyle name="Entrada 2 4 3 4 7" xfId="47533"/>
    <cellStyle name="Entrada 2 4 3 4 8" xfId="47851"/>
    <cellStyle name="Entrada 2 4 3 5" xfId="45465"/>
    <cellStyle name="Entrada 2 4 3 5 2" xfId="45853"/>
    <cellStyle name="Entrada 2 4 3 5 3" xfId="46242"/>
    <cellStyle name="Entrada 2 4 3 5 4" xfId="46600"/>
    <cellStyle name="Entrada 2 4 3 5 5" xfId="46952"/>
    <cellStyle name="Entrada 2 4 3 5 6" xfId="47267"/>
    <cellStyle name="Entrada 2 4 3 5 7" xfId="47586"/>
    <cellStyle name="Entrada 2 4 3 5 8" xfId="47904"/>
    <cellStyle name="Entrada 2 4 3 6" xfId="45905"/>
    <cellStyle name="Entrada 2 4 3 7" xfId="45528"/>
    <cellStyle name="Entrada 2 4 3 8" xfId="47322"/>
    <cellStyle name="Entrada 2 4 3 9" xfId="45325"/>
    <cellStyle name="Entrada 2 4 4" xfId="6307"/>
    <cellStyle name="Entrada 2 4 4 2" xfId="45369"/>
    <cellStyle name="Entrada 2 4 4 2 2" xfId="45976"/>
    <cellStyle name="Entrada 2 4 4 2 3" xfId="46334"/>
    <cellStyle name="Entrada 2 4 4 2 4" xfId="46686"/>
    <cellStyle name="Entrada 2 4 4 2 5" xfId="47638"/>
    <cellStyle name="Entrada 2 4 4 3" xfId="45428"/>
    <cellStyle name="Entrada 2 4 4 3 2" xfId="45772"/>
    <cellStyle name="Entrada 2 4 4 3 3" xfId="46161"/>
    <cellStyle name="Entrada 2 4 4 3 4" xfId="46519"/>
    <cellStyle name="Entrada 2 4 4 3 5" xfId="46871"/>
    <cellStyle name="Entrada 2 4 4 3 6" xfId="47186"/>
    <cellStyle name="Entrada 2 4 4 3 7" xfId="47505"/>
    <cellStyle name="Entrada 2 4 4 3 8" xfId="47823"/>
    <cellStyle name="Entrada 2 4 4 4" xfId="45458"/>
    <cellStyle name="Entrada 2 4 4 4 2" xfId="45841"/>
    <cellStyle name="Entrada 2 4 4 4 3" xfId="46230"/>
    <cellStyle name="Entrada 2 4 4 4 4" xfId="46588"/>
    <cellStyle name="Entrada 2 4 4 4 5" xfId="46940"/>
    <cellStyle name="Entrada 2 4 4 4 6" xfId="47255"/>
    <cellStyle name="Entrada 2 4 4 4 7" xfId="47574"/>
    <cellStyle name="Entrada 2 4 4 4 8" xfId="47892"/>
    <cellStyle name="Entrada 2 4 4 5" xfId="45478"/>
    <cellStyle name="Entrada 2 4 4 5 2" xfId="45878"/>
    <cellStyle name="Entrada 2 4 4 5 3" xfId="46267"/>
    <cellStyle name="Entrada 2 4 4 5 4" xfId="46625"/>
    <cellStyle name="Entrada 2 4 4 5 5" xfId="46977"/>
    <cellStyle name="Entrada 2 4 4 5 6" xfId="47292"/>
    <cellStyle name="Entrada 2 4 4 5 7" xfId="47611"/>
    <cellStyle name="Entrada 2 4 4 5 8" xfId="47929"/>
    <cellStyle name="Entrada 2 4 4 6" xfId="45918"/>
    <cellStyle name="Entrada 2 4 4 7" xfId="45573"/>
    <cellStyle name="Entrada 2 4 4 8" xfId="45499"/>
    <cellStyle name="Entrada 2 4 4 9" xfId="47949"/>
    <cellStyle name="Entrada 2 4 5" xfId="7758"/>
    <cellStyle name="Entrada 2 4 5 2" xfId="45576"/>
    <cellStyle name="Entrada 2 4 5 3" xfId="45925"/>
    <cellStyle name="Entrada 2 4 5 4" xfId="46283"/>
    <cellStyle name="Entrada 2 4 5 5" xfId="46635"/>
    <cellStyle name="Entrada 2 4 5 6" xfId="46986"/>
    <cellStyle name="Entrada 2 4 5 7" xfId="47303"/>
    <cellStyle name="Entrada 2 4 5 8" xfId="46275"/>
    <cellStyle name="Entrada 2 4 6" xfId="9668"/>
    <cellStyle name="Entrada 2 4 6 2" xfId="45672"/>
    <cellStyle name="Entrada 2 4 6 3" xfId="46061"/>
    <cellStyle name="Entrada 2 4 6 4" xfId="46419"/>
    <cellStyle name="Entrada 2 4 6 5" xfId="46771"/>
    <cellStyle name="Entrada 2 4 6 6" xfId="47086"/>
    <cellStyle name="Entrada 2 4 6 7" xfId="47405"/>
    <cellStyle name="Entrada 2 4 6 8" xfId="47723"/>
    <cellStyle name="Entrada 2 4 7" xfId="11503"/>
    <cellStyle name="Entrada 2 4 7 2" xfId="45824"/>
    <cellStyle name="Entrada 2 4 7 3" xfId="46213"/>
    <cellStyle name="Entrada 2 4 7 4" xfId="46571"/>
    <cellStyle name="Entrada 2 4 7 5" xfId="46923"/>
    <cellStyle name="Entrada 2 4 7 6" xfId="47238"/>
    <cellStyle name="Entrada 2 4 7 7" xfId="47557"/>
    <cellStyle name="Entrada 2 4 7 8" xfId="47875"/>
    <cellStyle name="Entrada 2 4 8" xfId="14263"/>
    <cellStyle name="Entrada 2 4 9" xfId="16167"/>
    <cellStyle name="Entrada 2 5" xfId="2738"/>
    <cellStyle name="Entrada 2 5 10" xfId="19102"/>
    <cellStyle name="Entrada 2 5 11" xfId="21014"/>
    <cellStyle name="Entrada 2 5 12" xfId="22979"/>
    <cellStyle name="Entrada 2 5 13" xfId="24816"/>
    <cellStyle name="Entrada 2 5 14" xfId="27391"/>
    <cellStyle name="Entrada 2 5 15" xfId="29664"/>
    <cellStyle name="Entrada 2 5 16" xfId="30977"/>
    <cellStyle name="Entrada 2 5 17" xfId="32835"/>
    <cellStyle name="Entrada 2 5 18" xfId="34118"/>
    <cellStyle name="Entrada 2 5 19" xfId="35643"/>
    <cellStyle name="Entrada 2 5 2" xfId="5562"/>
    <cellStyle name="Entrada 2 5 2 10" xfId="21812"/>
    <cellStyle name="Entrada 2 5 2 11" xfId="24075"/>
    <cellStyle name="Entrada 2 5 2 12" xfId="25614"/>
    <cellStyle name="Entrada 2 5 2 13" xfId="27670"/>
    <cellStyle name="Entrada 2 5 2 14" xfId="27328"/>
    <cellStyle name="Entrada 2 5 2 15" xfId="31246"/>
    <cellStyle name="Entrada 2 5 2 16" xfId="31886"/>
    <cellStyle name="Entrada 2 5 2 17" xfId="34036"/>
    <cellStyle name="Entrada 2 5 2 18" xfId="36441"/>
    <cellStyle name="Entrada 2 5 2 19" xfId="38320"/>
    <cellStyle name="Entrada 2 5 2 2" xfId="7011"/>
    <cellStyle name="Entrada 2 5 2 2 2" xfId="45585"/>
    <cellStyle name="Entrada 2 5 2 2 3" xfId="45939"/>
    <cellStyle name="Entrada 2 5 2 2 4" xfId="46297"/>
    <cellStyle name="Entrada 2 5 2 2 5" xfId="46649"/>
    <cellStyle name="Entrada 2 5 2 2 6" xfId="46995"/>
    <cellStyle name="Entrada 2 5 2 2 7" xfId="47314"/>
    <cellStyle name="Entrada 2 5 2 2 8" xfId="45535"/>
    <cellStyle name="Entrada 2 5 2 20" xfId="39121"/>
    <cellStyle name="Entrada 2 5 2 21" xfId="40802"/>
    <cellStyle name="Entrada 2 5 2 22" xfId="43819"/>
    <cellStyle name="Entrada 2 5 2 3" xfId="8465"/>
    <cellStyle name="Entrada 2 5 2 3 2" xfId="45703"/>
    <cellStyle name="Entrada 2 5 2 3 3" xfId="46092"/>
    <cellStyle name="Entrada 2 5 2 3 4" xfId="46450"/>
    <cellStyle name="Entrada 2 5 2 3 5" xfId="46802"/>
    <cellStyle name="Entrada 2 5 2 3 6" xfId="47117"/>
    <cellStyle name="Entrada 2 5 2 3 7" xfId="47436"/>
    <cellStyle name="Entrada 2 5 2 3 8" xfId="47754"/>
    <cellStyle name="Entrada 2 5 2 4" xfId="10375"/>
    <cellStyle name="Entrada 2 5 2 4 2" xfId="45604"/>
    <cellStyle name="Entrada 2 5 2 4 3" xfId="45993"/>
    <cellStyle name="Entrada 2 5 2 4 4" xfId="46351"/>
    <cellStyle name="Entrada 2 5 2 4 5" xfId="46703"/>
    <cellStyle name="Entrada 2 5 2 4 6" xfId="47018"/>
    <cellStyle name="Entrada 2 5 2 4 7" xfId="47337"/>
    <cellStyle name="Entrada 2 5 2 4 8" xfId="47655"/>
    <cellStyle name="Entrada 2 5 2 5" xfId="12034"/>
    <cellStyle name="Entrada 2 5 2 6" xfId="14545"/>
    <cellStyle name="Entrada 2 5 2 7" xfId="16451"/>
    <cellStyle name="Entrada 2 5 2 8" xfId="17994"/>
    <cellStyle name="Entrada 2 5 2 9" xfId="19900"/>
    <cellStyle name="Entrada 2 5 20" xfId="37522"/>
    <cellStyle name="Entrada 2 5 21" xfId="40043"/>
    <cellStyle name="Entrada 2 5 22" xfId="41707"/>
    <cellStyle name="Entrada 2 5 23" xfId="42765"/>
    <cellStyle name="Entrada 2 5 3" xfId="4767"/>
    <cellStyle name="Entrada 2 5 3 2" xfId="45348"/>
    <cellStyle name="Entrada 2 5 3 2 2" xfId="45947"/>
    <cellStyle name="Entrada 2 5 3 2 3" xfId="46305"/>
    <cellStyle name="Entrada 2 5 3 2 4" xfId="46657"/>
    <cellStyle name="Entrada 2 5 3 2 5" xfId="45885"/>
    <cellStyle name="Entrada 2 5 3 3" xfId="45406"/>
    <cellStyle name="Entrada 2 5 3 3 2" xfId="45719"/>
    <cellStyle name="Entrada 2 5 3 3 3" xfId="46108"/>
    <cellStyle name="Entrada 2 5 3 3 4" xfId="46466"/>
    <cellStyle name="Entrada 2 5 3 3 5" xfId="46818"/>
    <cellStyle name="Entrada 2 5 3 3 6" xfId="47133"/>
    <cellStyle name="Entrada 2 5 3 3 7" xfId="47452"/>
    <cellStyle name="Entrada 2 5 3 3 8" xfId="47770"/>
    <cellStyle name="Entrada 2 5 3 4" xfId="45433"/>
    <cellStyle name="Entrada 2 5 3 4 2" xfId="45781"/>
    <cellStyle name="Entrada 2 5 3 4 3" xfId="46170"/>
    <cellStyle name="Entrada 2 5 3 4 4" xfId="46528"/>
    <cellStyle name="Entrada 2 5 3 4 5" xfId="46880"/>
    <cellStyle name="Entrada 2 5 3 4 6" xfId="47195"/>
    <cellStyle name="Entrada 2 5 3 4 7" xfId="47514"/>
    <cellStyle name="Entrada 2 5 3 4 8" xfId="47832"/>
    <cellStyle name="Entrada 2 5 3 5" xfId="45379"/>
    <cellStyle name="Entrada 2 5 3 5 2" xfId="45610"/>
    <cellStyle name="Entrada 2 5 3 5 3" xfId="45999"/>
    <cellStyle name="Entrada 2 5 3 5 4" xfId="46357"/>
    <cellStyle name="Entrada 2 5 3 5 5" xfId="46709"/>
    <cellStyle name="Entrada 2 5 3 5 6" xfId="47024"/>
    <cellStyle name="Entrada 2 5 3 5 7" xfId="47343"/>
    <cellStyle name="Entrada 2 5 3 5 8" xfId="47661"/>
    <cellStyle name="Entrada 2 5 3 6" xfId="45897"/>
    <cellStyle name="Entrada 2 5 3 7" xfId="45542"/>
    <cellStyle name="Entrada 2 5 3 8" xfId="45517"/>
    <cellStyle name="Entrada 2 5 3 9" xfId="45317"/>
    <cellStyle name="Entrada 2 5 4" xfId="7667"/>
    <cellStyle name="Entrada 2 5 4 2" xfId="45353"/>
    <cellStyle name="Entrada 2 5 4 2 2" xfId="45955"/>
    <cellStyle name="Entrada 2 5 4 2 3" xfId="46313"/>
    <cellStyle name="Entrada 2 5 4 2 4" xfId="46665"/>
    <cellStyle name="Entrada 2 5 4 2 5" xfId="45544"/>
    <cellStyle name="Entrada 2 5 4 3" xfId="45411"/>
    <cellStyle name="Entrada 2 5 4 3 2" xfId="45734"/>
    <cellStyle name="Entrada 2 5 4 3 3" xfId="46123"/>
    <cellStyle name="Entrada 2 5 4 3 4" xfId="46481"/>
    <cellStyle name="Entrada 2 5 4 3 5" xfId="46833"/>
    <cellStyle name="Entrada 2 5 4 3 6" xfId="47148"/>
    <cellStyle name="Entrada 2 5 4 3 7" xfId="47467"/>
    <cellStyle name="Entrada 2 5 4 3 8" xfId="47785"/>
    <cellStyle name="Entrada 2 5 4 4" xfId="45438"/>
    <cellStyle name="Entrada 2 5 4 4 2" xfId="45796"/>
    <cellStyle name="Entrada 2 5 4 4 3" xfId="46185"/>
    <cellStyle name="Entrada 2 5 4 4 4" xfId="46543"/>
    <cellStyle name="Entrada 2 5 4 4 5" xfId="46895"/>
    <cellStyle name="Entrada 2 5 4 4 6" xfId="47210"/>
    <cellStyle name="Entrada 2 5 4 4 7" xfId="47529"/>
    <cellStyle name="Entrada 2 5 4 4 8" xfId="47847"/>
    <cellStyle name="Entrada 2 5 4 5" xfId="45462"/>
    <cellStyle name="Entrada 2 5 4 5 2" xfId="45849"/>
    <cellStyle name="Entrada 2 5 4 5 3" xfId="46238"/>
    <cellStyle name="Entrada 2 5 4 5 4" xfId="46596"/>
    <cellStyle name="Entrada 2 5 4 5 5" xfId="46948"/>
    <cellStyle name="Entrada 2 5 4 5 6" xfId="47263"/>
    <cellStyle name="Entrada 2 5 4 5 7" xfId="47582"/>
    <cellStyle name="Entrada 2 5 4 5 8" xfId="47900"/>
    <cellStyle name="Entrada 2 5 4 6" xfId="45902"/>
    <cellStyle name="Entrada 2 5 4 7" xfId="45553"/>
    <cellStyle name="Entrada 2 5 4 8" xfId="47318"/>
    <cellStyle name="Entrada 2 5 4 9" xfId="45322"/>
    <cellStyle name="Entrada 2 5 5" xfId="9577"/>
    <cellStyle name="Entrada 2 5 5 2" xfId="45361"/>
    <cellStyle name="Entrada 2 5 5 2 2" xfId="45963"/>
    <cellStyle name="Entrada 2 5 5 2 3" xfId="46321"/>
    <cellStyle name="Entrada 2 5 5 2 4" xfId="46673"/>
    <cellStyle name="Entrada 2 5 5 2 5" xfId="47625"/>
    <cellStyle name="Entrada 2 5 5 3" xfId="45419"/>
    <cellStyle name="Entrada 2 5 5 3 2" xfId="45746"/>
    <cellStyle name="Entrada 2 5 5 3 3" xfId="46135"/>
    <cellStyle name="Entrada 2 5 5 3 4" xfId="46493"/>
    <cellStyle name="Entrada 2 5 5 3 5" xfId="46845"/>
    <cellStyle name="Entrada 2 5 5 3 6" xfId="47160"/>
    <cellStyle name="Entrada 2 5 5 3 7" xfId="47479"/>
    <cellStyle name="Entrada 2 5 5 3 8" xfId="47797"/>
    <cellStyle name="Entrada 2 5 5 4" xfId="45446"/>
    <cellStyle name="Entrada 2 5 5 4 2" xfId="45808"/>
    <cellStyle name="Entrada 2 5 5 4 3" xfId="46197"/>
    <cellStyle name="Entrada 2 5 5 4 4" xfId="46555"/>
    <cellStyle name="Entrada 2 5 5 4 5" xfId="46907"/>
    <cellStyle name="Entrada 2 5 5 4 6" xfId="47222"/>
    <cellStyle name="Entrada 2 5 5 4 7" xfId="47541"/>
    <cellStyle name="Entrada 2 5 5 4 8" xfId="47859"/>
    <cellStyle name="Entrada 2 5 5 5" xfId="45470"/>
    <cellStyle name="Entrada 2 5 5 5 2" xfId="45861"/>
    <cellStyle name="Entrada 2 5 5 5 3" xfId="46250"/>
    <cellStyle name="Entrada 2 5 5 5 4" xfId="46608"/>
    <cellStyle name="Entrada 2 5 5 5 5" xfId="46960"/>
    <cellStyle name="Entrada 2 5 5 5 6" xfId="47275"/>
    <cellStyle name="Entrada 2 5 5 5 7" xfId="47594"/>
    <cellStyle name="Entrada 2 5 5 5 8" xfId="47912"/>
    <cellStyle name="Entrada 2 5 5 6" xfId="45910"/>
    <cellStyle name="Entrada 2 5 5 7" xfId="46274"/>
    <cellStyle name="Entrada 2 5 5 8" xfId="46279"/>
    <cellStyle name="Entrada 2 5 5 9" xfId="47941"/>
    <cellStyle name="Entrada 2 5 6" xfId="11334"/>
    <cellStyle name="Entrada 2 5 6 10" xfId="47946"/>
    <cellStyle name="Entrada 2 5 6 2" xfId="45366"/>
    <cellStyle name="Entrada 2 5 6 2 2" xfId="45973"/>
    <cellStyle name="Entrada 2 5 6 2 3" xfId="46331"/>
    <cellStyle name="Entrada 2 5 6 2 4" xfId="46683"/>
    <cellStyle name="Entrada 2 5 6 2 5" xfId="47635"/>
    <cellStyle name="Entrada 2 5 6 3" xfId="45425"/>
    <cellStyle name="Entrada 2 5 6 3 2" xfId="45768"/>
    <cellStyle name="Entrada 2 5 6 3 3" xfId="46157"/>
    <cellStyle name="Entrada 2 5 6 3 4" xfId="46515"/>
    <cellStyle name="Entrada 2 5 6 3 5" xfId="46867"/>
    <cellStyle name="Entrada 2 5 6 3 6" xfId="47182"/>
    <cellStyle name="Entrada 2 5 6 3 7" xfId="47501"/>
    <cellStyle name="Entrada 2 5 6 3 8" xfId="47819"/>
    <cellStyle name="Entrada 2 5 6 4" xfId="45455"/>
    <cellStyle name="Entrada 2 5 6 4 2" xfId="45837"/>
    <cellStyle name="Entrada 2 5 6 4 3" xfId="46226"/>
    <cellStyle name="Entrada 2 5 6 4 4" xfId="46584"/>
    <cellStyle name="Entrada 2 5 6 4 5" xfId="46936"/>
    <cellStyle name="Entrada 2 5 6 4 6" xfId="47251"/>
    <cellStyle name="Entrada 2 5 6 4 7" xfId="47570"/>
    <cellStyle name="Entrada 2 5 6 4 8" xfId="47888"/>
    <cellStyle name="Entrada 2 5 6 5" xfId="45475"/>
    <cellStyle name="Entrada 2 5 6 5 2" xfId="45874"/>
    <cellStyle name="Entrada 2 5 6 5 3" xfId="46263"/>
    <cellStyle name="Entrada 2 5 6 5 4" xfId="46621"/>
    <cellStyle name="Entrada 2 5 6 5 5" xfId="46973"/>
    <cellStyle name="Entrada 2 5 6 5 6" xfId="47288"/>
    <cellStyle name="Entrada 2 5 6 5 7" xfId="47607"/>
    <cellStyle name="Entrada 2 5 6 5 8" xfId="47925"/>
    <cellStyle name="Entrada 2 5 6 6" xfId="45915"/>
    <cellStyle name="Entrada 2 5 6 7" xfId="45548"/>
    <cellStyle name="Entrada 2 5 6 8" xfId="45497"/>
    <cellStyle name="Entrada 2 5 6 9" xfId="45331"/>
    <cellStyle name="Entrada 2 5 7" xfId="13448"/>
    <cellStyle name="Entrada 2 5 7 2" xfId="45577"/>
    <cellStyle name="Entrada 2 5 7 3" xfId="45926"/>
    <cellStyle name="Entrada 2 5 7 4" xfId="46284"/>
    <cellStyle name="Entrada 2 5 7 5" xfId="46636"/>
    <cellStyle name="Entrada 2 5 7 6" xfId="46987"/>
    <cellStyle name="Entrada 2 5 7 7" xfId="47304"/>
    <cellStyle name="Entrada 2 5 7 8" xfId="45500"/>
    <cellStyle name="Entrada 2 5 8" xfId="15353"/>
    <cellStyle name="Entrada 2 5 8 2" xfId="45673"/>
    <cellStyle name="Entrada 2 5 8 3" xfId="46062"/>
    <cellStyle name="Entrada 2 5 8 4" xfId="46420"/>
    <cellStyle name="Entrada 2 5 8 5" xfId="46772"/>
    <cellStyle name="Entrada 2 5 8 6" xfId="47087"/>
    <cellStyle name="Entrada 2 5 8 7" xfId="47406"/>
    <cellStyle name="Entrada 2 5 8 8" xfId="47724"/>
    <cellStyle name="Entrada 2 5 9" xfId="17196"/>
    <cellStyle name="Entrada 2 6" xfId="3248"/>
    <cellStyle name="Entrada 2 6 10" xfId="19187"/>
    <cellStyle name="Entrada 2 6 11" xfId="21099"/>
    <cellStyle name="Entrada 2 6 12" xfId="23612"/>
    <cellStyle name="Entrada 2 6 13" xfId="24901"/>
    <cellStyle name="Entrada 2 6 14" xfId="26847"/>
    <cellStyle name="Entrada 2 6 15" xfId="29594"/>
    <cellStyle name="Entrada 2 6 16" xfId="30444"/>
    <cellStyle name="Entrada 2 6 17" xfId="32257"/>
    <cellStyle name="Entrada 2 6 18" xfId="33683"/>
    <cellStyle name="Entrada 2 6 19" xfId="35728"/>
    <cellStyle name="Entrada 2 6 2" xfId="4612"/>
    <cellStyle name="Entrada 2 6 2 10" xfId="20857"/>
    <cellStyle name="Entrada 2 6 2 11" xfId="23500"/>
    <cellStyle name="Entrada 2 6 2 12" xfId="24659"/>
    <cellStyle name="Entrada 2 6 2 13" xfId="26230"/>
    <cellStyle name="Entrada 2 6 2 14" xfId="2192"/>
    <cellStyle name="Entrada 2 6 2 15" xfId="29840"/>
    <cellStyle name="Entrada 2 6 2 16" xfId="33317"/>
    <cellStyle name="Entrada 2 6 2 17" xfId="12534"/>
    <cellStyle name="Entrada 2 6 2 18" xfId="35487"/>
    <cellStyle name="Entrada 2 6 2 19" xfId="37365"/>
    <cellStyle name="Entrada 2 6 2 2" xfId="6060"/>
    <cellStyle name="Entrada 2 6 2 20" xfId="40497"/>
    <cellStyle name="Entrada 2 6 2 21" xfId="42150"/>
    <cellStyle name="Entrada 2 6 2 22" xfId="43266"/>
    <cellStyle name="Entrada 2 6 2 3" xfId="7509"/>
    <cellStyle name="Entrada 2 6 2 4" xfId="9419"/>
    <cellStyle name="Entrada 2 6 2 5" xfId="12537"/>
    <cellStyle name="Entrada 2 6 2 6" xfId="13972"/>
    <cellStyle name="Entrada 2 6 2 7" xfId="15873"/>
    <cellStyle name="Entrada 2 6 2 8" xfId="17038"/>
    <cellStyle name="Entrada 2 6 2 9" xfId="18945"/>
    <cellStyle name="Entrada 2 6 20" xfId="37607"/>
    <cellStyle name="Entrada 2 6 21" xfId="39475"/>
    <cellStyle name="Entrada 2 6 22" xfId="41150"/>
    <cellStyle name="Entrada 2 6 23" xfId="43370"/>
    <cellStyle name="Entrada 2 6 3" xfId="6301"/>
    <cellStyle name="Entrada 2 6 3 2" xfId="45669"/>
    <cellStyle name="Entrada 2 6 3 3" xfId="46058"/>
    <cellStyle name="Entrada 2 6 3 4" xfId="46416"/>
    <cellStyle name="Entrada 2 6 3 5" xfId="46768"/>
    <cellStyle name="Entrada 2 6 3 6" xfId="47083"/>
    <cellStyle name="Entrada 2 6 3 7" xfId="47402"/>
    <cellStyle name="Entrada 2 6 3 8" xfId="47720"/>
    <cellStyle name="Entrada 2 6 4" xfId="7752"/>
    <cellStyle name="Entrada 2 6 4 2" xfId="45648"/>
    <cellStyle name="Entrada 2 6 4 3" xfId="46037"/>
    <cellStyle name="Entrada 2 6 4 4" xfId="46395"/>
    <cellStyle name="Entrada 2 6 4 5" xfId="46747"/>
    <cellStyle name="Entrada 2 6 4 6" xfId="47062"/>
    <cellStyle name="Entrada 2 6 4 7" xfId="47381"/>
    <cellStyle name="Entrada 2 6 4 8" xfId="47699"/>
    <cellStyle name="Entrada 2 6 5" xfId="9662"/>
    <cellStyle name="Entrada 2 6 6" xfId="11797"/>
    <cellStyle name="Entrada 2 6 7" xfId="14082"/>
    <cellStyle name="Entrada 2 6 8" xfId="15985"/>
    <cellStyle name="Entrada 2 6 9" xfId="17281"/>
    <cellStyle name="Entrada 2 7" xfId="2147"/>
    <cellStyle name="Entrada 2 7 2" xfId="45341"/>
    <cellStyle name="Entrada 2 7 2 2" xfId="45935"/>
    <cellStyle name="Entrada 2 7 2 3" xfId="46293"/>
    <cellStyle name="Entrada 2 7 2 4" xfId="46645"/>
    <cellStyle name="Entrada 2 7 2 5" xfId="45530"/>
    <cellStyle name="Entrada 2 7 3" xfId="45399"/>
    <cellStyle name="Entrada 2 7 3 2" xfId="45698"/>
    <cellStyle name="Entrada 2 7 3 3" xfId="46087"/>
    <cellStyle name="Entrada 2 7 3 4" xfId="46445"/>
    <cellStyle name="Entrada 2 7 3 5" xfId="46797"/>
    <cellStyle name="Entrada 2 7 3 6" xfId="47112"/>
    <cellStyle name="Entrada 2 7 3 7" xfId="47431"/>
    <cellStyle name="Entrada 2 7 3 8" xfId="47749"/>
    <cellStyle name="Entrada 2 7 4" xfId="45378"/>
    <cellStyle name="Entrada 2 7 4 2" xfId="45609"/>
    <cellStyle name="Entrada 2 7 4 3" xfId="45998"/>
    <cellStyle name="Entrada 2 7 4 4" xfId="46356"/>
    <cellStyle name="Entrada 2 7 4 5" xfId="46708"/>
    <cellStyle name="Entrada 2 7 4 6" xfId="47023"/>
    <cellStyle name="Entrada 2 7 4 7" xfId="47342"/>
    <cellStyle name="Entrada 2 7 4 8" xfId="47660"/>
    <cellStyle name="Entrada 2 7 5" xfId="45452"/>
    <cellStyle name="Entrada 2 7 5 2" xfId="45817"/>
    <cellStyle name="Entrada 2 7 5 3" xfId="46206"/>
    <cellStyle name="Entrada 2 7 5 4" xfId="46564"/>
    <cellStyle name="Entrada 2 7 5 5" xfId="46916"/>
    <cellStyle name="Entrada 2 7 5 6" xfId="47231"/>
    <cellStyle name="Entrada 2 7 5 7" xfId="47550"/>
    <cellStyle name="Entrada 2 7 5 8" xfId="47868"/>
    <cellStyle name="Entrada 2 7 6" xfId="45890"/>
    <cellStyle name="Entrada 2 7 7" xfId="45498"/>
    <cellStyle name="Entrada 2 7 8" xfId="45513"/>
    <cellStyle name="Entrada 2 7 9" xfId="45310"/>
    <cellStyle name="Entrada 2 8" xfId="4325"/>
    <cellStyle name="Entrada 2 8 2" xfId="45342"/>
    <cellStyle name="Entrada 2 8 2 2" xfId="45936"/>
    <cellStyle name="Entrada 2 8 2 3" xfId="46294"/>
    <cellStyle name="Entrada 2 8 2 4" xfId="46646"/>
    <cellStyle name="Entrada 2 8 2 5" xfId="45551"/>
    <cellStyle name="Entrada 2 8 3" xfId="45400"/>
    <cellStyle name="Entrada 2 8 3 2" xfId="45699"/>
    <cellStyle name="Entrada 2 8 3 3" xfId="46088"/>
    <cellStyle name="Entrada 2 8 3 4" xfId="46446"/>
    <cellStyle name="Entrada 2 8 3 5" xfId="46798"/>
    <cellStyle name="Entrada 2 8 3 6" xfId="47113"/>
    <cellStyle name="Entrada 2 8 3 7" xfId="47432"/>
    <cellStyle name="Entrada 2 8 3 8" xfId="47750"/>
    <cellStyle name="Entrada 2 8 4" xfId="45377"/>
    <cellStyle name="Entrada 2 8 4 2" xfId="45608"/>
    <cellStyle name="Entrada 2 8 4 3" xfId="45997"/>
    <cellStyle name="Entrada 2 8 4 4" xfId="46355"/>
    <cellStyle name="Entrada 2 8 4 5" xfId="46707"/>
    <cellStyle name="Entrada 2 8 4 6" xfId="47022"/>
    <cellStyle name="Entrada 2 8 4 7" xfId="47341"/>
    <cellStyle name="Entrada 2 8 4 8" xfId="47659"/>
    <cellStyle name="Entrada 2 8 5" xfId="45393"/>
    <cellStyle name="Entrada 2 8 5 2" xfId="45657"/>
    <cellStyle name="Entrada 2 8 5 3" xfId="46046"/>
    <cellStyle name="Entrada 2 8 5 4" xfId="46404"/>
    <cellStyle name="Entrada 2 8 5 5" xfId="46756"/>
    <cellStyle name="Entrada 2 8 5 6" xfId="47071"/>
    <cellStyle name="Entrada 2 8 5 7" xfId="47390"/>
    <cellStyle name="Entrada 2 8 5 8" xfId="47708"/>
    <cellStyle name="Entrada 2 8 6" xfId="45891"/>
    <cellStyle name="Entrada 2 8 7" xfId="45484"/>
    <cellStyle name="Entrada 2 8 8" xfId="47320"/>
    <cellStyle name="Entrada 2 8 9" xfId="45311"/>
    <cellStyle name="Entrada 2 9" xfId="2199"/>
    <cellStyle name="Entrada 3" xfId="51644"/>
    <cellStyle name="Entrada 4" xfId="51694"/>
    <cellStyle name="Entrada 5" xfId="51737"/>
    <cellStyle name="Entrada 6" xfId="51779"/>
    <cellStyle name="Entrada 7" xfId="51821"/>
    <cellStyle name="Entrada 8" xfId="51862"/>
    <cellStyle name="Entrada 9" xfId="51909"/>
    <cellStyle name="Euro" xfId="33"/>
    <cellStyle name="Euro 10" xfId="34"/>
    <cellStyle name="Euro 10 10" xfId="261"/>
    <cellStyle name="Euro 10 10 2" xfId="1333"/>
    <cellStyle name="Euro 10 11" xfId="390"/>
    <cellStyle name="Euro 10 11 2" xfId="1462"/>
    <cellStyle name="Euro 10 12" xfId="452"/>
    <cellStyle name="Euro 10 12 2" xfId="1523"/>
    <cellStyle name="Euro 10 13" xfId="538"/>
    <cellStyle name="Euro 10 13 2" xfId="1609"/>
    <cellStyle name="Euro 10 14" xfId="640"/>
    <cellStyle name="Euro 10 14 2" xfId="1711"/>
    <cellStyle name="Euro 10 15" xfId="559"/>
    <cellStyle name="Euro 10 15 2" xfId="1630"/>
    <cellStyle name="Euro 10 16" xfId="1123"/>
    <cellStyle name="Euro 10 2" xfId="35"/>
    <cellStyle name="Euro 10 2 10" xfId="553"/>
    <cellStyle name="Euro 10 2 10 2" xfId="1624"/>
    <cellStyle name="Euro 10 2 11" xfId="675"/>
    <cellStyle name="Euro 10 2 11 2" xfId="1746"/>
    <cellStyle name="Euro 10 2 12" xfId="1124"/>
    <cellStyle name="Euro 10 2 2" xfId="105"/>
    <cellStyle name="Euro 10 2 2 2" xfId="1177"/>
    <cellStyle name="Euro 10 2 3" xfId="179"/>
    <cellStyle name="Euro 10 2 3 2" xfId="1251"/>
    <cellStyle name="Euro 10 2 4" xfId="176"/>
    <cellStyle name="Euro 10 2 4 2" xfId="1248"/>
    <cellStyle name="Euro 10 2 5" xfId="205"/>
    <cellStyle name="Euro 10 2 5 2" xfId="1277"/>
    <cellStyle name="Euro 10 2 6" xfId="262"/>
    <cellStyle name="Euro 10 2 6 2" xfId="1334"/>
    <cellStyle name="Euro 10 2 7" xfId="391"/>
    <cellStyle name="Euro 10 2 7 2" xfId="1463"/>
    <cellStyle name="Euro 10 2 8" xfId="453"/>
    <cellStyle name="Euro 10 2 8 2" xfId="1524"/>
    <cellStyle name="Euro 10 2 9" xfId="629"/>
    <cellStyle name="Euro 10 2 9 2" xfId="1700"/>
    <cellStyle name="Euro 10 3" xfId="36"/>
    <cellStyle name="Euro 10 3 10" xfId="548"/>
    <cellStyle name="Euro 10 3 10 2" xfId="1619"/>
    <cellStyle name="Euro 10 3 11" xfId="664"/>
    <cellStyle name="Euro 10 3 11 2" xfId="1735"/>
    <cellStyle name="Euro 10 3 12" xfId="1125"/>
    <cellStyle name="Euro 10 3 2" xfId="106"/>
    <cellStyle name="Euro 10 3 2 2" xfId="1178"/>
    <cellStyle name="Euro 10 3 3" xfId="180"/>
    <cellStyle name="Euro 10 3 3 2" xfId="1252"/>
    <cellStyle name="Euro 10 3 4" xfId="175"/>
    <cellStyle name="Euro 10 3 4 2" xfId="1247"/>
    <cellStyle name="Euro 10 3 5" xfId="208"/>
    <cellStyle name="Euro 10 3 5 2" xfId="1280"/>
    <cellStyle name="Euro 10 3 6" xfId="265"/>
    <cellStyle name="Euro 10 3 6 2" xfId="1337"/>
    <cellStyle name="Euro 10 3 7" xfId="392"/>
    <cellStyle name="Euro 10 3 7 2" xfId="1464"/>
    <cellStyle name="Euro 10 3 8" xfId="454"/>
    <cellStyle name="Euro 10 3 8 2" xfId="1525"/>
    <cellStyle name="Euro 10 3 9" xfId="613"/>
    <cellStyle name="Euro 10 3 9 2" xfId="1684"/>
    <cellStyle name="Euro 10 4" xfId="37"/>
    <cellStyle name="Euro 10 4 10" xfId="556"/>
    <cellStyle name="Euro 10 4 10 2" xfId="1627"/>
    <cellStyle name="Euro 10 4 11" xfId="523"/>
    <cellStyle name="Euro 10 4 11 2" xfId="1594"/>
    <cellStyle name="Euro 10 4 12" xfId="1126"/>
    <cellStyle name="Euro 10 4 2" xfId="107"/>
    <cellStyle name="Euro 10 4 2 2" xfId="1179"/>
    <cellStyle name="Euro 10 4 3" xfId="181"/>
    <cellStyle name="Euro 10 4 3 2" xfId="1253"/>
    <cellStyle name="Euro 10 4 4" xfId="174"/>
    <cellStyle name="Euro 10 4 4 2" xfId="1246"/>
    <cellStyle name="Euro 10 4 5" xfId="209"/>
    <cellStyle name="Euro 10 4 5 2" xfId="1281"/>
    <cellStyle name="Euro 10 4 6" xfId="266"/>
    <cellStyle name="Euro 10 4 6 2" xfId="1338"/>
    <cellStyle name="Euro 10 4 7" xfId="393"/>
    <cellStyle name="Euro 10 4 7 2" xfId="1465"/>
    <cellStyle name="Euro 10 4 8" xfId="455"/>
    <cellStyle name="Euro 10 4 8 2" xfId="1526"/>
    <cellStyle name="Euro 10 4 9" xfId="592"/>
    <cellStyle name="Euro 10 4 9 2" xfId="1663"/>
    <cellStyle name="Euro 10 5" xfId="38"/>
    <cellStyle name="Euro 10 5 10" xfId="653"/>
    <cellStyle name="Euro 10 5 10 2" xfId="1724"/>
    <cellStyle name="Euro 10 5 11" xfId="573"/>
    <cellStyle name="Euro 10 5 11 2" xfId="1644"/>
    <cellStyle name="Euro 10 5 12" xfId="1127"/>
    <cellStyle name="Euro 10 5 2" xfId="108"/>
    <cellStyle name="Euro 10 5 2 2" xfId="1180"/>
    <cellStyle name="Euro 10 5 3" xfId="182"/>
    <cellStyle name="Euro 10 5 3 2" xfId="1254"/>
    <cellStyle name="Euro 10 5 4" xfId="173"/>
    <cellStyle name="Euro 10 5 4 2" xfId="1245"/>
    <cellStyle name="Euro 10 5 5" xfId="214"/>
    <cellStyle name="Euro 10 5 5 2" xfId="1286"/>
    <cellStyle name="Euro 10 5 6" xfId="271"/>
    <cellStyle name="Euro 10 5 6 2" xfId="1343"/>
    <cellStyle name="Euro 10 5 7" xfId="394"/>
    <cellStyle name="Euro 10 5 7 2" xfId="1466"/>
    <cellStyle name="Euro 10 5 8" xfId="456"/>
    <cellStyle name="Euro 10 5 8 2" xfId="1527"/>
    <cellStyle name="Euro 10 5 9" xfId="568"/>
    <cellStyle name="Euro 10 5 9 2" xfId="1639"/>
    <cellStyle name="Euro 10 6" xfId="104"/>
    <cellStyle name="Euro 10 6 2" xfId="1176"/>
    <cellStyle name="Euro 10 7" xfId="178"/>
    <cellStyle name="Euro 10 7 2" xfId="1250"/>
    <cellStyle name="Euro 10 8" xfId="177"/>
    <cellStyle name="Euro 10 8 2" xfId="1249"/>
    <cellStyle name="Euro 10 9" xfId="204"/>
    <cellStyle name="Euro 10 9 2" xfId="1276"/>
    <cellStyle name="Euro 11" xfId="39"/>
    <cellStyle name="Euro 11 10" xfId="639"/>
    <cellStyle name="Euro 11 10 2" xfId="1710"/>
    <cellStyle name="Euro 11 11" xfId="499"/>
    <cellStyle name="Euro 11 11 2" xfId="1570"/>
    <cellStyle name="Euro 11 12" xfId="1128"/>
    <cellStyle name="Euro 11 2" xfId="109"/>
    <cellStyle name="Euro 11 2 2" xfId="1181"/>
    <cellStyle name="Euro 11 3" xfId="183"/>
    <cellStyle name="Euro 11 3 2" xfId="1255"/>
    <cellStyle name="Euro 11 4" xfId="172"/>
    <cellStyle name="Euro 11 4 2" xfId="1244"/>
    <cellStyle name="Euro 11 5" xfId="230"/>
    <cellStyle name="Euro 11 5 2" xfId="1302"/>
    <cellStyle name="Euro 11 6" xfId="287"/>
    <cellStyle name="Euro 11 6 2" xfId="1359"/>
    <cellStyle name="Euro 11 7" xfId="395"/>
    <cellStyle name="Euro 11 7 2" xfId="1467"/>
    <cellStyle name="Euro 11 8" xfId="457"/>
    <cellStyle name="Euro 11 8 2" xfId="1528"/>
    <cellStyle name="Euro 11 9" xfId="537"/>
    <cellStyle name="Euro 11 9 2" xfId="1608"/>
    <cellStyle name="Euro 12" xfId="40"/>
    <cellStyle name="Euro 12 10" xfId="574"/>
    <cellStyle name="Euro 12 10 2" xfId="1645"/>
    <cellStyle name="Euro 12 11" xfId="674"/>
    <cellStyle name="Euro 12 11 2" xfId="1745"/>
    <cellStyle name="Euro 12 12" xfId="1129"/>
    <cellStyle name="Euro 12 2" xfId="110"/>
    <cellStyle name="Euro 12 2 2" xfId="1182"/>
    <cellStyle name="Euro 12 3" xfId="184"/>
    <cellStyle name="Euro 12 3 2" xfId="1256"/>
    <cellStyle name="Euro 12 4" xfId="171"/>
    <cellStyle name="Euro 12 4 2" xfId="1243"/>
    <cellStyle name="Euro 12 5" xfId="231"/>
    <cellStyle name="Euro 12 5 2" xfId="1303"/>
    <cellStyle name="Euro 12 6" xfId="288"/>
    <cellStyle name="Euro 12 6 2" xfId="1360"/>
    <cellStyle name="Euro 12 7" xfId="396"/>
    <cellStyle name="Euro 12 7 2" xfId="1468"/>
    <cellStyle name="Euro 12 8" xfId="458"/>
    <cellStyle name="Euro 12 8 2" xfId="1529"/>
    <cellStyle name="Euro 12 9" xfId="628"/>
    <cellStyle name="Euro 12 9 2" xfId="1699"/>
    <cellStyle name="Euro 13" xfId="41"/>
    <cellStyle name="Euro 13 10" xfId="540"/>
    <cellStyle name="Euro 13 10 2" xfId="1611"/>
    <cellStyle name="Euro 13 11" xfId="663"/>
    <cellStyle name="Euro 13 11 2" xfId="1734"/>
    <cellStyle name="Euro 13 12" xfId="1130"/>
    <cellStyle name="Euro 13 2" xfId="111"/>
    <cellStyle name="Euro 13 2 2" xfId="1183"/>
    <cellStyle name="Euro 13 3" xfId="185"/>
    <cellStyle name="Euro 13 3 2" xfId="1257"/>
    <cellStyle name="Euro 13 4" xfId="170"/>
    <cellStyle name="Euro 13 4 2" xfId="1242"/>
    <cellStyle name="Euro 13 5" xfId="232"/>
    <cellStyle name="Euro 13 5 2" xfId="1304"/>
    <cellStyle name="Euro 13 6" xfId="289"/>
    <cellStyle name="Euro 13 6 2" xfId="1361"/>
    <cellStyle name="Euro 13 7" xfId="397"/>
    <cellStyle name="Euro 13 7 2" xfId="1469"/>
    <cellStyle name="Euro 13 8" xfId="459"/>
    <cellStyle name="Euro 13 8 2" xfId="1530"/>
    <cellStyle name="Euro 13 9" xfId="612"/>
    <cellStyle name="Euro 13 9 2" xfId="1683"/>
    <cellStyle name="Euro 14" xfId="42"/>
    <cellStyle name="Euro 14 10" xfId="576"/>
    <cellStyle name="Euro 14 10 2" xfId="1647"/>
    <cellStyle name="Euro 14 11" xfId="599"/>
    <cellStyle name="Euro 14 11 2" xfId="1670"/>
    <cellStyle name="Euro 14 12" xfId="1131"/>
    <cellStyle name="Euro 14 2" xfId="112"/>
    <cellStyle name="Euro 14 2 2" xfId="1184"/>
    <cellStyle name="Euro 14 3" xfId="186"/>
    <cellStyle name="Euro 14 3 2" xfId="1258"/>
    <cellStyle name="Euro 14 4" xfId="169"/>
    <cellStyle name="Euro 14 4 2" xfId="1241"/>
    <cellStyle name="Euro 14 5" xfId="235"/>
    <cellStyle name="Euro 14 5 2" xfId="1307"/>
    <cellStyle name="Euro 14 6" xfId="292"/>
    <cellStyle name="Euro 14 6 2" xfId="1364"/>
    <cellStyle name="Euro 14 7" xfId="398"/>
    <cellStyle name="Euro 14 7 2" xfId="1470"/>
    <cellStyle name="Euro 14 8" xfId="460"/>
    <cellStyle name="Euro 14 8 2" xfId="1531"/>
    <cellStyle name="Euro 14 9" xfId="591"/>
    <cellStyle name="Euro 14 9 2" xfId="1662"/>
    <cellStyle name="Euro 15" xfId="43"/>
    <cellStyle name="Euro 15 10" xfId="652"/>
    <cellStyle name="Euro 15 10 2" xfId="1723"/>
    <cellStyle name="Euro 15 11" xfId="580"/>
    <cellStyle name="Euro 15 11 2" xfId="1651"/>
    <cellStyle name="Euro 15 12" xfId="1132"/>
    <cellStyle name="Euro 15 2" xfId="113"/>
    <cellStyle name="Euro 15 2 2" xfId="1185"/>
    <cellStyle name="Euro 15 3" xfId="187"/>
    <cellStyle name="Euro 15 3 2" xfId="1259"/>
    <cellStyle name="Euro 15 4" xfId="168"/>
    <cellStyle name="Euro 15 4 2" xfId="1240"/>
    <cellStyle name="Euro 15 5" xfId="249"/>
    <cellStyle name="Euro 15 5 2" xfId="1321"/>
    <cellStyle name="Euro 15 6" xfId="306"/>
    <cellStyle name="Euro 15 6 2" xfId="1378"/>
    <cellStyle name="Euro 15 7" xfId="399"/>
    <cellStyle name="Euro 15 7 2" xfId="1471"/>
    <cellStyle name="Euro 15 8" xfId="461"/>
    <cellStyle name="Euro 15 8 2" xfId="1532"/>
    <cellStyle name="Euro 15 9" xfId="567"/>
    <cellStyle name="Euro 15 9 2" xfId="1638"/>
    <cellStyle name="Euro 16" xfId="44"/>
    <cellStyle name="Euro 16 10" xfId="638"/>
    <cellStyle name="Euro 16 10 2" xfId="1709"/>
    <cellStyle name="Euro 16 11" xfId="527"/>
    <cellStyle name="Euro 16 11 2" xfId="1598"/>
    <cellStyle name="Euro 16 12" xfId="1133"/>
    <cellStyle name="Euro 16 2" xfId="114"/>
    <cellStyle name="Euro 16 2 2" xfId="1186"/>
    <cellStyle name="Euro 16 3" xfId="188"/>
    <cellStyle name="Euro 16 3 2" xfId="1260"/>
    <cellStyle name="Euro 16 4" xfId="167"/>
    <cellStyle name="Euro 16 4 2" xfId="1239"/>
    <cellStyle name="Euro 16 5" xfId="241"/>
    <cellStyle name="Euro 16 5 2" xfId="1313"/>
    <cellStyle name="Euro 16 6" xfId="298"/>
    <cellStyle name="Euro 16 6 2" xfId="1370"/>
    <cellStyle name="Euro 16 7" xfId="400"/>
    <cellStyle name="Euro 16 7 2" xfId="1472"/>
    <cellStyle name="Euro 16 8" xfId="462"/>
    <cellStyle name="Euro 16 8 2" xfId="1533"/>
    <cellStyle name="Euro 16 9" xfId="536"/>
    <cellStyle name="Euro 16 9 2" xfId="1607"/>
    <cellStyle name="Euro 17" xfId="681"/>
    <cellStyle name="Euro 18" xfId="692"/>
    <cellStyle name="Euro 19" xfId="693"/>
    <cellStyle name="Euro 2" xfId="45"/>
    <cellStyle name="Euro 2 10" xfId="515"/>
    <cellStyle name="Euro 2 10 2" xfId="1586"/>
    <cellStyle name="Euro 2 11" xfId="673"/>
    <cellStyle name="Euro 2 11 2" xfId="1744"/>
    <cellStyle name="Euro 2 12" xfId="1134"/>
    <cellStyle name="Euro 2 2" xfId="115"/>
    <cellStyle name="Euro 2 2 2" xfId="1187"/>
    <cellStyle name="Euro 2 3" xfId="189"/>
    <cellStyle name="Euro 2 3 2" xfId="1261"/>
    <cellStyle name="Euro 2 4" xfId="166"/>
    <cellStyle name="Euro 2 4 2" xfId="1238"/>
    <cellStyle name="Euro 2 5" xfId="242"/>
    <cellStyle name="Euro 2 5 2" xfId="1314"/>
    <cellStyle name="Euro 2 6" xfId="299"/>
    <cellStyle name="Euro 2 6 2" xfId="1371"/>
    <cellStyle name="Euro 2 7" xfId="401"/>
    <cellStyle name="Euro 2 7 2" xfId="1473"/>
    <cellStyle name="Euro 2 8" xfId="463"/>
    <cellStyle name="Euro 2 8 2" xfId="1534"/>
    <cellStyle name="Euro 2 9" xfId="627"/>
    <cellStyle name="Euro 2 9 2" xfId="1698"/>
    <cellStyle name="Euro 20" xfId="701"/>
    <cellStyle name="Euro 21" xfId="709"/>
    <cellStyle name="Euro 22" xfId="717"/>
    <cellStyle name="Euro 23" xfId="725"/>
    <cellStyle name="Euro 24" xfId="733"/>
    <cellStyle name="Euro 25" xfId="748"/>
    <cellStyle name="Euro 26" xfId="749"/>
    <cellStyle name="Euro 27" xfId="757"/>
    <cellStyle name="Euro 28" xfId="765"/>
    <cellStyle name="Euro 29" xfId="773"/>
    <cellStyle name="Euro 3" xfId="46"/>
    <cellStyle name="Euro 3 10" xfId="569"/>
    <cellStyle name="Euro 3 10 2" xfId="1640"/>
    <cellStyle name="Euro 3 11" xfId="662"/>
    <cellStyle name="Euro 3 11 2" xfId="1733"/>
    <cellStyle name="Euro 3 12" xfId="1135"/>
    <cellStyle name="Euro 3 2" xfId="116"/>
    <cellStyle name="Euro 3 2 2" xfId="1188"/>
    <cellStyle name="Euro 3 3" xfId="190"/>
    <cellStyle name="Euro 3 3 2" xfId="1262"/>
    <cellStyle name="Euro 3 4" xfId="165"/>
    <cellStyle name="Euro 3 4 2" xfId="1237"/>
    <cellStyle name="Euro 3 5" xfId="243"/>
    <cellStyle name="Euro 3 5 2" xfId="1315"/>
    <cellStyle name="Euro 3 6" xfId="300"/>
    <cellStyle name="Euro 3 6 2" xfId="1372"/>
    <cellStyle name="Euro 3 7" xfId="402"/>
    <cellStyle name="Euro 3 7 2" xfId="1474"/>
    <cellStyle name="Euro 3 8" xfId="464"/>
    <cellStyle name="Euro 3 8 2" xfId="1535"/>
    <cellStyle name="Euro 3 9" xfId="611"/>
    <cellStyle name="Euro 3 9 2" xfId="1682"/>
    <cellStyle name="Euro 30" xfId="781"/>
    <cellStyle name="Euro 31" xfId="789"/>
    <cellStyle name="Euro 32" xfId="797"/>
    <cellStyle name="Euro 33" xfId="811"/>
    <cellStyle name="Euro 34" xfId="812"/>
    <cellStyle name="Euro 35" xfId="819"/>
    <cellStyle name="Euro 36" xfId="826"/>
    <cellStyle name="Euro 37" xfId="834"/>
    <cellStyle name="Euro 38" xfId="842"/>
    <cellStyle name="Euro 39" xfId="850"/>
    <cellStyle name="Euro 4" xfId="47"/>
    <cellStyle name="Euro 4 10" xfId="600"/>
    <cellStyle name="Euro 4 10 2" xfId="1671"/>
    <cellStyle name="Euro 4 11" xfId="522"/>
    <cellStyle name="Euro 4 11 2" xfId="1593"/>
    <cellStyle name="Euro 4 12" xfId="1136"/>
    <cellStyle name="Euro 4 2" xfId="117"/>
    <cellStyle name="Euro 4 2 2" xfId="1189"/>
    <cellStyle name="Euro 4 3" xfId="191"/>
    <cellStyle name="Euro 4 3 2" xfId="1263"/>
    <cellStyle name="Euro 4 4" xfId="164"/>
    <cellStyle name="Euro 4 4 2" xfId="1236"/>
    <cellStyle name="Euro 4 5" xfId="244"/>
    <cellStyle name="Euro 4 5 2" xfId="1316"/>
    <cellStyle name="Euro 4 6" xfId="301"/>
    <cellStyle name="Euro 4 6 2" xfId="1373"/>
    <cellStyle name="Euro 4 7" xfId="403"/>
    <cellStyle name="Euro 4 7 2" xfId="1475"/>
    <cellStyle name="Euro 4 8" xfId="465"/>
    <cellStyle name="Euro 4 8 2" xfId="1536"/>
    <cellStyle name="Euro 4 9" xfId="590"/>
    <cellStyle name="Euro 4 9 2" xfId="1661"/>
    <cellStyle name="Euro 40" xfId="858"/>
    <cellStyle name="Euro 41" xfId="866"/>
    <cellStyle name="Euro 42" xfId="874"/>
    <cellStyle name="Euro 43" xfId="882"/>
    <cellStyle name="Euro 44" xfId="890"/>
    <cellStyle name="Euro 45" xfId="898"/>
    <cellStyle name="Euro 46" xfId="906"/>
    <cellStyle name="Euro 47" xfId="914"/>
    <cellStyle name="Euro 48" xfId="922"/>
    <cellStyle name="Euro 49" xfId="929"/>
    <cellStyle name="Euro 5" xfId="48"/>
    <cellStyle name="Euro 5 10" xfId="192"/>
    <cellStyle name="Euro 5 10 2" xfId="1264"/>
    <cellStyle name="Euro 5 11" xfId="163"/>
    <cellStyle name="Euro 5 11 2" xfId="1235"/>
    <cellStyle name="Euro 5 12" xfId="245"/>
    <cellStyle name="Euro 5 12 2" xfId="1317"/>
    <cellStyle name="Euro 5 13" xfId="302"/>
    <cellStyle name="Euro 5 13 2" xfId="1374"/>
    <cellStyle name="Euro 5 14" xfId="404"/>
    <cellStyle name="Euro 5 14 2" xfId="1476"/>
    <cellStyle name="Euro 5 15" xfId="466"/>
    <cellStyle name="Euro 5 15 2" xfId="1537"/>
    <cellStyle name="Euro 5 16" xfId="566"/>
    <cellStyle name="Euro 5 16 2" xfId="1637"/>
    <cellStyle name="Euro 5 17" xfId="583"/>
    <cellStyle name="Euro 5 17 2" xfId="1654"/>
    <cellStyle name="Euro 5 18" xfId="519"/>
    <cellStyle name="Euro 5 18 2" xfId="1590"/>
    <cellStyle name="Euro 5 19" xfId="1137"/>
    <cellStyle name="Euro 5 2" xfId="49"/>
    <cellStyle name="Euro 5 2 10" xfId="604"/>
    <cellStyle name="Euro 5 2 10 2" xfId="1675"/>
    <cellStyle name="Euro 5 2 11" xfId="521"/>
    <cellStyle name="Euro 5 2 11 2" xfId="1592"/>
    <cellStyle name="Euro 5 2 12" xfId="1138"/>
    <cellStyle name="Euro 5 2 2" xfId="119"/>
    <cellStyle name="Euro 5 2 2 2" xfId="1191"/>
    <cellStyle name="Euro 5 2 3" xfId="193"/>
    <cellStyle name="Euro 5 2 3 2" xfId="1265"/>
    <cellStyle name="Euro 5 2 4" xfId="162"/>
    <cellStyle name="Euro 5 2 4 2" xfId="1234"/>
    <cellStyle name="Euro 5 2 5" xfId="246"/>
    <cellStyle name="Euro 5 2 5 2" xfId="1318"/>
    <cellStyle name="Euro 5 2 6" xfId="303"/>
    <cellStyle name="Euro 5 2 6 2" xfId="1375"/>
    <cellStyle name="Euro 5 2 7" xfId="405"/>
    <cellStyle name="Euro 5 2 7 2" xfId="1477"/>
    <cellStyle name="Euro 5 2 8" xfId="467"/>
    <cellStyle name="Euro 5 2 8 2" xfId="1538"/>
    <cellStyle name="Euro 5 2 9" xfId="535"/>
    <cellStyle name="Euro 5 2 9 2" xfId="1606"/>
    <cellStyle name="Euro 5 3" xfId="50"/>
    <cellStyle name="Euro 5 3 10" xfId="651"/>
    <cellStyle name="Euro 5 3 10 2" xfId="1722"/>
    <cellStyle name="Euro 5 3 11" xfId="557"/>
    <cellStyle name="Euro 5 3 11 2" xfId="1628"/>
    <cellStyle name="Euro 5 3 12" xfId="1139"/>
    <cellStyle name="Euro 5 3 2" xfId="120"/>
    <cellStyle name="Euro 5 3 2 2" xfId="1192"/>
    <cellStyle name="Euro 5 3 3" xfId="194"/>
    <cellStyle name="Euro 5 3 3 2" xfId="1266"/>
    <cellStyle name="Euro 5 3 4" xfId="161"/>
    <cellStyle name="Euro 5 3 4 2" xfId="1233"/>
    <cellStyle name="Euro 5 3 5" xfId="247"/>
    <cellStyle name="Euro 5 3 5 2" xfId="1319"/>
    <cellStyle name="Euro 5 3 6" xfId="304"/>
    <cellStyle name="Euro 5 3 6 2" xfId="1376"/>
    <cellStyle name="Euro 5 3 7" xfId="406"/>
    <cellStyle name="Euro 5 3 7 2" xfId="1478"/>
    <cellStyle name="Euro 5 3 8" xfId="468"/>
    <cellStyle name="Euro 5 3 8 2" xfId="1539"/>
    <cellStyle name="Euro 5 3 9" xfId="504"/>
    <cellStyle name="Euro 5 3 9 2" xfId="1575"/>
    <cellStyle name="Euro 5 4" xfId="51"/>
    <cellStyle name="Euro 5 4 10" xfId="637"/>
    <cellStyle name="Euro 5 4 10 2" xfId="1708"/>
    <cellStyle name="Euro 5 4 11" xfId="520"/>
    <cellStyle name="Euro 5 4 11 2" xfId="1591"/>
    <cellStyle name="Euro 5 4 12" xfId="1140"/>
    <cellStyle name="Euro 5 4 2" xfId="121"/>
    <cellStyle name="Euro 5 4 2 2" xfId="1193"/>
    <cellStyle name="Euro 5 4 3" xfId="195"/>
    <cellStyle name="Euro 5 4 3 2" xfId="1267"/>
    <cellStyle name="Euro 5 4 4" xfId="160"/>
    <cellStyle name="Euro 5 4 4 2" xfId="1232"/>
    <cellStyle name="Euro 5 4 5" xfId="248"/>
    <cellStyle name="Euro 5 4 5 2" xfId="1320"/>
    <cellStyle name="Euro 5 4 6" xfId="305"/>
    <cellStyle name="Euro 5 4 6 2" xfId="1377"/>
    <cellStyle name="Euro 5 4 7" xfId="407"/>
    <cellStyle name="Euro 5 4 7 2" xfId="1479"/>
    <cellStyle name="Euro 5 4 8" xfId="469"/>
    <cellStyle name="Euro 5 4 8 2" xfId="1540"/>
    <cellStyle name="Euro 5 4 9" xfId="503"/>
    <cellStyle name="Euro 5 4 9 2" xfId="1574"/>
    <cellStyle name="Euro 5 5" xfId="52"/>
    <cellStyle name="Euro 5 5 10" xfId="544"/>
    <cellStyle name="Euro 5 5 10 2" xfId="1615"/>
    <cellStyle name="Euro 5 5 11" xfId="672"/>
    <cellStyle name="Euro 5 5 11 2" xfId="1743"/>
    <cellStyle name="Euro 5 5 12" xfId="1141"/>
    <cellStyle name="Euro 5 5 2" xfId="122"/>
    <cellStyle name="Euro 5 5 2 2" xfId="1194"/>
    <cellStyle name="Euro 5 5 3" xfId="196"/>
    <cellStyle name="Euro 5 5 3 2" xfId="1268"/>
    <cellStyle name="Euro 5 5 4" xfId="253"/>
    <cellStyle name="Euro 5 5 4 2" xfId="1325"/>
    <cellStyle name="Euro 5 5 5" xfId="311"/>
    <cellStyle name="Euro 5 5 5 2" xfId="1383"/>
    <cellStyle name="Euro 5 5 6" xfId="350"/>
    <cellStyle name="Euro 5 5 6 2" xfId="1422"/>
    <cellStyle name="Euro 5 5 7" xfId="408"/>
    <cellStyle name="Euro 5 5 7 2" xfId="1480"/>
    <cellStyle name="Euro 5 5 8" xfId="470"/>
    <cellStyle name="Euro 5 5 8 2" xfId="1541"/>
    <cellStyle name="Euro 5 5 9" xfId="626"/>
    <cellStyle name="Euro 5 5 9 2" xfId="1697"/>
    <cellStyle name="Euro 5 6" xfId="53"/>
    <cellStyle name="Euro 5 6 10" xfId="518"/>
    <cellStyle name="Euro 5 6 10 2" xfId="1589"/>
    <cellStyle name="Euro 5 6 11" xfId="661"/>
    <cellStyle name="Euro 5 6 11 2" xfId="1732"/>
    <cellStyle name="Euro 5 6 12" xfId="1142"/>
    <cellStyle name="Euro 5 6 2" xfId="123"/>
    <cellStyle name="Euro 5 6 2 2" xfId="1195"/>
    <cellStyle name="Euro 5 6 3" xfId="197"/>
    <cellStyle name="Euro 5 6 3 2" xfId="1269"/>
    <cellStyle name="Euro 5 6 4" xfId="254"/>
    <cellStyle name="Euro 5 6 4 2" xfId="1326"/>
    <cellStyle name="Euro 5 6 5" xfId="312"/>
    <cellStyle name="Euro 5 6 5 2" xfId="1384"/>
    <cellStyle name="Euro 5 6 6" xfId="351"/>
    <cellStyle name="Euro 5 6 6 2" xfId="1423"/>
    <cellStyle name="Euro 5 6 7" xfId="409"/>
    <cellStyle name="Euro 5 6 7 2" xfId="1481"/>
    <cellStyle name="Euro 5 6 8" xfId="471"/>
    <cellStyle name="Euro 5 6 8 2" xfId="1542"/>
    <cellStyle name="Euro 5 6 9" xfId="610"/>
    <cellStyle name="Euro 5 6 9 2" xfId="1681"/>
    <cellStyle name="Euro 5 7" xfId="54"/>
    <cellStyle name="Euro 5 7 10" xfId="615"/>
    <cellStyle name="Euro 5 7 10 2" xfId="1686"/>
    <cellStyle name="Euro 5 7 11" xfId="579"/>
    <cellStyle name="Euro 5 7 11 2" xfId="1650"/>
    <cellStyle name="Euro 5 7 12" xfId="1143"/>
    <cellStyle name="Euro 5 7 2" xfId="124"/>
    <cellStyle name="Euro 5 7 2 2" xfId="1196"/>
    <cellStyle name="Euro 5 7 3" xfId="198"/>
    <cellStyle name="Euro 5 7 3 2" xfId="1270"/>
    <cellStyle name="Euro 5 7 4" xfId="255"/>
    <cellStyle name="Euro 5 7 4 2" xfId="1327"/>
    <cellStyle name="Euro 5 7 5" xfId="313"/>
    <cellStyle name="Euro 5 7 5 2" xfId="1385"/>
    <cellStyle name="Euro 5 7 6" xfId="352"/>
    <cellStyle name="Euro 5 7 6 2" xfId="1424"/>
    <cellStyle name="Euro 5 7 7" xfId="410"/>
    <cellStyle name="Euro 5 7 7 2" xfId="1482"/>
    <cellStyle name="Euro 5 7 8" xfId="472"/>
    <cellStyle name="Euro 5 7 8 2" xfId="1543"/>
    <cellStyle name="Euro 5 7 9" xfId="589"/>
    <cellStyle name="Euro 5 7 9 2" xfId="1660"/>
    <cellStyle name="Euro 5 8" xfId="55"/>
    <cellStyle name="Euro 5 8 10" xfId="650"/>
    <cellStyle name="Euro 5 8 10 2" xfId="1721"/>
    <cellStyle name="Euro 5 8 11" xfId="547"/>
    <cellStyle name="Euro 5 8 11 2" xfId="1618"/>
    <cellStyle name="Euro 5 8 12" xfId="1144"/>
    <cellStyle name="Euro 5 8 2" xfId="125"/>
    <cellStyle name="Euro 5 8 2 2" xfId="1197"/>
    <cellStyle name="Euro 5 8 3" xfId="199"/>
    <cellStyle name="Euro 5 8 3 2" xfId="1271"/>
    <cellStyle name="Euro 5 8 4" xfId="256"/>
    <cellStyle name="Euro 5 8 4 2" xfId="1328"/>
    <cellStyle name="Euro 5 8 5" xfId="314"/>
    <cellStyle name="Euro 5 8 5 2" xfId="1386"/>
    <cellStyle name="Euro 5 8 6" xfId="353"/>
    <cellStyle name="Euro 5 8 6 2" xfId="1425"/>
    <cellStyle name="Euro 5 8 7" xfId="411"/>
    <cellStyle name="Euro 5 8 7 2" xfId="1483"/>
    <cellStyle name="Euro 5 8 8" xfId="473"/>
    <cellStyle name="Euro 5 8 8 2" xfId="1544"/>
    <cellStyle name="Euro 5 8 9" xfId="565"/>
    <cellStyle name="Euro 5 8 9 2" xfId="1636"/>
    <cellStyle name="Euro 5 9" xfId="118"/>
    <cellStyle name="Euro 5 9 2" xfId="1190"/>
    <cellStyle name="Euro 50" xfId="937"/>
    <cellStyle name="Euro 51" xfId="945"/>
    <cellStyle name="Euro 52" xfId="953"/>
    <cellStyle name="Euro 53" xfId="961"/>
    <cellStyle name="Euro 54" xfId="969"/>
    <cellStyle name="Euro 55" xfId="977"/>
    <cellStyle name="Euro 56" xfId="985"/>
    <cellStyle name="Euro 57" xfId="993"/>
    <cellStyle name="Euro 58" xfId="1001"/>
    <cellStyle name="Euro 59" xfId="1009"/>
    <cellStyle name="Euro 6" xfId="56"/>
    <cellStyle name="Euro 6 10" xfId="636"/>
    <cellStyle name="Euro 6 10 2" xfId="1707"/>
    <cellStyle name="Euro 6 11" xfId="541"/>
    <cellStyle name="Euro 6 11 2" xfId="1612"/>
    <cellStyle name="Euro 6 12" xfId="1145"/>
    <cellStyle name="Euro 6 2" xfId="126"/>
    <cellStyle name="Euro 6 2 2" xfId="1198"/>
    <cellStyle name="Euro 6 3" xfId="200"/>
    <cellStyle name="Euro 6 3 2" xfId="1272"/>
    <cellStyle name="Euro 6 4" xfId="257"/>
    <cellStyle name="Euro 6 4 2" xfId="1329"/>
    <cellStyle name="Euro 6 5" xfId="315"/>
    <cellStyle name="Euro 6 5 2" xfId="1387"/>
    <cellStyle name="Euro 6 6" xfId="354"/>
    <cellStyle name="Euro 6 6 2" xfId="1426"/>
    <cellStyle name="Euro 6 7" xfId="412"/>
    <cellStyle name="Euro 6 7 2" xfId="1484"/>
    <cellStyle name="Euro 6 8" xfId="474"/>
    <cellStyle name="Euro 6 8 2" xfId="1545"/>
    <cellStyle name="Euro 6 9" xfId="534"/>
    <cellStyle name="Euro 6 9 2" xfId="1605"/>
    <cellStyle name="Euro 60" xfId="1017"/>
    <cellStyle name="Euro 61" xfId="1024"/>
    <cellStyle name="Euro 62" xfId="1031"/>
    <cellStyle name="Euro 63" xfId="1038"/>
    <cellStyle name="Euro 64" xfId="1052"/>
    <cellStyle name="Euro 65" xfId="1053"/>
    <cellStyle name="Euro 66" xfId="1061"/>
    <cellStyle name="Euro 67" xfId="1075"/>
    <cellStyle name="Euro 68" xfId="1076"/>
    <cellStyle name="Euro 69" xfId="1084"/>
    <cellStyle name="Euro 7" xfId="57"/>
    <cellStyle name="Euro 7 10" xfId="554"/>
    <cellStyle name="Euro 7 10 2" xfId="1625"/>
    <cellStyle name="Euro 7 11" xfId="671"/>
    <cellStyle name="Euro 7 11 2" xfId="1742"/>
    <cellStyle name="Euro 7 12" xfId="1146"/>
    <cellStyle name="Euro 7 2" xfId="127"/>
    <cellStyle name="Euro 7 2 2" xfId="1199"/>
    <cellStyle name="Euro 7 3" xfId="201"/>
    <cellStyle name="Euro 7 3 2" xfId="1273"/>
    <cellStyle name="Euro 7 4" xfId="258"/>
    <cellStyle name="Euro 7 4 2" xfId="1330"/>
    <cellStyle name="Euro 7 5" xfId="316"/>
    <cellStyle name="Euro 7 5 2" xfId="1388"/>
    <cellStyle name="Euro 7 6" xfId="355"/>
    <cellStyle name="Euro 7 6 2" xfId="1427"/>
    <cellStyle name="Euro 7 7" xfId="413"/>
    <cellStyle name="Euro 7 7 2" xfId="1485"/>
    <cellStyle name="Euro 7 8" xfId="475"/>
    <cellStyle name="Euro 7 8 2" xfId="1546"/>
    <cellStyle name="Euro 7 9" xfId="625"/>
    <cellStyle name="Euro 7 9 2" xfId="1696"/>
    <cellStyle name="Euro 70" xfId="1098"/>
    <cellStyle name="Euro 8" xfId="58"/>
    <cellStyle name="Euro 8 10" xfId="549"/>
    <cellStyle name="Euro 8 10 2" xfId="1620"/>
    <cellStyle name="Euro 8 11" xfId="660"/>
    <cellStyle name="Euro 8 11 2" xfId="1731"/>
    <cellStyle name="Euro 8 12" xfId="1147"/>
    <cellStyle name="Euro 8 2" xfId="128"/>
    <cellStyle name="Euro 8 2 2" xfId="1200"/>
    <cellStyle name="Euro 8 3" xfId="202"/>
    <cellStyle name="Euro 8 3 2" xfId="1274"/>
    <cellStyle name="Euro 8 4" xfId="259"/>
    <cellStyle name="Euro 8 4 2" xfId="1331"/>
    <cellStyle name="Euro 8 5" xfId="317"/>
    <cellStyle name="Euro 8 5 2" xfId="1389"/>
    <cellStyle name="Euro 8 6" xfId="356"/>
    <cellStyle name="Euro 8 6 2" xfId="1428"/>
    <cellStyle name="Euro 8 7" xfId="414"/>
    <cellStyle name="Euro 8 7 2" xfId="1486"/>
    <cellStyle name="Euro 8 8" xfId="476"/>
    <cellStyle name="Euro 8 8 2" xfId="1547"/>
    <cellStyle name="Euro 8 9" xfId="609"/>
    <cellStyle name="Euro 8 9 2" xfId="1680"/>
    <cellStyle name="Euro 9" xfId="59"/>
    <cellStyle name="Euro 9 10" xfId="525"/>
    <cellStyle name="Euro 9 10 2" xfId="1596"/>
    <cellStyle name="Euro 9 11" xfId="614"/>
    <cellStyle name="Euro 9 11 2" xfId="1685"/>
    <cellStyle name="Euro 9 12" xfId="1148"/>
    <cellStyle name="Euro 9 2" xfId="129"/>
    <cellStyle name="Euro 9 2 2" xfId="1201"/>
    <cellStyle name="Euro 9 3" xfId="203"/>
    <cellStyle name="Euro 9 3 2" xfId="1275"/>
    <cellStyle name="Euro 9 4" xfId="260"/>
    <cellStyle name="Euro 9 4 2" xfId="1332"/>
    <cellStyle name="Euro 9 5" xfId="318"/>
    <cellStyle name="Euro 9 5 2" xfId="1390"/>
    <cellStyle name="Euro 9 6" xfId="357"/>
    <cellStyle name="Euro 9 6 2" xfId="1429"/>
    <cellStyle name="Euro 9 7" xfId="415"/>
    <cellStyle name="Euro 9 7 2" xfId="1487"/>
    <cellStyle name="Euro 9 8" xfId="477"/>
    <cellStyle name="Euro 9 8 2" xfId="1548"/>
    <cellStyle name="Euro 9 9" xfId="588"/>
    <cellStyle name="Euro 9 9 2" xfId="1659"/>
    <cellStyle name="Explanatory Text" xfId="51554"/>
    <cellStyle name="Good" xfId="51555"/>
    <cellStyle name="Heading 1" xfId="51556"/>
    <cellStyle name="Heading 2" xfId="51557"/>
    <cellStyle name="Heading 3" xfId="51558"/>
    <cellStyle name="Heading 4" xfId="51559"/>
    <cellStyle name="Hiperlink" xfId="51399" builtinId="8" hidden="1"/>
    <cellStyle name="Hiperlink" xfId="51401" builtinId="8" hidden="1"/>
    <cellStyle name="Hiperlink" xfId="51403" builtinId="8" hidden="1"/>
    <cellStyle name="Hiperlink" xfId="51409" builtinId="8" hidden="1"/>
    <cellStyle name="Hiperlink" xfId="51411" builtinId="8" hidden="1"/>
    <cellStyle name="Hiperlink" xfId="51413" builtinId="8" hidden="1"/>
    <cellStyle name="Hiperlink" xfId="51416" builtinId="8" hidden="1"/>
    <cellStyle name="Hiperlink" xfId="51418" builtinId="8" hidden="1"/>
    <cellStyle name="Hiperlink" xfId="51420" builtinId="8" hidden="1"/>
    <cellStyle name="Hiperlink" xfId="51426" builtinId="8" hidden="1"/>
    <cellStyle name="Hiperlink" xfId="51428" builtinId="8" hidden="1"/>
    <cellStyle name="Hiperlink" xfId="51430" builtinId="8" hidden="1"/>
    <cellStyle name="Hiperlink" xfId="51433" builtinId="8" hidden="1"/>
    <cellStyle name="Hiperlink" xfId="51435" builtinId="8" hidden="1"/>
    <cellStyle name="Hiperlink" xfId="51437" builtinId="8" hidden="1"/>
    <cellStyle name="Hiperlink" xfId="51439" builtinId="8" hidden="1"/>
    <cellStyle name="Hiperlink" xfId="51441" builtinId="8" hidden="1"/>
    <cellStyle name="Hiperlink" xfId="51443" builtinId="8" hidden="1"/>
    <cellStyle name="Hiperlink" xfId="51446" builtinId="8" hidden="1"/>
    <cellStyle name="Hiperlink" xfId="51448" builtinId="8" hidden="1"/>
    <cellStyle name="Hiperlink" xfId="51450" builtinId="8" hidden="1"/>
    <cellStyle name="Hiperlink" xfId="51453" builtinId="8" hidden="1"/>
    <cellStyle name="Hiperlink" xfId="51455" builtinId="8" hidden="1"/>
    <cellStyle name="Hiperlink" xfId="51457" builtinId="8" hidden="1"/>
    <cellStyle name="Hiperlink" xfId="51459" builtinId="8" hidden="1"/>
    <cellStyle name="Hiperlink" xfId="51461" builtinId="8" hidden="1"/>
    <cellStyle name="Hiperlink" xfId="51463" builtinId="8" hidden="1"/>
    <cellStyle name="Hiperlink" xfId="51466" builtinId="8" hidden="1"/>
    <cellStyle name="Hiperlink" xfId="51468" builtinId="8" hidden="1"/>
    <cellStyle name="Hiperlink" xfId="51470" builtinId="8" hidden="1"/>
    <cellStyle name="Hiperlink" xfId="51472" builtinId="8" hidden="1"/>
    <cellStyle name="Hiperlink" xfId="51474" builtinId="8" hidden="1"/>
    <cellStyle name="Hiperlink" xfId="51476" builtinId="8" hidden="1"/>
    <cellStyle name="Hiperlink" xfId="51485" builtinId="8" hidden="1"/>
    <cellStyle name="Hiperlink" xfId="51487" builtinId="8" hidden="1"/>
    <cellStyle name="Hiperlink" xfId="51489" builtinId="8" hidden="1"/>
    <cellStyle name="Hiperlink" xfId="51492" builtinId="8" hidden="1"/>
    <cellStyle name="Hiperlink" xfId="51494" builtinId="8" hidden="1"/>
    <cellStyle name="Hiperlink" xfId="51496" builtinId="8" hidden="1"/>
    <cellStyle name="Hiperlink" xfId="51498" builtinId="8" hidden="1"/>
    <cellStyle name="Hiperlink" xfId="51500" builtinId="8" hidden="1"/>
    <cellStyle name="Hiperlink" xfId="51502" builtinId="8" hidden="1"/>
    <cellStyle name="Hiperlink" xfId="51505" builtinId="8" hidden="1"/>
    <cellStyle name="Hiperlink" xfId="51507" builtinId="8" hidden="1"/>
    <cellStyle name="Hiperlink" xfId="51509" builtinId="8" hidden="1"/>
    <cellStyle name="Hiperlink" xfId="51512" builtinId="8" hidden="1"/>
    <cellStyle name="Hiperlink" xfId="51514" builtinId="8" hidden="1"/>
    <cellStyle name="Hiperlink" xfId="51516" builtinId="8" hidden="1"/>
    <cellStyle name="Hiperlink" xfId="51518" builtinId="8" hidden="1"/>
    <cellStyle name="Hiperlink" xfId="51520" builtinId="8" hidden="1"/>
    <cellStyle name="Hiperlink" xfId="51522" builtinId="8" hidden="1"/>
    <cellStyle name="Hiperlink" xfId="52284" builtinId="8" hidden="1"/>
    <cellStyle name="Hiperlink" xfId="52286" builtinId="8" hidden="1"/>
    <cellStyle name="Hiperlink" xfId="52288" builtinId="8" hidden="1"/>
    <cellStyle name="Hiperlink" xfId="52293" builtinId="8" hidden="1"/>
    <cellStyle name="Hiperlink" xfId="52295" builtinId="8" hidden="1"/>
    <cellStyle name="Hiperlink" xfId="52297" builtinId="8" hidden="1"/>
    <cellStyle name="Hiperlink" xfId="52299" builtinId="8" hidden="1"/>
    <cellStyle name="Hiperlink" xfId="52301" builtinId="8" hidden="1"/>
    <cellStyle name="Hiperlink" xfId="52303" builtinId="8" hidden="1"/>
    <cellStyle name="Hiperlink" xfId="52307" builtinId="8" hidden="1"/>
    <cellStyle name="Hiperlink" xfId="52309" builtinId="8" hidden="1"/>
    <cellStyle name="Hiperlink" xfId="52311" builtinId="8" hidden="1"/>
    <cellStyle name="Hiperlink" xfId="52313" builtinId="8" hidden="1"/>
    <cellStyle name="Hiperlink" xfId="52315" builtinId="8" hidden="1"/>
    <cellStyle name="Hiperlink" xfId="52317" builtinId="8" hidden="1"/>
    <cellStyle name="Hiperlink" xfId="52319" builtinId="8" hidden="1"/>
    <cellStyle name="Hiperlink" xfId="52321" builtinId="8" hidden="1"/>
    <cellStyle name="Hiperlink" xfId="52323" builtinId="8" hidden="1"/>
    <cellStyle name="Hiperlink" xfId="52325" builtinId="8" hidden="1"/>
    <cellStyle name="Hiperlink" xfId="52327" builtinId="8" hidden="1"/>
    <cellStyle name="Hiperlink" xfId="52329" builtinId="8" hidden="1"/>
    <cellStyle name="Hiperlink" xfId="52331" builtinId="8" hidden="1"/>
    <cellStyle name="Hiperlink" xfId="52333" builtinId="8" hidden="1"/>
    <cellStyle name="Hiperlink" xfId="52335" builtinId="8" hidden="1"/>
    <cellStyle name="Hiperlink" xfId="52337" builtinId="8" hidden="1"/>
    <cellStyle name="Hiperlink" xfId="52339" builtinId="8" hidden="1"/>
    <cellStyle name="Hiperlink" xfId="52341" builtinId="8" hidden="1"/>
    <cellStyle name="Hiperlink" xfId="52343" builtinId="8" hidden="1"/>
    <cellStyle name="Hiperlink" xfId="52345" builtinId="8" hidden="1"/>
    <cellStyle name="Hiperlink" xfId="52347" builtinId="8" hidden="1"/>
    <cellStyle name="Hiperlink" xfId="52349" builtinId="8" hidden="1"/>
    <cellStyle name="Hiperlink" xfId="52351" builtinId="8" hidden="1"/>
    <cellStyle name="Hiperlink" xfId="52353" builtinId="8" hidden="1"/>
    <cellStyle name="Hiperlink" xfId="52357" builtinId="8" hidden="1"/>
    <cellStyle name="Hiperlink" xfId="52359" builtinId="8" hidden="1"/>
    <cellStyle name="Hiperlink" xfId="52361" builtinId="8" hidden="1"/>
    <cellStyle name="Hiperlink" xfId="52363" builtinId="8" hidden="1"/>
    <cellStyle name="Hiperlink" xfId="52365" builtinId="8" hidden="1"/>
    <cellStyle name="Hiperlink" xfId="52367" builtinId="8" hidden="1"/>
    <cellStyle name="Hiperlink" xfId="52369" builtinId="8" hidden="1"/>
    <cellStyle name="Hiperlink" xfId="52371" builtinId="8" hidden="1"/>
    <cellStyle name="Hiperlink" xfId="52373" builtinId="8" hidden="1"/>
    <cellStyle name="Hiperlink" xfId="52375" builtinId="8" hidden="1"/>
    <cellStyle name="Hiperlink" xfId="52377" builtinId="8" hidden="1"/>
    <cellStyle name="Hiperlink" xfId="52379" builtinId="8" hidden="1"/>
    <cellStyle name="Hiperlink" xfId="52381" builtinId="8" hidden="1"/>
    <cellStyle name="Hiperlink" xfId="52383" builtinId="8" hidden="1"/>
    <cellStyle name="Hiperlink" xfId="52385" builtinId="8" hidden="1"/>
    <cellStyle name="Hiperlink" xfId="52387" builtinId="8" hidden="1"/>
    <cellStyle name="Hiperlink" xfId="52389" builtinId="8" hidden="1"/>
    <cellStyle name="Hiperlink" xfId="52391" builtinId="8" hidden="1"/>
    <cellStyle name="Hiperlink" xfId="52524" builtinId="8" hidden="1"/>
    <cellStyle name="Hiperlink" xfId="52502" builtinId="8" hidden="1"/>
    <cellStyle name="Hiperlink" xfId="52492" builtinId="8" hidden="1"/>
    <cellStyle name="Hiperlink" xfId="52512" builtinId="8" hidden="1"/>
    <cellStyle name="Hiperlink" xfId="52278" builtinId="8" hidden="1"/>
    <cellStyle name="Hiperlink" xfId="52483" builtinId="8" hidden="1"/>
    <cellStyle name="Hiperlink" xfId="52455" builtinId="8" hidden="1"/>
    <cellStyle name="Hiperlink" xfId="52430" builtinId="8" hidden="1"/>
    <cellStyle name="Hiperlink" xfId="52548" builtinId="8" hidden="1"/>
    <cellStyle name="Hiperlink" xfId="52540" builtinId="8" hidden="1"/>
    <cellStyle name="Hiperlink" xfId="52515" builtinId="8" hidden="1"/>
    <cellStyle name="Hiperlink" xfId="52494" builtinId="8" hidden="1"/>
    <cellStyle name="Hiperlink" xfId="52467" builtinId="8" hidden="1"/>
    <cellStyle name="Hiperlink" xfId="52482" builtinId="8" hidden="1"/>
    <cellStyle name="Hiperlink" xfId="52466" builtinId="8" hidden="1"/>
    <cellStyle name="Hiperlink" xfId="52442" builtinId="8" hidden="1"/>
    <cellStyle name="Hiperlink" xfId="52420" builtinId="8" hidden="1"/>
    <cellStyle name="Hiperlink" xfId="52525" builtinId="8" hidden="1"/>
    <cellStyle name="Hiperlink" xfId="52493" builtinId="8" hidden="1"/>
    <cellStyle name="Hiperlink" xfId="52276" builtinId="8" hidden="1"/>
    <cellStyle name="Hiperlink" xfId="52487" builtinId="8" hidden="1"/>
    <cellStyle name="Hiperlink" xfId="52457" builtinId="8" hidden="1"/>
    <cellStyle name="Hiperlink" xfId="52431" builtinId="8" hidden="1"/>
    <cellStyle name="Hiperlink" xfId="52419" builtinId="8" hidden="1"/>
    <cellStyle name="Hiperlink" xfId="52527" builtinId="8" hidden="1"/>
    <cellStyle name="Hiperlink" xfId="52504" builtinId="8" hidden="1"/>
    <cellStyle name="Hiperlink" xfId="52281" builtinId="8" hidden="1"/>
    <cellStyle name="Hiperlink" xfId="52468" builtinId="8" hidden="1"/>
    <cellStyle name="Hiperlink" xfId="52446" builtinId="8" hidden="1"/>
    <cellStyle name="Hiperlink" xfId="52427" builtinId="8" hidden="1"/>
    <cellStyle name="Hiperlink" xfId="52542" builtinId="8" hidden="1"/>
    <cellStyle name="Hiperlink" xfId="52517" builtinId="8" hidden="1"/>
    <cellStyle name="Hiperlink" xfId="52496" builtinId="8" hidden="1"/>
    <cellStyle name="Hiperlink" xfId="52405" builtinId="8" hidden="1"/>
    <cellStyle name="Hiperlink" xfId="52567" builtinId="8" hidden="1"/>
    <cellStyle name="Hiperlink" xfId="52570" builtinId="8" hidden="1"/>
    <cellStyle name="Hiperlink" xfId="52291" builtinId="8" hidden="1"/>
    <cellStyle name="Hiperlink" xfId="52408" builtinId="8" hidden="1"/>
    <cellStyle name="Hiperlink" xfId="52406" builtinId="8" hidden="1"/>
    <cellStyle name="Hiperlink" xfId="52403" builtinId="8" hidden="1"/>
    <cellStyle name="Hiperlink" xfId="52553" builtinId="8" hidden="1"/>
    <cellStyle name="Hiperlink" xfId="52563" builtinId="8" hidden="1"/>
    <cellStyle name="Hiperlink" xfId="52561" builtinId="8" hidden="1"/>
    <cellStyle name="Hiperlink" xfId="52559" builtinId="8" hidden="1"/>
    <cellStyle name="Hiperlink" xfId="52401" builtinId="8" hidden="1"/>
    <cellStyle name="Hiperlink" xfId="52547" builtinId="8" hidden="1"/>
    <cellStyle name="Hiperlink" xfId="52523" builtinId="8" hidden="1"/>
    <cellStyle name="Hiperlink" xfId="52499" builtinId="8" hidden="1"/>
    <cellStyle name="Hiperlink" xfId="52480" builtinId="8" hidden="1"/>
    <cellStyle name="Hiperlink" xfId="52399" builtinId="8" hidden="1"/>
    <cellStyle name="Hiperlink" xfId="52453" builtinId="8" hidden="1"/>
    <cellStyle name="Hiperlink" xfId="52585" builtinId="8" hidden="1"/>
    <cellStyle name="Hiperlink" xfId="52586" builtinId="8" hidden="1"/>
    <cellStyle name="Hiperlink" xfId="52565" builtinId="8" hidden="1"/>
    <cellStyle name="Hiperlink" xfId="52434" builtinId="8" hidden="1"/>
    <cellStyle name="Hiperlink" xfId="52532" builtinId="8" hidden="1"/>
    <cellStyle name="Hiperlink" xfId="52506" builtinId="8" hidden="1"/>
    <cellStyle name="Hiperlink" xfId="52394" builtinId="8" hidden="1"/>
    <cellStyle name="Hiperlink" xfId="52478" builtinId="8" hidden="1"/>
    <cellStyle name="Hiperlink" xfId="52460" builtinId="8" hidden="1"/>
    <cellStyle name="Hiperlink" xfId="52422" builtinId="8" hidden="1"/>
    <cellStyle name="Hiperlink" xfId="52409" builtinId="8" hidden="1"/>
    <cellStyle name="Hiperlink" xfId="52395" builtinId="8" hidden="1"/>
    <cellStyle name="Hiperlink" xfId="52450" builtinId="8" hidden="1"/>
    <cellStyle name="Hiperlink" xfId="52426" builtinId="8" hidden="1"/>
    <cellStyle name="Hiperlink" xfId="52459" builtinId="8" hidden="1"/>
    <cellStyle name="Hiperlink" xfId="52415" builtinId="8" hidden="1"/>
    <cellStyle name="Hiperlink" xfId="52530" builtinId="8" hidden="1"/>
    <cellStyle name="Hiperlink" xfId="52554" builtinId="8" hidden="1"/>
    <cellStyle name="Hiperlink" xfId="52397" builtinId="8" hidden="1"/>
    <cellStyle name="Hiperlink" xfId="52477" builtinId="8" hidden="1"/>
    <cellStyle name="Hiperlink" xfId="52440" builtinId="8" hidden="1"/>
    <cellStyle name="Hiperlink" xfId="52436" builtinId="8" hidden="1"/>
    <cellStyle name="Hiperlink" xfId="52414" builtinId="8" hidden="1"/>
    <cellStyle name="Hiperlink" xfId="52520" builtinId="8" hidden="1"/>
    <cellStyle name="Hiperlink" xfId="52469" builtinId="8" hidden="1"/>
    <cellStyle name="Hiperlink" xfId="52423" builtinId="8" hidden="1"/>
    <cellStyle name="Hiperlink" xfId="52543" builtinId="8" hidden="1"/>
    <cellStyle name="Hiperlink" xfId="52452" builtinId="8" hidden="1"/>
    <cellStyle name="Hiperlink" xfId="52425" builtinId="8" hidden="1"/>
    <cellStyle name="Hiperlink" xfId="52546" builtinId="8" hidden="1"/>
    <cellStyle name="Hiperlink" xfId="52463" builtinId="8" hidden="1"/>
    <cellStyle name="Hiperlink" xfId="52545" builtinId="8" hidden="1"/>
    <cellStyle name="Hiperlink" xfId="52507" builtinId="8" hidden="1"/>
    <cellStyle name="Hiperlink" xfId="52522" builtinId="8" hidden="1"/>
    <cellStyle name="Hiperlink" xfId="52534" builtinId="8" hidden="1"/>
    <cellStyle name="Hiperlink" xfId="52498" builtinId="8" hidden="1"/>
    <cellStyle name="Hiperlink" xfId="52564" builtinId="8" hidden="1"/>
    <cellStyle name="Hiperlink" xfId="52557" builtinId="8" hidden="1"/>
    <cellStyle name="Hiperlink" xfId="52438" builtinId="8" hidden="1"/>
    <cellStyle name="Hiperlink" xfId="52413" builtinId="8" hidden="1"/>
    <cellStyle name="Hiperlink" xfId="52569" builtinId="8" hidden="1"/>
    <cellStyle name="Hiperlink" xfId="52581" builtinId="8" hidden="1"/>
    <cellStyle name="Hiperlink" xfId="52583" builtinId="8" hidden="1"/>
    <cellStyle name="Hiperlink" xfId="52588" builtinId="8" hidden="1"/>
    <cellStyle name="Hiperlink" xfId="52551" builtinId="8" hidden="1"/>
    <cellStyle name="Hiperlink" xfId="52355" builtinId="8" hidden="1"/>
    <cellStyle name="Hiperlink" xfId="52580" builtinId="8" hidden="1"/>
    <cellStyle name="Hiperlink" xfId="52549" builtinId="8" hidden="1"/>
    <cellStyle name="Hiperlink" xfId="52292" builtinId="8" hidden="1"/>
    <cellStyle name="Hiperlink" xfId="52356" builtinId="8" hidden="1"/>
    <cellStyle name="Hiperlink" xfId="52529" builtinId="8" hidden="1"/>
    <cellStyle name="Hiperlink" xfId="52571" builtinId="8" hidden="1"/>
    <cellStyle name="Hiperlink" xfId="51445" builtinId="8" hidden="1"/>
    <cellStyle name="Hiperlink" xfId="51424" builtinId="8" hidden="1"/>
    <cellStyle name="Hiperlink" xfId="51504" builtinId="8" hidden="1"/>
    <cellStyle name="Hiperlink" xfId="52253" builtinId="8" hidden="1"/>
    <cellStyle name="Hiperlink" xfId="51422" builtinId="8" hidden="1"/>
    <cellStyle name="Hiperlink" xfId="51937" builtinId="8" hidden="1"/>
    <cellStyle name="Hiperlink" xfId="51850" builtinId="8" hidden="1"/>
    <cellStyle name="Hiperlink" xfId="51479" builtinId="8" hidden="1"/>
    <cellStyle name="Hiperlink" xfId="52151" builtinId="8" hidden="1"/>
    <cellStyle name="Hiperlink" xfId="52065" builtinId="8" hidden="1"/>
    <cellStyle name="Hiperlink" xfId="51415" builtinId="8" hidden="1"/>
    <cellStyle name="Hiperlink" xfId="51601" builtinId="8" hidden="1"/>
    <cellStyle name="Hiperlink" xfId="51590" builtinId="8" hidden="1"/>
    <cellStyle name="Hiperlink" xfId="51580" builtinId="8" hidden="1"/>
    <cellStyle name="Hiperlink" xfId="51572" builtinId="8" hidden="1"/>
    <cellStyle name="Hiperlink" xfId="51734" builtinId="8" hidden="1"/>
    <cellStyle name="Hiperlink" xfId="51676" builtinId="8" hidden="1"/>
    <cellStyle name="Hiperlink" xfId="51616" builtinId="8" hidden="1"/>
    <cellStyle name="Hiperlink" xfId="51610" builtinId="8" hidden="1"/>
    <cellStyle name="Hiperlink" xfId="51604" builtinId="8" hidden="1"/>
    <cellStyle name="Hiperlink" xfId="52226" builtinId="8" hidden="1"/>
    <cellStyle name="Hiperlink" xfId="52221" builtinId="8" hidden="1"/>
    <cellStyle name="Hiperlink" xfId="52217" builtinId="8" hidden="1"/>
    <cellStyle name="Hiperlink" xfId="52207" builtinId="8" hidden="1"/>
    <cellStyle name="Hiperlink" xfId="52237" builtinId="8" hidden="1"/>
    <cellStyle name="Hiperlink" xfId="51597" builtinId="8" hidden="1"/>
    <cellStyle name="Hiperlink" xfId="52209" builtinId="8" hidden="1"/>
    <cellStyle name="Hiperlink" xfId="52248" builtinId="8" hidden="1"/>
    <cellStyle name="Hiperlink" xfId="51594" builtinId="8" hidden="1"/>
    <cellStyle name="Hiperlink" xfId="51600" builtinId="8" hidden="1"/>
    <cellStyle name="Hiperlink" xfId="51639" builtinId="8" hidden="1"/>
    <cellStyle name="Hiperlink" xfId="51638" builtinId="8" hidden="1"/>
    <cellStyle name="Hiperlink" xfId="51637" builtinId="8" hidden="1"/>
    <cellStyle name="Hiperlink" xfId="51636" builtinId="8" hidden="1"/>
    <cellStyle name="Hiperlink" xfId="51635" builtinId="8" hidden="1"/>
    <cellStyle name="Hiperlink" xfId="51389" builtinId="8" hidden="1"/>
    <cellStyle name="Hiperlink" xfId="51388" builtinId="8" hidden="1"/>
    <cellStyle name="Hiperlink" xfId="51387" builtinId="8" hidden="1"/>
    <cellStyle name="Hiperlink" xfId="51386" builtinId="8" hidden="1"/>
    <cellStyle name="Hiperlink" xfId="51385" builtinId="8" hidden="1"/>
    <cellStyle name="Hiperlink" xfId="51384" builtinId="8" hidden="1"/>
    <cellStyle name="Hiperlink" xfId="51628" builtinId="8" hidden="1"/>
    <cellStyle name="Hiperlink" xfId="51627" builtinId="8" hidden="1"/>
    <cellStyle name="Hiperlink" xfId="51626" builtinId="8" hidden="1"/>
    <cellStyle name="Hiperlink" xfId="51380" builtinId="8" hidden="1"/>
    <cellStyle name="Hiperlink" xfId="51379" builtinId="8" hidden="1"/>
    <cellStyle name="Hiperlink" xfId="51378" builtinId="8" hidden="1"/>
    <cellStyle name="Hiperlink" xfId="51377" builtinId="8" hidden="1"/>
    <cellStyle name="Hiperlink" xfId="51376" builtinId="8" hidden="1"/>
    <cellStyle name="Hiperlink" xfId="51375" builtinId="8" hidden="1"/>
    <cellStyle name="Hiperlink" xfId="52695" builtinId="8" hidden="1"/>
    <cellStyle name="Hiperlink" xfId="52697" builtinId="8" hidden="1"/>
    <cellStyle name="Hiperlink" xfId="52699" builtinId="8" hidden="1"/>
    <cellStyle name="Hiperlink" xfId="52704" builtinId="8" hidden="1"/>
    <cellStyle name="Hiperlink" xfId="52706" builtinId="8" hidden="1"/>
    <cellStyle name="Hiperlink" xfId="52708" builtinId="8" hidden="1"/>
    <cellStyle name="Hiperlink" xfId="52710" builtinId="8" hidden="1"/>
    <cellStyle name="Hiperlink" xfId="52712" builtinId="8" hidden="1"/>
    <cellStyle name="Hiperlink" xfId="52714" builtinId="8" hidden="1"/>
    <cellStyle name="Hiperlink" xfId="52716" builtinId="8" hidden="1"/>
    <cellStyle name="Hiperlink" xfId="52718" builtinId="8" hidden="1"/>
    <cellStyle name="Hiperlink" xfId="52720" builtinId="8" hidden="1"/>
    <cellStyle name="Hiperlink" xfId="52722" builtinId="8" hidden="1"/>
    <cellStyle name="Hiperlink" xfId="52724" builtinId="8" hidden="1"/>
    <cellStyle name="Hiperlink" xfId="52726" builtinId="8" hidden="1"/>
    <cellStyle name="Hiperlink" xfId="52728" builtinId="8" hidden="1"/>
    <cellStyle name="Hiperlink" xfId="52730" builtinId="8" hidden="1"/>
    <cellStyle name="Hiperlink" xfId="52732" builtinId="8" hidden="1"/>
    <cellStyle name="Hiperlink" xfId="52734" builtinId="8" hidden="1"/>
    <cellStyle name="Hiperlink" xfId="52736" builtinId="8" hidden="1"/>
    <cellStyle name="Hiperlink" xfId="52738" builtinId="8" hidden="1"/>
    <cellStyle name="Hiperlink" xfId="52740" builtinId="8" hidden="1"/>
    <cellStyle name="Hiperlink" xfId="52742" builtinId="8" hidden="1"/>
    <cellStyle name="Hiperlink" xfId="52744" builtinId="8" hidden="1"/>
    <cellStyle name="Hiperlink" xfId="52746" builtinId="8" hidden="1"/>
    <cellStyle name="Hiperlink" xfId="52748" builtinId="8" hidden="1"/>
    <cellStyle name="Hiperlink" xfId="52750" builtinId="8" hidden="1"/>
    <cellStyle name="Hiperlink" xfId="52752" builtinId="8" hidden="1"/>
    <cellStyle name="Hiperlink" xfId="52754" builtinId="8" hidden="1"/>
    <cellStyle name="Hiperlink" xfId="52756" builtinId="8" hidden="1"/>
    <cellStyle name="Hiperlink" xfId="52758" builtinId="8" hidden="1"/>
    <cellStyle name="Hiperlink" xfId="52760" builtinId="8" hidden="1"/>
    <cellStyle name="Hiperlink" xfId="52762" builtinId="8" hidden="1"/>
    <cellStyle name="Hiperlink" xfId="52766" builtinId="8" hidden="1"/>
    <cellStyle name="Hiperlink" xfId="52768" builtinId="8" hidden="1"/>
    <cellStyle name="Hiperlink" xfId="52770" builtinId="8" hidden="1"/>
    <cellStyle name="Hiperlink" xfId="52772" builtinId="8" hidden="1"/>
    <cellStyle name="Hiperlink" xfId="52774" builtinId="8" hidden="1"/>
    <cellStyle name="Hiperlink" xfId="52776" builtinId="8" hidden="1"/>
    <cellStyle name="Hiperlink" xfId="52778" builtinId="8" hidden="1"/>
    <cellStyle name="Hiperlink" xfId="52780" builtinId="8" hidden="1"/>
    <cellStyle name="Hiperlink" xfId="52782" builtinId="8" hidden="1"/>
    <cellStyle name="Hiperlink" xfId="52784" builtinId="8" hidden="1"/>
    <cellStyle name="Hiperlink" xfId="52786" builtinId="8" hidden="1"/>
    <cellStyle name="Hiperlink" xfId="52788" builtinId="8" hidden="1"/>
    <cellStyle name="Hiperlink" xfId="52790" builtinId="8" hidden="1"/>
    <cellStyle name="Hiperlink" xfId="52792" builtinId="8" hidden="1"/>
    <cellStyle name="Hiperlink" xfId="52794" builtinId="8" hidden="1"/>
    <cellStyle name="Hiperlink" xfId="52796" builtinId="8" hidden="1"/>
    <cellStyle name="Hiperlink" xfId="52798" builtinId="8" hidden="1"/>
    <cellStyle name="Hiperlink" xfId="52800" builtinId="8" hidden="1"/>
    <cellStyle name="Hiperlink" xfId="52927" builtinId="8" hidden="1"/>
    <cellStyle name="Hiperlink" xfId="52907" builtinId="8" hidden="1"/>
    <cellStyle name="Hiperlink" xfId="52898" builtinId="8" hidden="1"/>
    <cellStyle name="Hiperlink" xfId="52916" builtinId="8" hidden="1"/>
    <cellStyle name="Hiperlink" xfId="52691" builtinId="8" hidden="1"/>
    <cellStyle name="Hiperlink" xfId="52889" builtinId="8" hidden="1"/>
    <cellStyle name="Hiperlink" xfId="52862" builtinId="8" hidden="1"/>
    <cellStyle name="Hiperlink" xfId="52839" builtinId="8" hidden="1"/>
    <cellStyle name="Hiperlink" xfId="52951" builtinId="8" hidden="1"/>
    <cellStyle name="Hiperlink" xfId="52943" builtinId="8" hidden="1"/>
    <cellStyle name="Hiperlink" xfId="52919" builtinId="8" hidden="1"/>
    <cellStyle name="Hiperlink" xfId="52900" builtinId="8" hidden="1"/>
    <cellStyle name="Hiperlink" xfId="52873" builtinId="8" hidden="1"/>
    <cellStyle name="Hiperlink" xfId="52888" builtinId="8" hidden="1"/>
    <cellStyle name="Hiperlink" xfId="52872" builtinId="8" hidden="1"/>
    <cellStyle name="Hiperlink" xfId="52851" builtinId="8" hidden="1"/>
    <cellStyle name="Hiperlink" xfId="52829" builtinId="8" hidden="1"/>
    <cellStyle name="Hiperlink" xfId="52928" builtinId="8" hidden="1"/>
    <cellStyle name="Hiperlink" xfId="52899" builtinId="8" hidden="1"/>
    <cellStyle name="Hiperlink" xfId="52689" builtinId="8" hidden="1"/>
    <cellStyle name="Hiperlink" xfId="52893" builtinId="8" hidden="1"/>
    <cellStyle name="Hiperlink" xfId="52863" builtinId="8" hidden="1"/>
    <cellStyle name="Hiperlink" xfId="52840" builtinId="8" hidden="1"/>
    <cellStyle name="Hiperlink" xfId="52828" builtinId="8" hidden="1"/>
    <cellStyle name="Hiperlink" xfId="52930" builtinId="8" hidden="1"/>
    <cellStyle name="Hiperlink" xfId="52909" builtinId="8" hidden="1"/>
    <cellStyle name="Hiperlink" xfId="52694" builtinId="8" hidden="1"/>
    <cellStyle name="Hiperlink" xfId="52874" builtinId="8" hidden="1"/>
    <cellStyle name="Hiperlink" xfId="52854" builtinId="8" hidden="1"/>
    <cellStyle name="Hiperlink" xfId="52836" builtinId="8" hidden="1"/>
    <cellStyle name="Hiperlink" xfId="52945" builtinId="8" hidden="1"/>
    <cellStyle name="Hiperlink" xfId="52921" builtinId="8" hidden="1"/>
    <cellStyle name="Hiperlink" xfId="52902" builtinId="8" hidden="1"/>
    <cellStyle name="Hiperlink" xfId="52814" builtinId="8" hidden="1"/>
    <cellStyle name="Hiperlink" xfId="52970" builtinId="8" hidden="1"/>
    <cellStyle name="Hiperlink" xfId="52973" builtinId="8" hidden="1"/>
    <cellStyle name="Hiperlink" xfId="52702" builtinId="8" hidden="1"/>
    <cellStyle name="Hiperlink" xfId="52817" builtinId="8" hidden="1"/>
    <cellStyle name="Hiperlink" xfId="52815" builtinId="8" hidden="1"/>
    <cellStyle name="Hiperlink" xfId="52812" builtinId="8" hidden="1"/>
    <cellStyle name="Hiperlink" xfId="52956" builtinId="8" hidden="1"/>
    <cellStyle name="Hiperlink" xfId="52966" builtinId="8" hidden="1"/>
    <cellStyle name="Hiperlink" xfId="52964" builtinId="8" hidden="1"/>
    <cellStyle name="Hiperlink" xfId="52962" builtinId="8" hidden="1"/>
    <cellStyle name="Hiperlink" xfId="52810" builtinId="8" hidden="1"/>
    <cellStyle name="Hiperlink" xfId="52950" builtinId="8" hidden="1"/>
    <cellStyle name="Hiperlink" xfId="52926" builtinId="8" hidden="1"/>
    <cellStyle name="Hiperlink" xfId="52905" builtinId="8" hidden="1"/>
    <cellStyle name="Hiperlink" xfId="52886" builtinId="8" hidden="1"/>
    <cellStyle name="Hiperlink" xfId="52808" builtinId="8" hidden="1"/>
    <cellStyle name="Hiperlink" xfId="52860" builtinId="8" hidden="1"/>
    <cellStyle name="Hiperlink" xfId="52987" builtinId="8" hidden="1"/>
    <cellStyle name="Hiperlink" xfId="52988" builtinId="8" hidden="1"/>
    <cellStyle name="Hiperlink" xfId="52968" builtinId="8" hidden="1"/>
    <cellStyle name="Hiperlink" xfId="52843" builtinId="8" hidden="1"/>
    <cellStyle name="Hiperlink" xfId="52935" builtinId="8" hidden="1"/>
    <cellStyle name="Hiperlink" xfId="52911" builtinId="8" hidden="1"/>
    <cellStyle name="Hiperlink" xfId="52803" builtinId="8" hidden="1"/>
    <cellStyle name="Hiperlink" xfId="52884" builtinId="8" hidden="1"/>
    <cellStyle name="Hiperlink" xfId="52866" builtinId="8" hidden="1"/>
    <cellStyle name="Hiperlink" xfId="52831" builtinId="8" hidden="1"/>
    <cellStyle name="Hiperlink" xfId="52818" builtinId="8" hidden="1"/>
    <cellStyle name="Hiperlink" xfId="52804" builtinId="8" hidden="1"/>
    <cellStyle name="Hiperlink" xfId="52857" builtinId="8" hidden="1"/>
    <cellStyle name="Hiperlink" xfId="52835" builtinId="8" hidden="1"/>
    <cellStyle name="Hiperlink" xfId="52865" builtinId="8" hidden="1"/>
    <cellStyle name="Hiperlink" xfId="52824" builtinId="8" hidden="1"/>
    <cellStyle name="Hiperlink" xfId="52933" builtinId="8" hidden="1"/>
    <cellStyle name="Hiperlink" xfId="52957" builtinId="8" hidden="1"/>
    <cellStyle name="Hiperlink" xfId="52806" builtinId="8" hidden="1"/>
    <cellStyle name="Hiperlink" xfId="52883" builtinId="8" hidden="1"/>
    <cellStyle name="Hiperlink" xfId="52849" builtinId="8" hidden="1"/>
    <cellStyle name="Hiperlink" xfId="52845" builtinId="8" hidden="1"/>
    <cellStyle name="Hiperlink" xfId="52823" builtinId="8" hidden="1"/>
    <cellStyle name="Hiperlink" xfId="52924" builtinId="8" hidden="1"/>
    <cellStyle name="Hiperlink" xfId="52875" builtinId="8" hidden="1"/>
    <cellStyle name="Hiperlink" xfId="52832" builtinId="8" hidden="1"/>
    <cellStyle name="Hiperlink" xfId="52946" builtinId="8" hidden="1"/>
    <cellStyle name="Hiperlink" xfId="52859" builtinId="8" hidden="1"/>
    <cellStyle name="Hiperlink" xfId="52834" builtinId="8" hidden="1"/>
    <cellStyle name="Hiperlink" xfId="52949" builtinId="8" hidden="1"/>
    <cellStyle name="Hiperlink" xfId="52869" builtinId="8" hidden="1"/>
    <cellStyle name="Hiperlink" xfId="52948" builtinId="8" hidden="1"/>
    <cellStyle name="Hiperlink" xfId="52912" builtinId="8" hidden="1"/>
    <cellStyle name="Hiperlink" xfId="52925" builtinId="8" hidden="1"/>
    <cellStyle name="Hiperlink" xfId="52937" builtinId="8" hidden="1"/>
    <cellStyle name="Hiperlink" xfId="52904" builtinId="8" hidden="1"/>
    <cellStyle name="Hiperlink" xfId="52967" builtinId="8" hidden="1"/>
    <cellStyle name="Hiperlink" xfId="52960" builtinId="8" hidden="1"/>
    <cellStyle name="Hiperlink" xfId="52847" builtinId="8" hidden="1"/>
    <cellStyle name="Hiperlink" xfId="52822" builtinId="8" hidden="1"/>
    <cellStyle name="Hiperlink" xfId="52972" builtinId="8" hidden="1"/>
    <cellStyle name="Hiperlink" xfId="52983" builtinId="8" hidden="1"/>
    <cellStyle name="Hiperlink" xfId="52985" builtinId="8" hidden="1"/>
    <cellStyle name="Hiperlink" xfId="52990" builtinId="8" hidden="1"/>
    <cellStyle name="Hiperlink" xfId="52954" builtinId="8" hidden="1"/>
    <cellStyle name="Hiperlink" xfId="52764" builtinId="8" hidden="1"/>
    <cellStyle name="Hiperlink" xfId="52982" builtinId="8" hidden="1"/>
    <cellStyle name="Hiperlink" xfId="52952" builtinId="8" hidden="1"/>
    <cellStyle name="Hiperlink" xfId="52703" builtinId="8" hidden="1"/>
    <cellStyle name="Hiperlink" xfId="52765" builtinId="8" hidden="1"/>
    <cellStyle name="Hiperlink" xfId="52932" builtinId="8" hidden="1"/>
    <cellStyle name="Hiperlink" xfId="52604" builtinId="8" hidden="1"/>
    <cellStyle name="Hiperlink" xfId="52681" builtinId="8" hidden="1"/>
    <cellStyle name="Hiperlink" xfId="52682" builtinId="8" hidden="1"/>
    <cellStyle name="Hiperlink" xfId="52606" builtinId="8" hidden="1"/>
    <cellStyle name="Hiperlink" xfId="52638" builtinId="8" hidden="1"/>
    <cellStyle name="Hiperlink" xfId="52627" builtinId="8" hidden="1"/>
    <cellStyle name="Hiperlink" xfId="52614" builtinId="8" hidden="1"/>
    <cellStyle name="Hiperlink" xfId="52674" builtinId="8" hidden="1"/>
    <cellStyle name="Hiperlink" xfId="52664" builtinId="8" hidden="1"/>
    <cellStyle name="Hiperlink" xfId="52631" builtinId="8" hidden="1"/>
    <cellStyle name="Hiperlink" xfId="52621" builtinId="8" hidden="1"/>
    <cellStyle name="Hiperlink" xfId="52613" builtinId="8" hidden="1"/>
    <cellStyle name="Hiperlink" xfId="52669" builtinId="8" hidden="1"/>
    <cellStyle name="Hiperlink" xfId="52656" builtinId="8" hidden="1"/>
    <cellStyle name="Hiperlink" xfId="51396" builtinId="8" hidden="1"/>
    <cellStyle name="Hiperlink" xfId="52637" builtinId="8" hidden="1"/>
    <cellStyle name="Hiperlink" xfId="52625" builtinId="8" hidden="1"/>
    <cellStyle name="Hiperlink" xfId="52616" builtinId="8" hidden="1"/>
    <cellStyle name="Hiperlink" xfId="52673" builtinId="8" hidden="1"/>
    <cellStyle name="Hiperlink" xfId="52662" builtinId="8" hidden="1"/>
    <cellStyle name="Hiperlink" xfId="52649" builtinId="8" hidden="1"/>
    <cellStyle name="Hiperlink" xfId="52666" builtinId="8" hidden="1"/>
    <cellStyle name="Hiperlink" xfId="52652" builtinId="8" hidden="1"/>
    <cellStyle name="Hiperlink" xfId="52640" builtinId="8" hidden="1"/>
    <cellStyle name="Hiperlink" xfId="52628" builtinId="8" hidden="1"/>
    <cellStyle name="Hiperlink" xfId="52636" builtinId="8" hidden="1"/>
    <cellStyle name="Hiperlink" xfId="52624" builtinId="8" hidden="1"/>
    <cellStyle name="Hiperlink" xfId="52611" builtinId="8" hidden="1"/>
    <cellStyle name="Hiperlink" xfId="52671" builtinId="8" hidden="1"/>
    <cellStyle name="Hiperlink" xfId="52658" builtinId="8" hidden="1"/>
    <cellStyle name="Hiperlink" xfId="52645" builtinId="8" hidden="1"/>
    <cellStyle name="Hiperlink" xfId="52192" builtinId="8" hidden="1"/>
    <cellStyle name="Hiperlink" xfId="52641" builtinId="8" hidden="1"/>
    <cellStyle name="Hiperlink" xfId="52660" builtinId="8" hidden="1"/>
    <cellStyle name="Hiperlink" xfId="52647" builtinId="8" hidden="1"/>
    <cellStyle name="Hiperlink" xfId="52642" builtinId="8" hidden="1"/>
    <cellStyle name="Hiperlink" xfId="52623" builtinId="8" hidden="1"/>
    <cellStyle name="Hiperlink" xfId="52615" builtinId="8" hidden="1"/>
    <cellStyle name="Hiperlink" xfId="52605" builtinId="8" hidden="1"/>
    <cellStyle name="Hiperlink" xfId="52667" builtinId="8" hidden="1"/>
    <cellStyle name="Hiperlink" xfId="52654" builtinId="8" hidden="1"/>
    <cellStyle name="Hiperlink" xfId="52195" builtinId="8" hidden="1"/>
    <cellStyle name="Hiperlink" xfId="52597" builtinId="8" hidden="1"/>
    <cellStyle name="Hiperlink" xfId="52679" builtinId="8" hidden="1"/>
    <cellStyle name="Hiperlink" xfId="52685" builtinId="8" hidden="1"/>
    <cellStyle name="Hiperlink" xfId="52687" builtinId="8" hidden="1"/>
    <cellStyle name="Hiperlink" xfId="52595" builtinId="8" hidden="1"/>
    <cellStyle name="Hiperlink" xfId="52676" builtinId="8" hidden="1"/>
    <cellStyle name="Hiperlink" xfId="52194" builtinId="8" hidden="1"/>
    <cellStyle name="Hiperlink" xfId="52601" builtinId="8" hidden="1"/>
    <cellStyle name="Hiperlink" xfId="52598" builtinId="8" hidden="1"/>
    <cellStyle name="Hiperlink" xfId="53001" builtinId="8" hidden="1"/>
    <cellStyle name="Hiperlink" xfId="53003" builtinId="8" hidden="1"/>
    <cellStyle name="Hiperlink" xfId="53005" builtinId="8" hidden="1"/>
    <cellStyle name="Hiperlink" xfId="53010" builtinId="8" hidden="1"/>
    <cellStyle name="Hiperlink" xfId="53012" builtinId="8" hidden="1"/>
    <cellStyle name="Hiperlink" xfId="53014" builtinId="8" hidden="1"/>
    <cellStyle name="Hiperlink" xfId="53016" builtinId="8" hidden="1"/>
    <cellStyle name="Hiperlink" xfId="53018" builtinId="8" hidden="1"/>
    <cellStyle name="Hiperlink" xfId="53020" builtinId="8" hidden="1"/>
    <cellStyle name="Hiperlink" xfId="53022" builtinId="8" hidden="1"/>
    <cellStyle name="Hiperlink" xfId="53024" builtinId="8" hidden="1"/>
    <cellStyle name="Hiperlink" xfId="53026" builtinId="8" hidden="1"/>
    <cellStyle name="Hiperlink" xfId="53028" builtinId="8" hidden="1"/>
    <cellStyle name="Hiperlink" xfId="53030" builtinId="8" hidden="1"/>
    <cellStyle name="Hiperlink" xfId="53032" builtinId="8" hidden="1"/>
    <cellStyle name="Hiperlink" xfId="53034" builtinId="8" hidden="1"/>
    <cellStyle name="Hiperlink" xfId="53036" builtinId="8" hidden="1"/>
    <cellStyle name="Hiperlink" xfId="53038" builtinId="8" hidden="1"/>
    <cellStyle name="Hiperlink" xfId="53040" builtinId="8" hidden="1"/>
    <cellStyle name="Hiperlink" xfId="53042" builtinId="8" hidden="1"/>
    <cellStyle name="Hiperlink" xfId="53044" builtinId="8" hidden="1"/>
    <cellStyle name="Hiperlink" xfId="53046" builtinId="8" hidden="1"/>
    <cellStyle name="Hiperlink" xfId="53048" builtinId="8" hidden="1"/>
    <cellStyle name="Hiperlink" xfId="53050" builtinId="8" hidden="1"/>
    <cellStyle name="Hiperlink" xfId="53052" builtinId="8" hidden="1"/>
    <cellStyle name="Hiperlink" xfId="53054" builtinId="8" hidden="1"/>
    <cellStyle name="Hiperlink" xfId="53056" builtinId="8" hidden="1"/>
    <cellStyle name="Hiperlink" xfId="53058" builtinId="8" hidden="1"/>
    <cellStyle name="Hiperlink" xfId="53060" builtinId="8" hidden="1"/>
    <cellStyle name="Hiperlink" xfId="53062" builtinId="8" hidden="1"/>
    <cellStyle name="Hiperlink" xfId="53064" builtinId="8" hidden="1"/>
    <cellStyle name="Hiperlink" xfId="53066" builtinId="8" hidden="1"/>
    <cellStyle name="Hiperlink" xfId="53068" builtinId="8" hidden="1"/>
    <cellStyle name="Hiperlink" xfId="53072" builtinId="8" hidden="1"/>
    <cellStyle name="Hiperlink" xfId="53074" builtinId="8" hidden="1"/>
    <cellStyle name="Hiperlink" xfId="53076" builtinId="8" hidden="1"/>
    <cellStyle name="Hiperlink" xfId="53078" builtinId="8" hidden="1"/>
    <cellStyle name="Hiperlink" xfId="53080" builtinId="8" hidden="1"/>
    <cellStyle name="Hiperlink" xfId="53082" builtinId="8" hidden="1"/>
    <cellStyle name="Hiperlink" xfId="53084" builtinId="8" hidden="1"/>
    <cellStyle name="Hiperlink" xfId="53086" builtinId="8" hidden="1"/>
    <cellStyle name="Hiperlink" xfId="53088" builtinId="8" hidden="1"/>
    <cellStyle name="Hiperlink" xfId="53090" builtinId="8" hidden="1"/>
    <cellStyle name="Hiperlink" xfId="53092" builtinId="8" hidden="1"/>
    <cellStyle name="Hiperlink" xfId="53094" builtinId="8" hidden="1"/>
    <cellStyle name="Hiperlink" xfId="53096" builtinId="8" hidden="1"/>
    <cellStyle name="Hiperlink" xfId="53098" builtinId="8" hidden="1"/>
    <cellStyle name="Hiperlink" xfId="53100" builtinId="8" hidden="1"/>
    <cellStyle name="Hiperlink" xfId="53102" builtinId="8" hidden="1"/>
    <cellStyle name="Hiperlink" xfId="53104" builtinId="8" hidden="1"/>
    <cellStyle name="Hiperlink" xfId="53106" builtinId="8" hidden="1"/>
    <cellStyle name="Hiperlink" xfId="53233" builtinId="8" hidden="1"/>
    <cellStyle name="Hiperlink" xfId="53213" builtinId="8" hidden="1"/>
    <cellStyle name="Hiperlink" xfId="53204" builtinId="8" hidden="1"/>
    <cellStyle name="Hiperlink" xfId="53222" builtinId="8" hidden="1"/>
    <cellStyle name="Hiperlink" xfId="52997" builtinId="8" hidden="1"/>
    <cellStyle name="Hiperlink" xfId="53195" builtinId="8" hidden="1"/>
    <cellStyle name="Hiperlink" xfId="53168" builtinId="8" hidden="1"/>
    <cellStyle name="Hiperlink" xfId="53145" builtinId="8" hidden="1"/>
    <cellStyle name="Hiperlink" xfId="53257" builtinId="8" hidden="1"/>
    <cellStyle name="Hiperlink" xfId="53249" builtinId="8" hidden="1"/>
    <cellStyle name="Hiperlink" xfId="53225" builtinId="8" hidden="1"/>
    <cellStyle name="Hiperlink" xfId="53206" builtinId="8" hidden="1"/>
    <cellStyle name="Hiperlink" xfId="53179" builtinId="8" hidden="1"/>
    <cellStyle name="Hiperlink" xfId="53194" builtinId="8" hidden="1"/>
    <cellStyle name="Hiperlink" xfId="53178" builtinId="8" hidden="1"/>
    <cellStyle name="Hiperlink" xfId="53157" builtinId="8" hidden="1"/>
    <cellStyle name="Hiperlink" xfId="53135" builtinId="8" hidden="1"/>
    <cellStyle name="Hiperlink" xfId="53234" builtinId="8" hidden="1"/>
    <cellStyle name="Hiperlink" xfId="53205" builtinId="8" hidden="1"/>
    <cellStyle name="Hiperlink" xfId="52995" builtinId="8" hidden="1"/>
    <cellStyle name="Hiperlink" xfId="53199" builtinId="8" hidden="1"/>
    <cellStyle name="Hiperlink" xfId="53169" builtinId="8" hidden="1"/>
    <cellStyle name="Hiperlink" xfId="53146" builtinId="8" hidden="1"/>
    <cellStyle name="Hiperlink" xfId="53134" builtinId="8" hidden="1"/>
    <cellStyle name="Hiperlink" xfId="53236" builtinId="8" hidden="1"/>
    <cellStyle name="Hiperlink" xfId="53215" builtinId="8" hidden="1"/>
    <cellStyle name="Hiperlink" xfId="53000" builtinId="8" hidden="1"/>
    <cellStyle name="Hiperlink" xfId="53180" builtinId="8" hidden="1"/>
    <cellStyle name="Hiperlink" xfId="53160" builtinId="8" hidden="1"/>
    <cellStyle name="Hiperlink" xfId="53142" builtinId="8" hidden="1"/>
    <cellStyle name="Hiperlink" xfId="53251" builtinId="8" hidden="1"/>
    <cellStyle name="Hiperlink" xfId="53227" builtinId="8" hidden="1"/>
    <cellStyle name="Hiperlink" xfId="53208" builtinId="8" hidden="1"/>
    <cellStyle name="Hiperlink" xfId="53120" builtinId="8" hidden="1"/>
    <cellStyle name="Hiperlink" xfId="53276" builtinId="8" hidden="1"/>
    <cellStyle name="Hiperlink" xfId="53279" builtinId="8" hidden="1"/>
    <cellStyle name="Hiperlink" xfId="53008" builtinId="8" hidden="1"/>
    <cellStyle name="Hiperlink" xfId="53123" builtinId="8" hidden="1"/>
    <cellStyle name="Hiperlink" xfId="53121" builtinId="8" hidden="1"/>
    <cellStyle name="Hiperlink" xfId="53118" builtinId="8" hidden="1"/>
    <cellStyle name="Hiperlink" xfId="53262" builtinId="8" hidden="1"/>
    <cellStyle name="Hiperlink" xfId="53272" builtinId="8" hidden="1"/>
    <cellStyle name="Hiperlink" xfId="53270" builtinId="8" hidden="1"/>
    <cellStyle name="Hiperlink" xfId="53268" builtinId="8" hidden="1"/>
    <cellStyle name="Hiperlink" xfId="53116" builtinId="8" hidden="1"/>
    <cellStyle name="Hiperlink" xfId="53256" builtinId="8" hidden="1"/>
    <cellStyle name="Hiperlink" xfId="53232" builtinId="8" hidden="1"/>
    <cellStyle name="Hiperlink" xfId="53211" builtinId="8" hidden="1"/>
    <cellStyle name="Hiperlink" xfId="53192" builtinId="8" hidden="1"/>
    <cellStyle name="Hiperlink" xfId="53114" builtinId="8" hidden="1"/>
    <cellStyle name="Hiperlink" xfId="53166" builtinId="8" hidden="1"/>
    <cellStyle name="Hiperlink" xfId="53293" builtinId="8" hidden="1"/>
    <cellStyle name="Hiperlink" xfId="53294" builtinId="8" hidden="1"/>
    <cellStyle name="Hiperlink" xfId="53274" builtinId="8" hidden="1"/>
    <cellStyle name="Hiperlink" xfId="53149" builtinId="8" hidden="1"/>
    <cellStyle name="Hiperlink" xfId="53241" builtinId="8" hidden="1"/>
    <cellStyle name="Hiperlink" xfId="53217" builtinId="8" hidden="1"/>
    <cellStyle name="Hiperlink" xfId="53109" builtinId="8" hidden="1"/>
    <cellStyle name="Hiperlink" xfId="53190" builtinId="8" hidden="1"/>
    <cellStyle name="Hiperlink" xfId="53172" builtinId="8" hidden="1"/>
    <cellStyle name="Hiperlink" xfId="53137" builtinId="8" hidden="1"/>
    <cellStyle name="Hiperlink" xfId="53124" builtinId="8" hidden="1"/>
    <cellStyle name="Hiperlink" xfId="53110" builtinId="8" hidden="1"/>
    <cellStyle name="Hiperlink" xfId="53163" builtinId="8" hidden="1"/>
    <cellStyle name="Hiperlink" xfId="53141" builtinId="8" hidden="1"/>
    <cellStyle name="Hiperlink" xfId="53171" builtinId="8" hidden="1"/>
    <cellStyle name="Hiperlink" xfId="53130" builtinId="8" hidden="1"/>
    <cellStyle name="Hiperlink" xfId="53239" builtinId="8" hidden="1"/>
    <cellStyle name="Hiperlink" xfId="53263" builtinId="8" hidden="1"/>
    <cellStyle name="Hiperlink" xfId="53112" builtinId="8" hidden="1"/>
    <cellStyle name="Hiperlink" xfId="53189" builtinId="8" hidden="1"/>
    <cellStyle name="Hiperlink" xfId="53155" builtinId="8" hidden="1"/>
    <cellStyle name="Hiperlink" xfId="53151" builtinId="8" hidden="1"/>
    <cellStyle name="Hiperlink" xfId="53129" builtinId="8" hidden="1"/>
    <cellStyle name="Hiperlink" xfId="53230" builtinId="8" hidden="1"/>
    <cellStyle name="Hiperlink" xfId="53181" builtinId="8" hidden="1"/>
    <cellStyle name="Hiperlink" xfId="53138" builtinId="8" hidden="1"/>
    <cellStyle name="Hiperlink" xfId="53252" builtinId="8" hidden="1"/>
    <cellStyle name="Hiperlink" xfId="53165" builtinId="8" hidden="1"/>
    <cellStyle name="Hiperlink" xfId="53140" builtinId="8" hidden="1"/>
    <cellStyle name="Hiperlink" xfId="53255" builtinId="8" hidden="1"/>
    <cellStyle name="Hiperlink" xfId="53175" builtinId="8" hidden="1"/>
    <cellStyle name="Hiperlink" xfId="53254" builtinId="8" hidden="1"/>
    <cellStyle name="Hiperlink" xfId="53218" builtinId="8" hidden="1"/>
    <cellStyle name="Hiperlink" xfId="53231" builtinId="8" hidden="1"/>
    <cellStyle name="Hiperlink" xfId="53243" builtinId="8" hidden="1"/>
    <cellStyle name="Hiperlink" xfId="53210" builtinId="8" hidden="1"/>
    <cellStyle name="Hiperlink" xfId="53273" builtinId="8" hidden="1"/>
    <cellStyle name="Hiperlink" xfId="53266" builtinId="8" hidden="1"/>
    <cellStyle name="Hiperlink" xfId="53153" builtinId="8" hidden="1"/>
    <cellStyle name="Hiperlink" xfId="53128" builtinId="8" hidden="1"/>
    <cellStyle name="Hiperlink" xfId="53278" builtinId="8" hidden="1"/>
    <cellStyle name="Hiperlink" xfId="53289" builtinId="8" hidden="1"/>
    <cellStyle name="Hiperlink" xfId="53291" builtinId="8" hidden="1"/>
    <cellStyle name="Hiperlink" xfId="53296" builtinId="8" hidden="1"/>
    <cellStyle name="Hiperlink" xfId="53260" builtinId="8" hidden="1"/>
    <cellStyle name="Hiperlink" xfId="53070" builtinId="8" hidden="1"/>
    <cellStyle name="Hiperlink" xfId="53288" builtinId="8" hidden="1"/>
    <cellStyle name="Hiperlink" xfId="53258" builtinId="8" hidden="1"/>
    <cellStyle name="Hiperlink" xfId="53009" builtinId="8" hidden="1"/>
    <cellStyle name="Hiperlink" xfId="53071" builtinId="8" hidden="1"/>
    <cellStyle name="Hiperlink" xfId="53238" builtinId="8" hidden="1"/>
    <cellStyle name="Hiperlink Visitado" xfId="51400" builtinId="9" hidden="1"/>
    <cellStyle name="Hiperlink Visitado" xfId="51402" builtinId="9" hidden="1"/>
    <cellStyle name="Hiperlink Visitado" xfId="51404" builtinId="9" hidden="1"/>
    <cellStyle name="Hiperlink Visitado" xfId="51410" builtinId="9" hidden="1"/>
    <cellStyle name="Hiperlink Visitado" xfId="51412" builtinId="9" hidden="1"/>
    <cellStyle name="Hiperlink Visitado" xfId="51414" builtinId="9" hidden="1"/>
    <cellStyle name="Hiperlink Visitado" xfId="51417" builtinId="9" hidden="1"/>
    <cellStyle name="Hiperlink Visitado" xfId="51419" builtinId="9" hidden="1"/>
    <cellStyle name="Hiperlink Visitado" xfId="51421" builtinId="9" hidden="1"/>
    <cellStyle name="Hiperlink Visitado" xfId="51427" builtinId="9" hidden="1"/>
    <cellStyle name="Hiperlink Visitado" xfId="51429" builtinId="9" hidden="1"/>
    <cellStyle name="Hiperlink Visitado" xfId="51431" builtinId="9" hidden="1"/>
    <cellStyle name="Hiperlink Visitado" xfId="51434" builtinId="9" hidden="1"/>
    <cellStyle name="Hiperlink Visitado" xfId="51436" builtinId="9" hidden="1"/>
    <cellStyle name="Hiperlink Visitado" xfId="51438" builtinId="9" hidden="1"/>
    <cellStyle name="Hiperlink Visitado" xfId="51440" builtinId="9" hidden="1"/>
    <cellStyle name="Hiperlink Visitado" xfId="51442" builtinId="9" hidden="1"/>
    <cellStyle name="Hiperlink Visitado" xfId="51444" builtinId="9" hidden="1"/>
    <cellStyle name="Hiperlink Visitado" xfId="51447" builtinId="9" hidden="1"/>
    <cellStyle name="Hiperlink Visitado" xfId="51449" builtinId="9" hidden="1"/>
    <cellStyle name="Hiperlink Visitado" xfId="51451" builtinId="9" hidden="1"/>
    <cellStyle name="Hiperlink Visitado" xfId="51454" builtinId="9" hidden="1"/>
    <cellStyle name="Hiperlink Visitado" xfId="51456" builtinId="9" hidden="1"/>
    <cellStyle name="Hiperlink Visitado" xfId="51458" builtinId="9" hidden="1"/>
    <cellStyle name="Hiperlink Visitado" xfId="51460" builtinId="9" hidden="1"/>
    <cellStyle name="Hiperlink Visitado" xfId="51462" builtinId="9" hidden="1"/>
    <cellStyle name="Hiperlink Visitado" xfId="51464" builtinId="9" hidden="1"/>
    <cellStyle name="Hiperlink Visitado" xfId="51467" builtinId="9" hidden="1"/>
    <cellStyle name="Hiperlink Visitado" xfId="51469" builtinId="9" hidden="1"/>
    <cellStyle name="Hiperlink Visitado" xfId="51471" builtinId="9" hidden="1"/>
    <cellStyle name="Hiperlink Visitado" xfId="51473" builtinId="9" hidden="1"/>
    <cellStyle name="Hiperlink Visitado" xfId="51475" builtinId="9" hidden="1"/>
    <cellStyle name="Hiperlink Visitado" xfId="51477" builtinId="9" hidden="1"/>
    <cellStyle name="Hiperlink Visitado" xfId="51486" builtinId="9" hidden="1"/>
    <cellStyle name="Hiperlink Visitado" xfId="51488" builtinId="9" hidden="1"/>
    <cellStyle name="Hiperlink Visitado" xfId="51490" builtinId="9" hidden="1"/>
    <cellStyle name="Hiperlink Visitado" xfId="51493" builtinId="9" hidden="1"/>
    <cellStyle name="Hiperlink Visitado" xfId="51495" builtinId="9" hidden="1"/>
    <cellStyle name="Hiperlink Visitado" xfId="51497" builtinId="9" hidden="1"/>
    <cellStyle name="Hiperlink Visitado" xfId="51499" builtinId="9" hidden="1"/>
    <cellStyle name="Hiperlink Visitado" xfId="51501" builtinId="9" hidden="1"/>
    <cellStyle name="Hiperlink Visitado" xfId="51503" builtinId="9" hidden="1"/>
    <cellStyle name="Hiperlink Visitado" xfId="51506" builtinId="9" hidden="1"/>
    <cellStyle name="Hiperlink Visitado" xfId="51508" builtinId="9" hidden="1"/>
    <cellStyle name="Hiperlink Visitado" xfId="51510" builtinId="9" hidden="1"/>
    <cellStyle name="Hiperlink Visitado" xfId="51513" builtinId="9" hidden="1"/>
    <cellStyle name="Hiperlink Visitado" xfId="51515" builtinId="9" hidden="1"/>
    <cellStyle name="Hiperlink Visitado" xfId="51517" builtinId="9" hidden="1"/>
    <cellStyle name="Hiperlink Visitado" xfId="51519" builtinId="9" hidden="1"/>
    <cellStyle name="Hiperlink Visitado" xfId="51521" builtinId="9" hidden="1"/>
    <cellStyle name="Hiperlink Visitado" xfId="51523" builtinId="9" hidden="1"/>
    <cellStyle name="Hiperlink Visitado" xfId="52285" builtinId="9" hidden="1"/>
    <cellStyle name="Hiperlink Visitado" xfId="52287" builtinId="9" hidden="1"/>
    <cellStyle name="Hiperlink Visitado" xfId="52289" builtinId="9" hidden="1"/>
    <cellStyle name="Hiperlink Visitado" xfId="52294" builtinId="9" hidden="1"/>
    <cellStyle name="Hiperlink Visitado" xfId="52296" builtinId="9" hidden="1"/>
    <cellStyle name="Hiperlink Visitado" xfId="52298" builtinId="9" hidden="1"/>
    <cellStyle name="Hiperlink Visitado" xfId="52300" builtinId="9" hidden="1"/>
    <cellStyle name="Hiperlink Visitado" xfId="52302" builtinId="9" hidden="1"/>
    <cellStyle name="Hiperlink Visitado" xfId="52304" builtinId="9" hidden="1"/>
    <cellStyle name="Hiperlink Visitado" xfId="52308" builtinId="9" hidden="1"/>
    <cellStyle name="Hiperlink Visitado" xfId="52310" builtinId="9" hidden="1"/>
    <cellStyle name="Hiperlink Visitado" xfId="52312" builtinId="9" hidden="1"/>
    <cellStyle name="Hiperlink Visitado" xfId="52314" builtinId="9" hidden="1"/>
    <cellStyle name="Hiperlink Visitado" xfId="52316" builtinId="9" hidden="1"/>
    <cellStyle name="Hiperlink Visitado" xfId="52318" builtinId="9" hidden="1"/>
    <cellStyle name="Hiperlink Visitado" xfId="52320" builtinId="9" hidden="1"/>
    <cellStyle name="Hiperlink Visitado" xfId="52322" builtinId="9" hidden="1"/>
    <cellStyle name="Hiperlink Visitado" xfId="52324" builtinId="9" hidden="1"/>
    <cellStyle name="Hiperlink Visitado" xfId="52326" builtinId="9" hidden="1"/>
    <cellStyle name="Hiperlink Visitado" xfId="52328" builtinId="9" hidden="1"/>
    <cellStyle name="Hiperlink Visitado" xfId="52330" builtinId="9" hidden="1"/>
    <cellStyle name="Hiperlink Visitado" xfId="52332" builtinId="9" hidden="1"/>
    <cellStyle name="Hiperlink Visitado" xfId="52334" builtinId="9" hidden="1"/>
    <cellStyle name="Hiperlink Visitado" xfId="52336" builtinId="9" hidden="1"/>
    <cellStyle name="Hiperlink Visitado" xfId="52338" builtinId="9" hidden="1"/>
    <cellStyle name="Hiperlink Visitado" xfId="52340" builtinId="9" hidden="1"/>
    <cellStyle name="Hiperlink Visitado" xfId="52342" builtinId="9" hidden="1"/>
    <cellStyle name="Hiperlink Visitado" xfId="52344" builtinId="9" hidden="1"/>
    <cellStyle name="Hiperlink Visitado" xfId="52346" builtinId="9" hidden="1"/>
    <cellStyle name="Hiperlink Visitado" xfId="52348" builtinId="9" hidden="1"/>
    <cellStyle name="Hiperlink Visitado" xfId="52350" builtinId="9" hidden="1"/>
    <cellStyle name="Hiperlink Visitado" xfId="52352" builtinId="9" hidden="1"/>
    <cellStyle name="Hiperlink Visitado" xfId="52354" builtinId="9" hidden="1"/>
    <cellStyle name="Hiperlink Visitado" xfId="52358" builtinId="9" hidden="1"/>
    <cellStyle name="Hiperlink Visitado" xfId="52360" builtinId="9" hidden="1"/>
    <cellStyle name="Hiperlink Visitado" xfId="52362" builtinId="9" hidden="1"/>
    <cellStyle name="Hiperlink Visitado" xfId="52364" builtinId="9" hidden="1"/>
    <cellStyle name="Hiperlink Visitado" xfId="52366" builtinId="9" hidden="1"/>
    <cellStyle name="Hiperlink Visitado" xfId="52368" builtinId="9" hidden="1"/>
    <cellStyle name="Hiperlink Visitado" xfId="52370" builtinId="9" hidden="1"/>
    <cellStyle name="Hiperlink Visitado" xfId="52372" builtinId="9" hidden="1"/>
    <cellStyle name="Hiperlink Visitado" xfId="52374" builtinId="9" hidden="1"/>
    <cellStyle name="Hiperlink Visitado" xfId="52376" builtinId="9" hidden="1"/>
    <cellStyle name="Hiperlink Visitado" xfId="52378" builtinId="9" hidden="1"/>
    <cellStyle name="Hiperlink Visitado" xfId="52380" builtinId="9" hidden="1"/>
    <cellStyle name="Hiperlink Visitado" xfId="52382" builtinId="9" hidden="1"/>
    <cellStyle name="Hiperlink Visitado" xfId="52384" builtinId="9" hidden="1"/>
    <cellStyle name="Hiperlink Visitado" xfId="52386" builtinId="9" hidden="1"/>
    <cellStyle name="Hiperlink Visitado" xfId="52388" builtinId="9" hidden="1"/>
    <cellStyle name="Hiperlink Visitado" xfId="52390" builtinId="9" hidden="1"/>
    <cellStyle name="Hiperlink Visitado" xfId="52392" builtinId="9" hidden="1"/>
    <cellStyle name="Hiperlink Visitado" xfId="52513" builtinId="9" hidden="1"/>
    <cellStyle name="Hiperlink Visitado" xfId="52279" builtinId="9" hidden="1"/>
    <cellStyle name="Hiperlink Visitado" xfId="52484" builtinId="9" hidden="1"/>
    <cellStyle name="Hiperlink Visitado" xfId="52501" builtinId="9" hidden="1"/>
    <cellStyle name="Hiperlink Visitado" xfId="52491" builtinId="9" hidden="1"/>
    <cellStyle name="Hiperlink Visitado" xfId="52475" builtinId="9" hidden="1"/>
    <cellStyle name="Hiperlink Visitado" xfId="52443" builtinId="9" hidden="1"/>
    <cellStyle name="Hiperlink Visitado" xfId="52421" builtinId="9" hidden="1"/>
    <cellStyle name="Hiperlink Visitado" xfId="52538" builtinId="9" hidden="1"/>
    <cellStyle name="Hiperlink Visitado" xfId="52526" builtinId="9" hidden="1"/>
    <cellStyle name="Hiperlink Visitado" xfId="52503" builtinId="9" hidden="1"/>
    <cellStyle name="Hiperlink Visitado" xfId="52486" builtinId="9" hidden="1"/>
    <cellStyle name="Hiperlink Visitado" xfId="52485" builtinId="9" hidden="1"/>
    <cellStyle name="Hiperlink Visitado" xfId="52474" builtinId="9" hidden="1"/>
    <cellStyle name="Hiperlink Visitado" xfId="52454" builtinId="9" hidden="1"/>
    <cellStyle name="Hiperlink Visitado" xfId="52429" builtinId="9" hidden="1"/>
    <cellStyle name="Hiperlink Visitado" xfId="52539" builtinId="9" hidden="1"/>
    <cellStyle name="Hiperlink Visitado" xfId="52514" builtinId="9" hidden="1"/>
    <cellStyle name="Hiperlink Visitado" xfId="52277" builtinId="9" hidden="1"/>
    <cellStyle name="Hiperlink Visitado" xfId="52400" builtinId="9" hidden="1"/>
    <cellStyle name="Hiperlink Visitado" xfId="52481" builtinId="9" hidden="1"/>
    <cellStyle name="Hiperlink Visitado" xfId="52445" builtinId="9" hidden="1"/>
    <cellStyle name="Hiperlink Visitado" xfId="52428" builtinId="9" hidden="1"/>
    <cellStyle name="Hiperlink Visitado" xfId="52541" builtinId="9" hidden="1"/>
    <cellStyle name="Hiperlink Visitado" xfId="52516" builtinId="9" hidden="1"/>
    <cellStyle name="Hiperlink Visitado" xfId="52495" builtinId="9" hidden="1"/>
    <cellStyle name="Hiperlink Visitado" xfId="52488" builtinId="9" hidden="1"/>
    <cellStyle name="Hiperlink Visitado" xfId="52458" builtinId="9" hidden="1"/>
    <cellStyle name="Hiperlink Visitado" xfId="52432" builtinId="9" hidden="1"/>
    <cellStyle name="Hiperlink Visitado" xfId="52418" builtinId="9" hidden="1"/>
    <cellStyle name="Hiperlink Visitado" xfId="52528" builtinId="9" hidden="1"/>
    <cellStyle name="Hiperlink Visitado" xfId="52505" builtinId="9" hidden="1"/>
    <cellStyle name="Hiperlink Visitado" xfId="52280" builtinId="9" hidden="1"/>
    <cellStyle name="Hiperlink Visitado" xfId="52577" builtinId="9" hidden="1"/>
    <cellStyle name="Hiperlink Visitado" xfId="52402" builtinId="9" hidden="1"/>
    <cellStyle name="Hiperlink Visitado" xfId="52566" builtinId="9" hidden="1"/>
    <cellStyle name="Hiperlink Visitado" xfId="52410" builtinId="9" hidden="1"/>
    <cellStyle name="Hiperlink Visitado" xfId="52407" builtinId="9" hidden="1"/>
    <cellStyle name="Hiperlink Visitado" xfId="52404" builtinId="9" hidden="1"/>
    <cellStyle name="Hiperlink Visitado" xfId="52579" builtinId="9" hidden="1"/>
    <cellStyle name="Hiperlink Visitado" xfId="52555" builtinId="9" hidden="1"/>
    <cellStyle name="Hiperlink Visitado" xfId="52562" builtinId="9" hidden="1"/>
    <cellStyle name="Hiperlink Visitado" xfId="52560" builtinId="9" hidden="1"/>
    <cellStyle name="Hiperlink Visitado" xfId="52558" builtinId="9" hidden="1"/>
    <cellStyle name="Hiperlink Visitado" xfId="52550" builtinId="9" hidden="1"/>
    <cellStyle name="Hiperlink Visitado" xfId="52537" builtinId="9" hidden="1"/>
    <cellStyle name="Hiperlink Visitado" xfId="52510" builtinId="9" hidden="1"/>
    <cellStyle name="Hiperlink Visitado" xfId="52490" builtinId="9" hidden="1"/>
    <cellStyle name="Hiperlink Visitado" xfId="52473" builtinId="9" hidden="1"/>
    <cellStyle name="Hiperlink Visitado" xfId="52465" builtinId="9" hidden="1"/>
    <cellStyle name="Hiperlink Visitado" xfId="52441" builtinId="9" hidden="1"/>
    <cellStyle name="Hiperlink Visitado" xfId="52479" builtinId="9" hidden="1"/>
    <cellStyle name="Hiperlink Visitado" xfId="52584" builtinId="9" hidden="1"/>
    <cellStyle name="Hiperlink Visitado" xfId="52590" builtinId="9" hidden="1"/>
    <cellStyle name="Hiperlink Visitado" xfId="52508" builtinId="9" hidden="1"/>
    <cellStyle name="Hiperlink Visitado" xfId="52416" builtinId="9" hidden="1"/>
    <cellStyle name="Hiperlink Visitado" xfId="52573" builtinId="9" hidden="1"/>
    <cellStyle name="Hiperlink Visitado" xfId="52464" builtinId="9" hidden="1"/>
    <cellStyle name="Hiperlink Visitado" xfId="52437" builtinId="9" hidden="1"/>
    <cellStyle name="Hiperlink Visitado" xfId="52575" builtinId="9" hidden="1"/>
    <cellStyle name="Hiperlink Visitado" xfId="52518" builtinId="9" hidden="1"/>
    <cellStyle name="Hiperlink Visitado" xfId="52552" builtinId="9" hidden="1"/>
    <cellStyle name="Hiperlink Visitado" xfId="52472" builtinId="9" hidden="1"/>
    <cellStyle name="Hiperlink Visitado" xfId="52470" builtinId="9" hidden="1"/>
    <cellStyle name="Hiperlink Visitado" xfId="52435" builtinId="9" hidden="1"/>
    <cellStyle name="Hiperlink Visitado" xfId="52533" builtinId="9" hidden="1"/>
    <cellStyle name="Hiperlink Visitado" xfId="52433" builtinId="9" hidden="1"/>
    <cellStyle name="Hiperlink Visitado" xfId="52568" builtinId="9" hidden="1"/>
    <cellStyle name="Hiperlink Visitado" xfId="52396" builtinId="9" hidden="1"/>
    <cellStyle name="Hiperlink Visitado" xfId="52461" builtinId="9" hidden="1"/>
    <cellStyle name="Hiperlink Visitado" xfId="52439" builtinId="9" hidden="1"/>
    <cellStyle name="Hiperlink Visitado" xfId="52462" builtinId="9" hidden="1"/>
    <cellStyle name="Hiperlink Visitado" xfId="52535" builtinId="9" hidden="1"/>
    <cellStyle name="Hiperlink Visitado" xfId="52476" builtinId="9" hidden="1"/>
    <cellStyle name="Hiperlink Visitado" xfId="52424" builtinId="9" hidden="1"/>
    <cellStyle name="Hiperlink Visitado" xfId="52544" builtinId="9" hidden="1"/>
    <cellStyle name="Hiperlink Visitado" xfId="52447" builtinId="9" hidden="1"/>
    <cellStyle name="Hiperlink Visitado" xfId="52574" builtinId="9" hidden="1"/>
    <cellStyle name="Hiperlink Visitado" xfId="52471" builtinId="9" hidden="1"/>
    <cellStyle name="Hiperlink Visitado" xfId="52449" builtinId="9" hidden="1"/>
    <cellStyle name="Hiperlink Visitado" xfId="52451" builtinId="9" hidden="1"/>
    <cellStyle name="Hiperlink Visitado" xfId="52290" builtinId="9" hidden="1"/>
    <cellStyle name="Hiperlink Visitado" xfId="52489" builtinId="9" hidden="1"/>
    <cellStyle name="Hiperlink Visitado" xfId="52531" builtinId="9" hidden="1"/>
    <cellStyle name="Hiperlink Visitado" xfId="52411" builtinId="9" hidden="1"/>
    <cellStyle name="Hiperlink Visitado" xfId="52398" builtinId="9" hidden="1"/>
    <cellStyle name="Hiperlink Visitado" xfId="52519" builtinId="9" hidden="1"/>
    <cellStyle name="Hiperlink Visitado" xfId="52576" builtinId="9" hidden="1"/>
    <cellStyle name="Hiperlink Visitado" xfId="52412" builtinId="9" hidden="1"/>
    <cellStyle name="Hiperlink Visitado" xfId="52536" builtinId="9" hidden="1"/>
    <cellStyle name="Hiperlink Visitado" xfId="52509" builtinId="9" hidden="1"/>
    <cellStyle name="Hiperlink Visitado" xfId="52589" builtinId="9" hidden="1"/>
    <cellStyle name="Hiperlink Visitado" xfId="52393" builtinId="9" hidden="1"/>
    <cellStyle name="Hiperlink Visitado" xfId="52572" builtinId="9" hidden="1"/>
    <cellStyle name="Hiperlink Visitado" xfId="52582" builtinId="9" hidden="1"/>
    <cellStyle name="Hiperlink Visitado" xfId="52591" builtinId="9" hidden="1"/>
    <cellStyle name="Hiperlink Visitado" xfId="52587" builtinId="9" hidden="1"/>
    <cellStyle name="Hiperlink Visitado" xfId="52417" builtinId="9" hidden="1"/>
    <cellStyle name="Hiperlink Visitado" xfId="52556" builtinId="9" hidden="1"/>
    <cellStyle name="Hiperlink Visitado" xfId="52578" builtinId="9" hidden="1"/>
    <cellStyle name="Hiperlink Visitado" xfId="52497" builtinId="9" hidden="1"/>
    <cellStyle name="Hiperlink Visitado" xfId="52592" builtinId="9" hidden="1"/>
    <cellStyle name="Hiperlink Visitado" xfId="51484" builtinId="9" hidden="1"/>
    <cellStyle name="Hiperlink Visitado" xfId="52306" builtinId="9" hidden="1"/>
    <cellStyle name="Hiperlink Visitado" xfId="51397" builtinId="9" hidden="1"/>
    <cellStyle name="Hiperlink Visitado" xfId="51425" builtinId="9" hidden="1"/>
    <cellStyle name="Hiperlink Visitado" xfId="51574" builtinId="9" hidden="1"/>
    <cellStyle name="Hiperlink Visitado" xfId="52191" builtinId="9" hidden="1"/>
    <cellStyle name="Hiperlink Visitado" xfId="51891" builtinId="9" hidden="1"/>
    <cellStyle name="Hiperlink Visitado" xfId="51480" builtinId="9" hidden="1"/>
    <cellStyle name="Hiperlink Visitado" xfId="51408" builtinId="9" hidden="1"/>
    <cellStyle name="Hiperlink Visitado" xfId="52108" builtinId="9" hidden="1"/>
    <cellStyle name="Hiperlink Visitado" xfId="52022" builtinId="9" hidden="1"/>
    <cellStyle name="Hiperlink Visitado" xfId="51849" builtinId="9" hidden="1"/>
    <cellStyle name="Hiperlink Visitado" xfId="51592" builtinId="9" hidden="1"/>
    <cellStyle name="Hiperlink Visitado" xfId="51586" builtinId="9" hidden="1"/>
    <cellStyle name="Hiperlink Visitado" xfId="51577" builtinId="9" hidden="1"/>
    <cellStyle name="Hiperlink Visitado" xfId="51526" builtinId="9" hidden="1"/>
    <cellStyle name="Hiperlink Visitado" xfId="51691" builtinId="9" hidden="1"/>
    <cellStyle name="Hiperlink Visitado" xfId="51640" builtinId="9" hidden="1"/>
    <cellStyle name="Hiperlink Visitado" xfId="51613" builtinId="9" hidden="1"/>
    <cellStyle name="Hiperlink Visitado" xfId="51607" builtinId="9" hidden="1"/>
    <cellStyle name="Hiperlink Visitado" xfId="51398" builtinId="9" hidden="1"/>
    <cellStyle name="Hiperlink Visitado" xfId="51722" builtinId="9" hidden="1"/>
    <cellStyle name="Hiperlink Visitado" xfId="51673" builtinId="9" hidden="1"/>
    <cellStyle name="Hiperlink Visitado" xfId="51619" builtinId="9" hidden="1"/>
    <cellStyle name="Hiperlink Visitado" xfId="51596" builtinId="9" hidden="1"/>
    <cellStyle name="Hiperlink Visitado" xfId="52208" builtinId="9" hidden="1"/>
    <cellStyle name="Hiperlink Visitado" xfId="52206" builtinId="9" hidden="1"/>
    <cellStyle name="Hiperlink Visitado" xfId="51598" builtinId="9" hidden="1"/>
    <cellStyle name="Hiperlink Visitado" xfId="52204" builtinId="9" hidden="1"/>
    <cellStyle name="Hiperlink Visitado" xfId="52211" builtinId="9" hidden="1"/>
    <cellStyle name="Hiperlink Visitado" xfId="51373" builtinId="9" hidden="1"/>
    <cellStyle name="Hiperlink Visitado" xfId="51394" builtinId="9" hidden="1"/>
    <cellStyle name="Hiperlink Visitado" xfId="51393" builtinId="9" hidden="1"/>
    <cellStyle name="Hiperlink Visitado" xfId="51392" builtinId="9" hidden="1"/>
    <cellStyle name="Hiperlink Visitado" xfId="51391" builtinId="9" hidden="1"/>
    <cellStyle name="Hiperlink Visitado" xfId="51390" builtinId="9" hidden="1"/>
    <cellStyle name="Hiperlink Visitado" xfId="51634" builtinId="9" hidden="1"/>
    <cellStyle name="Hiperlink Visitado" xfId="51633" builtinId="9" hidden="1"/>
    <cellStyle name="Hiperlink Visitado" xfId="51632" builtinId="9" hidden="1"/>
    <cellStyle name="Hiperlink Visitado" xfId="51631" builtinId="9" hidden="1"/>
    <cellStyle name="Hiperlink Visitado" xfId="51630" builtinId="9" hidden="1"/>
    <cellStyle name="Hiperlink Visitado" xfId="51629" builtinId="9" hidden="1"/>
    <cellStyle name="Hiperlink Visitado" xfId="51383" builtinId="9" hidden="1"/>
    <cellStyle name="Hiperlink Visitado" xfId="51382" builtinId="9" hidden="1"/>
    <cellStyle name="Hiperlink Visitado" xfId="51381" builtinId="9" hidden="1"/>
    <cellStyle name="Hiperlink Visitado" xfId="51625" builtinId="9" hidden="1"/>
    <cellStyle name="Hiperlink Visitado" xfId="51624" builtinId="9" hidden="1"/>
    <cellStyle name="Hiperlink Visitado" xfId="51623" builtinId="9" hidden="1"/>
    <cellStyle name="Hiperlink Visitado" xfId="51622" builtinId="9" hidden="1"/>
    <cellStyle name="Hiperlink Visitado" xfId="51621" builtinId="9" hidden="1"/>
    <cellStyle name="Hiperlink Visitado" xfId="51620" builtinId="9" hidden="1"/>
    <cellStyle name="Hiperlink Visitado" xfId="52696" builtinId="9" hidden="1"/>
    <cellStyle name="Hiperlink Visitado" xfId="52698" builtinId="9" hidden="1"/>
    <cellStyle name="Hiperlink Visitado" xfId="52700" builtinId="9" hidden="1"/>
    <cellStyle name="Hiperlink Visitado" xfId="52705" builtinId="9" hidden="1"/>
    <cellStyle name="Hiperlink Visitado" xfId="52707" builtinId="9" hidden="1"/>
    <cellStyle name="Hiperlink Visitado" xfId="52709" builtinId="9" hidden="1"/>
    <cellStyle name="Hiperlink Visitado" xfId="52711" builtinId="9" hidden="1"/>
    <cellStyle name="Hiperlink Visitado" xfId="52713" builtinId="9" hidden="1"/>
    <cellStyle name="Hiperlink Visitado" xfId="52715" builtinId="9" hidden="1"/>
    <cellStyle name="Hiperlink Visitado" xfId="52717" builtinId="9" hidden="1"/>
    <cellStyle name="Hiperlink Visitado" xfId="52719" builtinId="9" hidden="1"/>
    <cellStyle name="Hiperlink Visitado" xfId="52721" builtinId="9" hidden="1"/>
    <cellStyle name="Hiperlink Visitado" xfId="52723" builtinId="9" hidden="1"/>
    <cellStyle name="Hiperlink Visitado" xfId="52725" builtinId="9" hidden="1"/>
    <cellStyle name="Hiperlink Visitado" xfId="52727" builtinId="9" hidden="1"/>
    <cellStyle name="Hiperlink Visitado" xfId="52729" builtinId="9" hidden="1"/>
    <cellStyle name="Hiperlink Visitado" xfId="52731" builtinId="9" hidden="1"/>
    <cellStyle name="Hiperlink Visitado" xfId="52733" builtinId="9" hidden="1"/>
    <cellStyle name="Hiperlink Visitado" xfId="52735" builtinId="9" hidden="1"/>
    <cellStyle name="Hiperlink Visitado" xfId="52737" builtinId="9" hidden="1"/>
    <cellStyle name="Hiperlink Visitado" xfId="52739" builtinId="9" hidden="1"/>
    <cellStyle name="Hiperlink Visitado" xfId="52741" builtinId="9" hidden="1"/>
    <cellStyle name="Hiperlink Visitado" xfId="52743" builtinId="9" hidden="1"/>
    <cellStyle name="Hiperlink Visitado" xfId="52745" builtinId="9" hidden="1"/>
    <cellStyle name="Hiperlink Visitado" xfId="52747" builtinId="9" hidden="1"/>
    <cellStyle name="Hiperlink Visitado" xfId="52749" builtinId="9" hidden="1"/>
    <cellStyle name="Hiperlink Visitado" xfId="52751" builtinId="9" hidden="1"/>
    <cellStyle name="Hiperlink Visitado" xfId="52753" builtinId="9" hidden="1"/>
    <cellStyle name="Hiperlink Visitado" xfId="52755" builtinId="9" hidden="1"/>
    <cellStyle name="Hiperlink Visitado" xfId="52757" builtinId="9" hidden="1"/>
    <cellStyle name="Hiperlink Visitado" xfId="52759" builtinId="9" hidden="1"/>
    <cellStyle name="Hiperlink Visitado" xfId="52761" builtinId="9" hidden="1"/>
    <cellStyle name="Hiperlink Visitado" xfId="52763" builtinId="9" hidden="1"/>
    <cellStyle name="Hiperlink Visitado" xfId="52767" builtinId="9" hidden="1"/>
    <cellStyle name="Hiperlink Visitado" xfId="52769" builtinId="9" hidden="1"/>
    <cellStyle name="Hiperlink Visitado" xfId="52771" builtinId="9" hidden="1"/>
    <cellStyle name="Hiperlink Visitado" xfId="52773" builtinId="9" hidden="1"/>
    <cellStyle name="Hiperlink Visitado" xfId="52775" builtinId="9" hidden="1"/>
    <cellStyle name="Hiperlink Visitado" xfId="52777" builtinId="9" hidden="1"/>
    <cellStyle name="Hiperlink Visitado" xfId="52779" builtinId="9" hidden="1"/>
    <cellStyle name="Hiperlink Visitado" xfId="52781" builtinId="9" hidden="1"/>
    <cellStyle name="Hiperlink Visitado" xfId="52783" builtinId="9" hidden="1"/>
    <cellStyle name="Hiperlink Visitado" xfId="52785" builtinId="9" hidden="1"/>
    <cellStyle name="Hiperlink Visitado" xfId="52787" builtinId="9" hidden="1"/>
    <cellStyle name="Hiperlink Visitado" xfId="52789" builtinId="9" hidden="1"/>
    <cellStyle name="Hiperlink Visitado" xfId="52791" builtinId="9" hidden="1"/>
    <cellStyle name="Hiperlink Visitado" xfId="52793" builtinId="9" hidden="1"/>
    <cellStyle name="Hiperlink Visitado" xfId="52795" builtinId="9" hidden="1"/>
    <cellStyle name="Hiperlink Visitado" xfId="52797" builtinId="9" hidden="1"/>
    <cellStyle name="Hiperlink Visitado" xfId="52799" builtinId="9" hidden="1"/>
    <cellStyle name="Hiperlink Visitado" xfId="52801" builtinId="9" hidden="1"/>
    <cellStyle name="Hiperlink Visitado" xfId="52917" builtinId="9" hidden="1"/>
    <cellStyle name="Hiperlink Visitado" xfId="52692" builtinId="9" hidden="1"/>
    <cellStyle name="Hiperlink Visitado" xfId="52890" builtinId="9" hidden="1"/>
    <cellStyle name="Hiperlink Visitado" xfId="52906" builtinId="9" hidden="1"/>
    <cellStyle name="Hiperlink Visitado" xfId="52897" builtinId="9" hidden="1"/>
    <cellStyle name="Hiperlink Visitado" xfId="52881" builtinId="9" hidden="1"/>
    <cellStyle name="Hiperlink Visitado" xfId="52852" builtinId="9" hidden="1"/>
    <cellStyle name="Hiperlink Visitado" xfId="52830" builtinId="9" hidden="1"/>
    <cellStyle name="Hiperlink Visitado" xfId="52941" builtinId="9" hidden="1"/>
    <cellStyle name="Hiperlink Visitado" xfId="52929" builtinId="9" hidden="1"/>
    <cellStyle name="Hiperlink Visitado" xfId="52908" builtinId="9" hidden="1"/>
    <cellStyle name="Hiperlink Visitado" xfId="52892" builtinId="9" hidden="1"/>
    <cellStyle name="Hiperlink Visitado" xfId="52891" builtinId="9" hidden="1"/>
    <cellStyle name="Hiperlink Visitado" xfId="52880" builtinId="9" hidden="1"/>
    <cellStyle name="Hiperlink Visitado" xfId="52861" builtinId="9" hidden="1"/>
    <cellStyle name="Hiperlink Visitado" xfId="52838" builtinId="9" hidden="1"/>
    <cellStyle name="Hiperlink Visitado" xfId="52942" builtinId="9" hidden="1"/>
    <cellStyle name="Hiperlink Visitado" xfId="52918" builtinId="9" hidden="1"/>
    <cellStyle name="Hiperlink Visitado" xfId="52690" builtinId="9" hidden="1"/>
    <cellStyle name="Hiperlink Visitado" xfId="52809" builtinId="9" hidden="1"/>
    <cellStyle name="Hiperlink Visitado" xfId="52887" builtinId="9" hidden="1"/>
    <cellStyle name="Hiperlink Visitado" xfId="52853" builtinId="9" hidden="1"/>
    <cellStyle name="Hiperlink Visitado" xfId="52837" builtinId="9" hidden="1"/>
    <cellStyle name="Hiperlink Visitado" xfId="52944" builtinId="9" hidden="1"/>
    <cellStyle name="Hiperlink Visitado" xfId="52920" builtinId="9" hidden="1"/>
    <cellStyle name="Hiperlink Visitado" xfId="52901" builtinId="9" hidden="1"/>
    <cellStyle name="Hiperlink Visitado" xfId="52894" builtinId="9" hidden="1"/>
    <cellStyle name="Hiperlink Visitado" xfId="52864" builtinId="9" hidden="1"/>
    <cellStyle name="Hiperlink Visitado" xfId="52841" builtinId="9" hidden="1"/>
    <cellStyle name="Hiperlink Visitado" xfId="52827" builtinId="9" hidden="1"/>
    <cellStyle name="Hiperlink Visitado" xfId="52931" builtinId="9" hidden="1"/>
    <cellStyle name="Hiperlink Visitado" xfId="52910" builtinId="9" hidden="1"/>
    <cellStyle name="Hiperlink Visitado" xfId="52693" builtinId="9" hidden="1"/>
    <cellStyle name="Hiperlink Visitado" xfId="52979" builtinId="9" hidden="1"/>
    <cellStyle name="Hiperlink Visitado" xfId="52811" builtinId="9" hidden="1"/>
    <cellStyle name="Hiperlink Visitado" xfId="52969" builtinId="9" hidden="1"/>
    <cellStyle name="Hiperlink Visitado" xfId="52819" builtinId="9" hidden="1"/>
    <cellStyle name="Hiperlink Visitado" xfId="52816" builtinId="9" hidden="1"/>
    <cellStyle name="Hiperlink Visitado" xfId="52813" builtinId="9" hidden="1"/>
    <cellStyle name="Hiperlink Visitado" xfId="52981" builtinId="9" hidden="1"/>
    <cellStyle name="Hiperlink Visitado" xfId="52958" builtinId="9" hidden="1"/>
    <cellStyle name="Hiperlink Visitado" xfId="52965" builtinId="9" hidden="1"/>
    <cellStyle name="Hiperlink Visitado" xfId="52963" builtinId="9" hidden="1"/>
    <cellStyle name="Hiperlink Visitado" xfId="52961" builtinId="9" hidden="1"/>
    <cellStyle name="Hiperlink Visitado" xfId="52953" builtinId="9" hidden="1"/>
    <cellStyle name="Hiperlink Visitado" xfId="52940" builtinId="9" hidden="1"/>
    <cellStyle name="Hiperlink Visitado" xfId="52915" builtinId="9" hidden="1"/>
    <cellStyle name="Hiperlink Visitado" xfId="52896" builtinId="9" hidden="1"/>
    <cellStyle name="Hiperlink Visitado" xfId="52879" builtinId="9" hidden="1"/>
    <cellStyle name="Hiperlink Visitado" xfId="52871" builtinId="9" hidden="1"/>
    <cellStyle name="Hiperlink Visitado" xfId="52850" builtinId="9" hidden="1"/>
    <cellStyle name="Hiperlink Visitado" xfId="52885" builtinId="9" hidden="1"/>
    <cellStyle name="Hiperlink Visitado" xfId="52986" builtinId="9" hidden="1"/>
    <cellStyle name="Hiperlink Visitado" xfId="52992" builtinId="9" hidden="1"/>
    <cellStyle name="Hiperlink Visitado" xfId="52913" builtinId="9" hidden="1"/>
    <cellStyle name="Hiperlink Visitado" xfId="52825" builtinId="9" hidden="1"/>
    <cellStyle name="Hiperlink Visitado" xfId="52975" builtinId="9" hidden="1"/>
    <cellStyle name="Hiperlink Visitado" xfId="52870" builtinId="9" hidden="1"/>
    <cellStyle name="Hiperlink Visitado" xfId="52846" builtinId="9" hidden="1"/>
    <cellStyle name="Hiperlink Visitado" xfId="52977" builtinId="9" hidden="1"/>
    <cellStyle name="Hiperlink Visitado" xfId="52922" builtinId="9" hidden="1"/>
    <cellStyle name="Hiperlink Visitado" xfId="52955" builtinId="9" hidden="1"/>
    <cellStyle name="Hiperlink Visitado" xfId="52878" builtinId="9" hidden="1"/>
    <cellStyle name="Hiperlink Visitado" xfId="52876" builtinId="9" hidden="1"/>
    <cellStyle name="Hiperlink Visitado" xfId="52844" builtinId="9" hidden="1"/>
    <cellStyle name="Hiperlink Visitado" xfId="52936" builtinId="9" hidden="1"/>
    <cellStyle name="Hiperlink Visitado" xfId="52842" builtinId="9" hidden="1"/>
    <cellStyle name="Hiperlink Visitado" xfId="52971" builtinId="9" hidden="1"/>
    <cellStyle name="Hiperlink Visitado" xfId="52805" builtinId="9" hidden="1"/>
    <cellStyle name="Hiperlink Visitado" xfId="52867" builtinId="9" hidden="1"/>
    <cellStyle name="Hiperlink Visitado" xfId="52848" builtinId="9" hidden="1"/>
    <cellStyle name="Hiperlink Visitado" xfId="52868" builtinId="9" hidden="1"/>
    <cellStyle name="Hiperlink Visitado" xfId="52938" builtinId="9" hidden="1"/>
    <cellStyle name="Hiperlink Visitado" xfId="52882" builtinId="9" hidden="1"/>
    <cellStyle name="Hiperlink Visitado" xfId="52833" builtinId="9" hidden="1"/>
    <cellStyle name="Hiperlink Visitado" xfId="52947" builtinId="9" hidden="1"/>
    <cellStyle name="Hiperlink Visitado" xfId="52855" builtinId="9" hidden="1"/>
    <cellStyle name="Hiperlink Visitado" xfId="52976" builtinId="9" hidden="1"/>
    <cellStyle name="Hiperlink Visitado" xfId="52877" builtinId="9" hidden="1"/>
    <cellStyle name="Hiperlink Visitado" xfId="52856" builtinId="9" hidden="1"/>
    <cellStyle name="Hiperlink Visitado" xfId="52858" builtinId="9" hidden="1"/>
    <cellStyle name="Hiperlink Visitado" xfId="52701" builtinId="9" hidden="1"/>
    <cellStyle name="Hiperlink Visitado" xfId="52895" builtinId="9" hidden="1"/>
    <cellStyle name="Hiperlink Visitado" xfId="52934" builtinId="9" hidden="1"/>
    <cellStyle name="Hiperlink Visitado" xfId="52820" builtinId="9" hidden="1"/>
    <cellStyle name="Hiperlink Visitado" xfId="52807" builtinId="9" hidden="1"/>
    <cellStyle name="Hiperlink Visitado" xfId="52923" builtinId="9" hidden="1"/>
    <cellStyle name="Hiperlink Visitado" xfId="52978" builtinId="9" hidden="1"/>
    <cellStyle name="Hiperlink Visitado" xfId="52821" builtinId="9" hidden="1"/>
    <cellStyle name="Hiperlink Visitado" xfId="52939" builtinId="9" hidden="1"/>
    <cellStyle name="Hiperlink Visitado" xfId="52914" builtinId="9" hidden="1"/>
    <cellStyle name="Hiperlink Visitado" xfId="52991" builtinId="9" hidden="1"/>
    <cellStyle name="Hiperlink Visitado" xfId="52802" builtinId="9" hidden="1"/>
    <cellStyle name="Hiperlink Visitado" xfId="52974" builtinId="9" hidden="1"/>
    <cellStyle name="Hiperlink Visitado" xfId="52984" builtinId="9" hidden="1"/>
    <cellStyle name="Hiperlink Visitado" xfId="52993" builtinId="9" hidden="1"/>
    <cellStyle name="Hiperlink Visitado" xfId="52989" builtinId="9" hidden="1"/>
    <cellStyle name="Hiperlink Visitado" xfId="52826" builtinId="9" hidden="1"/>
    <cellStyle name="Hiperlink Visitado" xfId="52959" builtinId="9" hidden="1"/>
    <cellStyle name="Hiperlink Visitado" xfId="52980" builtinId="9" hidden="1"/>
    <cellStyle name="Hiperlink Visitado" xfId="52903" builtinId="9" hidden="1"/>
    <cellStyle name="Hiperlink Visitado" xfId="52994" builtinId="9" hidden="1"/>
    <cellStyle name="Hiperlink Visitado" xfId="52688" builtinId="9" hidden="1"/>
    <cellStyle name="Hiperlink Visitado" xfId="52603" builtinId="9" hidden="1"/>
    <cellStyle name="Hiperlink Visitado" xfId="52680" builtinId="9" hidden="1"/>
    <cellStyle name="Hiperlink Visitado" xfId="52644" builtinId="9" hidden="1"/>
    <cellStyle name="Hiperlink Visitado" xfId="52632" builtinId="9" hidden="1"/>
    <cellStyle name="Hiperlink Visitado" xfId="52622" builtinId="9" hidden="1"/>
    <cellStyle name="Hiperlink Visitado" xfId="52609" builtinId="9" hidden="1"/>
    <cellStyle name="Hiperlink Visitado" xfId="52670" builtinId="9" hidden="1"/>
    <cellStyle name="Hiperlink Visitado" xfId="52657" builtinId="9" hidden="1"/>
    <cellStyle name="Hiperlink Visitado" xfId="52626" builtinId="9" hidden="1"/>
    <cellStyle name="Hiperlink Visitado" xfId="52617" builtinId="9" hidden="1"/>
    <cellStyle name="Hiperlink Visitado" xfId="52608" builtinId="9" hidden="1"/>
    <cellStyle name="Hiperlink Visitado" xfId="52663" builtinId="9" hidden="1"/>
    <cellStyle name="Hiperlink Visitado" xfId="52650" builtinId="9" hidden="1"/>
    <cellStyle name="Hiperlink Visitado" xfId="52643" builtinId="9" hidden="1"/>
    <cellStyle name="Hiperlink Visitado" xfId="52630" builtinId="9" hidden="1"/>
    <cellStyle name="Hiperlink Visitado" xfId="52620" builtinId="9" hidden="1"/>
    <cellStyle name="Hiperlink Visitado" xfId="52612" builtinId="9" hidden="1"/>
    <cellStyle name="Hiperlink Visitado" xfId="52668" builtinId="9" hidden="1"/>
    <cellStyle name="Hiperlink Visitado" xfId="52655" builtinId="9" hidden="1"/>
    <cellStyle name="Hiperlink Visitado" xfId="51642" builtinId="9" hidden="1"/>
    <cellStyle name="Hiperlink Visitado" xfId="52659" builtinId="9" hidden="1"/>
    <cellStyle name="Hiperlink Visitado" xfId="52646" builtinId="9" hidden="1"/>
    <cellStyle name="Hiperlink Visitado" xfId="52635" builtinId="9" hidden="1"/>
    <cellStyle name="Hiperlink Visitado" xfId="52639" builtinId="9" hidden="1"/>
    <cellStyle name="Hiperlink Visitado" xfId="52629" builtinId="9" hidden="1"/>
    <cellStyle name="Hiperlink Visitado" xfId="52619" builtinId="9" hidden="1"/>
    <cellStyle name="Hiperlink Visitado" xfId="52607" builtinId="9" hidden="1"/>
    <cellStyle name="Hiperlink Visitado" xfId="52665" builtinId="9" hidden="1"/>
    <cellStyle name="Hiperlink Visitado" xfId="52651" builtinId="9" hidden="1"/>
    <cellStyle name="Hiperlink Visitado" xfId="51407" builtinId="9" hidden="1"/>
    <cellStyle name="Hiperlink Visitado" xfId="52593" builtinId="9" hidden="1"/>
    <cellStyle name="Hiperlink Visitado" xfId="52634" builtinId="9" hidden="1"/>
    <cellStyle name="Hiperlink Visitado" xfId="52653" builtinId="9" hidden="1"/>
    <cellStyle name="Hiperlink Visitado" xfId="52228" builtinId="9" hidden="1"/>
    <cellStyle name="Hiperlink Visitado" xfId="52633" builtinId="9" hidden="1"/>
    <cellStyle name="Hiperlink Visitado" xfId="52618" builtinId="9" hidden="1"/>
    <cellStyle name="Hiperlink Visitado" xfId="52610" builtinId="9" hidden="1"/>
    <cellStyle name="Hiperlink Visitado" xfId="52672" builtinId="9" hidden="1"/>
    <cellStyle name="Hiperlink Visitado" xfId="52661" builtinId="9" hidden="1"/>
    <cellStyle name="Hiperlink Visitado" xfId="52648" builtinId="9" hidden="1"/>
    <cellStyle name="Hiperlink Visitado" xfId="52686" builtinId="9" hidden="1"/>
    <cellStyle name="Hiperlink Visitado" xfId="52684" builtinId="9" hidden="1"/>
    <cellStyle name="Hiperlink Visitado" xfId="52599" builtinId="9" hidden="1"/>
    <cellStyle name="Hiperlink Visitado" xfId="52678" builtinId="9" hidden="1"/>
    <cellStyle name="Hiperlink Visitado" xfId="52677" builtinId="9" hidden="1"/>
    <cellStyle name="Hiperlink Visitado" xfId="52683" builtinId="9" hidden="1"/>
    <cellStyle name="Hiperlink Visitado" xfId="52594" builtinId="9" hidden="1"/>
    <cellStyle name="Hiperlink Visitado" xfId="52602" builtinId="9" hidden="1"/>
    <cellStyle name="Hiperlink Visitado" xfId="52600" builtinId="9" hidden="1"/>
    <cellStyle name="Hiperlink Visitado" xfId="52596" builtinId="9" hidden="1"/>
    <cellStyle name="Hiperlink Visitado" xfId="53002" builtinId="9" hidden="1"/>
    <cellStyle name="Hiperlink Visitado" xfId="53004" builtinId="9" hidden="1"/>
    <cellStyle name="Hiperlink Visitado" xfId="53006" builtinId="9" hidden="1"/>
    <cellStyle name="Hiperlink Visitado" xfId="53011" builtinId="9" hidden="1"/>
    <cellStyle name="Hiperlink Visitado" xfId="53013" builtinId="9" hidden="1"/>
    <cellStyle name="Hiperlink Visitado" xfId="53015" builtinId="9" hidden="1"/>
    <cellStyle name="Hiperlink Visitado" xfId="53017" builtinId="9" hidden="1"/>
    <cellStyle name="Hiperlink Visitado" xfId="53019" builtinId="9" hidden="1"/>
    <cellStyle name="Hiperlink Visitado" xfId="53021" builtinId="9" hidden="1"/>
    <cellStyle name="Hiperlink Visitado" xfId="53023" builtinId="9" hidden="1"/>
    <cellStyle name="Hiperlink Visitado" xfId="53025" builtinId="9" hidden="1"/>
    <cellStyle name="Hiperlink Visitado" xfId="53027" builtinId="9" hidden="1"/>
    <cellStyle name="Hiperlink Visitado" xfId="53029" builtinId="9" hidden="1"/>
    <cellStyle name="Hiperlink Visitado" xfId="53031" builtinId="9" hidden="1"/>
    <cellStyle name="Hiperlink Visitado" xfId="53033" builtinId="9" hidden="1"/>
    <cellStyle name="Hiperlink Visitado" xfId="53035" builtinId="9" hidden="1"/>
    <cellStyle name="Hiperlink Visitado" xfId="53037" builtinId="9" hidden="1"/>
    <cellStyle name="Hiperlink Visitado" xfId="53039" builtinId="9" hidden="1"/>
    <cellStyle name="Hiperlink Visitado" xfId="53041" builtinId="9" hidden="1"/>
    <cellStyle name="Hiperlink Visitado" xfId="53043" builtinId="9" hidden="1"/>
    <cellStyle name="Hiperlink Visitado" xfId="53045" builtinId="9" hidden="1"/>
    <cellStyle name="Hiperlink Visitado" xfId="53047" builtinId="9" hidden="1"/>
    <cellStyle name="Hiperlink Visitado" xfId="53049" builtinId="9" hidden="1"/>
    <cellStyle name="Hiperlink Visitado" xfId="53051" builtinId="9" hidden="1"/>
    <cellStyle name="Hiperlink Visitado" xfId="53053" builtinId="9" hidden="1"/>
    <cellStyle name="Hiperlink Visitado" xfId="53055" builtinId="9" hidden="1"/>
    <cellStyle name="Hiperlink Visitado" xfId="53057" builtinId="9" hidden="1"/>
    <cellStyle name="Hiperlink Visitado" xfId="53059" builtinId="9" hidden="1"/>
    <cellStyle name="Hiperlink Visitado" xfId="53061" builtinId="9" hidden="1"/>
    <cellStyle name="Hiperlink Visitado" xfId="53063" builtinId="9" hidden="1"/>
    <cellStyle name="Hiperlink Visitado" xfId="53065" builtinId="9" hidden="1"/>
    <cellStyle name="Hiperlink Visitado" xfId="53067" builtinId="9" hidden="1"/>
    <cellStyle name="Hiperlink Visitado" xfId="53069" builtinId="9" hidden="1"/>
    <cellStyle name="Hiperlink Visitado" xfId="53073" builtinId="9" hidden="1"/>
    <cellStyle name="Hiperlink Visitado" xfId="53075" builtinId="9" hidden="1"/>
    <cellStyle name="Hiperlink Visitado" xfId="53077" builtinId="9" hidden="1"/>
    <cellStyle name="Hiperlink Visitado" xfId="53079" builtinId="9" hidden="1"/>
    <cellStyle name="Hiperlink Visitado" xfId="53081" builtinId="9" hidden="1"/>
    <cellStyle name="Hiperlink Visitado" xfId="53083" builtinId="9" hidden="1"/>
    <cellStyle name="Hiperlink Visitado" xfId="53085" builtinId="9" hidden="1"/>
    <cellStyle name="Hiperlink Visitado" xfId="53087" builtinId="9" hidden="1"/>
    <cellStyle name="Hiperlink Visitado" xfId="53089" builtinId="9" hidden="1"/>
    <cellStyle name="Hiperlink Visitado" xfId="53091" builtinId="9" hidden="1"/>
    <cellStyle name="Hiperlink Visitado" xfId="53093" builtinId="9" hidden="1"/>
    <cellStyle name="Hiperlink Visitado" xfId="53095" builtinId="9" hidden="1"/>
    <cellStyle name="Hiperlink Visitado" xfId="53097" builtinId="9" hidden="1"/>
    <cellStyle name="Hiperlink Visitado" xfId="53099" builtinId="9" hidden="1"/>
    <cellStyle name="Hiperlink Visitado" xfId="53101" builtinId="9" hidden="1"/>
    <cellStyle name="Hiperlink Visitado" xfId="53103" builtinId="9" hidden="1"/>
    <cellStyle name="Hiperlink Visitado" xfId="53105" builtinId="9" hidden="1"/>
    <cellStyle name="Hiperlink Visitado" xfId="53107" builtinId="9" hidden="1"/>
    <cellStyle name="Hiperlink Visitado" xfId="53223" builtinId="9" hidden="1"/>
    <cellStyle name="Hiperlink Visitado" xfId="52998" builtinId="9" hidden="1"/>
    <cellStyle name="Hiperlink Visitado" xfId="53196" builtinId="9" hidden="1"/>
    <cellStyle name="Hiperlink Visitado" xfId="53212" builtinId="9" hidden="1"/>
    <cellStyle name="Hiperlink Visitado" xfId="53203" builtinId="9" hidden="1"/>
    <cellStyle name="Hiperlink Visitado" xfId="53187" builtinId="9" hidden="1"/>
    <cellStyle name="Hiperlink Visitado" xfId="53158" builtinId="9" hidden="1"/>
    <cellStyle name="Hiperlink Visitado" xfId="53136" builtinId="9" hidden="1"/>
    <cellStyle name="Hiperlink Visitado" xfId="53247" builtinId="9" hidden="1"/>
    <cellStyle name="Hiperlink Visitado" xfId="53235" builtinId="9" hidden="1"/>
    <cellStyle name="Hiperlink Visitado" xfId="53214" builtinId="9" hidden="1"/>
    <cellStyle name="Hiperlink Visitado" xfId="53198" builtinId="9" hidden="1"/>
    <cellStyle name="Hiperlink Visitado" xfId="53197" builtinId="9" hidden="1"/>
    <cellStyle name="Hiperlink Visitado" xfId="53186" builtinId="9" hidden="1"/>
    <cellStyle name="Hiperlink Visitado" xfId="53167" builtinId="9" hidden="1"/>
    <cellStyle name="Hiperlink Visitado" xfId="53144" builtinId="9" hidden="1"/>
    <cellStyle name="Hiperlink Visitado" xfId="53248" builtinId="9" hidden="1"/>
    <cellStyle name="Hiperlink Visitado" xfId="53224" builtinId="9" hidden="1"/>
    <cellStyle name="Hiperlink Visitado" xfId="52996" builtinId="9" hidden="1"/>
    <cellStyle name="Hiperlink Visitado" xfId="53115" builtinId="9" hidden="1"/>
    <cellStyle name="Hiperlink Visitado" xfId="53193" builtinId="9" hidden="1"/>
    <cellStyle name="Hiperlink Visitado" xfId="53159" builtinId="9" hidden="1"/>
    <cellStyle name="Hiperlink Visitado" xfId="53143" builtinId="9" hidden="1"/>
    <cellStyle name="Hiperlink Visitado" xfId="53250" builtinId="9" hidden="1"/>
    <cellStyle name="Hiperlink Visitado" xfId="53226" builtinId="9" hidden="1"/>
    <cellStyle name="Hiperlink Visitado" xfId="53207" builtinId="9" hidden="1"/>
    <cellStyle name="Hiperlink Visitado" xfId="53200" builtinId="9" hidden="1"/>
    <cellStyle name="Hiperlink Visitado" xfId="53170" builtinId="9" hidden="1"/>
    <cellStyle name="Hiperlink Visitado" xfId="53147" builtinId="9" hidden="1"/>
    <cellStyle name="Hiperlink Visitado" xfId="53133" builtinId="9" hidden="1"/>
    <cellStyle name="Hiperlink Visitado" xfId="53237" builtinId="9" hidden="1"/>
    <cellStyle name="Hiperlink Visitado" xfId="53216" builtinId="9" hidden="1"/>
    <cellStyle name="Hiperlink Visitado" xfId="52999" builtinId="9" hidden="1"/>
    <cellStyle name="Hiperlink Visitado" xfId="53285" builtinId="9" hidden="1"/>
    <cellStyle name="Hiperlink Visitado" xfId="53117" builtinId="9" hidden="1"/>
    <cellStyle name="Hiperlink Visitado" xfId="53275" builtinId="9" hidden="1"/>
    <cellStyle name="Hiperlink Visitado" xfId="53125" builtinId="9" hidden="1"/>
    <cellStyle name="Hiperlink Visitado" xfId="53122" builtinId="9" hidden="1"/>
    <cellStyle name="Hiperlink Visitado" xfId="53119" builtinId="9" hidden="1"/>
    <cellStyle name="Hiperlink Visitado" xfId="53287" builtinId="9" hidden="1"/>
    <cellStyle name="Hiperlink Visitado" xfId="53264" builtinId="9" hidden="1"/>
    <cellStyle name="Hiperlink Visitado" xfId="53271" builtinId="9" hidden="1"/>
    <cellStyle name="Hiperlink Visitado" xfId="53269" builtinId="9" hidden="1"/>
    <cellStyle name="Hiperlink Visitado" xfId="53267" builtinId="9" hidden="1"/>
    <cellStyle name="Hiperlink Visitado" xfId="53259" builtinId="9" hidden="1"/>
    <cellStyle name="Hiperlink Visitado" xfId="53246" builtinId="9" hidden="1"/>
    <cellStyle name="Hiperlink Visitado" xfId="53221" builtinId="9" hidden="1"/>
    <cellStyle name="Hiperlink Visitado" xfId="53202" builtinId="9" hidden="1"/>
    <cellStyle name="Hiperlink Visitado" xfId="53185" builtinId="9" hidden="1"/>
    <cellStyle name="Hiperlink Visitado" xfId="53177" builtinId="9" hidden="1"/>
    <cellStyle name="Hiperlink Visitado" xfId="53156" builtinId="9" hidden="1"/>
    <cellStyle name="Hiperlink Visitado" xfId="53191" builtinId="9" hidden="1"/>
    <cellStyle name="Hiperlink Visitado" xfId="53292" builtinId="9" hidden="1"/>
    <cellStyle name="Hiperlink Visitado" xfId="53298" builtinId="9" hidden="1"/>
    <cellStyle name="Hiperlink Visitado" xfId="53219" builtinId="9" hidden="1"/>
    <cellStyle name="Hiperlink Visitado" xfId="53131" builtinId="9" hidden="1"/>
    <cellStyle name="Hiperlink Visitado" xfId="53281" builtinId="9" hidden="1"/>
    <cellStyle name="Hiperlink Visitado" xfId="53176" builtinId="9" hidden="1"/>
    <cellStyle name="Hiperlink Visitado" xfId="53152" builtinId="9" hidden="1"/>
    <cellStyle name="Hiperlink Visitado" xfId="53283" builtinId="9" hidden="1"/>
    <cellStyle name="Hiperlink Visitado" xfId="53228" builtinId="9" hidden="1"/>
    <cellStyle name="Hiperlink Visitado" xfId="53261" builtinId="9" hidden="1"/>
    <cellStyle name="Hiperlink Visitado" xfId="53184" builtinId="9" hidden="1"/>
    <cellStyle name="Hiperlink Visitado" xfId="53182" builtinId="9" hidden="1"/>
    <cellStyle name="Hiperlink Visitado" xfId="53150" builtinId="9" hidden="1"/>
    <cellStyle name="Hiperlink Visitado" xfId="53242" builtinId="9" hidden="1"/>
    <cellStyle name="Hiperlink Visitado" xfId="53148" builtinId="9" hidden="1"/>
    <cellStyle name="Hiperlink Visitado" xfId="53277" builtinId="9" hidden="1"/>
    <cellStyle name="Hiperlink Visitado" xfId="53111" builtinId="9" hidden="1"/>
    <cellStyle name="Hiperlink Visitado" xfId="53173" builtinId="9" hidden="1"/>
    <cellStyle name="Hiperlink Visitado" xfId="53154" builtinId="9" hidden="1"/>
    <cellStyle name="Hiperlink Visitado" xfId="53174" builtinId="9" hidden="1"/>
    <cellStyle name="Hiperlink Visitado" xfId="53244" builtinId="9" hidden="1"/>
    <cellStyle name="Hiperlink Visitado" xfId="53188" builtinId="9" hidden="1"/>
    <cellStyle name="Hiperlink Visitado" xfId="53139" builtinId="9" hidden="1"/>
    <cellStyle name="Hiperlink Visitado" xfId="53253" builtinId="9" hidden="1"/>
    <cellStyle name="Hiperlink Visitado" xfId="53161" builtinId="9" hidden="1"/>
    <cellStyle name="Hiperlink Visitado" xfId="53282" builtinId="9" hidden="1"/>
    <cellStyle name="Hiperlink Visitado" xfId="53183" builtinId="9" hidden="1"/>
    <cellStyle name="Hiperlink Visitado" xfId="53162" builtinId="9" hidden="1"/>
    <cellStyle name="Hiperlink Visitado" xfId="53164" builtinId="9" hidden="1"/>
    <cellStyle name="Hiperlink Visitado" xfId="53007" builtinId="9" hidden="1"/>
    <cellStyle name="Hiperlink Visitado" xfId="53201" builtinId="9" hidden="1"/>
    <cellStyle name="Hiperlink Visitado" xfId="53240" builtinId="9" hidden="1"/>
    <cellStyle name="Hiperlink Visitado" xfId="53126" builtinId="9" hidden="1"/>
    <cellStyle name="Hiperlink Visitado" xfId="53113" builtinId="9" hidden="1"/>
    <cellStyle name="Hiperlink Visitado" xfId="53229" builtinId="9" hidden="1"/>
    <cellStyle name="Hiperlink Visitado" xfId="53284" builtinId="9" hidden="1"/>
    <cellStyle name="Hiperlink Visitado" xfId="53127" builtinId="9" hidden="1"/>
    <cellStyle name="Hiperlink Visitado" xfId="53245" builtinId="9" hidden="1"/>
    <cellStyle name="Hiperlink Visitado" xfId="53220" builtinId="9" hidden="1"/>
    <cellStyle name="Hiperlink Visitado" xfId="53297" builtinId="9" hidden="1"/>
    <cellStyle name="Hiperlink Visitado" xfId="53108" builtinId="9" hidden="1"/>
    <cellStyle name="Hiperlink Visitado" xfId="53280" builtinId="9" hidden="1"/>
    <cellStyle name="Hiperlink Visitado" xfId="53290" builtinId="9" hidden="1"/>
    <cellStyle name="Hiperlink Visitado" xfId="53299" builtinId="9" hidden="1"/>
    <cellStyle name="Hiperlink Visitado" xfId="53295" builtinId="9" hidden="1"/>
    <cellStyle name="Hiperlink Visitado" xfId="53132" builtinId="9" hidden="1"/>
    <cellStyle name="Hiperlink Visitado" xfId="53265" builtinId="9" hidden="1"/>
    <cellStyle name="Hiperlink Visitado" xfId="53286" builtinId="9" hidden="1"/>
    <cellStyle name="Hiperlink Visitado" xfId="53209" builtinId="9" hidden="1"/>
    <cellStyle name="Hiperlink Visitado" xfId="53300" builtinId="9" hidden="1"/>
    <cellStyle name="Incorreto" xfId="43948" builtinId="27" customBuiltin="1"/>
    <cellStyle name="Incorreto 10" xfId="51951"/>
    <cellStyle name="Incorreto 11" xfId="51993"/>
    <cellStyle name="Incorreto 12" xfId="52036"/>
    <cellStyle name="Incorreto 13" xfId="52079"/>
    <cellStyle name="Incorreto 14" xfId="52122"/>
    <cellStyle name="Incorreto 2" xfId="60"/>
    <cellStyle name="Incorreto 3" xfId="51643"/>
    <cellStyle name="Incorreto 4" xfId="51693"/>
    <cellStyle name="Incorreto 5" xfId="51736"/>
    <cellStyle name="Incorreto 6" xfId="51778"/>
    <cellStyle name="Incorreto 7" xfId="51820"/>
    <cellStyle name="Incorreto 8" xfId="51861"/>
    <cellStyle name="Incorreto 9" xfId="51908"/>
    <cellStyle name="Input" xfId="51560"/>
    <cellStyle name="Linked Cell" xfId="51561"/>
    <cellStyle name="Moeda 10" xfId="48074"/>
    <cellStyle name="Moeda 2" xfId="682"/>
    <cellStyle name="Moeda 2 10" xfId="584"/>
    <cellStyle name="Moeda 2 10 2" xfId="1655"/>
    <cellStyle name="Moeda 2 11" xfId="641"/>
    <cellStyle name="Moeda 2 11 2" xfId="1712"/>
    <cellStyle name="Moeda 2 12" xfId="48075"/>
    <cellStyle name="Moeda 2 2" xfId="61"/>
    <cellStyle name="Moeda 2 2 10" xfId="48076"/>
    <cellStyle name="Moeda 2 2 2" xfId="1149"/>
    <cellStyle name="Moeda 2 2 2 2" xfId="48077"/>
    <cellStyle name="Moeda 2 2 2 2 2" xfId="48078"/>
    <cellStyle name="Moeda 2 2 2 2 2 2" xfId="48079"/>
    <cellStyle name="Moeda 2 2 2 2 2 2 2" xfId="51091"/>
    <cellStyle name="Moeda 2 2 2 2 2 3" xfId="50349"/>
    <cellStyle name="Moeda 2 2 2 2 3" xfId="48080"/>
    <cellStyle name="Moeda 2 2 2 2 3 2" xfId="50731"/>
    <cellStyle name="Moeda 2 2 2 2 4" xfId="50046"/>
    <cellStyle name="Moeda 2 2 2 3" xfId="48081"/>
    <cellStyle name="Moeda 2 2 2 3 2" xfId="48082"/>
    <cellStyle name="Moeda 2 2 2 3 2 2" xfId="50957"/>
    <cellStyle name="Moeda 2 2 2 3 3" xfId="50221"/>
    <cellStyle name="Moeda 2 2 2 4" xfId="48083"/>
    <cellStyle name="Moeda 2 2 2 4 2" xfId="50594"/>
    <cellStyle name="Moeda 2 2 2 5" xfId="48084"/>
    <cellStyle name="Moeda 2 2 3" xfId="48085"/>
    <cellStyle name="Moeda 2 2 3 2" xfId="48086"/>
    <cellStyle name="Moeda 2 2 3 2 2" xfId="48087"/>
    <cellStyle name="Moeda 2 2 3 2 2 2" xfId="48088"/>
    <cellStyle name="Moeda 2 2 3 2 2 2 2" xfId="51130"/>
    <cellStyle name="Moeda 2 2 3 2 2 3" xfId="50387"/>
    <cellStyle name="Moeda 2 2 3 2 3" xfId="48089"/>
    <cellStyle name="Moeda 2 2 3 2 3 2" xfId="50770"/>
    <cellStyle name="Moeda 2 2 3 2 4" xfId="50076"/>
    <cellStyle name="Moeda 2 2 3 3" xfId="48090"/>
    <cellStyle name="Moeda 2 2 3 3 2" xfId="48091"/>
    <cellStyle name="Moeda 2 2 3 3 2 2" xfId="50995"/>
    <cellStyle name="Moeda 2 2 3 3 3" xfId="50259"/>
    <cellStyle name="Moeda 2 2 3 4" xfId="48092"/>
    <cellStyle name="Moeda 2 2 3 4 2" xfId="50633"/>
    <cellStyle name="Moeda 2 2 3 5" xfId="49972"/>
    <cellStyle name="Moeda 2 2 4" xfId="48093"/>
    <cellStyle name="Moeda 2 2 4 2" xfId="48094"/>
    <cellStyle name="Moeda 2 2 4 2 2" xfId="48095"/>
    <cellStyle name="Moeda 2 2 4 2 2 2" xfId="51058"/>
    <cellStyle name="Moeda 2 2 4 2 3" xfId="50317"/>
    <cellStyle name="Moeda 2 2 4 3" xfId="48096"/>
    <cellStyle name="Moeda 2 2 4 3 2" xfId="50698"/>
    <cellStyle name="Moeda 2 2 4 4" xfId="50020"/>
    <cellStyle name="Moeda 2 2 5" xfId="48097"/>
    <cellStyle name="Moeda 2 2 5 2" xfId="48098"/>
    <cellStyle name="Moeda 2 2 5 2 2" xfId="48099"/>
    <cellStyle name="Moeda 2 2 5 2 2 2" xfId="50925"/>
    <cellStyle name="Moeda 2 2 5 2 3" xfId="50189"/>
    <cellStyle name="Moeda 2 2 5 3" xfId="48100"/>
    <cellStyle name="Moeda 2 2 5 3 2" xfId="50561"/>
    <cellStyle name="Moeda 2 2 5 4" xfId="49925"/>
    <cellStyle name="Moeda 2 2 6" xfId="48101"/>
    <cellStyle name="Moeda 2 2 6 2" xfId="48102"/>
    <cellStyle name="Moeda 2 2 6 2 2" xfId="48103"/>
    <cellStyle name="Moeda 2 2 6 2 2 2" xfId="51165"/>
    <cellStyle name="Moeda 2 2 6 2 3" xfId="50421"/>
    <cellStyle name="Moeda 2 2 6 3" xfId="48104"/>
    <cellStyle name="Moeda 2 2 6 3 2" xfId="50805"/>
    <cellStyle name="Moeda 2 2 6 4" xfId="50104"/>
    <cellStyle name="Moeda 2 2 7" xfId="48105"/>
    <cellStyle name="Moeda 2 2 7 2" xfId="48106"/>
    <cellStyle name="Moeda 2 2 7 2 2" xfId="50851"/>
    <cellStyle name="Moeda 2 2 7 3" xfId="50129"/>
    <cellStyle name="Moeda 2 2 8" xfId="48107"/>
    <cellStyle name="Moeda 2 2 8 2" xfId="48108"/>
    <cellStyle name="Moeda 2 2 8 2 2" xfId="51200"/>
    <cellStyle name="Moeda 2 2 8 3" xfId="50448"/>
    <cellStyle name="Moeda 2 2 9" xfId="48109"/>
    <cellStyle name="Moeda 2 2 9 2" xfId="50475"/>
    <cellStyle name="Moeda 2 3" xfId="206"/>
    <cellStyle name="Moeda 2 3 2" xfId="1278"/>
    <cellStyle name="Moeda 2 4" xfId="263"/>
    <cellStyle name="Moeda 2 4 2" xfId="1335"/>
    <cellStyle name="Moeda 2 5" xfId="319"/>
    <cellStyle name="Moeda 2 5 2" xfId="1391"/>
    <cellStyle name="Moeda 2 6" xfId="358"/>
    <cellStyle name="Moeda 2 6 2" xfId="1430"/>
    <cellStyle name="Moeda 2 7" xfId="416"/>
    <cellStyle name="Moeda 2 7 2" xfId="1488"/>
    <cellStyle name="Moeda 2 8" xfId="478"/>
    <cellStyle name="Moeda 2 8 2" xfId="1549"/>
    <cellStyle name="Moeda 2 9" xfId="533"/>
    <cellStyle name="Moeda 2 9 2" xfId="1604"/>
    <cellStyle name="Moeda 2_Mem." xfId="48110"/>
    <cellStyle name="Moeda 3" xfId="62"/>
    <cellStyle name="Moeda 3 10" xfId="450"/>
    <cellStyle name="Moeda 3 10 2" xfId="1521"/>
    <cellStyle name="Moeda 3 10 2 2" xfId="48111"/>
    <cellStyle name="Moeda 3 10 3" xfId="48112"/>
    <cellStyle name="Moeda 3 11" xfId="645"/>
    <cellStyle name="Moeda 3 11 2" xfId="1716"/>
    <cellStyle name="Moeda 3 11 2 2" xfId="48113"/>
    <cellStyle name="Moeda 3 11 3" xfId="48114"/>
    <cellStyle name="Moeda 3 12" xfId="1150"/>
    <cellStyle name="Moeda 3 12 2" xfId="48115"/>
    <cellStyle name="Moeda 3 13" xfId="48116"/>
    <cellStyle name="Moeda 3 2" xfId="130"/>
    <cellStyle name="Moeda 3 2 10" xfId="48117"/>
    <cellStyle name="Moeda 3 2 10 2" xfId="50476"/>
    <cellStyle name="Moeda 3 2 11" xfId="48118"/>
    <cellStyle name="Moeda 3 2 2" xfId="1202"/>
    <cellStyle name="Moeda 3 2 2 2" xfId="48119"/>
    <cellStyle name="Moeda 3 2 2 2 2" xfId="48120"/>
    <cellStyle name="Moeda 3 2 2 2 2 2" xfId="48121"/>
    <cellStyle name="Moeda 3 2 2 2 2 2 2" xfId="51060"/>
    <cellStyle name="Moeda 3 2 2 2 2 3" xfId="50319"/>
    <cellStyle name="Moeda 3 2 2 2 3" xfId="48122"/>
    <cellStyle name="Moeda 3 2 2 2 3 2" xfId="50700"/>
    <cellStyle name="Moeda 3 2 2 2 4" xfId="50021"/>
    <cellStyle name="Moeda 3 2 2 3" xfId="48123"/>
    <cellStyle name="Moeda 3 2 2 3 2" xfId="48124"/>
    <cellStyle name="Moeda 3 2 2 3 2 2" xfId="50927"/>
    <cellStyle name="Moeda 3 2 2 3 3" xfId="50191"/>
    <cellStyle name="Moeda 3 2 2 4" xfId="48125"/>
    <cellStyle name="Moeda 3 2 2 4 2" xfId="50563"/>
    <cellStyle name="Moeda 3 2 2 5" xfId="48126"/>
    <cellStyle name="Moeda 3 2 3" xfId="48127"/>
    <cellStyle name="Moeda 3 2 3 2" xfId="48128"/>
    <cellStyle name="Moeda 3 2 3 2 2" xfId="48129"/>
    <cellStyle name="Moeda 3 2 3 2 2 2" xfId="48130"/>
    <cellStyle name="Moeda 3 2 3 2 2 2 2" xfId="51093"/>
    <cellStyle name="Moeda 3 2 3 2 2 3" xfId="50351"/>
    <cellStyle name="Moeda 3 2 3 2 3" xfId="48131"/>
    <cellStyle name="Moeda 3 2 3 2 3 2" xfId="50733"/>
    <cellStyle name="Moeda 3 2 3 2 4" xfId="50047"/>
    <cellStyle name="Moeda 3 2 3 3" xfId="48132"/>
    <cellStyle name="Moeda 3 2 3 3 2" xfId="48133"/>
    <cellStyle name="Moeda 3 2 3 3 2 2" xfId="50959"/>
    <cellStyle name="Moeda 3 2 3 3 3" xfId="50223"/>
    <cellStyle name="Moeda 3 2 3 4" xfId="48134"/>
    <cellStyle name="Moeda 3 2 3 4 2" xfId="50596"/>
    <cellStyle name="Moeda 3 2 3 5" xfId="49945"/>
    <cellStyle name="Moeda 3 2 4" xfId="48135"/>
    <cellStyle name="Moeda 3 2 4 2" xfId="48136"/>
    <cellStyle name="Moeda 3 2 4 2 2" xfId="48137"/>
    <cellStyle name="Moeda 3 2 4 2 2 2" xfId="48138"/>
    <cellStyle name="Moeda 3 2 4 2 2 2 2" xfId="51132"/>
    <cellStyle name="Moeda 3 2 4 2 2 3" xfId="50389"/>
    <cellStyle name="Moeda 3 2 4 2 3" xfId="48139"/>
    <cellStyle name="Moeda 3 2 4 2 3 2" xfId="50772"/>
    <cellStyle name="Moeda 3 2 4 2 4" xfId="50077"/>
    <cellStyle name="Moeda 3 2 4 3" xfId="48140"/>
    <cellStyle name="Moeda 3 2 4 3 2" xfId="48141"/>
    <cellStyle name="Moeda 3 2 4 3 2 2" xfId="50997"/>
    <cellStyle name="Moeda 3 2 4 3 3" xfId="50261"/>
    <cellStyle name="Moeda 3 2 4 4" xfId="48142"/>
    <cellStyle name="Moeda 3 2 4 4 2" xfId="50635"/>
    <cellStyle name="Moeda 3 2 4 5" xfId="49973"/>
    <cellStyle name="Moeda 3 2 5" xfId="48143"/>
    <cellStyle name="Moeda 3 2 5 2" xfId="48144"/>
    <cellStyle name="Moeda 3 2 5 2 2" xfId="48145"/>
    <cellStyle name="Moeda 3 2 5 2 2 2" xfId="51055"/>
    <cellStyle name="Moeda 3 2 5 2 3" xfId="50314"/>
    <cellStyle name="Moeda 3 2 5 3" xfId="48146"/>
    <cellStyle name="Moeda 3 2 5 3 2" xfId="50695"/>
    <cellStyle name="Moeda 3 2 5 4" xfId="50017"/>
    <cellStyle name="Moeda 3 2 6" xfId="48147"/>
    <cellStyle name="Moeda 3 2 6 2" xfId="48148"/>
    <cellStyle name="Moeda 3 2 6 2 2" xfId="48149"/>
    <cellStyle name="Moeda 3 2 6 2 2 2" xfId="50922"/>
    <cellStyle name="Moeda 3 2 6 2 3" xfId="50186"/>
    <cellStyle name="Moeda 3 2 6 3" xfId="48150"/>
    <cellStyle name="Moeda 3 2 6 3 2" xfId="50558"/>
    <cellStyle name="Moeda 3 2 6 4" xfId="49922"/>
    <cellStyle name="Moeda 3 2 7" xfId="48151"/>
    <cellStyle name="Moeda 3 2 7 2" xfId="48152"/>
    <cellStyle name="Moeda 3 2 7 2 2" xfId="48153"/>
    <cellStyle name="Moeda 3 2 7 2 2 2" xfId="51167"/>
    <cellStyle name="Moeda 3 2 7 2 3" xfId="50422"/>
    <cellStyle name="Moeda 3 2 7 3" xfId="48154"/>
    <cellStyle name="Moeda 3 2 7 3 2" xfId="50807"/>
    <cellStyle name="Moeda 3 2 7 4" xfId="50105"/>
    <cellStyle name="Moeda 3 2 8" xfId="48155"/>
    <cellStyle name="Moeda 3 2 8 2" xfId="48156"/>
    <cellStyle name="Moeda 3 2 8 2 2" xfId="50852"/>
    <cellStyle name="Moeda 3 2 8 3" xfId="50130"/>
    <cellStyle name="Moeda 3 2 9" xfId="48157"/>
    <cellStyle name="Moeda 3 2 9 2" xfId="48158"/>
    <cellStyle name="Moeda 3 2 9 2 2" xfId="51201"/>
    <cellStyle name="Moeda 3 2 9 3" xfId="50449"/>
    <cellStyle name="Moeda 3 3" xfId="207"/>
    <cellStyle name="Moeda 3 3 10" xfId="48159"/>
    <cellStyle name="Moeda 3 3 10 2" xfId="50477"/>
    <cellStyle name="Moeda 3 3 11" xfId="48160"/>
    <cellStyle name="Moeda 3 3 2" xfId="1279"/>
    <cellStyle name="Moeda 3 3 2 2" xfId="48161"/>
    <cellStyle name="Moeda 3 3 2 2 2" xfId="48162"/>
    <cellStyle name="Moeda 3 3 2 2 2 2" xfId="48163"/>
    <cellStyle name="Moeda 3 3 2 2 2 2 2" xfId="51061"/>
    <cellStyle name="Moeda 3 3 2 2 2 3" xfId="50320"/>
    <cellStyle name="Moeda 3 3 2 2 3" xfId="48164"/>
    <cellStyle name="Moeda 3 3 2 2 3 2" xfId="50701"/>
    <cellStyle name="Moeda 3 3 2 2 4" xfId="50022"/>
    <cellStyle name="Moeda 3 3 2 3" xfId="48165"/>
    <cellStyle name="Moeda 3 3 2 3 2" xfId="48166"/>
    <cellStyle name="Moeda 3 3 2 3 2 2" xfId="50928"/>
    <cellStyle name="Moeda 3 3 2 3 3" xfId="50192"/>
    <cellStyle name="Moeda 3 3 2 4" xfId="48167"/>
    <cellStyle name="Moeda 3 3 2 4 2" xfId="50564"/>
    <cellStyle name="Moeda 3 3 2 5" xfId="48168"/>
    <cellStyle name="Moeda 3 3 3" xfId="48169"/>
    <cellStyle name="Moeda 3 3 3 2" xfId="48170"/>
    <cellStyle name="Moeda 3 3 3 2 2" xfId="48171"/>
    <cellStyle name="Moeda 3 3 3 2 2 2" xfId="48172"/>
    <cellStyle name="Moeda 3 3 3 2 2 2 2" xfId="51094"/>
    <cellStyle name="Moeda 3 3 3 2 2 3" xfId="50352"/>
    <cellStyle name="Moeda 3 3 3 2 3" xfId="48173"/>
    <cellStyle name="Moeda 3 3 3 2 3 2" xfId="50734"/>
    <cellStyle name="Moeda 3 3 3 2 4" xfId="50048"/>
    <cellStyle name="Moeda 3 3 3 3" xfId="48174"/>
    <cellStyle name="Moeda 3 3 3 3 2" xfId="48175"/>
    <cellStyle name="Moeda 3 3 3 3 2 2" xfId="50960"/>
    <cellStyle name="Moeda 3 3 3 3 3" xfId="50224"/>
    <cellStyle name="Moeda 3 3 3 4" xfId="48176"/>
    <cellStyle name="Moeda 3 3 3 4 2" xfId="50597"/>
    <cellStyle name="Moeda 3 3 3 5" xfId="49946"/>
    <cellStyle name="Moeda 3 3 4" xfId="48177"/>
    <cellStyle name="Moeda 3 3 4 2" xfId="48178"/>
    <cellStyle name="Moeda 3 3 4 2 2" xfId="48179"/>
    <cellStyle name="Moeda 3 3 4 2 2 2" xfId="48180"/>
    <cellStyle name="Moeda 3 3 4 2 2 2 2" xfId="51133"/>
    <cellStyle name="Moeda 3 3 4 2 2 3" xfId="50390"/>
    <cellStyle name="Moeda 3 3 4 2 3" xfId="48181"/>
    <cellStyle name="Moeda 3 3 4 2 3 2" xfId="50773"/>
    <cellStyle name="Moeda 3 3 4 2 4" xfId="50078"/>
    <cellStyle name="Moeda 3 3 4 3" xfId="48182"/>
    <cellStyle name="Moeda 3 3 4 3 2" xfId="48183"/>
    <cellStyle name="Moeda 3 3 4 3 2 2" xfId="50998"/>
    <cellStyle name="Moeda 3 3 4 3 3" xfId="50262"/>
    <cellStyle name="Moeda 3 3 4 4" xfId="48184"/>
    <cellStyle name="Moeda 3 3 4 4 2" xfId="50636"/>
    <cellStyle name="Moeda 3 3 4 5" xfId="49974"/>
    <cellStyle name="Moeda 3 3 5" xfId="48185"/>
    <cellStyle name="Moeda 3 3 5 2" xfId="48186"/>
    <cellStyle name="Moeda 3 3 5 2 2" xfId="48187"/>
    <cellStyle name="Moeda 3 3 5 2 2 2" xfId="51045"/>
    <cellStyle name="Moeda 3 3 5 2 3" xfId="50305"/>
    <cellStyle name="Moeda 3 3 5 3" xfId="48188"/>
    <cellStyle name="Moeda 3 3 5 3 2" xfId="50685"/>
    <cellStyle name="Moeda 3 3 5 4" xfId="50008"/>
    <cellStyle name="Moeda 3 3 6" xfId="48189"/>
    <cellStyle name="Moeda 3 3 6 2" xfId="48190"/>
    <cellStyle name="Moeda 3 3 6 2 2" xfId="48191"/>
    <cellStyle name="Moeda 3 3 6 2 2 2" xfId="50912"/>
    <cellStyle name="Moeda 3 3 6 2 3" xfId="50177"/>
    <cellStyle name="Moeda 3 3 6 3" xfId="48192"/>
    <cellStyle name="Moeda 3 3 6 3 2" xfId="50548"/>
    <cellStyle name="Moeda 3 3 6 4" xfId="49913"/>
    <cellStyle name="Moeda 3 3 7" xfId="48193"/>
    <cellStyle name="Moeda 3 3 7 2" xfId="48194"/>
    <cellStyle name="Moeda 3 3 7 2 2" xfId="48195"/>
    <cellStyle name="Moeda 3 3 7 2 2 2" xfId="51168"/>
    <cellStyle name="Moeda 3 3 7 2 3" xfId="50423"/>
    <cellStyle name="Moeda 3 3 7 3" xfId="48196"/>
    <cellStyle name="Moeda 3 3 7 3 2" xfId="50808"/>
    <cellStyle name="Moeda 3 3 7 4" xfId="50106"/>
    <cellStyle name="Moeda 3 3 8" xfId="48197"/>
    <cellStyle name="Moeda 3 3 8 2" xfId="48198"/>
    <cellStyle name="Moeda 3 3 8 2 2" xfId="50853"/>
    <cellStyle name="Moeda 3 3 8 3" xfId="50131"/>
    <cellStyle name="Moeda 3 3 9" xfId="48199"/>
    <cellStyle name="Moeda 3 3 9 2" xfId="48200"/>
    <cellStyle name="Moeda 3 3 9 2 2" xfId="51202"/>
    <cellStyle name="Moeda 3 3 9 3" xfId="50450"/>
    <cellStyle name="Moeda 3 4" xfId="264"/>
    <cellStyle name="Moeda 3 4 2" xfId="1336"/>
    <cellStyle name="Moeda 3 4 2 2" xfId="48201"/>
    <cellStyle name="Moeda 3 4 2 2 2" xfId="48202"/>
    <cellStyle name="Moeda 3 4 2 2 2 2" xfId="51059"/>
    <cellStyle name="Moeda 3 4 2 2 3" xfId="50318"/>
    <cellStyle name="Moeda 3 4 2 3" xfId="48203"/>
    <cellStyle name="Moeda 3 4 2 3 2" xfId="50699"/>
    <cellStyle name="Moeda 3 4 2 4" xfId="48204"/>
    <cellStyle name="Moeda 3 4 3" xfId="48205"/>
    <cellStyle name="Moeda 3 4 3 2" xfId="48206"/>
    <cellStyle name="Moeda 3 4 3 2 2" xfId="50926"/>
    <cellStyle name="Moeda 3 4 3 3" xfId="50190"/>
    <cellStyle name="Moeda 3 4 4" xfId="48207"/>
    <cellStyle name="Moeda 3 4 4 2" xfId="50562"/>
    <cellStyle name="Moeda 3 4 5" xfId="48208"/>
    <cellStyle name="Moeda 3 5" xfId="320"/>
    <cellStyle name="Moeda 3 5 2" xfId="1392"/>
    <cellStyle name="Moeda 3 5 2 2" xfId="48209"/>
    <cellStyle name="Moeda 3 5 2 2 2" xfId="48210"/>
    <cellStyle name="Moeda 3 5 2 2 2 2" xfId="51092"/>
    <cellStyle name="Moeda 3 5 2 2 3" xfId="50350"/>
    <cellStyle name="Moeda 3 5 2 3" xfId="48211"/>
    <cellStyle name="Moeda 3 5 2 3 2" xfId="50732"/>
    <cellStyle name="Moeda 3 5 2 4" xfId="48212"/>
    <cellStyle name="Moeda 3 5 3" xfId="48213"/>
    <cellStyle name="Moeda 3 5 3 2" xfId="48214"/>
    <cellStyle name="Moeda 3 5 3 2 2" xfId="50958"/>
    <cellStyle name="Moeda 3 5 3 3" xfId="50222"/>
    <cellStyle name="Moeda 3 5 4" xfId="48215"/>
    <cellStyle name="Moeda 3 5 4 2" xfId="50595"/>
    <cellStyle name="Moeda 3 5 5" xfId="48216"/>
    <cellStyle name="Moeda 3 6" xfId="359"/>
    <cellStyle name="Moeda 3 6 2" xfId="1431"/>
    <cellStyle name="Moeda 3 6 2 2" xfId="48217"/>
    <cellStyle name="Moeda 3 6 2 2 2" xfId="48218"/>
    <cellStyle name="Moeda 3 6 2 2 2 2" xfId="51131"/>
    <cellStyle name="Moeda 3 6 2 2 3" xfId="50388"/>
    <cellStyle name="Moeda 3 6 2 3" xfId="48219"/>
    <cellStyle name="Moeda 3 6 2 3 2" xfId="50771"/>
    <cellStyle name="Moeda 3 6 2 4" xfId="48220"/>
    <cellStyle name="Moeda 3 6 3" xfId="48221"/>
    <cellStyle name="Moeda 3 6 3 2" xfId="48222"/>
    <cellStyle name="Moeda 3 6 3 2 2" xfId="50996"/>
    <cellStyle name="Moeda 3 6 3 3" xfId="50260"/>
    <cellStyle name="Moeda 3 6 4" xfId="48223"/>
    <cellStyle name="Moeda 3 6 4 2" xfId="50634"/>
    <cellStyle name="Moeda 3 6 5" xfId="48224"/>
    <cellStyle name="Moeda 3 7" xfId="417"/>
    <cellStyle name="Moeda 3 7 2" xfId="1489"/>
    <cellStyle name="Moeda 3 7 2 2" xfId="48225"/>
    <cellStyle name="Moeda 3 7 2 2 2" xfId="51035"/>
    <cellStyle name="Moeda 3 7 2 3" xfId="48226"/>
    <cellStyle name="Moeda 3 7 3" xfId="48227"/>
    <cellStyle name="Moeda 3 7 3 2" xfId="50675"/>
    <cellStyle name="Moeda 3 7 4" xfId="48228"/>
    <cellStyle name="Moeda 3 8" xfId="479"/>
    <cellStyle name="Moeda 3 8 2" xfId="1550"/>
    <cellStyle name="Moeda 3 8 2 2" xfId="48229"/>
    <cellStyle name="Moeda 3 8 2 2 2" xfId="50902"/>
    <cellStyle name="Moeda 3 8 2 3" xfId="48230"/>
    <cellStyle name="Moeda 3 8 3" xfId="48231"/>
    <cellStyle name="Moeda 3 8 3 2" xfId="50538"/>
    <cellStyle name="Moeda 3 8 4" xfId="48232"/>
    <cellStyle name="Moeda 3 9" xfId="500"/>
    <cellStyle name="Moeda 3 9 2" xfId="1571"/>
    <cellStyle name="Moeda 3 9 2 2" xfId="48233"/>
    <cellStyle name="Moeda 3 9 2 2 2" xfId="51166"/>
    <cellStyle name="Moeda 3 9 2 3" xfId="48234"/>
    <cellStyle name="Moeda 3 9 3" xfId="48235"/>
    <cellStyle name="Moeda 3 9 3 2" xfId="50806"/>
    <cellStyle name="Moeda 3 9 4" xfId="48236"/>
    <cellStyle name="Moeda 4" xfId="43989"/>
    <cellStyle name="Moeda 4 2" xfId="48237"/>
    <cellStyle name="Moeda 4_Mem." xfId="48238"/>
    <cellStyle name="Moeda 5" xfId="48239"/>
    <cellStyle name="Moeda 5 10" xfId="48240"/>
    <cellStyle name="Moeda 5 10 2" xfId="48241"/>
    <cellStyle name="Moeda 5 10 2 2" xfId="50854"/>
    <cellStyle name="Moeda 5 10 3" xfId="50132"/>
    <cellStyle name="Moeda 5 11" xfId="48242"/>
    <cellStyle name="Moeda 5 11 2" xfId="48243"/>
    <cellStyle name="Moeda 5 11 2 2" xfId="51203"/>
    <cellStyle name="Moeda 5 11 3" xfId="50451"/>
    <cellStyle name="Moeda 5 12" xfId="48244"/>
    <cellStyle name="Moeda 5 12 2" xfId="50478"/>
    <cellStyle name="Moeda 5 13" xfId="49862"/>
    <cellStyle name="Moeda 5 2" xfId="48245"/>
    <cellStyle name="Moeda 5 2 10" xfId="48246"/>
    <cellStyle name="Moeda 5 2 10 2" xfId="50479"/>
    <cellStyle name="Moeda 5 2 11" xfId="49863"/>
    <cellStyle name="Moeda 5 2 2" xfId="48247"/>
    <cellStyle name="Moeda 5 2 2 2" xfId="48248"/>
    <cellStyle name="Moeda 5 2 2 2 2" xfId="48249"/>
    <cellStyle name="Moeda 5 2 2 2 2 2" xfId="48250"/>
    <cellStyle name="Moeda 5 2 2 2 2 2 2" xfId="51063"/>
    <cellStyle name="Moeda 5 2 2 2 2 3" xfId="50322"/>
    <cellStyle name="Moeda 5 2 2 2 3" xfId="48251"/>
    <cellStyle name="Moeda 5 2 2 2 3 2" xfId="50703"/>
    <cellStyle name="Moeda 5 2 2 2 4" xfId="50024"/>
    <cellStyle name="Moeda 5 2 2 3" xfId="48252"/>
    <cellStyle name="Moeda 5 2 2 3 2" xfId="48253"/>
    <cellStyle name="Moeda 5 2 2 3 2 2" xfId="50930"/>
    <cellStyle name="Moeda 5 2 2 3 3" xfId="50194"/>
    <cellStyle name="Moeda 5 2 2 4" xfId="48254"/>
    <cellStyle name="Moeda 5 2 2 4 2" xfId="50566"/>
    <cellStyle name="Moeda 5 2 2 5" xfId="49927"/>
    <cellStyle name="Moeda 5 2 3" xfId="48255"/>
    <cellStyle name="Moeda 5 2 3 2" xfId="48256"/>
    <cellStyle name="Moeda 5 2 3 2 2" xfId="48257"/>
    <cellStyle name="Moeda 5 2 3 2 2 2" xfId="48258"/>
    <cellStyle name="Moeda 5 2 3 2 2 2 2" xfId="51096"/>
    <cellStyle name="Moeda 5 2 3 2 2 3" xfId="50354"/>
    <cellStyle name="Moeda 5 2 3 2 3" xfId="48259"/>
    <cellStyle name="Moeda 5 2 3 2 3 2" xfId="50736"/>
    <cellStyle name="Moeda 5 2 3 2 4" xfId="50050"/>
    <cellStyle name="Moeda 5 2 3 3" xfId="48260"/>
    <cellStyle name="Moeda 5 2 3 3 2" xfId="48261"/>
    <cellStyle name="Moeda 5 2 3 3 2 2" xfId="50962"/>
    <cellStyle name="Moeda 5 2 3 3 3" xfId="50226"/>
    <cellStyle name="Moeda 5 2 3 4" xfId="48262"/>
    <cellStyle name="Moeda 5 2 3 4 2" xfId="50599"/>
    <cellStyle name="Moeda 5 2 3 5" xfId="49948"/>
    <cellStyle name="Moeda 5 2 4" xfId="48263"/>
    <cellStyle name="Moeda 5 2 4 2" xfId="48264"/>
    <cellStyle name="Moeda 5 2 4 2 2" xfId="48265"/>
    <cellStyle name="Moeda 5 2 4 2 2 2" xfId="48266"/>
    <cellStyle name="Moeda 5 2 4 2 2 2 2" xfId="51135"/>
    <cellStyle name="Moeda 5 2 4 2 2 3" xfId="50392"/>
    <cellStyle name="Moeda 5 2 4 2 3" xfId="48267"/>
    <cellStyle name="Moeda 5 2 4 2 3 2" xfId="50775"/>
    <cellStyle name="Moeda 5 2 4 2 4" xfId="50080"/>
    <cellStyle name="Moeda 5 2 4 3" xfId="48268"/>
    <cellStyle name="Moeda 5 2 4 3 2" xfId="48269"/>
    <cellStyle name="Moeda 5 2 4 3 2 2" xfId="51000"/>
    <cellStyle name="Moeda 5 2 4 3 3" xfId="50264"/>
    <cellStyle name="Moeda 5 2 4 4" xfId="48270"/>
    <cellStyle name="Moeda 5 2 4 4 2" xfId="50638"/>
    <cellStyle name="Moeda 5 2 4 5" xfId="49976"/>
    <cellStyle name="Moeda 5 2 5" xfId="48271"/>
    <cellStyle name="Moeda 5 2 5 2" xfId="48272"/>
    <cellStyle name="Moeda 5 2 5 2 2" xfId="48273"/>
    <cellStyle name="Moeda 5 2 5 2 2 2" xfId="51051"/>
    <cellStyle name="Moeda 5 2 5 2 3" xfId="50310"/>
    <cellStyle name="Moeda 5 2 5 3" xfId="48274"/>
    <cellStyle name="Moeda 5 2 5 3 2" xfId="50691"/>
    <cellStyle name="Moeda 5 2 5 4" xfId="50013"/>
    <cellStyle name="Moeda 5 2 6" xfId="48275"/>
    <cellStyle name="Moeda 5 2 6 2" xfId="48276"/>
    <cellStyle name="Moeda 5 2 6 2 2" xfId="48277"/>
    <cellStyle name="Moeda 5 2 6 2 2 2" xfId="50918"/>
    <cellStyle name="Moeda 5 2 6 2 3" xfId="50182"/>
    <cellStyle name="Moeda 5 2 6 3" xfId="48278"/>
    <cellStyle name="Moeda 5 2 6 3 2" xfId="50554"/>
    <cellStyle name="Moeda 5 2 6 4" xfId="49918"/>
    <cellStyle name="Moeda 5 2 7" xfId="48279"/>
    <cellStyle name="Moeda 5 2 7 2" xfId="48280"/>
    <cellStyle name="Moeda 5 2 7 2 2" xfId="48281"/>
    <cellStyle name="Moeda 5 2 7 2 2 2" xfId="51170"/>
    <cellStyle name="Moeda 5 2 7 2 3" xfId="50425"/>
    <cellStyle name="Moeda 5 2 7 3" xfId="48282"/>
    <cellStyle name="Moeda 5 2 7 3 2" xfId="50810"/>
    <cellStyle name="Moeda 5 2 7 4" xfId="50108"/>
    <cellStyle name="Moeda 5 2 8" xfId="48283"/>
    <cellStyle name="Moeda 5 2 8 2" xfId="48284"/>
    <cellStyle name="Moeda 5 2 8 2 2" xfId="50855"/>
    <cellStyle name="Moeda 5 2 8 3" xfId="50133"/>
    <cellStyle name="Moeda 5 2 9" xfId="48285"/>
    <cellStyle name="Moeda 5 2 9 2" xfId="48286"/>
    <cellStyle name="Moeda 5 2 9 2 2" xfId="51204"/>
    <cellStyle name="Moeda 5 2 9 3" xfId="50452"/>
    <cellStyle name="Moeda 5 3" xfId="48287"/>
    <cellStyle name="Moeda 5 3 10" xfId="48288"/>
    <cellStyle name="Moeda 5 3 10 2" xfId="50480"/>
    <cellStyle name="Moeda 5 3 11" xfId="49864"/>
    <cellStyle name="Moeda 5 3 2" xfId="48289"/>
    <cellStyle name="Moeda 5 3 2 2" xfId="48290"/>
    <cellStyle name="Moeda 5 3 2 2 2" xfId="48291"/>
    <cellStyle name="Moeda 5 3 2 2 2 2" xfId="48292"/>
    <cellStyle name="Moeda 5 3 2 2 2 2 2" xfId="51064"/>
    <cellStyle name="Moeda 5 3 2 2 2 3" xfId="50323"/>
    <cellStyle name="Moeda 5 3 2 2 3" xfId="48293"/>
    <cellStyle name="Moeda 5 3 2 2 3 2" xfId="50704"/>
    <cellStyle name="Moeda 5 3 2 2 4" xfId="50025"/>
    <cellStyle name="Moeda 5 3 2 3" xfId="48294"/>
    <cellStyle name="Moeda 5 3 2 3 2" xfId="48295"/>
    <cellStyle name="Moeda 5 3 2 3 2 2" xfId="50931"/>
    <cellStyle name="Moeda 5 3 2 3 3" xfId="50195"/>
    <cellStyle name="Moeda 5 3 2 4" xfId="48296"/>
    <cellStyle name="Moeda 5 3 2 4 2" xfId="50567"/>
    <cellStyle name="Moeda 5 3 2 5" xfId="49928"/>
    <cellStyle name="Moeda 5 3 3" xfId="48297"/>
    <cellStyle name="Moeda 5 3 3 2" xfId="48298"/>
    <cellStyle name="Moeda 5 3 3 2 2" xfId="48299"/>
    <cellStyle name="Moeda 5 3 3 2 2 2" xfId="48300"/>
    <cellStyle name="Moeda 5 3 3 2 2 2 2" xfId="51097"/>
    <cellStyle name="Moeda 5 3 3 2 2 3" xfId="50355"/>
    <cellStyle name="Moeda 5 3 3 2 3" xfId="48301"/>
    <cellStyle name="Moeda 5 3 3 2 3 2" xfId="50737"/>
    <cellStyle name="Moeda 5 3 3 2 4" xfId="50051"/>
    <cellStyle name="Moeda 5 3 3 3" xfId="48302"/>
    <cellStyle name="Moeda 5 3 3 3 2" xfId="48303"/>
    <cellStyle name="Moeda 5 3 3 3 2 2" xfId="50963"/>
    <cellStyle name="Moeda 5 3 3 3 3" xfId="50227"/>
    <cellStyle name="Moeda 5 3 3 4" xfId="48304"/>
    <cellStyle name="Moeda 5 3 3 4 2" xfId="50600"/>
    <cellStyle name="Moeda 5 3 3 5" xfId="49949"/>
    <cellStyle name="Moeda 5 3 4" xfId="48305"/>
    <cellStyle name="Moeda 5 3 4 2" xfId="48306"/>
    <cellStyle name="Moeda 5 3 4 2 2" xfId="48307"/>
    <cellStyle name="Moeda 5 3 4 2 2 2" xfId="48308"/>
    <cellStyle name="Moeda 5 3 4 2 2 2 2" xfId="51136"/>
    <cellStyle name="Moeda 5 3 4 2 2 3" xfId="50393"/>
    <cellStyle name="Moeda 5 3 4 2 3" xfId="48309"/>
    <cellStyle name="Moeda 5 3 4 2 3 2" xfId="50776"/>
    <cellStyle name="Moeda 5 3 4 2 4" xfId="50081"/>
    <cellStyle name="Moeda 5 3 4 3" xfId="48310"/>
    <cellStyle name="Moeda 5 3 4 3 2" xfId="48311"/>
    <cellStyle name="Moeda 5 3 4 3 2 2" xfId="51001"/>
    <cellStyle name="Moeda 5 3 4 3 3" xfId="50265"/>
    <cellStyle name="Moeda 5 3 4 4" xfId="48312"/>
    <cellStyle name="Moeda 5 3 4 4 2" xfId="50639"/>
    <cellStyle name="Moeda 5 3 4 5" xfId="49977"/>
    <cellStyle name="Moeda 5 3 5" xfId="48313"/>
    <cellStyle name="Moeda 5 3 5 2" xfId="48314"/>
    <cellStyle name="Moeda 5 3 5 2 2" xfId="48315"/>
    <cellStyle name="Moeda 5 3 5 2 2 2" xfId="51041"/>
    <cellStyle name="Moeda 5 3 5 2 3" xfId="50301"/>
    <cellStyle name="Moeda 5 3 5 3" xfId="48316"/>
    <cellStyle name="Moeda 5 3 5 3 2" xfId="50681"/>
    <cellStyle name="Moeda 5 3 5 4" xfId="50004"/>
    <cellStyle name="Moeda 5 3 6" xfId="48317"/>
    <cellStyle name="Moeda 5 3 6 2" xfId="48318"/>
    <cellStyle name="Moeda 5 3 6 2 2" xfId="48319"/>
    <cellStyle name="Moeda 5 3 6 2 2 2" xfId="50908"/>
    <cellStyle name="Moeda 5 3 6 2 3" xfId="50173"/>
    <cellStyle name="Moeda 5 3 6 3" xfId="48320"/>
    <cellStyle name="Moeda 5 3 6 3 2" xfId="50544"/>
    <cellStyle name="Moeda 5 3 6 4" xfId="49909"/>
    <cellStyle name="Moeda 5 3 7" xfId="48321"/>
    <cellStyle name="Moeda 5 3 7 2" xfId="48322"/>
    <cellStyle name="Moeda 5 3 7 2 2" xfId="48323"/>
    <cellStyle name="Moeda 5 3 7 2 2 2" xfId="51171"/>
    <cellStyle name="Moeda 5 3 7 2 3" xfId="50426"/>
    <cellStyle name="Moeda 5 3 7 3" xfId="48324"/>
    <cellStyle name="Moeda 5 3 7 3 2" xfId="50811"/>
    <cellStyle name="Moeda 5 3 7 4" xfId="50109"/>
    <cellStyle name="Moeda 5 3 8" xfId="48325"/>
    <cellStyle name="Moeda 5 3 8 2" xfId="48326"/>
    <cellStyle name="Moeda 5 3 8 2 2" xfId="50856"/>
    <cellStyle name="Moeda 5 3 8 3" xfId="50134"/>
    <cellStyle name="Moeda 5 3 9" xfId="48327"/>
    <cellStyle name="Moeda 5 3 9 2" xfId="48328"/>
    <cellStyle name="Moeda 5 3 9 2 2" xfId="51205"/>
    <cellStyle name="Moeda 5 3 9 3" xfId="50453"/>
    <cellStyle name="Moeda 5 4" xfId="48329"/>
    <cellStyle name="Moeda 5 4 2" xfId="48330"/>
    <cellStyle name="Moeda 5 4 2 2" xfId="48331"/>
    <cellStyle name="Moeda 5 4 2 2 2" xfId="48332"/>
    <cellStyle name="Moeda 5 4 2 2 2 2" xfId="51062"/>
    <cellStyle name="Moeda 5 4 2 2 3" xfId="50321"/>
    <cellStyle name="Moeda 5 4 2 3" xfId="48333"/>
    <cellStyle name="Moeda 5 4 2 3 2" xfId="50702"/>
    <cellStyle name="Moeda 5 4 2 4" xfId="50023"/>
    <cellStyle name="Moeda 5 4 3" xfId="48334"/>
    <cellStyle name="Moeda 5 4 3 2" xfId="48335"/>
    <cellStyle name="Moeda 5 4 3 2 2" xfId="50929"/>
    <cellStyle name="Moeda 5 4 3 3" xfId="50193"/>
    <cellStyle name="Moeda 5 4 4" xfId="48336"/>
    <cellStyle name="Moeda 5 4 4 2" xfId="50565"/>
    <cellStyle name="Moeda 5 4 5" xfId="49926"/>
    <cellStyle name="Moeda 5 5" xfId="48337"/>
    <cellStyle name="Moeda 5 5 2" xfId="48338"/>
    <cellStyle name="Moeda 5 5 2 2" xfId="48339"/>
    <cellStyle name="Moeda 5 5 2 2 2" xfId="48340"/>
    <cellStyle name="Moeda 5 5 2 2 2 2" xfId="51095"/>
    <cellStyle name="Moeda 5 5 2 2 3" xfId="50353"/>
    <cellStyle name="Moeda 5 5 2 3" xfId="48341"/>
    <cellStyle name="Moeda 5 5 2 3 2" xfId="50735"/>
    <cellStyle name="Moeda 5 5 2 4" xfId="50049"/>
    <cellStyle name="Moeda 5 5 3" xfId="48342"/>
    <cellStyle name="Moeda 5 5 3 2" xfId="48343"/>
    <cellStyle name="Moeda 5 5 3 2 2" xfId="50961"/>
    <cellStyle name="Moeda 5 5 3 3" xfId="50225"/>
    <cellStyle name="Moeda 5 5 4" xfId="48344"/>
    <cellStyle name="Moeda 5 5 4 2" xfId="50598"/>
    <cellStyle name="Moeda 5 5 5" xfId="49947"/>
    <cellStyle name="Moeda 5 6" xfId="48345"/>
    <cellStyle name="Moeda 5 6 2" xfId="48346"/>
    <cellStyle name="Moeda 5 6 2 2" xfId="48347"/>
    <cellStyle name="Moeda 5 6 2 2 2" xfId="48348"/>
    <cellStyle name="Moeda 5 6 2 2 2 2" xfId="51134"/>
    <cellStyle name="Moeda 5 6 2 2 3" xfId="50391"/>
    <cellStyle name="Moeda 5 6 2 3" xfId="48349"/>
    <cellStyle name="Moeda 5 6 2 3 2" xfId="50774"/>
    <cellStyle name="Moeda 5 6 2 4" xfId="50079"/>
    <cellStyle name="Moeda 5 6 3" xfId="48350"/>
    <cellStyle name="Moeda 5 6 3 2" xfId="48351"/>
    <cellStyle name="Moeda 5 6 3 2 2" xfId="50999"/>
    <cellStyle name="Moeda 5 6 3 3" xfId="50263"/>
    <cellStyle name="Moeda 5 6 4" xfId="48352"/>
    <cellStyle name="Moeda 5 6 4 2" xfId="50637"/>
    <cellStyle name="Moeda 5 6 5" xfId="49975"/>
    <cellStyle name="Moeda 5 7" xfId="48353"/>
    <cellStyle name="Moeda 5 7 2" xfId="48354"/>
    <cellStyle name="Moeda 5 7 2 2" xfId="48355"/>
    <cellStyle name="Moeda 5 7 2 2 2" xfId="51031"/>
    <cellStyle name="Moeda 5 7 2 3" xfId="50294"/>
    <cellStyle name="Moeda 5 7 3" xfId="48356"/>
    <cellStyle name="Moeda 5 7 3 2" xfId="50671"/>
    <cellStyle name="Moeda 5 7 4" xfId="50000"/>
    <cellStyle name="Moeda 5 8" xfId="48357"/>
    <cellStyle name="Moeda 5 8 2" xfId="48358"/>
    <cellStyle name="Moeda 5 8 2 2" xfId="48359"/>
    <cellStyle name="Moeda 5 8 2 2 2" xfId="50898"/>
    <cellStyle name="Moeda 5 8 2 3" xfId="50166"/>
    <cellStyle name="Moeda 5 8 3" xfId="48360"/>
    <cellStyle name="Moeda 5 8 3 2" xfId="50534"/>
    <cellStyle name="Moeda 5 8 4" xfId="49905"/>
    <cellStyle name="Moeda 5 9" xfId="48361"/>
    <cellStyle name="Moeda 5 9 2" xfId="48362"/>
    <cellStyle name="Moeda 5 9 2 2" xfId="48363"/>
    <cellStyle name="Moeda 5 9 2 2 2" xfId="51169"/>
    <cellStyle name="Moeda 5 9 2 3" xfId="50424"/>
    <cellStyle name="Moeda 5 9 3" xfId="48364"/>
    <cellStyle name="Moeda 5 9 3 2" xfId="50809"/>
    <cellStyle name="Moeda 5 9 4" xfId="50107"/>
    <cellStyle name="Moeda 6" xfId="131"/>
    <cellStyle name="Moeda 6 2" xfId="1203"/>
    <cellStyle name="Moeda 6 3" xfId="48365"/>
    <cellStyle name="Moeda 7" xfId="48366"/>
    <cellStyle name="Moeda 7 2" xfId="48367"/>
    <cellStyle name="Moeda 7 2 2" xfId="48368"/>
    <cellStyle name="Moeda 7 2 2 2" xfId="48369"/>
    <cellStyle name="Moeda 7 2 2 2 2" xfId="48370"/>
    <cellStyle name="Moeda 7 2 2 2 2 2" xfId="51137"/>
    <cellStyle name="Moeda 7 2 2 2 3" xfId="50394"/>
    <cellStyle name="Moeda 7 2 2 3" xfId="48371"/>
    <cellStyle name="Moeda 7 2 2 3 2" xfId="50777"/>
    <cellStyle name="Moeda 7 2 2 4" xfId="50082"/>
    <cellStyle name="Moeda 7 2 3" xfId="48372"/>
    <cellStyle name="Moeda 7 2 3 2" xfId="48373"/>
    <cellStyle name="Moeda 7 2 3 2 2" xfId="51002"/>
    <cellStyle name="Moeda 7 2 3 3" xfId="50266"/>
    <cellStyle name="Moeda 7 2 4" xfId="48374"/>
    <cellStyle name="Moeda 7 2 4 2" xfId="50640"/>
    <cellStyle name="Moeda 7 2 5" xfId="49978"/>
    <cellStyle name="Moeda 7 3" xfId="48375"/>
    <cellStyle name="Moeda 7 3 2" xfId="48376"/>
    <cellStyle name="Moeda 7 3 2 2" xfId="48377"/>
    <cellStyle name="Moeda 7 3 2 2 2" xfId="51124"/>
    <cellStyle name="Moeda 7 3 2 3" xfId="50381"/>
    <cellStyle name="Moeda 7 3 3" xfId="48378"/>
    <cellStyle name="Moeda 7 3 3 2" xfId="50764"/>
    <cellStyle name="Moeda 7 3 4" xfId="50072"/>
    <cellStyle name="Moeda 7 4" xfId="48379"/>
    <cellStyle name="Moeda 7 4 2" xfId="48380"/>
    <cellStyle name="Moeda 7 4 2 2" xfId="50989"/>
    <cellStyle name="Moeda 7 4 3" xfId="50253"/>
    <cellStyle name="Moeda 7 5" xfId="48381"/>
    <cellStyle name="Moeda 7 5 2" xfId="48382"/>
    <cellStyle name="Moeda 7 5 2 2" xfId="51206"/>
    <cellStyle name="Moeda 7 5 3" xfId="50454"/>
    <cellStyle name="Moeda 7 6" xfId="48383"/>
    <cellStyle name="Moeda 7 6 2" xfId="50627"/>
    <cellStyle name="Moeda 7 7" xfId="49968"/>
    <cellStyle name="Moeda 8" xfId="48384"/>
    <cellStyle name="Moeda 9" xfId="1099"/>
    <cellStyle name="Moeda 9 2" xfId="48385"/>
    <cellStyle name="Moeda 9_Mem." xfId="48386"/>
    <cellStyle name="Neutra" xfId="43949" builtinId="28" customBuiltin="1"/>
    <cellStyle name="Neutra 10" xfId="51950"/>
    <cellStyle name="Neutra 11" xfId="51992"/>
    <cellStyle name="Neutra 12" xfId="52035"/>
    <cellStyle name="Neutra 13" xfId="52078"/>
    <cellStyle name="Neutra 14" xfId="52121"/>
    <cellStyle name="Neutra 2" xfId="63"/>
    <cellStyle name="Neutra 3" xfId="51675"/>
    <cellStyle name="Neutra 4" xfId="51692"/>
    <cellStyle name="Neutra 5" xfId="51735"/>
    <cellStyle name="Neutra 6" xfId="51777"/>
    <cellStyle name="Neutra 7" xfId="51819"/>
    <cellStyle name="Neutra 8" xfId="51860"/>
    <cellStyle name="Neutra 9" xfId="51907"/>
    <cellStyle name="Neutral" xfId="51562"/>
    <cellStyle name="Normal" xfId="0" builtinId="0"/>
    <cellStyle name="Normal 10" xfId="389"/>
    <cellStyle name="Normal 10 2" xfId="1461"/>
    <cellStyle name="Normal 10 2 2" xfId="48387"/>
    <cellStyle name="Normal 10 2 2 2" xfId="51275"/>
    <cellStyle name="Normal 10 3" xfId="1762"/>
    <cellStyle name="Normal 10 3 2" xfId="48388"/>
    <cellStyle name="Normal 10 3 2 2" xfId="50886"/>
    <cellStyle name="Normal 10 3 3" xfId="50160"/>
    <cellStyle name="Normal 10 3 4" xfId="52229"/>
    <cellStyle name="Normal 10 4" xfId="48389"/>
    <cellStyle name="Normal 10 4 2" xfId="50520"/>
    <cellStyle name="Normal 10 5" xfId="48390"/>
    <cellStyle name="Normal 10 5 2" xfId="51232"/>
    <cellStyle name="Normal 10 6" xfId="49846"/>
    <cellStyle name="Normal 10 6 2" xfId="51350"/>
    <cellStyle name="Normal 10 7" xfId="49892"/>
    <cellStyle name="Normal 10_Mem." xfId="48391"/>
    <cellStyle name="Normal 11" xfId="676"/>
    <cellStyle name="Normal 11 2" xfId="64"/>
    <cellStyle name="Normal 11 2 10" xfId="649"/>
    <cellStyle name="Normal 11 2 10 2" xfId="1720"/>
    <cellStyle name="Normal 11 2 11" xfId="510"/>
    <cellStyle name="Normal 11 2 11 2" xfId="1581"/>
    <cellStyle name="Normal 11 2 12" xfId="1151"/>
    <cellStyle name="Normal 11 2 13" xfId="48392"/>
    <cellStyle name="Normal 11 2 2" xfId="132"/>
    <cellStyle name="Normal 11 2 2 2" xfId="1204"/>
    <cellStyle name="Normal 11 2 2 2 2" xfId="50887"/>
    <cellStyle name="Normal 11 2 2 3" xfId="48393"/>
    <cellStyle name="Normal 11 2 2_Mem." xfId="48394"/>
    <cellStyle name="Normal 11 2 3" xfId="210"/>
    <cellStyle name="Normal 11 2 3 2" xfId="1282"/>
    <cellStyle name="Normal 11 2 3 2 2" xfId="51276"/>
    <cellStyle name="Normal 11 2 3 3" xfId="48395"/>
    <cellStyle name="Normal 11 2 3_Mem." xfId="48396"/>
    <cellStyle name="Normal 11 2 4" xfId="267"/>
    <cellStyle name="Normal 11 2 4 2" xfId="1339"/>
    <cellStyle name="Normal 11 2 4 3" xfId="50161"/>
    <cellStyle name="Normal 11 2 5" xfId="321"/>
    <cellStyle name="Normal 11 2 5 2" xfId="1393"/>
    <cellStyle name="Normal 11 2 6" xfId="360"/>
    <cellStyle name="Normal 11 2 6 2" xfId="1432"/>
    <cellStyle name="Normal 11 2 7" xfId="418"/>
    <cellStyle name="Normal 11 2 7 2" xfId="1490"/>
    <cellStyle name="Normal 11 2 8" xfId="480"/>
    <cellStyle name="Normal 11 2 8 2" xfId="1551"/>
    <cellStyle name="Normal 11 2 9" xfId="596"/>
    <cellStyle name="Normal 11 2 9 2" xfId="1667"/>
    <cellStyle name="Normal 11 2_Mem." xfId="48397"/>
    <cellStyle name="Normal 11 3" xfId="65"/>
    <cellStyle name="Normal 11 3 10" xfId="635"/>
    <cellStyle name="Normal 11 3 10 2" xfId="1706"/>
    <cellStyle name="Normal 11 3 11" xfId="448"/>
    <cellStyle name="Normal 11 3 11 2" xfId="1519"/>
    <cellStyle name="Normal 11 3 12" xfId="1152"/>
    <cellStyle name="Normal 11 3 13" xfId="48398"/>
    <cellStyle name="Normal 11 3 2" xfId="133"/>
    <cellStyle name="Normal 11 3 2 2" xfId="1205"/>
    <cellStyle name="Normal 11 3 2 3" xfId="50521"/>
    <cellStyle name="Normal 11 3 3" xfId="211"/>
    <cellStyle name="Normal 11 3 3 2" xfId="1283"/>
    <cellStyle name="Normal 11 3 4" xfId="268"/>
    <cellStyle name="Normal 11 3 4 2" xfId="1340"/>
    <cellStyle name="Normal 11 3 5" xfId="322"/>
    <cellStyle name="Normal 11 3 5 2" xfId="1394"/>
    <cellStyle name="Normal 11 3 6" xfId="361"/>
    <cellStyle name="Normal 11 3 6 2" xfId="1433"/>
    <cellStyle name="Normal 11 3 7" xfId="419"/>
    <cellStyle name="Normal 11 3 7 2" xfId="1491"/>
    <cellStyle name="Normal 11 3 8" xfId="481"/>
    <cellStyle name="Normal 11 3 8 2" xfId="1552"/>
    <cellStyle name="Normal 11 3 9" xfId="514"/>
    <cellStyle name="Normal 11 3 9 2" xfId="1585"/>
    <cellStyle name="Normal 11 3_Mem." xfId="48399"/>
    <cellStyle name="Normal 11 4" xfId="1747"/>
    <cellStyle name="Normal 11 4 2" xfId="48400"/>
    <cellStyle name="Normal 11 4_Mem." xfId="48401"/>
    <cellStyle name="Normal 11 5" xfId="48402"/>
    <cellStyle name="Normal 11 5 2" xfId="51351"/>
    <cellStyle name="Normal 11 6" xfId="49893"/>
    <cellStyle name="Normal 11_Mem." xfId="48403"/>
    <cellStyle name="Normal 12" xfId="694"/>
    <cellStyle name="Normal 12 2" xfId="1749"/>
    <cellStyle name="Normal 12 2 2" xfId="48404"/>
    <cellStyle name="Normal 12 2 2 2" xfId="50888"/>
    <cellStyle name="Normal 12 2 3" xfId="48405"/>
    <cellStyle name="Normal 12 2 3 2" xfId="51277"/>
    <cellStyle name="Normal 12 2 4" xfId="48406"/>
    <cellStyle name="Normal 12 2_Mem." xfId="48407"/>
    <cellStyle name="Normal 12 3" xfId="48408"/>
    <cellStyle name="Normal 12 3 2" xfId="50522"/>
    <cellStyle name="Normal 12 3 3" xfId="52235"/>
    <cellStyle name="Normal 12 4" xfId="48409"/>
    <cellStyle name="Normal 12 4 2" xfId="51233"/>
    <cellStyle name="Normal 12 5" xfId="48410"/>
    <cellStyle name="Normal 12 5 2" xfId="51352"/>
    <cellStyle name="Normal 12 6" xfId="49894"/>
    <cellStyle name="Normal 12_Mem." xfId="48411"/>
    <cellStyle name="Normal 13" xfId="702"/>
    <cellStyle name="Normal 13 2" xfId="1750"/>
    <cellStyle name="Normal 13 2 2" xfId="48412"/>
    <cellStyle name="Normal 13 2 2 2" xfId="50889"/>
    <cellStyle name="Normal 13 2 3" xfId="48413"/>
    <cellStyle name="Normal 13 2 3 2" xfId="51278"/>
    <cellStyle name="Normal 13 2 4" xfId="48414"/>
    <cellStyle name="Normal 13 2_Mem." xfId="48415"/>
    <cellStyle name="Normal 13 3" xfId="48416"/>
    <cellStyle name="Normal 13 3 2" xfId="50523"/>
    <cellStyle name="Normal 13 3 3" xfId="52190"/>
    <cellStyle name="Normal 13 4" xfId="48417"/>
    <cellStyle name="Normal 13 4 2" xfId="51234"/>
    <cellStyle name="Normal 13 5" xfId="48418"/>
    <cellStyle name="Normal 13 5 2" xfId="51353"/>
    <cellStyle name="Normal 13 6" xfId="49895"/>
    <cellStyle name="Normal 13_Mem." xfId="48419"/>
    <cellStyle name="Normal 14" xfId="66"/>
    <cellStyle name="Normal 14 10" xfId="543"/>
    <cellStyle name="Normal 14 10 2" xfId="1614"/>
    <cellStyle name="Normal 14 11" xfId="670"/>
    <cellStyle name="Normal 14 11 2" xfId="1741"/>
    <cellStyle name="Normal 14 12" xfId="1153"/>
    <cellStyle name="Normal 14 13" xfId="48420"/>
    <cellStyle name="Normal 14 2" xfId="134"/>
    <cellStyle name="Normal 14 2 2" xfId="1206"/>
    <cellStyle name="Normal 14 2 2 2" xfId="48421"/>
    <cellStyle name="Normal 14 2 2_Mem." xfId="48422"/>
    <cellStyle name="Normal 14 2 3" xfId="48423"/>
    <cellStyle name="Normal 14 2 3 2" xfId="51279"/>
    <cellStyle name="Normal 14 2 4" xfId="48424"/>
    <cellStyle name="Normal 14 2_Mem." xfId="48425"/>
    <cellStyle name="Normal 14 3" xfId="212"/>
    <cellStyle name="Normal 14 3 2" xfId="1284"/>
    <cellStyle name="Normal 14 3 2 2" xfId="50524"/>
    <cellStyle name="Normal 14 3 3" xfId="48426"/>
    <cellStyle name="Normal 14 3_Mem." xfId="48427"/>
    <cellStyle name="Normal 14 4" xfId="269"/>
    <cellStyle name="Normal 14 4 2" xfId="1341"/>
    <cellStyle name="Normal 14 4 2 2" xfId="51235"/>
    <cellStyle name="Normal 14 4 3" xfId="48428"/>
    <cellStyle name="Normal 14 4_Mem." xfId="48429"/>
    <cellStyle name="Normal 14 5" xfId="323"/>
    <cellStyle name="Normal 14 5 2" xfId="1395"/>
    <cellStyle name="Normal 14 5 2 2" xfId="51354"/>
    <cellStyle name="Normal 14 5 3" xfId="49847"/>
    <cellStyle name="Normal 14 6" xfId="362"/>
    <cellStyle name="Normal 14 6 2" xfId="1434"/>
    <cellStyle name="Normal 14 6 3" xfId="49896"/>
    <cellStyle name="Normal 14 7" xfId="420"/>
    <cellStyle name="Normal 14 7 2" xfId="1492"/>
    <cellStyle name="Normal 14 8" xfId="482"/>
    <cellStyle name="Normal 14 8 2" xfId="1553"/>
    <cellStyle name="Normal 14 9" xfId="624"/>
    <cellStyle name="Normal 14 9 2" xfId="1695"/>
    <cellStyle name="Normal 14_Mem." xfId="48430"/>
    <cellStyle name="Normal 15" xfId="710"/>
    <cellStyle name="Normal 15 2" xfId="1751"/>
    <cellStyle name="Normal 15 2 2" xfId="48431"/>
    <cellStyle name="Normal 15 2 2 2" xfId="50890"/>
    <cellStyle name="Normal 15 2 3" xfId="48432"/>
    <cellStyle name="Normal 15 2 3 2" xfId="51280"/>
    <cellStyle name="Normal 15 2 4" xfId="48433"/>
    <cellStyle name="Normal 15 2_Mem." xfId="48434"/>
    <cellStyle name="Normal 15 3" xfId="48435"/>
    <cellStyle name="Normal 15 3 2" xfId="50525"/>
    <cellStyle name="Normal 15 3 3" xfId="52242"/>
    <cellStyle name="Normal 15 4" xfId="48436"/>
    <cellStyle name="Normal 15 4 2" xfId="51236"/>
    <cellStyle name="Normal 15 5" xfId="48437"/>
    <cellStyle name="Normal 15 5 2" xfId="51355"/>
    <cellStyle name="Normal 15 6" xfId="49897"/>
    <cellStyle name="Normal 15_Mem." xfId="48438"/>
    <cellStyle name="Normal 16" xfId="718"/>
    <cellStyle name="Normal 16 2" xfId="1752"/>
    <cellStyle name="Normal 16 3" xfId="52249"/>
    <cellStyle name="Normal 16_Mem." xfId="48439"/>
    <cellStyle name="Normal 17" xfId="726"/>
    <cellStyle name="Normal 17 2" xfId="1753"/>
    <cellStyle name="Normal 17 2 2" xfId="48440"/>
    <cellStyle name="Normal 17 2 2 2" xfId="50891"/>
    <cellStyle name="Normal 17 2 3" xfId="48441"/>
    <cellStyle name="Normal 17 2 3 2" xfId="51281"/>
    <cellStyle name="Normal 17 2 4" xfId="48442"/>
    <cellStyle name="Normal 17 2_Mem." xfId="48443"/>
    <cellStyle name="Normal 17 3" xfId="48444"/>
    <cellStyle name="Normal 17 3 2" xfId="50526"/>
    <cellStyle name="Normal 17 3 3" xfId="52250"/>
    <cellStyle name="Normal 17 4" xfId="48445"/>
    <cellStyle name="Normal 17 4 2" xfId="51237"/>
    <cellStyle name="Normal 17 5" xfId="48446"/>
    <cellStyle name="Normal 17 5 2" xfId="51356"/>
    <cellStyle name="Normal 17 6" xfId="49898"/>
    <cellStyle name="Normal 17_Mem." xfId="48447"/>
    <cellStyle name="Normal 18" xfId="734"/>
    <cellStyle name="Normal 18 2" xfId="1754"/>
    <cellStyle name="Normal 18 2 2" xfId="48448"/>
    <cellStyle name="Normal 18 2 2 2" xfId="50892"/>
    <cellStyle name="Normal 18 2 3" xfId="48449"/>
    <cellStyle name="Normal 18 2 3 2" xfId="51282"/>
    <cellStyle name="Normal 18 2 4" xfId="48450"/>
    <cellStyle name="Normal 18 2_Mem." xfId="48451"/>
    <cellStyle name="Normal 18 3" xfId="48452"/>
    <cellStyle name="Normal 18 3 2" xfId="50527"/>
    <cellStyle name="Normal 18 3 3" xfId="52219"/>
    <cellStyle name="Normal 18 4" xfId="48453"/>
    <cellStyle name="Normal 18 4 2" xfId="51238"/>
    <cellStyle name="Normal 18 5" xfId="48454"/>
    <cellStyle name="Normal 18 5 2" xfId="51357"/>
    <cellStyle name="Normal 18 6" xfId="49899"/>
    <cellStyle name="Normal 18_Mem." xfId="48455"/>
    <cellStyle name="Normal 19" xfId="746"/>
    <cellStyle name="Normal 19 2" xfId="48456"/>
    <cellStyle name="Normal 19 2 2" xfId="48457"/>
    <cellStyle name="Normal 19 2 2 2" xfId="50893"/>
    <cellStyle name="Normal 19 2 3" xfId="48458"/>
    <cellStyle name="Normal 19 2 3 2" xfId="51283"/>
    <cellStyle name="Normal 19 2 4" xfId="50162"/>
    <cellStyle name="Normal 19 2 5" xfId="52230"/>
    <cellStyle name="Normal 19 3" xfId="48459"/>
    <cellStyle name="Normal 19 3 2" xfId="50528"/>
    <cellStyle name="Normal 19 3 3" xfId="52218"/>
    <cellStyle name="Normal 19 4" xfId="48460"/>
    <cellStyle name="Normal 19 4 2" xfId="51239"/>
    <cellStyle name="Normal 19 5" xfId="48461"/>
    <cellStyle name="Normal 19 5 2" xfId="51358"/>
    <cellStyle name="Normal 19 6" xfId="49900"/>
    <cellStyle name="Normal 19_Mem." xfId="48462"/>
    <cellStyle name="Normal 2" xfId="2"/>
    <cellStyle name="Normal 2 10" xfId="550"/>
    <cellStyle name="Normal 2 10 2" xfId="1621"/>
    <cellStyle name="Normal 2 10 2 2" xfId="48463"/>
    <cellStyle name="Normal 2 10 2 2 2" xfId="48464"/>
    <cellStyle name="Normal 2 10 2 2 2 2" xfId="51138"/>
    <cellStyle name="Normal 2 10 2 2 3" xfId="50395"/>
    <cellStyle name="Normal 2 10 2 3" xfId="48465"/>
    <cellStyle name="Normal 2 10 2 3 2" xfId="50778"/>
    <cellStyle name="Normal 2 10 2 4" xfId="48466"/>
    <cellStyle name="Normal 2 10 2_Mem." xfId="48467"/>
    <cellStyle name="Normal 2 10 3" xfId="48468"/>
    <cellStyle name="Normal 2 10 3 2" xfId="48469"/>
    <cellStyle name="Normal 2 10 3 2 2" xfId="48470"/>
    <cellStyle name="Normal 2 10 3 2 2 2" xfId="51003"/>
    <cellStyle name="Normal 2 10 3 2 3" xfId="50267"/>
    <cellStyle name="Normal 2 10 3 3" xfId="48471"/>
    <cellStyle name="Normal 2 10 3 3 2" xfId="50641"/>
    <cellStyle name="Normal 2 10 3 4" xfId="49979"/>
    <cellStyle name="Normal 2 10_Mem." xfId="48472"/>
    <cellStyle name="Normal 2 11" xfId="659"/>
    <cellStyle name="Normal 2 11 2" xfId="1730"/>
    <cellStyle name="Normal 2 11 2 2" xfId="48473"/>
    <cellStyle name="Normal 2 11 2 2 2" xfId="48474"/>
    <cellStyle name="Normal 2 11 2 2 2 2" xfId="51029"/>
    <cellStyle name="Normal 2 11 2 2 3" xfId="50293"/>
    <cellStyle name="Normal 2 11 2 3" xfId="48475"/>
    <cellStyle name="Normal 2 11 2 3 2" xfId="50668"/>
    <cellStyle name="Normal 2 11 2 4" xfId="48476"/>
    <cellStyle name="Normal 2 11 2_Mem." xfId="48477"/>
    <cellStyle name="Normal 2 11_Mem." xfId="48478"/>
    <cellStyle name="Normal 2 12" xfId="48479"/>
    <cellStyle name="Normal 2 13" xfId="48480"/>
    <cellStyle name="Normal 2 14" xfId="48481"/>
    <cellStyle name="Normal 2 15" xfId="48482"/>
    <cellStyle name="Normal 2 16" xfId="48483"/>
    <cellStyle name="Normal 2 17" xfId="48484"/>
    <cellStyle name="Normal 2 18" xfId="48485"/>
    <cellStyle name="Normal 2 19" xfId="48486"/>
    <cellStyle name="Normal 2 2" xfId="67"/>
    <cellStyle name="Normal 2 2 2" xfId="1100"/>
    <cellStyle name="Normal 2 2 2 2" xfId="48487"/>
    <cellStyle name="Normal 2 2 2_Mem." xfId="48488"/>
    <cellStyle name="Normal 2 2 3" xfId="43990"/>
    <cellStyle name="Normal 2 2 3 2" xfId="45291"/>
    <cellStyle name="Normal 2 2 3_Mem." xfId="48489"/>
    <cellStyle name="Normal 2 2 4" xfId="48490"/>
    <cellStyle name="Normal 2 2 5" xfId="51525"/>
    <cellStyle name="Normal 2 2 6" xfId="51374"/>
    <cellStyle name="Normal 2 2 7" xfId="52675"/>
    <cellStyle name="Normal 2 2_Mem." xfId="48491"/>
    <cellStyle name="Normal 2 20" xfId="48492"/>
    <cellStyle name="Normal 2 20 2" xfId="48493"/>
    <cellStyle name="Normal 2 20 2 2" xfId="48494"/>
    <cellStyle name="Normal 2 20 2 2 2" xfId="50894"/>
    <cellStyle name="Normal 2 20 2 3" xfId="48495"/>
    <cellStyle name="Normal 2 20 2 3 2" xfId="51311"/>
    <cellStyle name="Normal 2 20 2 4" xfId="50163"/>
    <cellStyle name="Normal 2 20 3" xfId="48496"/>
    <cellStyle name="Normal 2 20 3 2" xfId="50529"/>
    <cellStyle name="Normal 2 20 4" xfId="48497"/>
    <cellStyle name="Normal 2 20 4 2" xfId="51268"/>
    <cellStyle name="Normal 2 20 5" xfId="49901"/>
    <cellStyle name="Normal 2 20 6" xfId="51776"/>
    <cellStyle name="Normal 2 21" xfId="48498"/>
    <cellStyle name="Normal 2 21 2" xfId="48499"/>
    <cellStyle name="Normal 2 21 2 2" xfId="48500"/>
    <cellStyle name="Normal 2 21 2 2 2" xfId="50896"/>
    <cellStyle name="Normal 2 21 2 3" xfId="50165"/>
    <cellStyle name="Normal 2 21 3" xfId="48501"/>
    <cellStyle name="Normal 2 21 3 2" xfId="50531"/>
    <cellStyle name="Normal 2 21 4" xfId="48502"/>
    <cellStyle name="Normal 2 21 4 2" xfId="51296"/>
    <cellStyle name="Normal 2 21 5" xfId="49903"/>
    <cellStyle name="Normal 2 21 6" xfId="51818"/>
    <cellStyle name="Normal 2 22" xfId="48503"/>
    <cellStyle name="Normal 2 22 2" xfId="48504"/>
    <cellStyle name="Normal 2 22 2 2" xfId="48505"/>
    <cellStyle name="Normal 2 22 2 2 2" xfId="51172"/>
    <cellStyle name="Normal 2 22 2 3" xfId="50427"/>
    <cellStyle name="Normal 2 22 3" xfId="48506"/>
    <cellStyle name="Normal 2 22 3 2" xfId="50812"/>
    <cellStyle name="Normal 2 22 4" xfId="48507"/>
    <cellStyle name="Normal 2 22 4 2" xfId="51325"/>
    <cellStyle name="Normal 2 22 5" xfId="50110"/>
    <cellStyle name="Normal 2 22 6" xfId="51859"/>
    <cellStyle name="Normal 2 23" xfId="48508"/>
    <cellStyle name="Normal 2 23 2" xfId="48509"/>
    <cellStyle name="Normal 2 23 2 2" xfId="50857"/>
    <cellStyle name="Normal 2 23 3" xfId="48510"/>
    <cellStyle name="Normal 2 23 3 2" xfId="51341"/>
    <cellStyle name="Normal 2 23 4" xfId="50135"/>
    <cellStyle name="Normal 2 23 5" xfId="51906"/>
    <cellStyle name="Normal 2 24" xfId="48511"/>
    <cellStyle name="Normal 2 24 2" xfId="48512"/>
    <cellStyle name="Normal 2 24 2 2" xfId="51207"/>
    <cellStyle name="Normal 2 24 3" xfId="50455"/>
    <cellStyle name="Normal 2 24 4" xfId="51949"/>
    <cellStyle name="Normal 2 25" xfId="48513"/>
    <cellStyle name="Normal 2 25 2" xfId="50481"/>
    <cellStyle name="Normal 2 25 3" xfId="51991"/>
    <cellStyle name="Normal 2 26" xfId="48514"/>
    <cellStyle name="Normal 2 26 2" xfId="51252"/>
    <cellStyle name="Normal 2 26 3" xfId="52034"/>
    <cellStyle name="Normal 2 27" xfId="48515"/>
    <cellStyle name="Normal 2 27 2" xfId="51344"/>
    <cellStyle name="Normal 2 27 3" xfId="52077"/>
    <cellStyle name="Normal 2 28" xfId="49860"/>
    <cellStyle name="Normal 2 28 2" xfId="51371"/>
    <cellStyle name="Normal 2 28 3" xfId="52120"/>
    <cellStyle name="Normal 2 29" xfId="49865"/>
    <cellStyle name="Normal 2 29 2" xfId="52189"/>
    <cellStyle name="Normal 2 29 2 2" xfId="52255"/>
    <cellStyle name="Normal 2 29 2 3" xfId="52275"/>
    <cellStyle name="Normal 2 29 3" xfId="52264"/>
    <cellStyle name="Normal 2 29 4" xfId="52273"/>
    <cellStyle name="Normal 2 29 5" xfId="52159"/>
    <cellStyle name="Normal 2 3" xfId="213"/>
    <cellStyle name="Normal 2 3 2" xfId="1285"/>
    <cellStyle name="Normal 2 3 3" xfId="43991"/>
    <cellStyle name="Normal 2 3 4" xfId="48516"/>
    <cellStyle name="Normal 2 3_Mem." xfId="48517"/>
    <cellStyle name="Normal 2 30" xfId="52162"/>
    <cellStyle name="Normal 2 31" xfId="52168"/>
    <cellStyle name="Normal 2 32" xfId="52171"/>
    <cellStyle name="Normal 2 33" xfId="52172"/>
    <cellStyle name="Normal 2 34" xfId="52178"/>
    <cellStyle name="Normal 2 35" xfId="52177"/>
    <cellStyle name="Normal 2 36" xfId="52165"/>
    <cellStyle name="Normal 2 37" xfId="52170"/>
    <cellStyle name="Normal 2 38" xfId="52167"/>
    <cellStyle name="Normal 2 38 2" xfId="52245"/>
    <cellStyle name="Normal 2 38 3" xfId="52274"/>
    <cellStyle name="Normal 2 39" xfId="52166"/>
    <cellStyle name="Normal 2 4" xfId="270"/>
    <cellStyle name="Normal 2 4 2" xfId="1342"/>
    <cellStyle name="Normal 2 4 3" xfId="43992"/>
    <cellStyle name="Normal 2 4_Mem." xfId="48518"/>
    <cellStyle name="Normal 2 5" xfId="324"/>
    <cellStyle name="Normal 2 5 10" xfId="48519"/>
    <cellStyle name="Normal 2 5 10 2" xfId="50482"/>
    <cellStyle name="Normal 2 5 11" xfId="49866"/>
    <cellStyle name="Normal 2 5 2" xfId="1396"/>
    <cellStyle name="Normal 2 5 2 2" xfId="48520"/>
    <cellStyle name="Normal 2 5 2 2 2" xfId="48521"/>
    <cellStyle name="Normal 2 5 2 2 2 2" xfId="48522"/>
    <cellStyle name="Normal 2 5 2 2 2 2 2" xfId="51066"/>
    <cellStyle name="Normal 2 5 2 2 2 3" xfId="50325"/>
    <cellStyle name="Normal 2 5 2 2 3" xfId="48523"/>
    <cellStyle name="Normal 2 5 2 2 3 2" xfId="50706"/>
    <cellStyle name="Normal 2 5 2 2 4" xfId="50026"/>
    <cellStyle name="Normal 2 5 2 3" xfId="48524"/>
    <cellStyle name="Normal 2 5 2 3 2" xfId="48525"/>
    <cellStyle name="Normal 2 5 2 3 2 2" xfId="48526"/>
    <cellStyle name="Normal 2 5 2 3 2 2 2" xfId="50933"/>
    <cellStyle name="Normal 2 5 2 3 2 3" xfId="50197"/>
    <cellStyle name="Normal 2 5 2 3 3" xfId="48527"/>
    <cellStyle name="Normal 2 5 2 3 3 2" xfId="50569"/>
    <cellStyle name="Normal 2 5 2 3 4" xfId="49930"/>
    <cellStyle name="Normal 2 5 3" xfId="43993"/>
    <cellStyle name="Normal 2 5 3 2" xfId="48528"/>
    <cellStyle name="Normal 2 5 3 2 2" xfId="48529"/>
    <cellStyle name="Normal 2 5 3 2 2 2" xfId="48530"/>
    <cellStyle name="Normal 2 5 3 2 2 2 2" xfId="51099"/>
    <cellStyle name="Normal 2 5 3 2 2 3" xfId="50357"/>
    <cellStyle name="Normal 2 5 3 2 3" xfId="48531"/>
    <cellStyle name="Normal 2 5 3 2 3 2" xfId="50739"/>
    <cellStyle name="Normal 2 5 3 2 4" xfId="50052"/>
    <cellStyle name="Normal 2 5 3 3" xfId="48532"/>
    <cellStyle name="Normal 2 5 3 3 2" xfId="48533"/>
    <cellStyle name="Normal 2 5 3 3 2 2" xfId="50965"/>
    <cellStyle name="Normal 2 5 3 3 3" xfId="50229"/>
    <cellStyle name="Normal 2 5 3 4" xfId="48534"/>
    <cellStyle name="Normal 2 5 3 4 2" xfId="50602"/>
    <cellStyle name="Normal 2 5 3 5" xfId="49951"/>
    <cellStyle name="Normal 2 5 4" xfId="48535"/>
    <cellStyle name="Normal 2 5 4 2" xfId="48536"/>
    <cellStyle name="Normal 2 5 4 2 2" xfId="48537"/>
    <cellStyle name="Normal 2 5 4 2 2 2" xfId="48538"/>
    <cellStyle name="Normal 2 5 4 2 2 2 2" xfId="51139"/>
    <cellStyle name="Normal 2 5 4 2 2 3" xfId="50396"/>
    <cellStyle name="Normal 2 5 4 2 3" xfId="48539"/>
    <cellStyle name="Normal 2 5 4 2 3 2" xfId="50779"/>
    <cellStyle name="Normal 2 5 4 2 4" xfId="50083"/>
    <cellStyle name="Normal 2 5 4 3" xfId="48540"/>
    <cellStyle name="Normal 2 5 4 3 2" xfId="48541"/>
    <cellStyle name="Normal 2 5 4 3 2 2" xfId="51004"/>
    <cellStyle name="Normal 2 5 4 3 3" xfId="50268"/>
    <cellStyle name="Normal 2 5 4 4" xfId="48542"/>
    <cellStyle name="Normal 2 5 4 4 2" xfId="50642"/>
    <cellStyle name="Normal 2 5 4 5" xfId="49980"/>
    <cellStyle name="Normal 2 5 5" xfId="48543"/>
    <cellStyle name="Normal 2 5 5 2" xfId="48544"/>
    <cellStyle name="Normal 2 5 5 2 2" xfId="48545"/>
    <cellStyle name="Normal 2 5 5 2 2 2" xfId="51048"/>
    <cellStyle name="Normal 2 5 5 2 3" xfId="50308"/>
    <cellStyle name="Normal 2 5 5 3" xfId="48546"/>
    <cellStyle name="Normal 2 5 5 3 2" xfId="50688"/>
    <cellStyle name="Normal 2 5 5 4" xfId="50011"/>
    <cellStyle name="Normal 2 5 6" xfId="48547"/>
    <cellStyle name="Normal 2 5 6 2" xfId="48548"/>
    <cellStyle name="Normal 2 5 6 2 2" xfId="48549"/>
    <cellStyle name="Normal 2 5 6 2 2 2" xfId="50915"/>
    <cellStyle name="Normal 2 5 6 2 3" xfId="50180"/>
    <cellStyle name="Normal 2 5 6 3" xfId="48550"/>
    <cellStyle name="Normal 2 5 6 3 2" xfId="50551"/>
    <cellStyle name="Normal 2 5 6 4" xfId="49916"/>
    <cellStyle name="Normal 2 5 7" xfId="48551"/>
    <cellStyle name="Normal 2 5 7 2" xfId="48552"/>
    <cellStyle name="Normal 2 5 7 2 2" xfId="48553"/>
    <cellStyle name="Normal 2 5 7 2 2 2" xfId="51173"/>
    <cellStyle name="Normal 2 5 7 2 3" xfId="50428"/>
    <cellStyle name="Normal 2 5 7 3" xfId="48554"/>
    <cellStyle name="Normal 2 5 7 3 2" xfId="50813"/>
    <cellStyle name="Normal 2 5 7 4" xfId="50111"/>
    <cellStyle name="Normal 2 5 8" xfId="48555"/>
    <cellStyle name="Normal 2 5 8 2" xfId="48556"/>
    <cellStyle name="Normal 2 5 8 2 2" xfId="50858"/>
    <cellStyle name="Normal 2 5 8 3" xfId="50136"/>
    <cellStyle name="Normal 2 5 9" xfId="48557"/>
    <cellStyle name="Normal 2 5 9 2" xfId="48558"/>
    <cellStyle name="Normal 2 5 9 2 2" xfId="51208"/>
    <cellStyle name="Normal 2 5 9 3" xfId="50456"/>
    <cellStyle name="Normal 2 5_Mem." xfId="48559"/>
    <cellStyle name="Normal 2 6" xfId="363"/>
    <cellStyle name="Normal 2 6 10" xfId="48560"/>
    <cellStyle name="Normal 2 6 10 2" xfId="50483"/>
    <cellStyle name="Normal 2 6 11" xfId="48561"/>
    <cellStyle name="Normal 2 6 2" xfId="1435"/>
    <cellStyle name="Normal 2 6 2 2" xfId="48562"/>
    <cellStyle name="Normal 2 6 2 2 2" xfId="48563"/>
    <cellStyle name="Normal 2 6 2 2 2 2" xfId="48564"/>
    <cellStyle name="Normal 2 6 2 2 2 2 2" xfId="51067"/>
    <cellStyle name="Normal 2 6 2 2 2 3" xfId="50326"/>
    <cellStyle name="Normal 2 6 2 2 3" xfId="48565"/>
    <cellStyle name="Normal 2 6 2 2 3 2" xfId="50707"/>
    <cellStyle name="Normal 2 6 2 2 4" xfId="50027"/>
    <cellStyle name="Normal 2 6 2 3" xfId="48566"/>
    <cellStyle name="Normal 2 6 2 3 2" xfId="48567"/>
    <cellStyle name="Normal 2 6 2 3 2 2" xfId="48568"/>
    <cellStyle name="Normal 2 6 2 3 2 2 2" xfId="50934"/>
    <cellStyle name="Normal 2 6 2 3 2 3" xfId="50198"/>
    <cellStyle name="Normal 2 6 2 3 3" xfId="48569"/>
    <cellStyle name="Normal 2 6 2 3 3 2" xfId="50570"/>
    <cellStyle name="Normal 2 6 2 3 4" xfId="49931"/>
    <cellStyle name="Normal 2 6 3" xfId="48570"/>
    <cellStyle name="Normal 2 6 3 2" xfId="48571"/>
    <cellStyle name="Normal 2 6 3 2 2" xfId="48572"/>
    <cellStyle name="Normal 2 6 3 2 2 2" xfId="48573"/>
    <cellStyle name="Normal 2 6 3 2 2 2 2" xfId="51100"/>
    <cellStyle name="Normal 2 6 3 2 2 3" xfId="50358"/>
    <cellStyle name="Normal 2 6 3 2 3" xfId="48574"/>
    <cellStyle name="Normal 2 6 3 2 3 2" xfId="50740"/>
    <cellStyle name="Normal 2 6 3 2 4" xfId="50053"/>
    <cellStyle name="Normal 2 6 3 3" xfId="48575"/>
    <cellStyle name="Normal 2 6 3 3 2" xfId="48576"/>
    <cellStyle name="Normal 2 6 3 3 2 2" xfId="50966"/>
    <cellStyle name="Normal 2 6 3 3 3" xfId="50230"/>
    <cellStyle name="Normal 2 6 3 4" xfId="48577"/>
    <cellStyle name="Normal 2 6 3 4 2" xfId="50603"/>
    <cellStyle name="Normal 2 6 3 5" xfId="49952"/>
    <cellStyle name="Normal 2 6 4" xfId="48578"/>
    <cellStyle name="Normal 2 6 4 2" xfId="48579"/>
    <cellStyle name="Normal 2 6 4 2 2" xfId="48580"/>
    <cellStyle name="Normal 2 6 4 2 2 2" xfId="48581"/>
    <cellStyle name="Normal 2 6 4 2 2 2 2" xfId="51140"/>
    <cellStyle name="Normal 2 6 4 2 2 3" xfId="50397"/>
    <cellStyle name="Normal 2 6 4 2 3" xfId="48582"/>
    <cellStyle name="Normal 2 6 4 2 3 2" xfId="50780"/>
    <cellStyle name="Normal 2 6 4 2 4" xfId="50084"/>
    <cellStyle name="Normal 2 6 4 3" xfId="48583"/>
    <cellStyle name="Normal 2 6 4 3 2" xfId="48584"/>
    <cellStyle name="Normal 2 6 4 3 2 2" xfId="51005"/>
    <cellStyle name="Normal 2 6 4 3 3" xfId="50269"/>
    <cellStyle name="Normal 2 6 4 4" xfId="48585"/>
    <cellStyle name="Normal 2 6 4 4 2" xfId="50643"/>
    <cellStyle name="Normal 2 6 4 5" xfId="49981"/>
    <cellStyle name="Normal 2 6 5" xfId="48586"/>
    <cellStyle name="Normal 2 6 5 2" xfId="48587"/>
    <cellStyle name="Normal 2 6 5 2 2" xfId="48588"/>
    <cellStyle name="Normal 2 6 5 2 2 2" xfId="51038"/>
    <cellStyle name="Normal 2 6 5 2 3" xfId="50299"/>
    <cellStyle name="Normal 2 6 5 3" xfId="48589"/>
    <cellStyle name="Normal 2 6 5 3 2" xfId="50678"/>
    <cellStyle name="Normal 2 6 5 4" xfId="50002"/>
    <cellStyle name="Normal 2 6 6" xfId="48590"/>
    <cellStyle name="Normal 2 6 6 2" xfId="48591"/>
    <cellStyle name="Normal 2 6 6 2 2" xfId="48592"/>
    <cellStyle name="Normal 2 6 6 2 2 2" xfId="50905"/>
    <cellStyle name="Normal 2 6 6 2 3" xfId="50171"/>
    <cellStyle name="Normal 2 6 6 3" xfId="48593"/>
    <cellStyle name="Normal 2 6 6 3 2" xfId="50541"/>
    <cellStyle name="Normal 2 6 6 4" xfId="49907"/>
    <cellStyle name="Normal 2 6 7" xfId="48594"/>
    <cellStyle name="Normal 2 6 7 2" xfId="48595"/>
    <cellStyle name="Normal 2 6 7 2 2" xfId="48596"/>
    <cellStyle name="Normal 2 6 7 2 2 2" xfId="51174"/>
    <cellStyle name="Normal 2 6 7 2 3" xfId="50429"/>
    <cellStyle name="Normal 2 6 7 3" xfId="48597"/>
    <cellStyle name="Normal 2 6 7 3 2" xfId="50814"/>
    <cellStyle name="Normal 2 6 7 4" xfId="50112"/>
    <cellStyle name="Normal 2 6 8" xfId="48598"/>
    <cellStyle name="Normal 2 6 8 2" xfId="48599"/>
    <cellStyle name="Normal 2 6 8 2 2" xfId="50859"/>
    <cellStyle name="Normal 2 6 8 3" xfId="50137"/>
    <cellStyle name="Normal 2 6 9" xfId="48600"/>
    <cellStyle name="Normal 2 6 9 2" xfId="48601"/>
    <cellStyle name="Normal 2 6 9 2 2" xfId="51209"/>
    <cellStyle name="Normal 2 6 9 3" xfId="50457"/>
    <cellStyle name="Normal 2 6_Mem." xfId="48602"/>
    <cellStyle name="Normal 2 7" xfId="421"/>
    <cellStyle name="Normal 2 7 10" xfId="48603"/>
    <cellStyle name="Normal 2 7 2" xfId="1493"/>
    <cellStyle name="Normal 2 7 2 2" xfId="48604"/>
    <cellStyle name="Normal 2 7 2 2 2" xfId="48605"/>
    <cellStyle name="Normal 2 7 2 2 2 2" xfId="48606"/>
    <cellStyle name="Normal 2 7 2 2 2 2 2" xfId="51101"/>
    <cellStyle name="Normal 2 7 2 2 2 3" xfId="50359"/>
    <cellStyle name="Normal 2 7 2 2 3" xfId="48607"/>
    <cellStyle name="Normal 2 7 2 2 3 2" xfId="50741"/>
    <cellStyle name="Normal 2 7 2 2 4" xfId="50054"/>
    <cellStyle name="Normal 2 7 2 3" xfId="48608"/>
    <cellStyle name="Normal 2 7 2 3 2" xfId="48609"/>
    <cellStyle name="Normal 2 7 2 3 2 2" xfId="48610"/>
    <cellStyle name="Normal 2 7 2 3 2 2 2" xfId="50967"/>
    <cellStyle name="Normal 2 7 2 3 2 3" xfId="50231"/>
    <cellStyle name="Normal 2 7 2 3 3" xfId="48611"/>
    <cellStyle name="Normal 2 7 2 3 3 2" xfId="50604"/>
    <cellStyle name="Normal 2 7 2 3 4" xfId="49953"/>
    <cellStyle name="Normal 2 7 3" xfId="48612"/>
    <cellStyle name="Normal 2 7 3 2" xfId="48613"/>
    <cellStyle name="Normal 2 7 3 2 2" xfId="48614"/>
    <cellStyle name="Normal 2 7 3 2 2 2" xfId="48615"/>
    <cellStyle name="Normal 2 7 3 2 2 2 2" xfId="51141"/>
    <cellStyle name="Normal 2 7 3 2 2 3" xfId="50398"/>
    <cellStyle name="Normal 2 7 3 2 3" xfId="48616"/>
    <cellStyle name="Normal 2 7 3 2 3 2" xfId="50781"/>
    <cellStyle name="Normal 2 7 3 2 4" xfId="50085"/>
    <cellStyle name="Normal 2 7 3 3" xfId="48617"/>
    <cellStyle name="Normal 2 7 3 3 2" xfId="48618"/>
    <cellStyle name="Normal 2 7 3 3 2 2" xfId="51006"/>
    <cellStyle name="Normal 2 7 3 3 3" xfId="50270"/>
    <cellStyle name="Normal 2 7 3 4" xfId="48619"/>
    <cellStyle name="Normal 2 7 3 4 2" xfId="50644"/>
    <cellStyle name="Normal 2 7 3 5" xfId="49982"/>
    <cellStyle name="Normal 2 7 4" xfId="48620"/>
    <cellStyle name="Normal 2 7 4 2" xfId="48621"/>
    <cellStyle name="Normal 2 7 4 2 2" xfId="48622"/>
    <cellStyle name="Normal 2 7 4 2 2 2" xfId="51068"/>
    <cellStyle name="Normal 2 7 4 2 3" xfId="50327"/>
    <cellStyle name="Normal 2 7 4 3" xfId="48623"/>
    <cellStyle name="Normal 2 7 4 3 2" xfId="50708"/>
    <cellStyle name="Normal 2 7 4 4" xfId="50028"/>
    <cellStyle name="Normal 2 7 5" xfId="48624"/>
    <cellStyle name="Normal 2 7 5 2" xfId="48625"/>
    <cellStyle name="Normal 2 7 5 2 2" xfId="48626"/>
    <cellStyle name="Normal 2 7 5 2 2 2" xfId="50935"/>
    <cellStyle name="Normal 2 7 5 2 3" xfId="50199"/>
    <cellStyle name="Normal 2 7 5 3" xfId="48627"/>
    <cellStyle name="Normal 2 7 5 3 2" xfId="50571"/>
    <cellStyle name="Normal 2 7 5 4" xfId="49932"/>
    <cellStyle name="Normal 2 7 6" xfId="48628"/>
    <cellStyle name="Normal 2 7 6 2" xfId="48629"/>
    <cellStyle name="Normal 2 7 6 2 2" xfId="48630"/>
    <cellStyle name="Normal 2 7 6 2 2 2" xfId="51175"/>
    <cellStyle name="Normal 2 7 6 2 3" xfId="50430"/>
    <cellStyle name="Normal 2 7 6 3" xfId="48631"/>
    <cellStyle name="Normal 2 7 6 3 2" xfId="50815"/>
    <cellStyle name="Normal 2 7 6 4" xfId="50113"/>
    <cellStyle name="Normal 2 7 7" xfId="48632"/>
    <cellStyle name="Normal 2 7 7 2" xfId="48633"/>
    <cellStyle name="Normal 2 7 7 2 2" xfId="50860"/>
    <cellStyle name="Normal 2 7 7 3" xfId="50138"/>
    <cellStyle name="Normal 2 7 8" xfId="48634"/>
    <cellStyle name="Normal 2 7 8 2" xfId="48635"/>
    <cellStyle name="Normal 2 7 8 2 2" xfId="51210"/>
    <cellStyle name="Normal 2 7 8 3" xfId="50458"/>
    <cellStyle name="Normal 2 7 9" xfId="48636"/>
    <cellStyle name="Normal 2 7 9 2" xfId="50484"/>
    <cellStyle name="Normal 2 7_Mem." xfId="48637"/>
    <cellStyle name="Normal 2 8" xfId="483"/>
    <cellStyle name="Normal 2 8 2" xfId="1554"/>
    <cellStyle name="Normal 2 8 2 2" xfId="48638"/>
    <cellStyle name="Normal 2 8 2 2 2" xfId="48639"/>
    <cellStyle name="Normal 2 8 2 2 2 2" xfId="51065"/>
    <cellStyle name="Normal 2 8 2 2 3" xfId="50324"/>
    <cellStyle name="Normal 2 8 2 3" xfId="48640"/>
    <cellStyle name="Normal 2 8 2 3 2" xfId="50705"/>
    <cellStyle name="Normal 2 8 2 4" xfId="48641"/>
    <cellStyle name="Normal 2 8 2_Mem." xfId="48642"/>
    <cellStyle name="Normal 2 8 3" xfId="48643"/>
    <cellStyle name="Normal 2 8 3 2" xfId="48644"/>
    <cellStyle name="Normal 2 8 3 2 2" xfId="48645"/>
    <cellStyle name="Normal 2 8 3 2 2 2" xfId="50932"/>
    <cellStyle name="Normal 2 8 3 2 3" xfId="50196"/>
    <cellStyle name="Normal 2 8 3 3" xfId="48646"/>
    <cellStyle name="Normal 2 8 3 3 2" xfId="50568"/>
    <cellStyle name="Normal 2 8 3 4" xfId="49929"/>
    <cellStyle name="Normal 2 8_Mem." xfId="48647"/>
    <cellStyle name="Normal 2 9" xfId="608"/>
    <cellStyle name="Normal 2 9 2" xfId="1679"/>
    <cellStyle name="Normal 2 9 2 2" xfId="48648"/>
    <cellStyle name="Normal 2 9 2 2 2" xfId="48649"/>
    <cellStyle name="Normal 2 9 2 2 2 2" xfId="51098"/>
    <cellStyle name="Normal 2 9 2 2 3" xfId="50356"/>
    <cellStyle name="Normal 2 9 2 3" xfId="48650"/>
    <cellStyle name="Normal 2 9 2 3 2" xfId="50738"/>
    <cellStyle name="Normal 2 9 2 4" xfId="48651"/>
    <cellStyle name="Normal 2 9 2_Mem." xfId="48652"/>
    <cellStyle name="Normal 2 9 3" xfId="48653"/>
    <cellStyle name="Normal 2 9 3 2" xfId="48654"/>
    <cellStyle name="Normal 2 9 3 2 2" xfId="48655"/>
    <cellStyle name="Normal 2 9 3 2 2 2" xfId="50964"/>
    <cellStyle name="Normal 2 9 3 2 3" xfId="50228"/>
    <cellStyle name="Normal 2 9 3 3" xfId="48656"/>
    <cellStyle name="Normal 2 9 3 3 2" xfId="50601"/>
    <cellStyle name="Normal 2 9 3 4" xfId="49950"/>
    <cellStyle name="Normal 2 9_Mem." xfId="48657"/>
    <cellStyle name="Normal 2_Mem." xfId="48658"/>
    <cellStyle name="Normal 20" xfId="750"/>
    <cellStyle name="Normal 20 2" xfId="48659"/>
    <cellStyle name="Normal 20 2 2" xfId="50838"/>
    <cellStyle name="Normal 20 2 3" xfId="52234"/>
    <cellStyle name="Normal 20 3" xfId="48660"/>
    <cellStyle name="Normal 20 3 2" xfId="52244"/>
    <cellStyle name="Normal 20_Mem." xfId="48661"/>
    <cellStyle name="Normal 21" xfId="758"/>
    <cellStyle name="Normal 21 2" xfId="48662"/>
    <cellStyle name="Normal 21 2 2" xfId="51197"/>
    <cellStyle name="Normal 21 2 3" xfId="52236"/>
    <cellStyle name="Normal 21 3" xfId="48663"/>
    <cellStyle name="Normal 21 3 2" xfId="51343"/>
    <cellStyle name="Normal 21 3 3" xfId="52225"/>
    <cellStyle name="Normal 21 4" xfId="48664"/>
    <cellStyle name="Normal 21_Mem." xfId="48665"/>
    <cellStyle name="Normal 22" xfId="766"/>
    <cellStyle name="Normal 22 2" xfId="48666"/>
    <cellStyle name="Normal 22 2 2" xfId="51198"/>
    <cellStyle name="Normal 22 2 3" xfId="52257"/>
    <cellStyle name="Normal 22 3" xfId="48667"/>
    <cellStyle name="Normal 22 3 2" xfId="52267"/>
    <cellStyle name="Normal 22 4" xfId="52174"/>
    <cellStyle name="Normal 22_Mem." xfId="48668"/>
    <cellStyle name="Normal 23" xfId="774"/>
    <cellStyle name="Normal 23 2" xfId="52258"/>
    <cellStyle name="Normal 23 3" xfId="52268"/>
    <cellStyle name="Normal 23 4" xfId="52175"/>
    <cellStyle name="Normal 24" xfId="782"/>
    <cellStyle name="Normal 25" xfId="790"/>
    <cellStyle name="Normal 25 2" xfId="52256"/>
    <cellStyle name="Normal 25 3" xfId="52266"/>
    <cellStyle name="Normal 25 4" xfId="52163"/>
    <cellStyle name="Normal 26" xfId="798"/>
    <cellStyle name="Normal 27" xfId="43988"/>
    <cellStyle name="Normal 27 2" xfId="45292"/>
    <cellStyle name="Normal 27 2 2" xfId="52260"/>
    <cellStyle name="Normal 27 3" xfId="52270"/>
    <cellStyle name="Normal 27 4" xfId="52179"/>
    <cellStyle name="Normal 28" xfId="48669"/>
    <cellStyle name="Normal 28 2" xfId="52262"/>
    <cellStyle name="Normal 28 2 2" xfId="53302"/>
    <cellStyle name="Normal 28 3" xfId="52271"/>
    <cellStyle name="Normal 28 4" xfId="52185"/>
    <cellStyle name="Normal 28 5" xfId="53301"/>
    <cellStyle name="Normal 29" xfId="48670"/>
    <cellStyle name="Normal 29 2" xfId="52188"/>
    <cellStyle name="Normal 29 3" xfId="52272"/>
    <cellStyle name="Normal 3" xfId="68"/>
    <cellStyle name="Normal 3 10" xfId="577"/>
    <cellStyle name="Normal 3 10 2" xfId="1648"/>
    <cellStyle name="Normal 3 100" xfId="43994"/>
    <cellStyle name="Normal 3 101" xfId="43995"/>
    <cellStyle name="Normal 3 102" xfId="43996"/>
    <cellStyle name="Normal 3 103" xfId="43997"/>
    <cellStyle name="Normal 3 104" xfId="43998"/>
    <cellStyle name="Normal 3 105" xfId="43999"/>
    <cellStyle name="Normal 3 106" xfId="44000"/>
    <cellStyle name="Normal 3 107" xfId="44001"/>
    <cellStyle name="Normal 3 108" xfId="44002"/>
    <cellStyle name="Normal 3 109" xfId="44003"/>
    <cellStyle name="Normal 3 11" xfId="558"/>
    <cellStyle name="Normal 3 11 2" xfId="1629"/>
    <cellStyle name="Normal 3 110" xfId="44004"/>
    <cellStyle name="Normal 3 111" xfId="44005"/>
    <cellStyle name="Normal 3 112" xfId="44006"/>
    <cellStyle name="Normal 3 113" xfId="44007"/>
    <cellStyle name="Normal 3 114" xfId="44008"/>
    <cellStyle name="Normal 3 115" xfId="44009"/>
    <cellStyle name="Normal 3 116" xfId="44010"/>
    <cellStyle name="Normal 3 117" xfId="44011"/>
    <cellStyle name="Normal 3 118" xfId="44012"/>
    <cellStyle name="Normal 3 119" xfId="44013"/>
    <cellStyle name="Normal 3 12" xfId="685"/>
    <cellStyle name="Normal 3 120" xfId="44014"/>
    <cellStyle name="Normal 3 121" xfId="44015"/>
    <cellStyle name="Normal 3 122" xfId="44016"/>
    <cellStyle name="Normal 3 123" xfId="44017"/>
    <cellStyle name="Normal 3 124" xfId="44018"/>
    <cellStyle name="Normal 3 125" xfId="44019"/>
    <cellStyle name="Normal 3 126" xfId="44020"/>
    <cellStyle name="Normal 3 127" xfId="44021"/>
    <cellStyle name="Normal 3 128" xfId="44022"/>
    <cellStyle name="Normal 3 129" xfId="44023"/>
    <cellStyle name="Normal 3 13" xfId="695"/>
    <cellStyle name="Normal 3 130" xfId="44024"/>
    <cellStyle name="Normal 3 131" xfId="44025"/>
    <cellStyle name="Normal 3 132" xfId="44026"/>
    <cellStyle name="Normal 3 133" xfId="44027"/>
    <cellStyle name="Normal 3 134" xfId="44028"/>
    <cellStyle name="Normal 3 135" xfId="44029"/>
    <cellStyle name="Normal 3 136" xfId="44030"/>
    <cellStyle name="Normal 3 137" xfId="44031"/>
    <cellStyle name="Normal 3 138" xfId="44032"/>
    <cellStyle name="Normal 3 139" xfId="44033"/>
    <cellStyle name="Normal 3 14" xfId="703"/>
    <cellStyle name="Normal 3 140" xfId="44034"/>
    <cellStyle name="Normal 3 141" xfId="44035"/>
    <cellStyle name="Normal 3 142" xfId="44036"/>
    <cellStyle name="Normal 3 143" xfId="44037"/>
    <cellStyle name="Normal 3 144" xfId="44038"/>
    <cellStyle name="Normal 3 145" xfId="44039"/>
    <cellStyle name="Normal 3 146" xfId="44040"/>
    <cellStyle name="Normal 3 147" xfId="44041"/>
    <cellStyle name="Normal 3 148" xfId="44042"/>
    <cellStyle name="Normal 3 149" xfId="44043"/>
    <cellStyle name="Normal 3 15" xfId="711"/>
    <cellStyle name="Normal 3 150" xfId="44044"/>
    <cellStyle name="Normal 3 151" xfId="44045"/>
    <cellStyle name="Normal 3 152" xfId="44046"/>
    <cellStyle name="Normal 3 153" xfId="44047"/>
    <cellStyle name="Normal 3 154" xfId="44048"/>
    <cellStyle name="Normal 3 155" xfId="44049"/>
    <cellStyle name="Normal 3 156" xfId="44050"/>
    <cellStyle name="Normal 3 157" xfId="44051"/>
    <cellStyle name="Normal 3 158" xfId="44052"/>
    <cellStyle name="Normal 3 159" xfId="44053"/>
    <cellStyle name="Normal 3 16" xfId="719"/>
    <cellStyle name="Normal 3 160" xfId="44054"/>
    <cellStyle name="Normal 3 161" xfId="44055"/>
    <cellStyle name="Normal 3 162" xfId="44056"/>
    <cellStyle name="Normal 3 163" xfId="44057"/>
    <cellStyle name="Normal 3 164" xfId="44058"/>
    <cellStyle name="Normal 3 165" xfId="44059"/>
    <cellStyle name="Normal 3 166" xfId="44060"/>
    <cellStyle name="Normal 3 167" xfId="44061"/>
    <cellStyle name="Normal 3 168" xfId="44062"/>
    <cellStyle name="Normal 3 169" xfId="44063"/>
    <cellStyle name="Normal 3 17" xfId="727"/>
    <cellStyle name="Normal 3 170" xfId="44064"/>
    <cellStyle name="Normal 3 171" xfId="44065"/>
    <cellStyle name="Normal 3 172" xfId="44066"/>
    <cellStyle name="Normal 3 173" xfId="44067"/>
    <cellStyle name="Normal 3 174" xfId="44068"/>
    <cellStyle name="Normal 3 175" xfId="44069"/>
    <cellStyle name="Normal 3 176" xfId="44070"/>
    <cellStyle name="Normal 3 177" xfId="44071"/>
    <cellStyle name="Normal 3 178" xfId="44072"/>
    <cellStyle name="Normal 3 179" xfId="44073"/>
    <cellStyle name="Normal 3 18" xfId="735"/>
    <cellStyle name="Normal 3 180" xfId="44074"/>
    <cellStyle name="Normal 3 181" xfId="44075"/>
    <cellStyle name="Normal 3 182" xfId="44076"/>
    <cellStyle name="Normal 3 183" xfId="44077"/>
    <cellStyle name="Normal 3 184" xfId="44078"/>
    <cellStyle name="Normal 3 185" xfId="44079"/>
    <cellStyle name="Normal 3 186" xfId="44080"/>
    <cellStyle name="Normal 3 187" xfId="44081"/>
    <cellStyle name="Normal 3 188" xfId="44082"/>
    <cellStyle name="Normal 3 189" xfId="44083"/>
    <cellStyle name="Normal 3 19" xfId="741"/>
    <cellStyle name="Normal 3 190" xfId="44084"/>
    <cellStyle name="Normal 3 2" xfId="135"/>
    <cellStyle name="Normal 3 2 2" xfId="1122"/>
    <cellStyle name="Normal 3 2 2 2" xfId="45293"/>
    <cellStyle name="Normal 3 2 2 3" xfId="43985"/>
    <cellStyle name="Normal 3 2 3" xfId="1207"/>
    <cellStyle name="Normal 3 2 4" xfId="53303"/>
    <cellStyle name="Normal 3 2 5" xfId="53304"/>
    <cellStyle name="Normal 3 2_Mem." xfId="48671"/>
    <cellStyle name="Normal 3 20" xfId="751"/>
    <cellStyle name="Normal 3 21" xfId="759"/>
    <cellStyle name="Normal 3 22" xfId="767"/>
    <cellStyle name="Normal 3 23" xfId="775"/>
    <cellStyle name="Normal 3 24" xfId="783"/>
    <cellStyle name="Normal 3 25" xfId="791"/>
    <cellStyle name="Normal 3 26" xfId="799"/>
    <cellStyle name="Normal 3 27" xfId="805"/>
    <cellStyle name="Normal 3 28" xfId="813"/>
    <cellStyle name="Normal 3 29" xfId="820"/>
    <cellStyle name="Normal 3 3" xfId="215"/>
    <cellStyle name="Normal 3 3 10" xfId="48672"/>
    <cellStyle name="Normal 3 3 10 2" xfId="48673"/>
    <cellStyle name="Normal 3 3 10 2 2" xfId="50861"/>
    <cellStyle name="Normal 3 3 10 3" xfId="50139"/>
    <cellStyle name="Normal 3 3 11" xfId="48674"/>
    <cellStyle name="Normal 3 3 11 2" xfId="48675"/>
    <cellStyle name="Normal 3 3 11 2 2" xfId="51211"/>
    <cellStyle name="Normal 3 3 11 3" xfId="50459"/>
    <cellStyle name="Normal 3 3 12" xfId="48676"/>
    <cellStyle name="Normal 3 3 12 2" xfId="50485"/>
    <cellStyle name="Normal 3 3 13" xfId="48677"/>
    <cellStyle name="Normal 3 3 2" xfId="1287"/>
    <cellStyle name="Normal 3 3 2 10" xfId="48678"/>
    <cellStyle name="Normal 3 3 2 10 2" xfId="50486"/>
    <cellStyle name="Normal 3 3 2 11" xfId="48679"/>
    <cellStyle name="Normal 3 3 2 2" xfId="48680"/>
    <cellStyle name="Normal 3 3 2 2 2" xfId="48681"/>
    <cellStyle name="Normal 3 3 2 2 2 2" xfId="48682"/>
    <cellStyle name="Normal 3 3 2 2 2 2 2" xfId="48683"/>
    <cellStyle name="Normal 3 3 2 2 2 2 2 2" xfId="51070"/>
    <cellStyle name="Normal 3 3 2 2 2 2 3" xfId="50329"/>
    <cellStyle name="Normal 3 3 2 2 2 3" xfId="48684"/>
    <cellStyle name="Normal 3 3 2 2 2 3 2" xfId="50710"/>
    <cellStyle name="Normal 3 3 2 2 2 4" xfId="50030"/>
    <cellStyle name="Normal 3 3 2 2 3" xfId="48685"/>
    <cellStyle name="Normal 3 3 2 2 3 2" xfId="48686"/>
    <cellStyle name="Normal 3 3 2 2 3 2 2" xfId="50937"/>
    <cellStyle name="Normal 3 3 2 2 3 3" xfId="50201"/>
    <cellStyle name="Normal 3 3 2 2 4" xfId="48687"/>
    <cellStyle name="Normal 3 3 2 2 4 2" xfId="50573"/>
    <cellStyle name="Normal 3 3 2 2 5" xfId="49934"/>
    <cellStyle name="Normal 3 3 2 3" xfId="48688"/>
    <cellStyle name="Normal 3 3 2 3 2" xfId="48689"/>
    <cellStyle name="Normal 3 3 2 3 2 2" xfId="48690"/>
    <cellStyle name="Normal 3 3 2 3 2 2 2" xfId="48691"/>
    <cellStyle name="Normal 3 3 2 3 2 2 2 2" xfId="51103"/>
    <cellStyle name="Normal 3 3 2 3 2 2 3" xfId="50361"/>
    <cellStyle name="Normal 3 3 2 3 2 3" xfId="48692"/>
    <cellStyle name="Normal 3 3 2 3 2 3 2" xfId="50743"/>
    <cellStyle name="Normal 3 3 2 3 2 4" xfId="50056"/>
    <cellStyle name="Normal 3 3 2 3 3" xfId="48693"/>
    <cellStyle name="Normal 3 3 2 3 3 2" xfId="48694"/>
    <cellStyle name="Normal 3 3 2 3 3 2 2" xfId="50969"/>
    <cellStyle name="Normal 3 3 2 3 3 3" xfId="50233"/>
    <cellStyle name="Normal 3 3 2 3 4" xfId="48695"/>
    <cellStyle name="Normal 3 3 2 3 4 2" xfId="50606"/>
    <cellStyle name="Normal 3 3 2 3 5" xfId="49955"/>
    <cellStyle name="Normal 3 3 2 4" xfId="48696"/>
    <cellStyle name="Normal 3 3 2 4 2" xfId="48697"/>
    <cellStyle name="Normal 3 3 2 4 2 2" xfId="48698"/>
    <cellStyle name="Normal 3 3 2 4 2 2 2" xfId="48699"/>
    <cellStyle name="Normal 3 3 2 4 2 2 2 2" xfId="51143"/>
    <cellStyle name="Normal 3 3 2 4 2 2 3" xfId="50400"/>
    <cellStyle name="Normal 3 3 2 4 2 3" xfId="48700"/>
    <cellStyle name="Normal 3 3 2 4 2 3 2" xfId="50783"/>
    <cellStyle name="Normal 3 3 2 4 2 4" xfId="50087"/>
    <cellStyle name="Normal 3 3 2 4 3" xfId="48701"/>
    <cellStyle name="Normal 3 3 2 4 3 2" xfId="48702"/>
    <cellStyle name="Normal 3 3 2 4 3 2 2" xfId="51008"/>
    <cellStyle name="Normal 3 3 2 4 3 3" xfId="50272"/>
    <cellStyle name="Normal 3 3 2 4 4" xfId="48703"/>
    <cellStyle name="Normal 3 3 2 4 4 2" xfId="50646"/>
    <cellStyle name="Normal 3 3 2 4 5" xfId="49984"/>
    <cellStyle name="Normal 3 3 2 5" xfId="48704"/>
    <cellStyle name="Normal 3 3 2 5 2" xfId="48705"/>
    <cellStyle name="Normal 3 3 2 5 2 2" xfId="48706"/>
    <cellStyle name="Normal 3 3 2 5 2 2 2" xfId="51053"/>
    <cellStyle name="Normal 3 3 2 5 2 3" xfId="50312"/>
    <cellStyle name="Normal 3 3 2 5 3" xfId="48707"/>
    <cellStyle name="Normal 3 3 2 5 3 2" xfId="50693"/>
    <cellStyle name="Normal 3 3 2 5 4" xfId="50015"/>
    <cellStyle name="Normal 3 3 2 6" xfId="48708"/>
    <cellStyle name="Normal 3 3 2 6 2" xfId="48709"/>
    <cellStyle name="Normal 3 3 2 6 2 2" xfId="48710"/>
    <cellStyle name="Normal 3 3 2 6 2 2 2" xfId="50920"/>
    <cellStyle name="Normal 3 3 2 6 2 3" xfId="50184"/>
    <cellStyle name="Normal 3 3 2 6 3" xfId="48711"/>
    <cellStyle name="Normal 3 3 2 6 3 2" xfId="50556"/>
    <cellStyle name="Normal 3 3 2 6 4" xfId="49920"/>
    <cellStyle name="Normal 3 3 2 7" xfId="48712"/>
    <cellStyle name="Normal 3 3 2 7 2" xfId="48713"/>
    <cellStyle name="Normal 3 3 2 7 2 2" xfId="48714"/>
    <cellStyle name="Normal 3 3 2 7 2 2 2" xfId="51177"/>
    <cellStyle name="Normal 3 3 2 7 2 3" xfId="50432"/>
    <cellStyle name="Normal 3 3 2 7 3" xfId="48715"/>
    <cellStyle name="Normal 3 3 2 7 3 2" xfId="50817"/>
    <cellStyle name="Normal 3 3 2 7 4" xfId="50115"/>
    <cellStyle name="Normal 3 3 2 8" xfId="48716"/>
    <cellStyle name="Normal 3 3 2 8 2" xfId="48717"/>
    <cellStyle name="Normal 3 3 2 8 2 2" xfId="50862"/>
    <cellStyle name="Normal 3 3 2 8 3" xfId="50140"/>
    <cellStyle name="Normal 3 3 2 9" xfId="48718"/>
    <cellStyle name="Normal 3 3 2 9 2" xfId="48719"/>
    <cellStyle name="Normal 3 3 2 9 2 2" xfId="51212"/>
    <cellStyle name="Normal 3 3 2 9 3" xfId="50460"/>
    <cellStyle name="Normal 3 3 2_Mem." xfId="48720"/>
    <cellStyle name="Normal 3 3 3" xfId="48721"/>
    <cellStyle name="Normal 3 3 3 10" xfId="48722"/>
    <cellStyle name="Normal 3 3 3 10 2" xfId="50487"/>
    <cellStyle name="Normal 3 3 3 11" xfId="49867"/>
    <cellStyle name="Normal 3 3 3 12" xfId="53305"/>
    <cellStyle name="Normal 3 3 3 2" xfId="48723"/>
    <cellStyle name="Normal 3 3 3 2 2" xfId="48724"/>
    <cellStyle name="Normal 3 3 3 2 2 2" xfId="48725"/>
    <cellStyle name="Normal 3 3 3 2 2 2 2" xfId="48726"/>
    <cellStyle name="Normal 3 3 3 2 2 2 2 2" xfId="51071"/>
    <cellStyle name="Normal 3 3 3 2 2 2 3" xfId="50330"/>
    <cellStyle name="Normal 3 3 3 2 2 3" xfId="48727"/>
    <cellStyle name="Normal 3 3 3 2 2 3 2" xfId="50711"/>
    <cellStyle name="Normal 3 3 3 2 2 4" xfId="50031"/>
    <cellStyle name="Normal 3 3 3 2 3" xfId="48728"/>
    <cellStyle name="Normal 3 3 3 2 3 2" xfId="48729"/>
    <cellStyle name="Normal 3 3 3 2 3 2 2" xfId="50938"/>
    <cellStyle name="Normal 3 3 3 2 3 3" xfId="50202"/>
    <cellStyle name="Normal 3 3 3 2 4" xfId="48730"/>
    <cellStyle name="Normal 3 3 3 2 4 2" xfId="50574"/>
    <cellStyle name="Normal 3 3 3 2 5" xfId="49935"/>
    <cellStyle name="Normal 3 3 3 3" xfId="48731"/>
    <cellStyle name="Normal 3 3 3 3 2" xfId="48732"/>
    <cellStyle name="Normal 3 3 3 3 2 2" xfId="48733"/>
    <cellStyle name="Normal 3 3 3 3 2 2 2" xfId="48734"/>
    <cellStyle name="Normal 3 3 3 3 2 2 2 2" xfId="51104"/>
    <cellStyle name="Normal 3 3 3 3 2 2 3" xfId="50362"/>
    <cellStyle name="Normal 3 3 3 3 2 3" xfId="48735"/>
    <cellStyle name="Normal 3 3 3 3 2 3 2" xfId="50744"/>
    <cellStyle name="Normal 3 3 3 3 2 4" xfId="50057"/>
    <cellStyle name="Normal 3 3 3 3 3" xfId="48736"/>
    <cellStyle name="Normal 3 3 3 3 3 2" xfId="48737"/>
    <cellStyle name="Normal 3 3 3 3 3 2 2" xfId="50970"/>
    <cellStyle name="Normal 3 3 3 3 3 3" xfId="50234"/>
    <cellStyle name="Normal 3 3 3 3 4" xfId="48738"/>
    <cellStyle name="Normal 3 3 3 3 4 2" xfId="50607"/>
    <cellStyle name="Normal 3 3 3 3 5" xfId="49956"/>
    <cellStyle name="Normal 3 3 3 4" xfId="48739"/>
    <cellStyle name="Normal 3 3 3 4 2" xfId="48740"/>
    <cellStyle name="Normal 3 3 3 4 2 2" xfId="48741"/>
    <cellStyle name="Normal 3 3 3 4 2 2 2" xfId="48742"/>
    <cellStyle name="Normal 3 3 3 4 2 2 2 2" xfId="51144"/>
    <cellStyle name="Normal 3 3 3 4 2 2 3" xfId="50401"/>
    <cellStyle name="Normal 3 3 3 4 2 3" xfId="48743"/>
    <cellStyle name="Normal 3 3 3 4 2 3 2" xfId="50784"/>
    <cellStyle name="Normal 3 3 3 4 2 4" xfId="50088"/>
    <cellStyle name="Normal 3 3 3 4 3" xfId="48744"/>
    <cellStyle name="Normal 3 3 3 4 3 2" xfId="48745"/>
    <cellStyle name="Normal 3 3 3 4 3 2 2" xfId="51009"/>
    <cellStyle name="Normal 3 3 3 4 3 3" xfId="50273"/>
    <cellStyle name="Normal 3 3 3 4 4" xfId="48746"/>
    <cellStyle name="Normal 3 3 3 4 4 2" xfId="50647"/>
    <cellStyle name="Normal 3 3 3 4 5" xfId="49985"/>
    <cellStyle name="Normal 3 3 3 5" xfId="48747"/>
    <cellStyle name="Normal 3 3 3 5 2" xfId="48748"/>
    <cellStyle name="Normal 3 3 3 5 2 2" xfId="48749"/>
    <cellStyle name="Normal 3 3 3 5 2 2 2" xfId="51043"/>
    <cellStyle name="Normal 3 3 3 5 2 3" xfId="50303"/>
    <cellStyle name="Normal 3 3 3 5 3" xfId="48750"/>
    <cellStyle name="Normal 3 3 3 5 3 2" xfId="50683"/>
    <cellStyle name="Normal 3 3 3 5 4" xfId="50006"/>
    <cellStyle name="Normal 3 3 3 6" xfId="48751"/>
    <cellStyle name="Normal 3 3 3 6 2" xfId="48752"/>
    <cellStyle name="Normal 3 3 3 6 2 2" xfId="48753"/>
    <cellStyle name="Normal 3 3 3 6 2 2 2" xfId="50910"/>
    <cellStyle name="Normal 3 3 3 6 2 3" xfId="50175"/>
    <cellStyle name="Normal 3 3 3 6 3" xfId="48754"/>
    <cellStyle name="Normal 3 3 3 6 3 2" xfId="50546"/>
    <cellStyle name="Normal 3 3 3 6 4" xfId="49911"/>
    <cellStyle name="Normal 3 3 3 7" xfId="48755"/>
    <cellStyle name="Normal 3 3 3 7 2" xfId="48756"/>
    <cellStyle name="Normal 3 3 3 7 2 2" xfId="48757"/>
    <cellStyle name="Normal 3 3 3 7 2 2 2" xfId="51178"/>
    <cellStyle name="Normal 3 3 3 7 2 3" xfId="50433"/>
    <cellStyle name="Normal 3 3 3 7 3" xfId="48758"/>
    <cellStyle name="Normal 3 3 3 7 3 2" xfId="50818"/>
    <cellStyle name="Normal 3 3 3 7 4" xfId="50116"/>
    <cellStyle name="Normal 3 3 3 8" xfId="48759"/>
    <cellStyle name="Normal 3 3 3 8 2" xfId="48760"/>
    <cellStyle name="Normal 3 3 3 8 2 2" xfId="50863"/>
    <cellStyle name="Normal 3 3 3 8 3" xfId="50141"/>
    <cellStyle name="Normal 3 3 3 9" xfId="48761"/>
    <cellStyle name="Normal 3 3 3 9 2" xfId="48762"/>
    <cellStyle name="Normal 3 3 3 9 2 2" xfId="51213"/>
    <cellStyle name="Normal 3 3 3 9 3" xfId="50461"/>
    <cellStyle name="Normal 3 3 4" xfId="48763"/>
    <cellStyle name="Normal 3 3 4 2" xfId="48764"/>
    <cellStyle name="Normal 3 3 4 2 2" xfId="48765"/>
    <cellStyle name="Normal 3 3 4 2 2 2" xfId="48766"/>
    <cellStyle name="Normal 3 3 4 2 2 2 2" xfId="51069"/>
    <cellStyle name="Normal 3 3 4 2 2 3" xfId="50328"/>
    <cellStyle name="Normal 3 3 4 2 3" xfId="48767"/>
    <cellStyle name="Normal 3 3 4 2 3 2" xfId="50709"/>
    <cellStyle name="Normal 3 3 4 2 4" xfId="50029"/>
    <cellStyle name="Normal 3 3 4 3" xfId="48768"/>
    <cellStyle name="Normal 3 3 4 3 2" xfId="48769"/>
    <cellStyle name="Normal 3 3 4 3 2 2" xfId="50936"/>
    <cellStyle name="Normal 3 3 4 3 3" xfId="50200"/>
    <cellStyle name="Normal 3 3 4 4" xfId="48770"/>
    <cellStyle name="Normal 3 3 4 4 2" xfId="50572"/>
    <cellStyle name="Normal 3 3 4 5" xfId="49933"/>
    <cellStyle name="Normal 3 3 5" xfId="48771"/>
    <cellStyle name="Normal 3 3 5 2" xfId="48772"/>
    <cellStyle name="Normal 3 3 5 2 2" xfId="48773"/>
    <cellStyle name="Normal 3 3 5 2 2 2" xfId="48774"/>
    <cellStyle name="Normal 3 3 5 2 2 2 2" xfId="51102"/>
    <cellStyle name="Normal 3 3 5 2 2 3" xfId="50360"/>
    <cellStyle name="Normal 3 3 5 2 3" xfId="48775"/>
    <cellStyle name="Normal 3 3 5 2 3 2" xfId="50742"/>
    <cellStyle name="Normal 3 3 5 2 4" xfId="50055"/>
    <cellStyle name="Normal 3 3 5 3" xfId="48776"/>
    <cellStyle name="Normal 3 3 5 3 2" xfId="48777"/>
    <cellStyle name="Normal 3 3 5 3 2 2" xfId="50968"/>
    <cellStyle name="Normal 3 3 5 3 3" xfId="50232"/>
    <cellStyle name="Normal 3 3 5 4" xfId="48778"/>
    <cellStyle name="Normal 3 3 5 4 2" xfId="50605"/>
    <cellStyle name="Normal 3 3 5 5" xfId="49954"/>
    <cellStyle name="Normal 3 3 6" xfId="48779"/>
    <cellStyle name="Normal 3 3 6 2" xfId="48780"/>
    <cellStyle name="Normal 3 3 6 2 2" xfId="48781"/>
    <cellStyle name="Normal 3 3 6 2 2 2" xfId="48782"/>
    <cellStyle name="Normal 3 3 6 2 2 2 2" xfId="51142"/>
    <cellStyle name="Normal 3 3 6 2 2 3" xfId="50399"/>
    <cellStyle name="Normal 3 3 6 2 3" xfId="48783"/>
    <cellStyle name="Normal 3 3 6 2 3 2" xfId="50782"/>
    <cellStyle name="Normal 3 3 6 2 4" xfId="50086"/>
    <cellStyle name="Normal 3 3 6 3" xfId="48784"/>
    <cellStyle name="Normal 3 3 6 3 2" xfId="48785"/>
    <cellStyle name="Normal 3 3 6 3 2 2" xfId="51007"/>
    <cellStyle name="Normal 3 3 6 3 3" xfId="50271"/>
    <cellStyle name="Normal 3 3 6 4" xfId="48786"/>
    <cellStyle name="Normal 3 3 6 4 2" xfId="50645"/>
    <cellStyle name="Normal 3 3 6 5" xfId="49983"/>
    <cellStyle name="Normal 3 3 7" xfId="48787"/>
    <cellStyle name="Normal 3 3 7 2" xfId="48788"/>
    <cellStyle name="Normal 3 3 7 2 2" xfId="48789"/>
    <cellStyle name="Normal 3 3 7 2 2 2" xfId="51033"/>
    <cellStyle name="Normal 3 3 7 2 3" xfId="50296"/>
    <cellStyle name="Normal 3 3 7 3" xfId="48790"/>
    <cellStyle name="Normal 3 3 7 3 2" xfId="50673"/>
    <cellStyle name="Normal 3 3 7 4" xfId="50001"/>
    <cellStyle name="Normal 3 3 8" xfId="48791"/>
    <cellStyle name="Normal 3 3 8 2" xfId="48792"/>
    <cellStyle name="Normal 3 3 8 2 2" xfId="48793"/>
    <cellStyle name="Normal 3 3 8 2 2 2" xfId="50900"/>
    <cellStyle name="Normal 3 3 8 2 3" xfId="50168"/>
    <cellStyle name="Normal 3 3 8 3" xfId="48794"/>
    <cellStyle name="Normal 3 3 8 3 2" xfId="50536"/>
    <cellStyle name="Normal 3 3 8 4" xfId="49906"/>
    <cellStyle name="Normal 3 3 9" xfId="48795"/>
    <cellStyle name="Normal 3 3 9 2" xfId="48796"/>
    <cellStyle name="Normal 3 3 9 2 2" xfId="48797"/>
    <cellStyle name="Normal 3 3 9 2 2 2" xfId="51176"/>
    <cellStyle name="Normal 3 3 9 2 3" xfId="50431"/>
    <cellStyle name="Normal 3 3 9 3" xfId="48798"/>
    <cellStyle name="Normal 3 3 9 3 2" xfId="50816"/>
    <cellStyle name="Normal 3 3 9 4" xfId="50114"/>
    <cellStyle name="Normal 3 3_Mem." xfId="48799"/>
    <cellStyle name="Normal 3 30" xfId="828"/>
    <cellStyle name="Normal 3 31" xfId="836"/>
    <cellStyle name="Normal 3 32" xfId="844"/>
    <cellStyle name="Normal 3 33" xfId="852"/>
    <cellStyle name="Normal 3 34" xfId="860"/>
    <cellStyle name="Normal 3 35" xfId="868"/>
    <cellStyle name="Normal 3 36" xfId="876"/>
    <cellStyle name="Normal 3 37" xfId="884"/>
    <cellStyle name="Normal 3 38" xfId="892"/>
    <cellStyle name="Normal 3 39" xfId="900"/>
    <cellStyle name="Normal 3 4" xfId="272"/>
    <cellStyle name="Normal 3 4 2" xfId="1344"/>
    <cellStyle name="Normal 3 4 2 2" xfId="51254"/>
    <cellStyle name="Normal 3 4 3" xfId="48800"/>
    <cellStyle name="Normal 3 4 3 2" xfId="53306"/>
    <cellStyle name="Normal 3 4 4" xfId="53307"/>
    <cellStyle name="Normal 3 4_Mem." xfId="48801"/>
    <cellStyle name="Normal 3 40" xfId="908"/>
    <cellStyle name="Normal 3 41" xfId="916"/>
    <cellStyle name="Normal 3 42" xfId="923"/>
    <cellStyle name="Normal 3 43" xfId="931"/>
    <cellStyle name="Normal 3 44" xfId="939"/>
    <cellStyle name="Normal 3 45" xfId="947"/>
    <cellStyle name="Normal 3 46" xfId="955"/>
    <cellStyle name="Normal 3 47" xfId="963"/>
    <cellStyle name="Normal 3 48" xfId="971"/>
    <cellStyle name="Normal 3 49" xfId="979"/>
    <cellStyle name="Normal 3 5" xfId="325"/>
    <cellStyle name="Normal 3 5 2" xfId="1397"/>
    <cellStyle name="Normal 3 5 3" xfId="53309"/>
    <cellStyle name="Normal 3 5 4" xfId="53310"/>
    <cellStyle name="Normal 3 5 5" xfId="53308"/>
    <cellStyle name="Normal 3 50" xfId="987"/>
    <cellStyle name="Normal 3 51" xfId="995"/>
    <cellStyle name="Normal 3 52" xfId="1003"/>
    <cellStyle name="Normal 3 53" xfId="1011"/>
    <cellStyle name="Normal 3 54" xfId="1018"/>
    <cellStyle name="Normal 3 55" xfId="1025"/>
    <cellStyle name="Normal 3 56" xfId="1032"/>
    <cellStyle name="Normal 3 57" xfId="1039"/>
    <cellStyle name="Normal 3 58" xfId="1045"/>
    <cellStyle name="Normal 3 59" xfId="1055"/>
    <cellStyle name="Normal 3 6" xfId="364"/>
    <cellStyle name="Normal 3 6 2" xfId="1436"/>
    <cellStyle name="Normal 3 60" xfId="1063"/>
    <cellStyle name="Normal 3 61" xfId="1070"/>
    <cellStyle name="Normal 3 62" xfId="1078"/>
    <cellStyle name="Normal 3 63" xfId="1086"/>
    <cellStyle name="Normal 3 64" xfId="1092"/>
    <cellStyle name="Normal 3 65" xfId="1101"/>
    <cellStyle name="Normal 3 65 2" xfId="45294"/>
    <cellStyle name="Normal 3 65 3" xfId="44085"/>
    <cellStyle name="Normal 3 66" xfId="44086"/>
    <cellStyle name="Normal 3 67" xfId="44087"/>
    <cellStyle name="Normal 3 67 2" xfId="53311"/>
    <cellStyle name="Normal 3 68" xfId="44088"/>
    <cellStyle name="Normal 3 69" xfId="44089"/>
    <cellStyle name="Normal 3 7" xfId="422"/>
    <cellStyle name="Normal 3 7 2" xfId="1494"/>
    <cellStyle name="Normal 3 70" xfId="44090"/>
    <cellStyle name="Normal 3 71" xfId="44091"/>
    <cellStyle name="Normal 3 72" xfId="44092"/>
    <cellStyle name="Normal 3 73" xfId="44093"/>
    <cellStyle name="Normal 3 74" xfId="44094"/>
    <cellStyle name="Normal 3 75" xfId="44095"/>
    <cellStyle name="Normal 3 76" xfId="44096"/>
    <cellStyle name="Normal 3 77" xfId="44097"/>
    <cellStyle name="Normal 3 78" xfId="44098"/>
    <cellStyle name="Normal 3 79" xfId="44099"/>
    <cellStyle name="Normal 3 8" xfId="484"/>
    <cellStyle name="Normal 3 8 2" xfId="1555"/>
    <cellStyle name="Normal 3 80" xfId="44100"/>
    <cellStyle name="Normal 3 81" xfId="44101"/>
    <cellStyle name="Normal 3 82" xfId="44102"/>
    <cellStyle name="Normal 3 83" xfId="44103"/>
    <cellStyle name="Normal 3 84" xfId="44104"/>
    <cellStyle name="Normal 3 85" xfId="44105"/>
    <cellStyle name="Normal 3 86" xfId="44106"/>
    <cellStyle name="Normal 3 87" xfId="44107"/>
    <cellStyle name="Normal 3 88" xfId="44108"/>
    <cellStyle name="Normal 3 89" xfId="44109"/>
    <cellStyle name="Normal 3 9" xfId="587"/>
    <cellStyle name="Normal 3 9 2" xfId="1658"/>
    <cellStyle name="Normal 3 90" xfId="44110"/>
    <cellStyle name="Normal 3 91" xfId="44111"/>
    <cellStyle name="Normal 3 92" xfId="44112"/>
    <cellStyle name="Normal 3 93" xfId="44113"/>
    <cellStyle name="Normal 3 94" xfId="44114"/>
    <cellStyle name="Normal 3 95" xfId="44115"/>
    <cellStyle name="Normal 3 96" xfId="44116"/>
    <cellStyle name="Normal 3 97" xfId="44117"/>
    <cellStyle name="Normal 3 98" xfId="44118"/>
    <cellStyle name="Normal 3 99" xfId="44119"/>
    <cellStyle name="Normal 3_Mem." xfId="48802"/>
    <cellStyle name="Normal 30" xfId="827"/>
    <cellStyle name="Normal 31" xfId="835"/>
    <cellStyle name="Normal 31 2" xfId="52173"/>
    <cellStyle name="Normal 32" xfId="843"/>
    <cellStyle name="Normal 33" xfId="851"/>
    <cellStyle name="Normal 34" xfId="859"/>
    <cellStyle name="Normal 35" xfId="867"/>
    <cellStyle name="Normal 36" xfId="875"/>
    <cellStyle name="Normal 37" xfId="883"/>
    <cellStyle name="Normal 38" xfId="891"/>
    <cellStyle name="Normal 39" xfId="899"/>
    <cellStyle name="Normal 4" xfId="69"/>
    <cellStyle name="Normal 4 10" xfId="70"/>
    <cellStyle name="Normal 4 10 10" xfId="634"/>
    <cellStyle name="Normal 4 10 10 2" xfId="1705"/>
    <cellStyle name="Normal 4 10 11" xfId="618"/>
    <cellStyle name="Normal 4 10 11 2" xfId="1689"/>
    <cellStyle name="Normal 4 10 12" xfId="1154"/>
    <cellStyle name="Normal 4 10 13" xfId="48803"/>
    <cellStyle name="Normal 4 10 2" xfId="137"/>
    <cellStyle name="Normal 4 10 2 2" xfId="1209"/>
    <cellStyle name="Normal 4 10 2 2 2" xfId="50864"/>
    <cellStyle name="Normal 4 10 2 3" xfId="48804"/>
    <cellStyle name="Normal 4 10 2_Mem." xfId="48805"/>
    <cellStyle name="Normal 4 10 3" xfId="217"/>
    <cellStyle name="Normal 4 10 3 2" xfId="1289"/>
    <cellStyle name="Normal 4 10 3 3" xfId="50142"/>
    <cellStyle name="Normal 4 10 4" xfId="274"/>
    <cellStyle name="Normal 4 10 4 2" xfId="1346"/>
    <cellStyle name="Normal 4 10 5" xfId="327"/>
    <cellStyle name="Normal 4 10 5 2" xfId="1399"/>
    <cellStyle name="Normal 4 10 6" xfId="366"/>
    <cellStyle name="Normal 4 10 6 2" xfId="1438"/>
    <cellStyle name="Normal 4 10 7" xfId="424"/>
    <cellStyle name="Normal 4 10 7 2" xfId="1496"/>
    <cellStyle name="Normal 4 10 8" xfId="486"/>
    <cellStyle name="Normal 4 10 8 2" xfId="1557"/>
    <cellStyle name="Normal 4 10 9" xfId="532"/>
    <cellStyle name="Normal 4 10 9 2" xfId="1603"/>
    <cellStyle name="Normal 4 10_Mem." xfId="48806"/>
    <cellStyle name="Normal 4 100" xfId="44120"/>
    <cellStyle name="Normal 4 101" xfId="44121"/>
    <cellStyle name="Normal 4 102" xfId="44122"/>
    <cellStyle name="Normal 4 103" xfId="44123"/>
    <cellStyle name="Normal 4 104" xfId="44124"/>
    <cellStyle name="Normal 4 105" xfId="44125"/>
    <cellStyle name="Normal 4 106" xfId="44126"/>
    <cellStyle name="Normal 4 107" xfId="44127"/>
    <cellStyle name="Normal 4 108" xfId="44128"/>
    <cellStyle name="Normal 4 109" xfId="44129"/>
    <cellStyle name="Normal 4 11" xfId="71"/>
    <cellStyle name="Normal 4 11 10" xfId="555"/>
    <cellStyle name="Normal 4 11 10 2" xfId="1626"/>
    <cellStyle name="Normal 4 11 11" xfId="669"/>
    <cellStyle name="Normal 4 11 11 2" xfId="1740"/>
    <cellStyle name="Normal 4 11 12" xfId="1155"/>
    <cellStyle name="Normal 4 11 13" xfId="48807"/>
    <cellStyle name="Normal 4 11 2" xfId="138"/>
    <cellStyle name="Normal 4 11 2 2" xfId="1210"/>
    <cellStyle name="Normal 4 11 2 2 2" xfId="51214"/>
    <cellStyle name="Normal 4 11 2 3" xfId="48808"/>
    <cellStyle name="Normal 4 11 2_Mem." xfId="48809"/>
    <cellStyle name="Normal 4 11 3" xfId="218"/>
    <cellStyle name="Normal 4 11 3 2" xfId="1290"/>
    <cellStyle name="Normal 4 11 3 3" xfId="50462"/>
    <cellStyle name="Normal 4 11 4" xfId="275"/>
    <cellStyle name="Normal 4 11 4 2" xfId="1347"/>
    <cellStyle name="Normal 4 11 5" xfId="328"/>
    <cellStyle name="Normal 4 11 5 2" xfId="1400"/>
    <cellStyle name="Normal 4 11 6" xfId="367"/>
    <cellStyle name="Normal 4 11 6 2" xfId="1439"/>
    <cellStyle name="Normal 4 11 7" xfId="425"/>
    <cellStyle name="Normal 4 11 7 2" xfId="1497"/>
    <cellStyle name="Normal 4 11 8" xfId="487"/>
    <cellStyle name="Normal 4 11 8 2" xfId="1558"/>
    <cellStyle name="Normal 4 11 9" xfId="623"/>
    <cellStyle name="Normal 4 11 9 2" xfId="1694"/>
    <cellStyle name="Normal 4 11_Mem." xfId="48810"/>
    <cellStyle name="Normal 4 110" xfId="44130"/>
    <cellStyle name="Normal 4 111" xfId="44131"/>
    <cellStyle name="Normal 4 112" xfId="44132"/>
    <cellStyle name="Normal 4 113" xfId="44133"/>
    <cellStyle name="Normal 4 114" xfId="44134"/>
    <cellStyle name="Normal 4 115" xfId="44135"/>
    <cellStyle name="Normal 4 116" xfId="44136"/>
    <cellStyle name="Normal 4 117" xfId="44137"/>
    <cellStyle name="Normal 4 118" xfId="44138"/>
    <cellStyle name="Normal 4 119" xfId="44139"/>
    <cellStyle name="Normal 4 12" xfId="72"/>
    <cellStyle name="Normal 4 12 10" xfId="539"/>
    <cellStyle name="Normal 4 12 10 2" xfId="1610"/>
    <cellStyle name="Normal 4 12 11" xfId="658"/>
    <cellStyle name="Normal 4 12 11 2" xfId="1729"/>
    <cellStyle name="Normal 4 12 12" xfId="1156"/>
    <cellStyle name="Normal 4 12 13" xfId="48811"/>
    <cellStyle name="Normal 4 12 2" xfId="139"/>
    <cellStyle name="Normal 4 12 2 2" xfId="1211"/>
    <cellStyle name="Normal 4 12 2 3" xfId="50488"/>
    <cellStyle name="Normal 4 12 3" xfId="219"/>
    <cellStyle name="Normal 4 12 3 2" xfId="1291"/>
    <cellStyle name="Normal 4 12 4" xfId="276"/>
    <cellStyle name="Normal 4 12 4 2" xfId="1348"/>
    <cellStyle name="Normal 4 12 5" xfId="329"/>
    <cellStyle name="Normal 4 12 5 2" xfId="1401"/>
    <cellStyle name="Normal 4 12 6" xfId="368"/>
    <cellStyle name="Normal 4 12 6 2" xfId="1440"/>
    <cellStyle name="Normal 4 12 7" xfId="426"/>
    <cellStyle name="Normal 4 12 7 2" xfId="1498"/>
    <cellStyle name="Normal 4 12 8" xfId="488"/>
    <cellStyle name="Normal 4 12 8 2" xfId="1559"/>
    <cellStyle name="Normal 4 12 9" xfId="607"/>
    <cellStyle name="Normal 4 12 9 2" xfId="1678"/>
    <cellStyle name="Normal 4 12_Mem." xfId="48812"/>
    <cellStyle name="Normal 4 120" xfId="44140"/>
    <cellStyle name="Normal 4 121" xfId="44141"/>
    <cellStyle name="Normal 4 122" xfId="44142"/>
    <cellStyle name="Normal 4 123" xfId="44143"/>
    <cellStyle name="Normal 4 124" xfId="44144"/>
    <cellStyle name="Normal 4 125" xfId="44145"/>
    <cellStyle name="Normal 4 126" xfId="44146"/>
    <cellStyle name="Normal 4 127" xfId="44147"/>
    <cellStyle name="Normal 4 128" xfId="44148"/>
    <cellStyle name="Normal 4 129" xfId="44149"/>
    <cellStyle name="Normal 4 13" xfId="73"/>
    <cellStyle name="Normal 4 13 10" xfId="601"/>
    <cellStyle name="Normal 4 13 10 2" xfId="1672"/>
    <cellStyle name="Normal 4 13 11" xfId="598"/>
    <cellStyle name="Normal 4 13 11 2" xfId="1669"/>
    <cellStyle name="Normal 4 13 12" xfId="1157"/>
    <cellStyle name="Normal 4 13 13" xfId="48813"/>
    <cellStyle name="Normal 4 13 2" xfId="140"/>
    <cellStyle name="Normal 4 13 2 2" xfId="1212"/>
    <cellStyle name="Normal 4 13 2 3" xfId="51327"/>
    <cellStyle name="Normal 4 13 3" xfId="220"/>
    <cellStyle name="Normal 4 13 3 2" xfId="1292"/>
    <cellStyle name="Normal 4 13 4" xfId="277"/>
    <cellStyle name="Normal 4 13 4 2" xfId="1349"/>
    <cellStyle name="Normal 4 13 5" xfId="330"/>
    <cellStyle name="Normal 4 13 5 2" xfId="1402"/>
    <cellStyle name="Normal 4 13 6" xfId="369"/>
    <cellStyle name="Normal 4 13 6 2" xfId="1441"/>
    <cellStyle name="Normal 4 13 7" xfId="427"/>
    <cellStyle name="Normal 4 13 7 2" xfId="1499"/>
    <cellStyle name="Normal 4 13 8" xfId="489"/>
    <cellStyle name="Normal 4 13 8 2" xfId="1560"/>
    <cellStyle name="Normal 4 13 9" xfId="586"/>
    <cellStyle name="Normal 4 13 9 2" xfId="1657"/>
    <cellStyle name="Normal 4 13_Mem." xfId="48814"/>
    <cellStyle name="Normal 4 130" xfId="44150"/>
    <cellStyle name="Normal 4 131" xfId="44151"/>
    <cellStyle name="Normal 4 132" xfId="44152"/>
    <cellStyle name="Normal 4 133" xfId="44153"/>
    <cellStyle name="Normal 4 134" xfId="44154"/>
    <cellStyle name="Normal 4 135" xfId="44155"/>
    <cellStyle name="Normal 4 136" xfId="44156"/>
    <cellStyle name="Normal 4 137" xfId="44157"/>
    <cellStyle name="Normal 4 138" xfId="44158"/>
    <cellStyle name="Normal 4 139" xfId="44159"/>
    <cellStyle name="Normal 4 14" xfId="74"/>
    <cellStyle name="Normal 4 14 10" xfId="647"/>
    <cellStyle name="Normal 4 14 10 2" xfId="1718"/>
    <cellStyle name="Normal 4 14 11" xfId="451"/>
    <cellStyle name="Normal 4 14 11 2" xfId="1522"/>
    <cellStyle name="Normal 4 14 12" xfId="1158"/>
    <cellStyle name="Normal 4 14 13" xfId="49868"/>
    <cellStyle name="Normal 4 14 2" xfId="141"/>
    <cellStyle name="Normal 4 14 2 2" xfId="1213"/>
    <cellStyle name="Normal 4 14 3" xfId="221"/>
    <cellStyle name="Normal 4 14 3 2" xfId="1293"/>
    <cellStyle name="Normal 4 14 4" xfId="278"/>
    <cellStyle name="Normal 4 14 4 2" xfId="1350"/>
    <cellStyle name="Normal 4 14 5" xfId="331"/>
    <cellStyle name="Normal 4 14 5 2" xfId="1403"/>
    <cellStyle name="Normal 4 14 6" xfId="370"/>
    <cellStyle name="Normal 4 14 6 2" xfId="1442"/>
    <cellStyle name="Normal 4 14 7" xfId="428"/>
    <cellStyle name="Normal 4 14 7 2" xfId="1500"/>
    <cellStyle name="Normal 4 14 8" xfId="490"/>
    <cellStyle name="Normal 4 14 8 2" xfId="1561"/>
    <cellStyle name="Normal 4 14 9" xfId="563"/>
    <cellStyle name="Normal 4 14 9 2" xfId="1634"/>
    <cellStyle name="Normal 4 140" xfId="44160"/>
    <cellStyle name="Normal 4 141" xfId="44161"/>
    <cellStyle name="Normal 4 142" xfId="44162"/>
    <cellStyle name="Normal 4 143" xfId="44163"/>
    <cellStyle name="Normal 4 144" xfId="44164"/>
    <cellStyle name="Normal 4 145" xfId="44165"/>
    <cellStyle name="Normal 4 146" xfId="44166"/>
    <cellStyle name="Normal 4 147" xfId="44167"/>
    <cellStyle name="Normal 4 148" xfId="44168"/>
    <cellStyle name="Normal 4 149" xfId="44169"/>
    <cellStyle name="Normal 4 15" xfId="136"/>
    <cellStyle name="Normal 4 15 2" xfId="1208"/>
    <cellStyle name="Normal 4 150" xfId="44170"/>
    <cellStyle name="Normal 4 151" xfId="44171"/>
    <cellStyle name="Normal 4 152" xfId="44172"/>
    <cellStyle name="Normal 4 153" xfId="44173"/>
    <cellStyle name="Normal 4 154" xfId="44174"/>
    <cellStyle name="Normal 4 155" xfId="44175"/>
    <cellStyle name="Normal 4 156" xfId="44176"/>
    <cellStyle name="Normal 4 157" xfId="44177"/>
    <cellStyle name="Normal 4 158" xfId="44178"/>
    <cellStyle name="Normal 4 159" xfId="44179"/>
    <cellStyle name="Normal 4 16" xfId="216"/>
    <cellStyle name="Normal 4 16 2" xfId="1288"/>
    <cellStyle name="Normal 4 160" xfId="44180"/>
    <cellStyle name="Normal 4 161" xfId="44181"/>
    <cellStyle name="Normal 4 162" xfId="44182"/>
    <cellStyle name="Normal 4 163" xfId="44183"/>
    <cellStyle name="Normal 4 164" xfId="44184"/>
    <cellStyle name="Normal 4 165" xfId="44185"/>
    <cellStyle name="Normal 4 166" xfId="44186"/>
    <cellStyle name="Normal 4 167" xfId="44187"/>
    <cellStyle name="Normal 4 168" xfId="44188"/>
    <cellStyle name="Normal 4 169" xfId="44189"/>
    <cellStyle name="Normal 4 17" xfId="273"/>
    <cellStyle name="Normal 4 17 2" xfId="1345"/>
    <cellStyle name="Normal 4 170" xfId="44190"/>
    <cellStyle name="Normal 4 171" xfId="44191"/>
    <cellStyle name="Normal 4 172" xfId="44192"/>
    <cellStyle name="Normal 4 173" xfId="44193"/>
    <cellStyle name="Normal 4 174" xfId="44194"/>
    <cellStyle name="Normal 4 175" xfId="44195"/>
    <cellStyle name="Normal 4 176" xfId="44196"/>
    <cellStyle name="Normal 4 177" xfId="44197"/>
    <cellStyle name="Normal 4 178" xfId="44198"/>
    <cellStyle name="Normal 4 179" xfId="44199"/>
    <cellStyle name="Normal 4 18" xfId="326"/>
    <cellStyle name="Normal 4 18 2" xfId="1398"/>
    <cellStyle name="Normal 4 180" xfId="44200"/>
    <cellStyle name="Normal 4 181" xfId="44201"/>
    <cellStyle name="Normal 4 182" xfId="44202"/>
    <cellStyle name="Normal 4 183" xfId="44203"/>
    <cellStyle name="Normal 4 184" xfId="44204"/>
    <cellStyle name="Normal 4 185" xfId="44205"/>
    <cellStyle name="Normal 4 186" xfId="44206"/>
    <cellStyle name="Normal 4 187" xfId="44207"/>
    <cellStyle name="Normal 4 188" xfId="44208"/>
    <cellStyle name="Normal 4 189" xfId="44209"/>
    <cellStyle name="Normal 4 19" xfId="365"/>
    <cellStyle name="Normal 4 19 2" xfId="1437"/>
    <cellStyle name="Normal 4 190" xfId="44210"/>
    <cellStyle name="Normal 4 191" xfId="45515"/>
    <cellStyle name="Normal 4 2" xfId="75"/>
    <cellStyle name="Normal 4 2 10" xfId="633"/>
    <cellStyle name="Normal 4 2 10 2" xfId="1704"/>
    <cellStyle name="Normal 4 2 10 2 2" xfId="50489"/>
    <cellStyle name="Normal 4 2 10 3" xfId="48815"/>
    <cellStyle name="Normal 4 2 10_Mem." xfId="48816"/>
    <cellStyle name="Normal 4 2 11" xfId="595"/>
    <cellStyle name="Normal 4 2 11 2" xfId="1666"/>
    <cellStyle name="Normal 4 2 11 3" xfId="49869"/>
    <cellStyle name="Normal 4 2 12" xfId="1159"/>
    <cellStyle name="Normal 4 2 13" xfId="48817"/>
    <cellStyle name="Normal 4 2 2" xfId="142"/>
    <cellStyle name="Normal 4 2 2 2" xfId="1214"/>
    <cellStyle name="Normal 4 2 2 2 2" xfId="48818"/>
    <cellStyle name="Normal 4 2 2 2 2 2" xfId="48819"/>
    <cellStyle name="Normal 4 2 2 2 2 2 2" xfId="51073"/>
    <cellStyle name="Normal 4 2 2 2 2 3" xfId="50331"/>
    <cellStyle name="Normal 4 2 2 2 3" xfId="48820"/>
    <cellStyle name="Normal 4 2 2 2 3 2" xfId="50713"/>
    <cellStyle name="Normal 4 2 2 2 4" xfId="48821"/>
    <cellStyle name="Normal 4 2 2 2_Mem." xfId="48822"/>
    <cellStyle name="Normal 4 2 2 3" xfId="48823"/>
    <cellStyle name="Normal 4 2 2 3 2" xfId="48824"/>
    <cellStyle name="Normal 4 2 2 3 2 2" xfId="50939"/>
    <cellStyle name="Normal 4 2 2 3 3" xfId="50203"/>
    <cellStyle name="Normal 4 2 2 4" xfId="48825"/>
    <cellStyle name="Normal 4 2 2 4 2" xfId="50576"/>
    <cellStyle name="Normal 4 2 2 5" xfId="48826"/>
    <cellStyle name="Normal 4 2 2_Mem." xfId="48827"/>
    <cellStyle name="Normal 4 2 3" xfId="222"/>
    <cellStyle name="Normal 4 2 3 2" xfId="1294"/>
    <cellStyle name="Normal 4 2 3 2 2" xfId="48828"/>
    <cellStyle name="Normal 4 2 3 2 2 2" xfId="48829"/>
    <cellStyle name="Normal 4 2 3 2 2 2 2" xfId="51106"/>
    <cellStyle name="Normal 4 2 3 2 2 3" xfId="50363"/>
    <cellStyle name="Normal 4 2 3 2 3" xfId="48830"/>
    <cellStyle name="Normal 4 2 3 2 3 2" xfId="50746"/>
    <cellStyle name="Normal 4 2 3 2 4" xfId="48831"/>
    <cellStyle name="Normal 4 2 3 2_Mem." xfId="48832"/>
    <cellStyle name="Normal 4 2 3 3" xfId="48833"/>
    <cellStyle name="Normal 4 2 3 3 2" xfId="48834"/>
    <cellStyle name="Normal 4 2 3 3 2 2" xfId="50971"/>
    <cellStyle name="Normal 4 2 3 3 3" xfId="50235"/>
    <cellStyle name="Normal 4 2 3 4" xfId="48835"/>
    <cellStyle name="Normal 4 2 3 4 2" xfId="50609"/>
    <cellStyle name="Normal 4 2 3 5" xfId="48836"/>
    <cellStyle name="Normal 4 2 3_Mem." xfId="48837"/>
    <cellStyle name="Normal 4 2 4" xfId="279"/>
    <cellStyle name="Normal 4 2 4 2" xfId="1351"/>
    <cellStyle name="Normal 4 2 4 2 2" xfId="48838"/>
    <cellStyle name="Normal 4 2 4 2 2 2" xfId="48839"/>
    <cellStyle name="Normal 4 2 4 2 2 2 2" xfId="51146"/>
    <cellStyle name="Normal 4 2 4 2 2 3" xfId="50402"/>
    <cellStyle name="Normal 4 2 4 2 3" xfId="48840"/>
    <cellStyle name="Normal 4 2 4 2 3 2" xfId="50786"/>
    <cellStyle name="Normal 4 2 4 2 4" xfId="48841"/>
    <cellStyle name="Normal 4 2 4 2_Mem." xfId="48842"/>
    <cellStyle name="Normal 4 2 4 3" xfId="48843"/>
    <cellStyle name="Normal 4 2 4 3 2" xfId="48844"/>
    <cellStyle name="Normal 4 2 4 3 2 2" xfId="51010"/>
    <cellStyle name="Normal 4 2 4 3 3" xfId="50274"/>
    <cellStyle name="Normal 4 2 4 4" xfId="48845"/>
    <cellStyle name="Normal 4 2 4 4 2" xfId="50649"/>
    <cellStyle name="Normal 4 2 4 5" xfId="48846"/>
    <cellStyle name="Normal 4 2 4_Mem." xfId="48847"/>
    <cellStyle name="Normal 4 2 5" xfId="332"/>
    <cellStyle name="Normal 4 2 5 2" xfId="1404"/>
    <cellStyle name="Normal 4 2 5 2 2" xfId="48848"/>
    <cellStyle name="Normal 4 2 5 2 2 2" xfId="51049"/>
    <cellStyle name="Normal 4 2 5 2 3" xfId="48849"/>
    <cellStyle name="Normal 4 2 5 2_Mem." xfId="48850"/>
    <cellStyle name="Normal 4 2 5 3" xfId="48851"/>
    <cellStyle name="Normal 4 2 5 3 2" xfId="50689"/>
    <cellStyle name="Normal 4 2 5 4" xfId="48852"/>
    <cellStyle name="Normal 4 2 5_Mem." xfId="48853"/>
    <cellStyle name="Normal 4 2 6" xfId="371"/>
    <cellStyle name="Normal 4 2 6 2" xfId="1443"/>
    <cellStyle name="Normal 4 2 6 2 2" xfId="48854"/>
    <cellStyle name="Normal 4 2 6 2 2 2" xfId="50916"/>
    <cellStyle name="Normal 4 2 6 2 3" xfId="48855"/>
    <cellStyle name="Normal 4 2 6 2_Mem." xfId="48856"/>
    <cellStyle name="Normal 4 2 6 3" xfId="48857"/>
    <cellStyle name="Normal 4 2 6 3 2" xfId="50552"/>
    <cellStyle name="Normal 4 2 6 4" xfId="48858"/>
    <cellStyle name="Normal 4 2 6_Mem." xfId="48859"/>
    <cellStyle name="Normal 4 2 7" xfId="429"/>
    <cellStyle name="Normal 4 2 7 2" xfId="1501"/>
    <cellStyle name="Normal 4 2 7 2 2" xfId="48860"/>
    <cellStyle name="Normal 4 2 7 2 2 2" xfId="51179"/>
    <cellStyle name="Normal 4 2 7 2 3" xfId="48861"/>
    <cellStyle name="Normal 4 2 7 2_Mem." xfId="48862"/>
    <cellStyle name="Normal 4 2 7 3" xfId="48863"/>
    <cellStyle name="Normal 4 2 7 3 2" xfId="50820"/>
    <cellStyle name="Normal 4 2 7 4" xfId="48864"/>
    <cellStyle name="Normal 4 2 7_Mem." xfId="48865"/>
    <cellStyle name="Normal 4 2 8" xfId="491"/>
    <cellStyle name="Normal 4 2 8 2" xfId="1562"/>
    <cellStyle name="Normal 4 2 8 2 2" xfId="48866"/>
    <cellStyle name="Normal 4 2 8 2_Mem." xfId="48867"/>
    <cellStyle name="Normal 4 2 8 3" xfId="48868"/>
    <cellStyle name="Normal 4 2 8_Mem." xfId="48869"/>
    <cellStyle name="Normal 4 2 9" xfId="531"/>
    <cellStyle name="Normal 4 2 9 2" xfId="1602"/>
    <cellStyle name="Normal 4 2 9 2 2" xfId="48870"/>
    <cellStyle name="Normal 4 2 9 2_Mem." xfId="48871"/>
    <cellStyle name="Normal 4 2 9 3" xfId="48872"/>
    <cellStyle name="Normal 4 2 9_Mem." xfId="48873"/>
    <cellStyle name="Normal 4 2_Mem." xfId="48874"/>
    <cellStyle name="Normal 4 20" xfId="423"/>
    <cellStyle name="Normal 4 20 2" xfId="1495"/>
    <cellStyle name="Normal 4 21" xfId="485"/>
    <cellStyle name="Normal 4 21 2" xfId="1556"/>
    <cellStyle name="Normal 4 22" xfId="564"/>
    <cellStyle name="Normal 4 22 2" xfId="1635"/>
    <cellStyle name="Normal 4 23" xfId="648"/>
    <cellStyle name="Normal 4 23 2" xfId="1719"/>
    <cellStyle name="Normal 4 24" xfId="517"/>
    <cellStyle name="Normal 4 24 2" xfId="1588"/>
    <cellStyle name="Normal 4 25" xfId="687"/>
    <cellStyle name="Normal 4 26" xfId="698"/>
    <cellStyle name="Normal 4 27" xfId="706"/>
    <cellStyle name="Normal 4 28" xfId="714"/>
    <cellStyle name="Normal 4 29" xfId="722"/>
    <cellStyle name="Normal 4 3" xfId="76"/>
    <cellStyle name="Normal 4 3 10" xfId="575"/>
    <cellStyle name="Normal 4 3 10 2" xfId="1646"/>
    <cellStyle name="Normal 4 3 10 2 2" xfId="50490"/>
    <cellStyle name="Normal 4 3 10 3" xfId="48875"/>
    <cellStyle name="Normal 4 3 10_Mem." xfId="48876"/>
    <cellStyle name="Normal 4 3 11" xfId="668"/>
    <cellStyle name="Normal 4 3 11 2" xfId="1739"/>
    <cellStyle name="Normal 4 3 11 3" xfId="49870"/>
    <cellStyle name="Normal 4 3 12" xfId="1160"/>
    <cellStyle name="Normal 4 3 13" xfId="48877"/>
    <cellStyle name="Normal 4 3 2" xfId="143"/>
    <cellStyle name="Normal 4 3 2 2" xfId="1215"/>
    <cellStyle name="Normal 4 3 2 2 2" xfId="48878"/>
    <cellStyle name="Normal 4 3 2 2 2 2" xfId="48879"/>
    <cellStyle name="Normal 4 3 2 2 2 2 2" xfId="51074"/>
    <cellStyle name="Normal 4 3 2 2 2 3" xfId="50332"/>
    <cellStyle name="Normal 4 3 2 2 3" xfId="48880"/>
    <cellStyle name="Normal 4 3 2 2 3 2" xfId="50714"/>
    <cellStyle name="Normal 4 3 2 2 4" xfId="48881"/>
    <cellStyle name="Normal 4 3 2 2_Mem." xfId="48882"/>
    <cellStyle name="Normal 4 3 2 3" xfId="48883"/>
    <cellStyle name="Normal 4 3 2 3 2" xfId="48884"/>
    <cellStyle name="Normal 4 3 2 3 2 2" xfId="50940"/>
    <cellStyle name="Normal 4 3 2 3 3" xfId="50204"/>
    <cellStyle name="Normal 4 3 2 4" xfId="48885"/>
    <cellStyle name="Normal 4 3 2 4 2" xfId="50577"/>
    <cellStyle name="Normal 4 3 2 5" xfId="48886"/>
    <cellStyle name="Normal 4 3 2_Mem." xfId="48887"/>
    <cellStyle name="Normal 4 3 3" xfId="223"/>
    <cellStyle name="Normal 4 3 3 2" xfId="1295"/>
    <cellStyle name="Normal 4 3 3 2 2" xfId="48888"/>
    <cellStyle name="Normal 4 3 3 2 2 2" xfId="48889"/>
    <cellStyle name="Normal 4 3 3 2 2 2 2" xfId="51107"/>
    <cellStyle name="Normal 4 3 3 2 2 3" xfId="50364"/>
    <cellStyle name="Normal 4 3 3 2 3" xfId="48890"/>
    <cellStyle name="Normal 4 3 3 2 3 2" xfId="50747"/>
    <cellStyle name="Normal 4 3 3 2 4" xfId="48891"/>
    <cellStyle name="Normal 4 3 3 2_Mem." xfId="48892"/>
    <cellStyle name="Normal 4 3 3 3" xfId="48893"/>
    <cellStyle name="Normal 4 3 3 3 2" xfId="48894"/>
    <cellStyle name="Normal 4 3 3 3 2 2" xfId="50972"/>
    <cellStyle name="Normal 4 3 3 3 3" xfId="50236"/>
    <cellStyle name="Normal 4 3 3 4" xfId="48895"/>
    <cellStyle name="Normal 4 3 3 4 2" xfId="50610"/>
    <cellStyle name="Normal 4 3 3 5" xfId="48896"/>
    <cellStyle name="Normal 4 3 3_Mem." xfId="48897"/>
    <cellStyle name="Normal 4 3 4" xfId="280"/>
    <cellStyle name="Normal 4 3 4 2" xfId="1352"/>
    <cellStyle name="Normal 4 3 4 2 2" xfId="48898"/>
    <cellStyle name="Normal 4 3 4 2 2 2" xfId="48899"/>
    <cellStyle name="Normal 4 3 4 2 2 2 2" xfId="51147"/>
    <cellStyle name="Normal 4 3 4 2 2 3" xfId="50403"/>
    <cellStyle name="Normal 4 3 4 2 3" xfId="48900"/>
    <cellStyle name="Normal 4 3 4 2 3 2" xfId="50787"/>
    <cellStyle name="Normal 4 3 4 2 4" xfId="48901"/>
    <cellStyle name="Normal 4 3 4 2_Mem." xfId="48902"/>
    <cellStyle name="Normal 4 3 4 3" xfId="48903"/>
    <cellStyle name="Normal 4 3 4 3 2" xfId="48904"/>
    <cellStyle name="Normal 4 3 4 3 2 2" xfId="51011"/>
    <cellStyle name="Normal 4 3 4 3 3" xfId="50275"/>
    <cellStyle name="Normal 4 3 4 4" xfId="48905"/>
    <cellStyle name="Normal 4 3 4 4 2" xfId="50650"/>
    <cellStyle name="Normal 4 3 4 5" xfId="48906"/>
    <cellStyle name="Normal 4 3 4_Mem." xfId="48907"/>
    <cellStyle name="Normal 4 3 5" xfId="333"/>
    <cellStyle name="Normal 4 3 5 2" xfId="1405"/>
    <cellStyle name="Normal 4 3 5 2 2" xfId="48908"/>
    <cellStyle name="Normal 4 3 5 2 2 2" xfId="51039"/>
    <cellStyle name="Normal 4 3 5 2 3" xfId="48909"/>
    <cellStyle name="Normal 4 3 5 2_Mem." xfId="48910"/>
    <cellStyle name="Normal 4 3 5 3" xfId="48911"/>
    <cellStyle name="Normal 4 3 5 3 2" xfId="50679"/>
    <cellStyle name="Normal 4 3 5 4" xfId="48912"/>
    <cellStyle name="Normal 4 3 5_Mem." xfId="48913"/>
    <cellStyle name="Normal 4 3 6" xfId="372"/>
    <cellStyle name="Normal 4 3 6 2" xfId="1444"/>
    <cellStyle name="Normal 4 3 6 2 2" xfId="48914"/>
    <cellStyle name="Normal 4 3 6 2 2 2" xfId="50906"/>
    <cellStyle name="Normal 4 3 6 2 3" xfId="48915"/>
    <cellStyle name="Normal 4 3 6 2_Mem." xfId="48916"/>
    <cellStyle name="Normal 4 3 6 3" xfId="48917"/>
    <cellStyle name="Normal 4 3 6 3 2" xfId="50542"/>
    <cellStyle name="Normal 4 3 6 4" xfId="48918"/>
    <cellStyle name="Normal 4 3 6_Mem." xfId="48919"/>
    <cellStyle name="Normal 4 3 7" xfId="430"/>
    <cellStyle name="Normal 4 3 7 2" xfId="1502"/>
    <cellStyle name="Normal 4 3 7 2 2" xfId="48920"/>
    <cellStyle name="Normal 4 3 7 2 2 2" xfId="51180"/>
    <cellStyle name="Normal 4 3 7 2 3" xfId="48921"/>
    <cellStyle name="Normal 4 3 7 2_Mem." xfId="48922"/>
    <cellStyle name="Normal 4 3 7 3" xfId="48923"/>
    <cellStyle name="Normal 4 3 7 3 2" xfId="50821"/>
    <cellStyle name="Normal 4 3 7 4" xfId="48924"/>
    <cellStyle name="Normal 4 3 7_Mem." xfId="48925"/>
    <cellStyle name="Normal 4 3 8" xfId="492"/>
    <cellStyle name="Normal 4 3 8 2" xfId="1563"/>
    <cellStyle name="Normal 4 3 8 2 2" xfId="48926"/>
    <cellStyle name="Normal 4 3 8 2_Mem." xfId="48927"/>
    <cellStyle name="Normal 4 3 8 3" xfId="48928"/>
    <cellStyle name="Normal 4 3 8_Mem." xfId="48929"/>
    <cellStyle name="Normal 4 3 9" xfId="622"/>
    <cellStyle name="Normal 4 3 9 2" xfId="1693"/>
    <cellStyle name="Normal 4 3 9 2 2" xfId="48930"/>
    <cellStyle name="Normal 4 3 9 2_Mem." xfId="48931"/>
    <cellStyle name="Normal 4 3 9 3" xfId="48932"/>
    <cellStyle name="Normal 4 3 9_Mem." xfId="48933"/>
    <cellStyle name="Normal 4 3_Mem." xfId="48934"/>
    <cellStyle name="Normal 4 30" xfId="730"/>
    <cellStyle name="Normal 4 31" xfId="738"/>
    <cellStyle name="Normal 4 32" xfId="743"/>
    <cellStyle name="Normal 4 33" xfId="754"/>
    <cellStyle name="Normal 4 34" xfId="762"/>
    <cellStyle name="Normal 4 35" xfId="770"/>
    <cellStyle name="Normal 4 36" xfId="778"/>
    <cellStyle name="Normal 4 37" xfId="786"/>
    <cellStyle name="Normal 4 38" xfId="794"/>
    <cellStyle name="Normal 4 39" xfId="802"/>
    <cellStyle name="Normal 4 4" xfId="77"/>
    <cellStyle name="Normal 4 4 10" xfId="570"/>
    <cellStyle name="Normal 4 4 10 2" xfId="1641"/>
    <cellStyle name="Normal 4 4 11" xfId="657"/>
    <cellStyle name="Normal 4 4 11 2" xfId="1728"/>
    <cellStyle name="Normal 4 4 12" xfId="1161"/>
    <cellStyle name="Normal 4 4 13" xfId="48935"/>
    <cellStyle name="Normal 4 4 2" xfId="144"/>
    <cellStyle name="Normal 4 4 2 2" xfId="1216"/>
    <cellStyle name="Normal 4 4 2 2 2" xfId="48936"/>
    <cellStyle name="Normal 4 4 2 2 2 2" xfId="51072"/>
    <cellStyle name="Normal 4 4 2 2 3" xfId="48937"/>
    <cellStyle name="Normal 4 4 2 2_Mem." xfId="48938"/>
    <cellStyle name="Normal 4 4 2 3" xfId="48939"/>
    <cellStyle name="Normal 4 4 2 3 2" xfId="50712"/>
    <cellStyle name="Normal 4 4 2 4" xfId="48940"/>
    <cellStyle name="Normal 4 4 2_Mem." xfId="48941"/>
    <cellStyle name="Normal 4 4 3" xfId="224"/>
    <cellStyle name="Normal 4 4 3 2" xfId="1296"/>
    <cellStyle name="Normal 4 4 3 2 2" xfId="48942"/>
    <cellStyle name="Normal 4 4 3 2_Mem." xfId="48943"/>
    <cellStyle name="Normal 4 4 3 3" xfId="48944"/>
    <cellStyle name="Normal 4 4 3_Mem." xfId="48945"/>
    <cellStyle name="Normal 4 4 4" xfId="281"/>
    <cellStyle name="Normal 4 4 4 2" xfId="1353"/>
    <cellStyle name="Normal 4 4 4 2 2" xfId="50575"/>
    <cellStyle name="Normal 4 4 4 3" xfId="48946"/>
    <cellStyle name="Normal 4 4 4_Mem." xfId="48947"/>
    <cellStyle name="Normal 4 4 5" xfId="334"/>
    <cellStyle name="Normal 4 4 5 2" xfId="1406"/>
    <cellStyle name="Normal 4 4 5 3" xfId="49936"/>
    <cellStyle name="Normal 4 4 6" xfId="373"/>
    <cellStyle name="Normal 4 4 6 2" xfId="1445"/>
    <cellStyle name="Normal 4 4 7" xfId="431"/>
    <cellStyle name="Normal 4 4 7 2" xfId="1503"/>
    <cellStyle name="Normal 4 4 8" xfId="493"/>
    <cellStyle name="Normal 4 4 8 2" xfId="1564"/>
    <cellStyle name="Normal 4 4 9" xfId="606"/>
    <cellStyle name="Normal 4 4 9 2" xfId="1677"/>
    <cellStyle name="Normal 4 4_Mem." xfId="48948"/>
    <cellStyle name="Normal 4 40" xfId="807"/>
    <cellStyle name="Normal 4 41" xfId="816"/>
    <cellStyle name="Normal 4 42" xfId="823"/>
    <cellStyle name="Normal 4 43" xfId="831"/>
    <cellStyle name="Normal 4 44" xfId="839"/>
    <cellStyle name="Normal 4 45" xfId="847"/>
    <cellStyle name="Normal 4 46" xfId="855"/>
    <cellStyle name="Normal 4 47" xfId="863"/>
    <cellStyle name="Normal 4 48" xfId="871"/>
    <cellStyle name="Normal 4 49" xfId="879"/>
    <cellStyle name="Normal 4 5" xfId="78"/>
    <cellStyle name="Normal 4 5 10" xfId="616"/>
    <cellStyle name="Normal 4 5 10 2" xfId="1687"/>
    <cellStyle name="Normal 4 5 11" xfId="524"/>
    <cellStyle name="Normal 4 5 11 2" xfId="1595"/>
    <cellStyle name="Normal 4 5 12" xfId="1162"/>
    <cellStyle name="Normal 4 5 13" xfId="48949"/>
    <cellStyle name="Normal 4 5 2" xfId="145"/>
    <cellStyle name="Normal 4 5 2 2" xfId="1217"/>
    <cellStyle name="Normal 4 5 2 2 2" xfId="48950"/>
    <cellStyle name="Normal 4 5 2 2 2 2" xfId="51105"/>
    <cellStyle name="Normal 4 5 2 2 3" xfId="48951"/>
    <cellStyle name="Normal 4 5 2 2_Mem." xfId="48952"/>
    <cellStyle name="Normal 4 5 2 3" xfId="48953"/>
    <cellStyle name="Normal 4 5 2 3 2" xfId="50745"/>
    <cellStyle name="Normal 4 5 2 4" xfId="48954"/>
    <cellStyle name="Normal 4 5 2_Mem." xfId="48955"/>
    <cellStyle name="Normal 4 5 3" xfId="225"/>
    <cellStyle name="Normal 4 5 3 2" xfId="1297"/>
    <cellStyle name="Normal 4 5 3 2 2" xfId="48956"/>
    <cellStyle name="Normal 4 5 3 2_Mem." xfId="48957"/>
    <cellStyle name="Normal 4 5 3 3" xfId="48958"/>
    <cellStyle name="Normal 4 5 3_Mem." xfId="48959"/>
    <cellStyle name="Normal 4 5 4" xfId="282"/>
    <cellStyle name="Normal 4 5 4 2" xfId="1354"/>
    <cellStyle name="Normal 4 5 4 2 2" xfId="50608"/>
    <cellStyle name="Normal 4 5 4 3" xfId="48960"/>
    <cellStyle name="Normal 4 5 4_Mem." xfId="48961"/>
    <cellStyle name="Normal 4 5 5" xfId="335"/>
    <cellStyle name="Normal 4 5 5 2" xfId="1407"/>
    <cellStyle name="Normal 4 5 5 3" xfId="49957"/>
    <cellStyle name="Normal 4 5 6" xfId="374"/>
    <cellStyle name="Normal 4 5 6 2" xfId="1446"/>
    <cellStyle name="Normal 4 5 7" xfId="432"/>
    <cellStyle name="Normal 4 5 7 2" xfId="1504"/>
    <cellStyle name="Normal 4 5 8" xfId="494"/>
    <cellStyle name="Normal 4 5 8 2" xfId="1565"/>
    <cellStyle name="Normal 4 5 9" xfId="585"/>
    <cellStyle name="Normal 4 5 9 2" xfId="1656"/>
    <cellStyle name="Normal 4 5_Mem." xfId="48962"/>
    <cellStyle name="Normal 4 50" xfId="887"/>
    <cellStyle name="Normal 4 51" xfId="895"/>
    <cellStyle name="Normal 4 52" xfId="903"/>
    <cellStyle name="Normal 4 53" xfId="911"/>
    <cellStyle name="Normal 4 54" xfId="919"/>
    <cellStyle name="Normal 4 55" xfId="926"/>
    <cellStyle name="Normal 4 56" xfId="934"/>
    <cellStyle name="Normal 4 57" xfId="942"/>
    <cellStyle name="Normal 4 58" xfId="950"/>
    <cellStyle name="Normal 4 59" xfId="958"/>
    <cellStyle name="Normal 4 6" xfId="79"/>
    <cellStyle name="Normal 4 6 10" xfId="646"/>
    <cellStyle name="Normal 4 6 10 2" xfId="1717"/>
    <cellStyle name="Normal 4 6 11" xfId="597"/>
    <cellStyle name="Normal 4 6 11 2" xfId="1668"/>
    <cellStyle name="Normal 4 6 12" xfId="1163"/>
    <cellStyle name="Normal 4 6 13" xfId="48963"/>
    <cellStyle name="Normal 4 6 2" xfId="146"/>
    <cellStyle name="Normal 4 6 2 2" xfId="1218"/>
    <cellStyle name="Normal 4 6 2 2 2" xfId="48964"/>
    <cellStyle name="Normal 4 6 2 2 2 2" xfId="51145"/>
    <cellStyle name="Normal 4 6 2 2 3" xfId="48965"/>
    <cellStyle name="Normal 4 6 2 2_Mem." xfId="48966"/>
    <cellStyle name="Normal 4 6 2 3" xfId="48967"/>
    <cellStyle name="Normal 4 6 2 3 2" xfId="50785"/>
    <cellStyle name="Normal 4 6 2 4" xfId="48968"/>
    <cellStyle name="Normal 4 6 2_Mem." xfId="48969"/>
    <cellStyle name="Normal 4 6 3" xfId="226"/>
    <cellStyle name="Normal 4 6 3 2" xfId="1298"/>
    <cellStyle name="Normal 4 6 3 2 2" xfId="48970"/>
    <cellStyle name="Normal 4 6 3 2_Mem." xfId="48971"/>
    <cellStyle name="Normal 4 6 3 3" xfId="48972"/>
    <cellStyle name="Normal 4 6 3_Mem." xfId="48973"/>
    <cellStyle name="Normal 4 6 4" xfId="283"/>
    <cellStyle name="Normal 4 6 4 2" xfId="1355"/>
    <cellStyle name="Normal 4 6 4 2 2" xfId="50648"/>
    <cellStyle name="Normal 4 6 4 3" xfId="48974"/>
    <cellStyle name="Normal 4 6 4_Mem." xfId="48975"/>
    <cellStyle name="Normal 4 6 5" xfId="336"/>
    <cellStyle name="Normal 4 6 5 2" xfId="1408"/>
    <cellStyle name="Normal 4 6 5 3" xfId="49986"/>
    <cellStyle name="Normal 4 6 6" xfId="375"/>
    <cellStyle name="Normal 4 6 6 2" xfId="1447"/>
    <cellStyle name="Normal 4 6 7" xfId="433"/>
    <cellStyle name="Normal 4 6 7 2" xfId="1505"/>
    <cellStyle name="Normal 4 6 8" xfId="495"/>
    <cellStyle name="Normal 4 6 8 2" xfId="1566"/>
    <cellStyle name="Normal 4 6 9" xfId="562"/>
    <cellStyle name="Normal 4 6 9 2" xfId="1633"/>
    <cellStyle name="Normal 4 6_Mem." xfId="48976"/>
    <cellStyle name="Normal 4 60" xfId="966"/>
    <cellStyle name="Normal 4 61" xfId="974"/>
    <cellStyle name="Normal 4 62" xfId="982"/>
    <cellStyle name="Normal 4 63" xfId="990"/>
    <cellStyle name="Normal 4 64" xfId="998"/>
    <cellStyle name="Normal 4 65" xfId="1006"/>
    <cellStyle name="Normal 4 66" xfId="1014"/>
    <cellStyle name="Normal 4 67" xfId="1021"/>
    <cellStyle name="Normal 4 68" xfId="1028"/>
    <cellStyle name="Normal 4 69" xfId="1035"/>
    <cellStyle name="Normal 4 7" xfId="80"/>
    <cellStyle name="Normal 4 7 10" xfId="632"/>
    <cellStyle name="Normal 4 7 10 2" xfId="1703"/>
    <cellStyle name="Normal 4 7 11" xfId="546"/>
    <cellStyle name="Normal 4 7 11 2" xfId="1617"/>
    <cellStyle name="Normal 4 7 12" xfId="1164"/>
    <cellStyle name="Normal 4 7 13" xfId="48977"/>
    <cellStyle name="Normal 4 7 2" xfId="147"/>
    <cellStyle name="Normal 4 7 2 2" xfId="1219"/>
    <cellStyle name="Normal 4 7 2 2 2" xfId="48978"/>
    <cellStyle name="Normal 4 7 2 2_Mem." xfId="48979"/>
    <cellStyle name="Normal 4 7 2 3" xfId="48980"/>
    <cellStyle name="Normal 4 7 2_Mem." xfId="48981"/>
    <cellStyle name="Normal 4 7 3" xfId="227"/>
    <cellStyle name="Normal 4 7 3 2" xfId="1299"/>
    <cellStyle name="Normal 4 7 3 2 2" xfId="50669"/>
    <cellStyle name="Normal 4 7 3 3" xfId="48982"/>
    <cellStyle name="Normal 4 7 3_Mem." xfId="48983"/>
    <cellStyle name="Normal 4 7 4" xfId="284"/>
    <cellStyle name="Normal 4 7 4 2" xfId="1356"/>
    <cellStyle name="Normal 4 7 4 3" xfId="49999"/>
    <cellStyle name="Normal 4 7 5" xfId="337"/>
    <cellStyle name="Normal 4 7 5 2" xfId="1409"/>
    <cellStyle name="Normal 4 7 6" xfId="376"/>
    <cellStyle name="Normal 4 7 6 2" xfId="1448"/>
    <cellStyle name="Normal 4 7 7" xfId="434"/>
    <cellStyle name="Normal 4 7 7 2" xfId="1506"/>
    <cellStyle name="Normal 4 7 8" xfId="496"/>
    <cellStyle name="Normal 4 7 8 2" xfId="1567"/>
    <cellStyle name="Normal 4 7 9" xfId="530"/>
    <cellStyle name="Normal 4 7 9 2" xfId="1601"/>
    <cellStyle name="Normal 4 7_Mem." xfId="48984"/>
    <cellStyle name="Normal 4 70" xfId="1042"/>
    <cellStyle name="Normal 4 71" xfId="1047"/>
    <cellStyle name="Normal 4 72" xfId="1058"/>
    <cellStyle name="Normal 4 73" xfId="1066"/>
    <cellStyle name="Normal 4 74" xfId="1072"/>
    <cellStyle name="Normal 4 75" xfId="1081"/>
    <cellStyle name="Normal 4 76" xfId="1089"/>
    <cellStyle name="Normal 4 77" xfId="1094"/>
    <cellStyle name="Normal 4 78" xfId="1102"/>
    <cellStyle name="Normal 4 79" xfId="44211"/>
    <cellStyle name="Normal 4 8" xfId="81"/>
    <cellStyle name="Normal 4 8 10" xfId="516"/>
    <cellStyle name="Normal 4 8 10 2" xfId="1587"/>
    <cellStyle name="Normal 4 8 11" xfId="667"/>
    <cellStyle name="Normal 4 8 11 2" xfId="1738"/>
    <cellStyle name="Normal 4 8 12" xfId="1165"/>
    <cellStyle name="Normal 4 8 13" xfId="48985"/>
    <cellStyle name="Normal 4 8 2" xfId="148"/>
    <cellStyle name="Normal 4 8 2 2" xfId="1220"/>
    <cellStyle name="Normal 4 8 2 2 2" xfId="48986"/>
    <cellStyle name="Normal 4 8 2 2_Mem." xfId="48987"/>
    <cellStyle name="Normal 4 8 2 3" xfId="48988"/>
    <cellStyle name="Normal 4 8 2_Mem." xfId="48989"/>
    <cellStyle name="Normal 4 8 3" xfId="228"/>
    <cellStyle name="Normal 4 8 3 2" xfId="1300"/>
    <cellStyle name="Normal 4 8 3 2 2" xfId="50532"/>
    <cellStyle name="Normal 4 8 3 3" xfId="48990"/>
    <cellStyle name="Normal 4 8 3_Mem." xfId="48991"/>
    <cellStyle name="Normal 4 8 4" xfId="285"/>
    <cellStyle name="Normal 4 8 4 2" xfId="1357"/>
    <cellStyle name="Normal 4 8 4 3" xfId="49904"/>
    <cellStyle name="Normal 4 8 5" xfId="338"/>
    <cellStyle name="Normal 4 8 5 2" xfId="1410"/>
    <cellStyle name="Normal 4 8 6" xfId="377"/>
    <cellStyle name="Normal 4 8 6 2" xfId="1449"/>
    <cellStyle name="Normal 4 8 7" xfId="435"/>
    <cellStyle name="Normal 4 8 7 2" xfId="1507"/>
    <cellStyle name="Normal 4 8 8" xfId="497"/>
    <cellStyle name="Normal 4 8 8 2" xfId="1568"/>
    <cellStyle name="Normal 4 8 9" xfId="621"/>
    <cellStyle name="Normal 4 8 9 2" xfId="1692"/>
    <cellStyle name="Normal 4 8_Mem." xfId="48992"/>
    <cellStyle name="Normal 4 80" xfId="44212"/>
    <cellStyle name="Normal 4 81" xfId="44213"/>
    <cellStyle name="Normal 4 82" xfId="44214"/>
    <cellStyle name="Normal 4 83" xfId="44215"/>
    <cellStyle name="Normal 4 84" xfId="44216"/>
    <cellStyle name="Normal 4 85" xfId="44217"/>
    <cellStyle name="Normal 4 86" xfId="44218"/>
    <cellStyle name="Normal 4 87" xfId="44219"/>
    <cellStyle name="Normal 4 88" xfId="44220"/>
    <cellStyle name="Normal 4 89" xfId="44221"/>
    <cellStyle name="Normal 4 9" xfId="82"/>
    <cellStyle name="Normal 4 9 10" xfId="594"/>
    <cellStyle name="Normal 4 9 10 2" xfId="1665"/>
    <cellStyle name="Normal 4 9 11" xfId="656"/>
    <cellStyle name="Normal 4 9 11 2" xfId="1727"/>
    <cellStyle name="Normal 4 9 12" xfId="1166"/>
    <cellStyle name="Normal 4 9 13" xfId="48993"/>
    <cellStyle name="Normal 4 9 2" xfId="149"/>
    <cellStyle name="Normal 4 9 2 2" xfId="1221"/>
    <cellStyle name="Normal 4 9 2 2 2" xfId="48994"/>
    <cellStyle name="Normal 4 9 2 2_Mem." xfId="48995"/>
    <cellStyle name="Normal 4 9 2 3" xfId="48996"/>
    <cellStyle name="Normal 4 9 2_Mem." xfId="48997"/>
    <cellStyle name="Normal 4 9 3" xfId="229"/>
    <cellStyle name="Normal 4 9 3 2" xfId="1301"/>
    <cellStyle name="Normal 4 9 3 2 2" xfId="50819"/>
    <cellStyle name="Normal 4 9 3 3" xfId="48998"/>
    <cellStyle name="Normal 4 9 3_Mem." xfId="48999"/>
    <cellStyle name="Normal 4 9 4" xfId="286"/>
    <cellStyle name="Normal 4 9 4 2" xfId="1358"/>
    <cellStyle name="Normal 4 9 4 3" xfId="50117"/>
    <cellStyle name="Normal 4 9 5" xfId="339"/>
    <cellStyle name="Normal 4 9 5 2" xfId="1411"/>
    <cellStyle name="Normal 4 9 6" xfId="378"/>
    <cellStyle name="Normal 4 9 6 2" xfId="1450"/>
    <cellStyle name="Normal 4 9 7" xfId="436"/>
    <cellStyle name="Normal 4 9 7 2" xfId="1508"/>
    <cellStyle name="Normal 4 9 8" xfId="498"/>
    <cellStyle name="Normal 4 9 8 2" xfId="1569"/>
    <cellStyle name="Normal 4 9 9" xfId="605"/>
    <cellStyle name="Normal 4 9 9 2" xfId="1676"/>
    <cellStyle name="Normal 4 9_Mem." xfId="49000"/>
    <cellStyle name="Normal 4 90" xfId="44222"/>
    <cellStyle name="Normal 4 91" xfId="44223"/>
    <cellStyle name="Normal 4 92" xfId="44224"/>
    <cellStyle name="Normal 4 93" xfId="44225"/>
    <cellStyle name="Normal 4 94" xfId="44226"/>
    <cellStyle name="Normal 4 95" xfId="44227"/>
    <cellStyle name="Normal 4 96" xfId="44228"/>
    <cellStyle name="Normal 4 97" xfId="44229"/>
    <cellStyle name="Normal 4 98" xfId="44230"/>
    <cellStyle name="Normal 4 99" xfId="44231"/>
    <cellStyle name="Normal 4_Mem." xfId="49001"/>
    <cellStyle name="Normal 40" xfId="907"/>
    <cellStyle name="Normal 41" xfId="915"/>
    <cellStyle name="Normal 42" xfId="49002"/>
    <cellStyle name="Normal 43" xfId="930"/>
    <cellStyle name="Normal 44" xfId="938"/>
    <cellStyle name="Normal 45" xfId="946"/>
    <cellStyle name="Normal 46" xfId="954"/>
    <cellStyle name="Normal 47" xfId="962"/>
    <cellStyle name="Normal 48" xfId="970"/>
    <cellStyle name="Normal 49" xfId="978"/>
    <cellStyle name="Normal 5" xfId="103"/>
    <cellStyle name="Normal 5 10" xfId="752"/>
    <cellStyle name="Normal 5 10 2" xfId="49003"/>
    <cellStyle name="Normal 5 10 2 2" xfId="50865"/>
    <cellStyle name="Normal 5 10 3" xfId="49004"/>
    <cellStyle name="Normal 5 10_Mem." xfId="49005"/>
    <cellStyle name="Normal 5 100" xfId="44232"/>
    <cellStyle name="Normal 5 101" xfId="44233"/>
    <cellStyle name="Normal 5 102" xfId="44234"/>
    <cellStyle name="Normal 5 103" xfId="44235"/>
    <cellStyle name="Normal 5 104" xfId="44236"/>
    <cellStyle name="Normal 5 105" xfId="44237"/>
    <cellStyle name="Normal 5 106" xfId="44238"/>
    <cellStyle name="Normal 5 107" xfId="44239"/>
    <cellStyle name="Normal 5 108" xfId="44240"/>
    <cellStyle name="Normal 5 109" xfId="44241"/>
    <cellStyle name="Normal 5 11" xfId="760"/>
    <cellStyle name="Normal 5 11 2" xfId="49006"/>
    <cellStyle name="Normal 5 11 2 2" xfId="51215"/>
    <cellStyle name="Normal 5 11 3" xfId="49007"/>
    <cellStyle name="Normal 5 11_Mem." xfId="49008"/>
    <cellStyle name="Normal 5 110" xfId="44242"/>
    <cellStyle name="Normal 5 111" xfId="44243"/>
    <cellStyle name="Normal 5 112" xfId="44244"/>
    <cellStyle name="Normal 5 113" xfId="44245"/>
    <cellStyle name="Normal 5 114" xfId="44246"/>
    <cellStyle name="Normal 5 115" xfId="44247"/>
    <cellStyle name="Normal 5 116" xfId="44248"/>
    <cellStyle name="Normal 5 117" xfId="44249"/>
    <cellStyle name="Normal 5 118" xfId="44250"/>
    <cellStyle name="Normal 5 119" xfId="44251"/>
    <cellStyle name="Normal 5 12" xfId="768"/>
    <cellStyle name="Normal 5 12 2" xfId="49009"/>
    <cellStyle name="Normal 5 12_Mem." xfId="49010"/>
    <cellStyle name="Normal 5 120" xfId="44252"/>
    <cellStyle name="Normal 5 121" xfId="44253"/>
    <cellStyle name="Normal 5 122" xfId="44254"/>
    <cellStyle name="Normal 5 123" xfId="44255"/>
    <cellStyle name="Normal 5 124" xfId="44256"/>
    <cellStyle name="Normal 5 125" xfId="44257"/>
    <cellStyle name="Normal 5 126" xfId="44258"/>
    <cellStyle name="Normal 5 127" xfId="44259"/>
    <cellStyle name="Normal 5 128" xfId="44260"/>
    <cellStyle name="Normal 5 129" xfId="44261"/>
    <cellStyle name="Normal 5 13" xfId="776"/>
    <cellStyle name="Normal 5 13 2" xfId="49011"/>
    <cellStyle name="Normal 5 13_Mem." xfId="49012"/>
    <cellStyle name="Normal 5 130" xfId="44262"/>
    <cellStyle name="Normal 5 131" xfId="44263"/>
    <cellStyle name="Normal 5 132" xfId="44264"/>
    <cellStyle name="Normal 5 133" xfId="44265"/>
    <cellStyle name="Normal 5 134" xfId="44266"/>
    <cellStyle name="Normal 5 135" xfId="44267"/>
    <cellStyle name="Normal 5 136" xfId="44268"/>
    <cellStyle name="Normal 5 137" xfId="44269"/>
    <cellStyle name="Normal 5 138" xfId="44270"/>
    <cellStyle name="Normal 5 139" xfId="44271"/>
    <cellStyle name="Normal 5 14" xfId="784"/>
    <cellStyle name="Normal 5 14 2" xfId="51345"/>
    <cellStyle name="Normal 5 14 3" xfId="49843"/>
    <cellStyle name="Normal 5 140" xfId="44272"/>
    <cellStyle name="Normal 5 141" xfId="44273"/>
    <cellStyle name="Normal 5 142" xfId="44274"/>
    <cellStyle name="Normal 5 143" xfId="44275"/>
    <cellStyle name="Normal 5 144" xfId="44276"/>
    <cellStyle name="Normal 5 145" xfId="44277"/>
    <cellStyle name="Normal 5 146" xfId="44278"/>
    <cellStyle name="Normal 5 147" xfId="44279"/>
    <cellStyle name="Normal 5 148" xfId="44280"/>
    <cellStyle name="Normal 5 149" xfId="44281"/>
    <cellStyle name="Normal 5 15" xfId="792"/>
    <cellStyle name="Normal 5 15 2" xfId="49871"/>
    <cellStyle name="Normal 5 150" xfId="44282"/>
    <cellStyle name="Normal 5 151" xfId="44283"/>
    <cellStyle name="Normal 5 152" xfId="44284"/>
    <cellStyle name="Normal 5 153" xfId="44285"/>
    <cellStyle name="Normal 5 154" xfId="44286"/>
    <cellStyle name="Normal 5 155" xfId="44287"/>
    <cellStyle name="Normal 5 156" xfId="44288"/>
    <cellStyle name="Normal 5 157" xfId="44289"/>
    <cellStyle name="Normal 5 158" xfId="44290"/>
    <cellStyle name="Normal 5 159" xfId="44291"/>
    <cellStyle name="Normal 5 16" xfId="800"/>
    <cellStyle name="Normal 5 160" xfId="44292"/>
    <cellStyle name="Normal 5 161" xfId="44293"/>
    <cellStyle name="Normal 5 162" xfId="44294"/>
    <cellStyle name="Normal 5 163" xfId="44295"/>
    <cellStyle name="Normal 5 164" xfId="44296"/>
    <cellStyle name="Normal 5 165" xfId="44297"/>
    <cellStyle name="Normal 5 166" xfId="44298"/>
    <cellStyle name="Normal 5 167" xfId="44299"/>
    <cellStyle name="Normal 5 168" xfId="44300"/>
    <cellStyle name="Normal 5 169" xfId="44301"/>
    <cellStyle name="Normal 5 17" xfId="806"/>
    <cellStyle name="Normal 5 170" xfId="44302"/>
    <cellStyle name="Normal 5 171" xfId="44303"/>
    <cellStyle name="Normal 5 172" xfId="44304"/>
    <cellStyle name="Normal 5 173" xfId="44305"/>
    <cellStyle name="Normal 5 174" xfId="44306"/>
    <cellStyle name="Normal 5 175" xfId="44307"/>
    <cellStyle name="Normal 5 176" xfId="44308"/>
    <cellStyle name="Normal 5 177" xfId="44309"/>
    <cellStyle name="Normal 5 178" xfId="44310"/>
    <cellStyle name="Normal 5 179" xfId="44311"/>
    <cellStyle name="Normal 5 18" xfId="814"/>
    <cellStyle name="Normal 5 180" xfId="44312"/>
    <cellStyle name="Normal 5 181" xfId="44313"/>
    <cellStyle name="Normal 5 182" xfId="44314"/>
    <cellStyle name="Normal 5 183" xfId="44315"/>
    <cellStyle name="Normal 5 184" xfId="44316"/>
    <cellStyle name="Normal 5 185" xfId="44317"/>
    <cellStyle name="Normal 5 186" xfId="44318"/>
    <cellStyle name="Normal 5 187" xfId="49013"/>
    <cellStyle name="Normal 5 19" xfId="821"/>
    <cellStyle name="Normal 5 2" xfId="686"/>
    <cellStyle name="Normal 5 2 10" xfId="49014"/>
    <cellStyle name="Normal 5 2 10 2" xfId="50491"/>
    <cellStyle name="Normal 5 2 11" xfId="49015"/>
    <cellStyle name="Normal 5 2 11 2" xfId="51270"/>
    <cellStyle name="Normal 5 2 12" xfId="49016"/>
    <cellStyle name="Normal 5 2 2" xfId="49017"/>
    <cellStyle name="Normal 5 2 2 2" xfId="49018"/>
    <cellStyle name="Normal 5 2 2 2 2" xfId="49019"/>
    <cellStyle name="Normal 5 2 2 2 2 2" xfId="49020"/>
    <cellStyle name="Normal 5 2 2 2 2 2 2" xfId="51076"/>
    <cellStyle name="Normal 5 2 2 2 2 3" xfId="50334"/>
    <cellStyle name="Normal 5 2 2 2 3" xfId="49021"/>
    <cellStyle name="Normal 5 2 2 2 3 2" xfId="50716"/>
    <cellStyle name="Normal 5 2 2 2 4" xfId="50033"/>
    <cellStyle name="Normal 5 2 2 3" xfId="49022"/>
    <cellStyle name="Normal 5 2 2 3 2" xfId="49023"/>
    <cellStyle name="Normal 5 2 2 3 2 2" xfId="50942"/>
    <cellStyle name="Normal 5 2 2 3 3" xfId="50206"/>
    <cellStyle name="Normal 5 2 2 4" xfId="49024"/>
    <cellStyle name="Normal 5 2 2 4 2" xfId="50579"/>
    <cellStyle name="Normal 5 2 2 5" xfId="49938"/>
    <cellStyle name="Normal 5 2 2 6" xfId="52254"/>
    <cellStyle name="Normal 5 2 3" xfId="49025"/>
    <cellStyle name="Normal 5 2 3 2" xfId="49026"/>
    <cellStyle name="Normal 5 2 3 2 2" xfId="49027"/>
    <cellStyle name="Normal 5 2 3 2 2 2" xfId="49028"/>
    <cellStyle name="Normal 5 2 3 2 2 2 2" xfId="51109"/>
    <cellStyle name="Normal 5 2 3 2 2 3" xfId="50366"/>
    <cellStyle name="Normal 5 2 3 2 3" xfId="49029"/>
    <cellStyle name="Normal 5 2 3 2 3 2" xfId="50749"/>
    <cellStyle name="Normal 5 2 3 2 4" xfId="50059"/>
    <cellStyle name="Normal 5 2 3 3" xfId="49030"/>
    <cellStyle name="Normal 5 2 3 3 2" xfId="49031"/>
    <cellStyle name="Normal 5 2 3 3 2 2" xfId="50974"/>
    <cellStyle name="Normal 5 2 3 3 3" xfId="50238"/>
    <cellStyle name="Normal 5 2 3 4" xfId="49032"/>
    <cellStyle name="Normal 5 2 3 4 2" xfId="50612"/>
    <cellStyle name="Normal 5 2 3 5" xfId="49958"/>
    <cellStyle name="Normal 5 2 4" xfId="49033"/>
    <cellStyle name="Normal 5 2 4 2" xfId="49034"/>
    <cellStyle name="Normal 5 2 4 2 2" xfId="49035"/>
    <cellStyle name="Normal 5 2 4 2 2 2" xfId="49036"/>
    <cellStyle name="Normal 5 2 4 2 2 2 2" xfId="51149"/>
    <cellStyle name="Normal 5 2 4 2 2 3" xfId="50405"/>
    <cellStyle name="Normal 5 2 4 2 3" xfId="49037"/>
    <cellStyle name="Normal 5 2 4 2 3 2" xfId="50789"/>
    <cellStyle name="Normal 5 2 4 2 4" xfId="50090"/>
    <cellStyle name="Normal 5 2 4 3" xfId="49038"/>
    <cellStyle name="Normal 5 2 4 3 2" xfId="49039"/>
    <cellStyle name="Normal 5 2 4 3 2 2" xfId="51013"/>
    <cellStyle name="Normal 5 2 4 3 3" xfId="50277"/>
    <cellStyle name="Normal 5 2 4 4" xfId="49040"/>
    <cellStyle name="Normal 5 2 4 4 2" xfId="50652"/>
    <cellStyle name="Normal 5 2 4 5" xfId="49987"/>
    <cellStyle name="Normal 5 2 5" xfId="49041"/>
    <cellStyle name="Normal 5 2 5 2" xfId="49042"/>
    <cellStyle name="Normal 5 2 5 2 2" xfId="49043"/>
    <cellStyle name="Normal 5 2 5 2 2 2" xfId="51057"/>
    <cellStyle name="Normal 5 2 5 2 3" xfId="50316"/>
    <cellStyle name="Normal 5 2 5 3" xfId="49044"/>
    <cellStyle name="Normal 5 2 5 3 2" xfId="50697"/>
    <cellStyle name="Normal 5 2 5 4" xfId="50019"/>
    <cellStyle name="Normal 5 2 6" xfId="49045"/>
    <cellStyle name="Normal 5 2 6 2" xfId="49046"/>
    <cellStyle name="Normal 5 2 6 2 2" xfId="49047"/>
    <cellStyle name="Normal 5 2 6 2 2 2" xfId="50924"/>
    <cellStyle name="Normal 5 2 6 2 3" xfId="50188"/>
    <cellStyle name="Normal 5 2 6 3" xfId="49048"/>
    <cellStyle name="Normal 5 2 6 3 2" xfId="50560"/>
    <cellStyle name="Normal 5 2 6 4" xfId="49924"/>
    <cellStyle name="Normal 5 2 7" xfId="49049"/>
    <cellStyle name="Normal 5 2 7 2" xfId="49050"/>
    <cellStyle name="Normal 5 2 7 2 2" xfId="49051"/>
    <cellStyle name="Normal 5 2 7 2 2 2" xfId="51182"/>
    <cellStyle name="Normal 5 2 7 2 3" xfId="50435"/>
    <cellStyle name="Normal 5 2 7 3" xfId="49052"/>
    <cellStyle name="Normal 5 2 7 3 2" xfId="50823"/>
    <cellStyle name="Normal 5 2 7 4" xfId="50118"/>
    <cellStyle name="Normal 5 2 8" xfId="49053"/>
    <cellStyle name="Normal 5 2 8 2" xfId="49054"/>
    <cellStyle name="Normal 5 2 8 2 2" xfId="50866"/>
    <cellStyle name="Normal 5 2 8 3" xfId="50143"/>
    <cellStyle name="Normal 5 2 9" xfId="49055"/>
    <cellStyle name="Normal 5 2 9 2" xfId="49056"/>
    <cellStyle name="Normal 5 2 9 2 2" xfId="51216"/>
    <cellStyle name="Normal 5 2 9 3" xfId="50463"/>
    <cellStyle name="Normal 5 2_Mem." xfId="49057"/>
    <cellStyle name="Normal 5 20" xfId="829"/>
    <cellStyle name="Normal 5 21" xfId="837"/>
    <cellStyle name="Normal 5 22" xfId="845"/>
    <cellStyle name="Normal 5 23" xfId="853"/>
    <cellStyle name="Normal 5 24" xfId="861"/>
    <cellStyle name="Normal 5 25" xfId="869"/>
    <cellStyle name="Normal 5 26" xfId="877"/>
    <cellStyle name="Normal 5 27" xfId="885"/>
    <cellStyle name="Normal 5 28" xfId="893"/>
    <cellStyle name="Normal 5 29" xfId="901"/>
    <cellStyle name="Normal 5 3" xfId="696"/>
    <cellStyle name="Normal 5 3 10" xfId="49058"/>
    <cellStyle name="Normal 5 3 10 2" xfId="50492"/>
    <cellStyle name="Normal 5 3 11" xfId="49059"/>
    <cellStyle name="Normal 5 3 2" xfId="49060"/>
    <cellStyle name="Normal 5 3 2 2" xfId="49061"/>
    <cellStyle name="Normal 5 3 2 2 2" xfId="49062"/>
    <cellStyle name="Normal 5 3 2 2 2 2" xfId="49063"/>
    <cellStyle name="Normal 5 3 2 2 2 2 2" xfId="51077"/>
    <cellStyle name="Normal 5 3 2 2 2 3" xfId="50335"/>
    <cellStyle name="Normal 5 3 2 2 3" xfId="49064"/>
    <cellStyle name="Normal 5 3 2 2 3 2" xfId="50717"/>
    <cellStyle name="Normal 5 3 2 2 4" xfId="50034"/>
    <cellStyle name="Normal 5 3 2 3" xfId="49065"/>
    <cellStyle name="Normal 5 3 2 3 2" xfId="49066"/>
    <cellStyle name="Normal 5 3 2 3 2 2" xfId="50943"/>
    <cellStyle name="Normal 5 3 2 3 3" xfId="50207"/>
    <cellStyle name="Normal 5 3 2 4" xfId="49067"/>
    <cellStyle name="Normal 5 3 2 4 2" xfId="50580"/>
    <cellStyle name="Normal 5 3 2 5" xfId="49939"/>
    <cellStyle name="Normal 5 3 2 6" xfId="52263"/>
    <cellStyle name="Normal 5 3 3" xfId="49068"/>
    <cellStyle name="Normal 5 3 3 2" xfId="49069"/>
    <cellStyle name="Normal 5 3 3 2 2" xfId="49070"/>
    <cellStyle name="Normal 5 3 3 2 2 2" xfId="49071"/>
    <cellStyle name="Normal 5 3 3 2 2 2 2" xfId="51110"/>
    <cellStyle name="Normal 5 3 3 2 2 3" xfId="50367"/>
    <cellStyle name="Normal 5 3 3 2 3" xfId="49072"/>
    <cellStyle name="Normal 5 3 3 2 3 2" xfId="50750"/>
    <cellStyle name="Normal 5 3 3 2 4" xfId="50060"/>
    <cellStyle name="Normal 5 3 3 3" xfId="49073"/>
    <cellStyle name="Normal 5 3 3 3 2" xfId="49074"/>
    <cellStyle name="Normal 5 3 3 3 2 2" xfId="50975"/>
    <cellStyle name="Normal 5 3 3 3 3" xfId="50239"/>
    <cellStyle name="Normal 5 3 3 4" xfId="49075"/>
    <cellStyle name="Normal 5 3 3 4 2" xfId="50613"/>
    <cellStyle name="Normal 5 3 3 5" xfId="49959"/>
    <cellStyle name="Normal 5 3 4" xfId="49076"/>
    <cellStyle name="Normal 5 3 4 2" xfId="49077"/>
    <cellStyle name="Normal 5 3 4 2 2" xfId="49078"/>
    <cellStyle name="Normal 5 3 4 2 2 2" xfId="49079"/>
    <cellStyle name="Normal 5 3 4 2 2 2 2" xfId="51150"/>
    <cellStyle name="Normal 5 3 4 2 2 3" xfId="50406"/>
    <cellStyle name="Normal 5 3 4 2 3" xfId="49080"/>
    <cellStyle name="Normal 5 3 4 2 3 2" xfId="50790"/>
    <cellStyle name="Normal 5 3 4 2 4" xfId="50091"/>
    <cellStyle name="Normal 5 3 4 3" xfId="49081"/>
    <cellStyle name="Normal 5 3 4 3 2" xfId="49082"/>
    <cellStyle name="Normal 5 3 4 3 2 2" xfId="51014"/>
    <cellStyle name="Normal 5 3 4 3 3" xfId="50278"/>
    <cellStyle name="Normal 5 3 4 4" xfId="49083"/>
    <cellStyle name="Normal 5 3 4 4 2" xfId="50653"/>
    <cellStyle name="Normal 5 3 4 5" xfId="49988"/>
    <cellStyle name="Normal 5 3 5" xfId="49084"/>
    <cellStyle name="Normal 5 3 5 2" xfId="49085"/>
    <cellStyle name="Normal 5 3 5 2 2" xfId="49086"/>
    <cellStyle name="Normal 5 3 5 2 2 2" xfId="51047"/>
    <cellStyle name="Normal 5 3 5 2 3" xfId="50307"/>
    <cellStyle name="Normal 5 3 5 3" xfId="49087"/>
    <cellStyle name="Normal 5 3 5 3 2" xfId="50687"/>
    <cellStyle name="Normal 5 3 5 4" xfId="50010"/>
    <cellStyle name="Normal 5 3 6" xfId="49088"/>
    <cellStyle name="Normal 5 3 6 2" xfId="49089"/>
    <cellStyle name="Normal 5 3 6 2 2" xfId="49090"/>
    <cellStyle name="Normal 5 3 6 2 2 2" xfId="50914"/>
    <cellStyle name="Normal 5 3 6 2 3" xfId="50179"/>
    <cellStyle name="Normal 5 3 6 3" xfId="49091"/>
    <cellStyle name="Normal 5 3 6 3 2" xfId="50550"/>
    <cellStyle name="Normal 5 3 6 4" xfId="49915"/>
    <cellStyle name="Normal 5 3 7" xfId="49092"/>
    <cellStyle name="Normal 5 3 7 2" xfId="49093"/>
    <cellStyle name="Normal 5 3 7 2 2" xfId="49094"/>
    <cellStyle name="Normal 5 3 7 2 2 2" xfId="51183"/>
    <cellStyle name="Normal 5 3 7 2 3" xfId="50436"/>
    <cellStyle name="Normal 5 3 7 3" xfId="49095"/>
    <cellStyle name="Normal 5 3 7 3 2" xfId="50824"/>
    <cellStyle name="Normal 5 3 7 4" xfId="50119"/>
    <cellStyle name="Normal 5 3 8" xfId="49096"/>
    <cellStyle name="Normal 5 3 8 2" xfId="49097"/>
    <cellStyle name="Normal 5 3 8 2 2" xfId="50867"/>
    <cellStyle name="Normal 5 3 8 3" xfId="50144"/>
    <cellStyle name="Normal 5 3 9" xfId="49098"/>
    <cellStyle name="Normal 5 3 9 2" xfId="49099"/>
    <cellStyle name="Normal 5 3 9 2 2" xfId="51217"/>
    <cellStyle name="Normal 5 3 9 3" xfId="50464"/>
    <cellStyle name="Normal 5 3_Mem." xfId="49100"/>
    <cellStyle name="Normal 5 30" xfId="909"/>
    <cellStyle name="Normal 5 31" xfId="917"/>
    <cellStyle name="Normal 5 32" xfId="924"/>
    <cellStyle name="Normal 5 33" xfId="932"/>
    <cellStyle name="Normal 5 34" xfId="940"/>
    <cellStyle name="Normal 5 35" xfId="948"/>
    <cellStyle name="Normal 5 36" xfId="956"/>
    <cellStyle name="Normal 5 37" xfId="964"/>
    <cellStyle name="Normal 5 38" xfId="972"/>
    <cellStyle name="Normal 5 39" xfId="980"/>
    <cellStyle name="Normal 5 4" xfId="704"/>
    <cellStyle name="Normal 5 4 2" xfId="49101"/>
    <cellStyle name="Normal 5 4 2 2" xfId="49102"/>
    <cellStyle name="Normal 5 4 2 2 2" xfId="49103"/>
    <cellStyle name="Normal 5 4 2 2 2 2" xfId="51075"/>
    <cellStyle name="Normal 5 4 2 2 3" xfId="50333"/>
    <cellStyle name="Normal 5 4 2 3" xfId="49104"/>
    <cellStyle name="Normal 5 4 2 3 2" xfId="50715"/>
    <cellStyle name="Normal 5 4 2 4" xfId="50032"/>
    <cellStyle name="Normal 5 4 3" xfId="49105"/>
    <cellStyle name="Normal 5 4 3 2" xfId="49106"/>
    <cellStyle name="Normal 5 4 3 2 2" xfId="49107"/>
    <cellStyle name="Normal 5 4 3 2 2 2" xfId="50941"/>
    <cellStyle name="Normal 5 4 3 2 3" xfId="50205"/>
    <cellStyle name="Normal 5 4 3 3" xfId="49108"/>
    <cellStyle name="Normal 5 4 3 3 2" xfId="50578"/>
    <cellStyle name="Normal 5 4 3 4" xfId="49937"/>
    <cellStyle name="Normal 5 4 4" xfId="49109"/>
    <cellStyle name="Normal 5 4 4 2" xfId="49110"/>
    <cellStyle name="Normal 5 4 4 2 2" xfId="50882"/>
    <cellStyle name="Normal 5 4 4 3" xfId="50156"/>
    <cellStyle name="Normal 5 4 5" xfId="49111"/>
    <cellStyle name="Normal 5 4 5 2" xfId="50516"/>
    <cellStyle name="Normal 5 4 6" xfId="49112"/>
    <cellStyle name="Normal 5 4 7" xfId="52158"/>
    <cellStyle name="Normal 5 4_Mem." xfId="49113"/>
    <cellStyle name="Normal 5 40" xfId="988"/>
    <cellStyle name="Normal 5 41" xfId="996"/>
    <cellStyle name="Normal 5 42" xfId="1004"/>
    <cellStyle name="Normal 5 43" xfId="1012"/>
    <cellStyle name="Normal 5 44" xfId="1019"/>
    <cellStyle name="Normal 5 45" xfId="1026"/>
    <cellStyle name="Normal 5 46" xfId="1033"/>
    <cellStyle name="Normal 5 47" xfId="1040"/>
    <cellStyle name="Normal 5 48" xfId="1046"/>
    <cellStyle name="Normal 5 49" xfId="1056"/>
    <cellStyle name="Normal 5 5" xfId="712"/>
    <cellStyle name="Normal 5 5 2" xfId="49114"/>
    <cellStyle name="Normal 5 5 2 2" xfId="49115"/>
    <cellStyle name="Normal 5 5 2 2 2" xfId="49116"/>
    <cellStyle name="Normal 5 5 2 2 2 2" xfId="51108"/>
    <cellStyle name="Normal 5 5 2 2 3" xfId="50365"/>
    <cellStyle name="Normal 5 5 2 3" xfId="49117"/>
    <cellStyle name="Normal 5 5 2 3 2" xfId="50748"/>
    <cellStyle name="Normal 5 5 2 4" xfId="50058"/>
    <cellStyle name="Normal 5 5 3" xfId="49118"/>
    <cellStyle name="Normal 5 5 3 2" xfId="49119"/>
    <cellStyle name="Normal 5 5 3 2 2" xfId="50973"/>
    <cellStyle name="Normal 5 5 3 3" xfId="50237"/>
    <cellStyle name="Normal 5 5 4" xfId="49120"/>
    <cellStyle name="Normal 5 5 4 2" xfId="50611"/>
    <cellStyle name="Normal 5 5 5" xfId="49121"/>
    <cellStyle name="Normal 5 5_Mem." xfId="49122"/>
    <cellStyle name="Normal 5 50" xfId="1064"/>
    <cellStyle name="Normal 5 51" xfId="1071"/>
    <cellStyle name="Normal 5 52" xfId="1079"/>
    <cellStyle name="Normal 5 53" xfId="1087"/>
    <cellStyle name="Normal 5 54" xfId="1093"/>
    <cellStyle name="Normal 5 55" xfId="1103"/>
    <cellStyle name="Normal 5 56" xfId="44319"/>
    <cellStyle name="Normal 5 57" xfId="44320"/>
    <cellStyle name="Normal 5 58" xfId="44321"/>
    <cellStyle name="Normal 5 59" xfId="44322"/>
    <cellStyle name="Normal 5 6" xfId="720"/>
    <cellStyle name="Normal 5 6 2" xfId="49123"/>
    <cellStyle name="Normal 5 6 2 2" xfId="49124"/>
    <cellStyle name="Normal 5 6 2 2 2" xfId="49125"/>
    <cellStyle name="Normal 5 6 2 2 2 2" xfId="51148"/>
    <cellStyle name="Normal 5 6 2 2 3" xfId="50404"/>
    <cellStyle name="Normal 5 6 2 3" xfId="49126"/>
    <cellStyle name="Normal 5 6 2 3 2" xfId="50788"/>
    <cellStyle name="Normal 5 6 2 4" xfId="50089"/>
    <cellStyle name="Normal 5 6 3" xfId="49127"/>
    <cellStyle name="Normal 5 6 3 2" xfId="49128"/>
    <cellStyle name="Normal 5 6 3 2 2" xfId="51012"/>
    <cellStyle name="Normal 5 6 3 3" xfId="50276"/>
    <cellStyle name="Normal 5 6 4" xfId="49129"/>
    <cellStyle name="Normal 5 6 4 2" xfId="50651"/>
    <cellStyle name="Normal 5 6 5" xfId="49130"/>
    <cellStyle name="Normal 5 6_Mem." xfId="49131"/>
    <cellStyle name="Normal 5 60" xfId="44323"/>
    <cellStyle name="Normal 5 61" xfId="44324"/>
    <cellStyle name="Normal 5 62" xfId="44325"/>
    <cellStyle name="Normal 5 63" xfId="44326"/>
    <cellStyle name="Normal 5 64" xfId="44327"/>
    <cellStyle name="Normal 5 65" xfId="44328"/>
    <cellStyle name="Normal 5 66" xfId="44329"/>
    <cellStyle name="Normal 5 67" xfId="44330"/>
    <cellStyle name="Normal 5 68" xfId="44331"/>
    <cellStyle name="Normal 5 69" xfId="44332"/>
    <cellStyle name="Normal 5 7" xfId="728"/>
    <cellStyle name="Normal 5 7 2" xfId="49132"/>
    <cellStyle name="Normal 5 7 2 2" xfId="49133"/>
    <cellStyle name="Normal 5 7 2 2 2" xfId="51037"/>
    <cellStyle name="Normal 5 7 2 3" xfId="50298"/>
    <cellStyle name="Normal 5 7 3" xfId="49134"/>
    <cellStyle name="Normal 5 7 3 2" xfId="50677"/>
    <cellStyle name="Normal 5 7 4" xfId="49135"/>
    <cellStyle name="Normal 5 7_Mem." xfId="49136"/>
    <cellStyle name="Normal 5 70" xfId="44333"/>
    <cellStyle name="Normal 5 71" xfId="44334"/>
    <cellStyle name="Normal 5 72" xfId="44335"/>
    <cellStyle name="Normal 5 73" xfId="44336"/>
    <cellStyle name="Normal 5 74" xfId="44337"/>
    <cellStyle name="Normal 5 75" xfId="44338"/>
    <cellStyle name="Normal 5 76" xfId="44339"/>
    <cellStyle name="Normal 5 77" xfId="44340"/>
    <cellStyle name="Normal 5 78" xfId="44341"/>
    <cellStyle name="Normal 5 79" xfId="44342"/>
    <cellStyle name="Normal 5 8" xfId="736"/>
    <cellStyle name="Normal 5 8 2" xfId="49137"/>
    <cellStyle name="Normal 5 8 2 2" xfId="49138"/>
    <cellStyle name="Normal 5 8 2 2 2" xfId="50904"/>
    <cellStyle name="Normal 5 8 2 3" xfId="50170"/>
    <cellStyle name="Normal 5 8 3" xfId="49139"/>
    <cellStyle name="Normal 5 8 3 2" xfId="50540"/>
    <cellStyle name="Normal 5 8 4" xfId="49140"/>
    <cellStyle name="Normal 5 8_Mem." xfId="49141"/>
    <cellStyle name="Normal 5 80" xfId="44343"/>
    <cellStyle name="Normal 5 81" xfId="44344"/>
    <cellStyle name="Normal 5 82" xfId="44345"/>
    <cellStyle name="Normal 5 83" xfId="44346"/>
    <cellStyle name="Normal 5 84" xfId="44347"/>
    <cellStyle name="Normal 5 85" xfId="44348"/>
    <cellStyle name="Normal 5 86" xfId="44349"/>
    <cellStyle name="Normal 5 87" xfId="44350"/>
    <cellStyle name="Normal 5 88" xfId="44351"/>
    <cellStyle name="Normal 5 89" xfId="44352"/>
    <cellStyle name="Normal 5 9" xfId="742"/>
    <cellStyle name="Normal 5 9 2" xfId="49142"/>
    <cellStyle name="Normal 5 9 2 2" xfId="49143"/>
    <cellStyle name="Normal 5 9 2 2 2" xfId="51181"/>
    <cellStyle name="Normal 5 9 2 3" xfId="50434"/>
    <cellStyle name="Normal 5 9 3" xfId="49144"/>
    <cellStyle name="Normal 5 9 3 2" xfId="50822"/>
    <cellStyle name="Normal 5 9 4" xfId="49145"/>
    <cellStyle name="Normal 5 9_Mem." xfId="49146"/>
    <cellStyle name="Normal 5 90" xfId="44353"/>
    <cellStyle name="Normal 5 91" xfId="44354"/>
    <cellStyle name="Normal 5 92" xfId="44355"/>
    <cellStyle name="Normal 5 93" xfId="44356"/>
    <cellStyle name="Normal 5 94" xfId="44357"/>
    <cellStyle name="Normal 5 95" xfId="44358"/>
    <cellStyle name="Normal 5 96" xfId="44359"/>
    <cellStyle name="Normal 5 97" xfId="44360"/>
    <cellStyle name="Normal 5 98" xfId="44361"/>
    <cellStyle name="Normal 5 99" xfId="44362"/>
    <cellStyle name="Normal 5_Mem." xfId="49147"/>
    <cellStyle name="Normal 50" xfId="986"/>
    <cellStyle name="Normal 51" xfId="994"/>
    <cellStyle name="Normal 52" xfId="1002"/>
    <cellStyle name="Normal 53" xfId="1010"/>
    <cellStyle name="Normal 54" xfId="49148"/>
    <cellStyle name="Normal 55" xfId="49149"/>
    <cellStyle name="Normal 56" xfId="49839"/>
    <cellStyle name="Normal 57" xfId="49842"/>
    <cellStyle name="Normal 58" xfId="1050"/>
    <cellStyle name="Normal 59" xfId="1054"/>
    <cellStyle name="Normal 6" xfId="447"/>
    <cellStyle name="Normal 6 10" xfId="755"/>
    <cellStyle name="Normal 6 11" xfId="763"/>
    <cellStyle name="Normal 6 12" xfId="771"/>
    <cellStyle name="Normal 6 13" xfId="779"/>
    <cellStyle name="Normal 6 14" xfId="787"/>
    <cellStyle name="Normal 6 15" xfId="795"/>
    <cellStyle name="Normal 6 16" xfId="803"/>
    <cellStyle name="Normal 6 17" xfId="808"/>
    <cellStyle name="Normal 6 18" xfId="817"/>
    <cellStyle name="Normal 6 19" xfId="824"/>
    <cellStyle name="Normal 6 2" xfId="688"/>
    <cellStyle name="Normal 6 2 2" xfId="49150"/>
    <cellStyle name="Normal 6 2 2 2" xfId="49151"/>
    <cellStyle name="Normal 6 2 2 2 2" xfId="50883"/>
    <cellStyle name="Normal 6 2 2 3" xfId="50157"/>
    <cellStyle name="Normal 6 2 3" xfId="49152"/>
    <cellStyle name="Normal 6 2 3 2" xfId="50517"/>
    <cellStyle name="Normal 6 2 4" xfId="49153"/>
    <cellStyle name="Normal 6 2 4 2" xfId="51271"/>
    <cellStyle name="Normal 6 2 5" xfId="49154"/>
    <cellStyle name="Normal 6 2_Mem." xfId="49155"/>
    <cellStyle name="Normal 6 20" xfId="832"/>
    <cellStyle name="Normal 6 21" xfId="840"/>
    <cellStyle name="Normal 6 22" xfId="848"/>
    <cellStyle name="Normal 6 23" xfId="856"/>
    <cellStyle name="Normal 6 24" xfId="864"/>
    <cellStyle name="Normal 6 25" xfId="872"/>
    <cellStyle name="Normal 6 26" xfId="880"/>
    <cellStyle name="Normal 6 27" xfId="888"/>
    <cellStyle name="Normal 6 28" xfId="896"/>
    <cellStyle name="Normal 6 29" xfId="904"/>
    <cellStyle name="Normal 6 3" xfId="699"/>
    <cellStyle name="Normal 6 3 2" xfId="49156"/>
    <cellStyle name="Normal 6 3_Mem." xfId="49157"/>
    <cellStyle name="Normal 6 30" xfId="912"/>
    <cellStyle name="Normal 6 31" xfId="920"/>
    <cellStyle name="Normal 6 32" xfId="927"/>
    <cellStyle name="Normal 6 33" xfId="935"/>
    <cellStyle name="Normal 6 34" xfId="943"/>
    <cellStyle name="Normal 6 35" xfId="951"/>
    <cellStyle name="Normal 6 36" xfId="959"/>
    <cellStyle name="Normal 6 37" xfId="967"/>
    <cellStyle name="Normal 6 38" xfId="975"/>
    <cellStyle name="Normal 6 39" xfId="983"/>
    <cellStyle name="Normal 6 4" xfId="707"/>
    <cellStyle name="Normal 6 4 2" xfId="51346"/>
    <cellStyle name="Normal 6 4 3" xfId="49844"/>
    <cellStyle name="Normal 6 40" xfId="991"/>
    <cellStyle name="Normal 6 41" xfId="999"/>
    <cellStyle name="Normal 6 42" xfId="1007"/>
    <cellStyle name="Normal 6 43" xfId="1015"/>
    <cellStyle name="Normal 6 44" xfId="1022"/>
    <cellStyle name="Normal 6 45" xfId="1029"/>
    <cellStyle name="Normal 6 46" xfId="1036"/>
    <cellStyle name="Normal 6 47" xfId="1043"/>
    <cellStyle name="Normal 6 48" xfId="1048"/>
    <cellStyle name="Normal 6 49" xfId="1059"/>
    <cellStyle name="Normal 6 5" xfId="715"/>
    <cellStyle name="Normal 6 50" xfId="1067"/>
    <cellStyle name="Normal 6 51" xfId="1073"/>
    <cellStyle name="Normal 6 52" xfId="1082"/>
    <cellStyle name="Normal 6 53" xfId="1090"/>
    <cellStyle name="Normal 6 54" xfId="1095"/>
    <cellStyle name="Normal 6 55" xfId="2163"/>
    <cellStyle name="Normal 6 56" xfId="1758"/>
    <cellStyle name="Normal 6 57" xfId="49158"/>
    <cellStyle name="Normal 6 58" xfId="49159"/>
    <cellStyle name="Normal 6 59" xfId="49160"/>
    <cellStyle name="Normal 6 6" xfId="723"/>
    <cellStyle name="Normal 6 60" xfId="49161"/>
    <cellStyle name="Normal 6 61" xfId="49162"/>
    <cellStyle name="Normal 6 62" xfId="49163"/>
    <cellStyle name="Normal 6 63" xfId="49164"/>
    <cellStyle name="Normal 6 64" xfId="49165"/>
    <cellStyle name="Normal 6 65" xfId="49840"/>
    <cellStyle name="Normal 6 66" xfId="49841"/>
    <cellStyle name="Normal 6 7" xfId="731"/>
    <cellStyle name="Normal 6 8" xfId="739"/>
    <cellStyle name="Normal 6 9" xfId="744"/>
    <cellStyle name="Normal 6_Mem." xfId="49166"/>
    <cellStyle name="Normal 60" xfId="1062"/>
    <cellStyle name="Normal 61" xfId="53317"/>
    <cellStyle name="Normal 62" xfId="1077"/>
    <cellStyle name="Normal 63" xfId="1085"/>
    <cellStyle name="Normal 64" xfId="53318"/>
    <cellStyle name="Normal 65" xfId="53321"/>
    <cellStyle name="Normal 7" xfId="678"/>
    <cellStyle name="Normal 7 10" xfId="756"/>
    <cellStyle name="Normal 7 10 2" xfId="49888"/>
    <cellStyle name="Normal 7 11" xfId="764"/>
    <cellStyle name="Normal 7 12" xfId="772"/>
    <cellStyle name="Normal 7 13" xfId="780"/>
    <cellStyle name="Normal 7 14" xfId="788"/>
    <cellStyle name="Normal 7 15" xfId="796"/>
    <cellStyle name="Normal 7 16" xfId="804"/>
    <cellStyle name="Normal 7 17" xfId="809"/>
    <cellStyle name="Normal 7 18" xfId="818"/>
    <cellStyle name="Normal 7 19" xfId="825"/>
    <cellStyle name="Normal 7 2" xfId="689"/>
    <cellStyle name="Normal 7 2 2" xfId="49167"/>
    <cellStyle name="Normal 7 2 2 2" xfId="49168"/>
    <cellStyle name="Normal 7 2 2 2 2" xfId="49169"/>
    <cellStyle name="Normal 7 2 2 2 2 2" xfId="51129"/>
    <cellStyle name="Normal 7 2 2 2 3" xfId="50386"/>
    <cellStyle name="Normal 7 2 2 3" xfId="49170"/>
    <cellStyle name="Normal 7 2 2 3 2" xfId="50769"/>
    <cellStyle name="Normal 7 2 2 4" xfId="50075"/>
    <cellStyle name="Normal 7 2 3" xfId="49171"/>
    <cellStyle name="Normal 7 2 3 2" xfId="49172"/>
    <cellStyle name="Normal 7 2 3 2 2" xfId="50994"/>
    <cellStyle name="Normal 7 2 3 3" xfId="50258"/>
    <cellStyle name="Normal 7 2 4" xfId="49173"/>
    <cellStyle name="Normal 7 2 4 2" xfId="50632"/>
    <cellStyle name="Normal 7 2 5" xfId="49174"/>
    <cellStyle name="Normal 7 2 5 2" xfId="51272"/>
    <cellStyle name="Normal 7 2 6" xfId="49175"/>
    <cellStyle name="Normal 7 2_Mem." xfId="49176"/>
    <cellStyle name="Normal 7 20" xfId="833"/>
    <cellStyle name="Normal 7 21" xfId="841"/>
    <cellStyle name="Normal 7 22" xfId="849"/>
    <cellStyle name="Normal 7 23" xfId="857"/>
    <cellStyle name="Normal 7 24" xfId="865"/>
    <cellStyle name="Normal 7 25" xfId="873"/>
    <cellStyle name="Normal 7 26" xfId="881"/>
    <cellStyle name="Normal 7 27" xfId="889"/>
    <cellStyle name="Normal 7 28" xfId="897"/>
    <cellStyle name="Normal 7 29" xfId="905"/>
    <cellStyle name="Normal 7 3" xfId="700"/>
    <cellStyle name="Normal 7 3 2" xfId="49177"/>
    <cellStyle name="Normal 7 3 2 2" xfId="49178"/>
    <cellStyle name="Normal 7 3 2 2 2" xfId="51125"/>
    <cellStyle name="Normal 7 3 2 3" xfId="50382"/>
    <cellStyle name="Normal 7 3 3" xfId="49179"/>
    <cellStyle name="Normal 7 3 3 2" xfId="50765"/>
    <cellStyle name="Normal 7 3 4" xfId="49180"/>
    <cellStyle name="Normal 7 3_Mem." xfId="49181"/>
    <cellStyle name="Normal 7 30" xfId="913"/>
    <cellStyle name="Normal 7 31" xfId="921"/>
    <cellStyle name="Normal 7 32" xfId="928"/>
    <cellStyle name="Normal 7 33" xfId="936"/>
    <cellStyle name="Normal 7 34" xfId="944"/>
    <cellStyle name="Normal 7 35" xfId="952"/>
    <cellStyle name="Normal 7 36" xfId="960"/>
    <cellStyle name="Normal 7 37" xfId="968"/>
    <cellStyle name="Normal 7 38" xfId="976"/>
    <cellStyle name="Normal 7 39" xfId="984"/>
    <cellStyle name="Normal 7 4" xfId="708"/>
    <cellStyle name="Normal 7 4 2" xfId="49182"/>
    <cellStyle name="Normal 7 4 2 2" xfId="49183"/>
    <cellStyle name="Normal 7 4 2 2 2" xfId="50990"/>
    <cellStyle name="Normal 7 4 2 3" xfId="50254"/>
    <cellStyle name="Normal 7 4 3" xfId="49184"/>
    <cellStyle name="Normal 7 4 3 2" xfId="50628"/>
    <cellStyle name="Normal 7 4 4" xfId="49185"/>
    <cellStyle name="Normal 7 4_Mem." xfId="49186"/>
    <cellStyle name="Normal 7 40" xfId="992"/>
    <cellStyle name="Normal 7 41" xfId="1000"/>
    <cellStyle name="Normal 7 42" xfId="1008"/>
    <cellStyle name="Normal 7 43" xfId="1016"/>
    <cellStyle name="Normal 7 44" xfId="1023"/>
    <cellStyle name="Normal 7 45" xfId="1030"/>
    <cellStyle name="Normal 7 46" xfId="1037"/>
    <cellStyle name="Normal 7 47" xfId="1044"/>
    <cellStyle name="Normal 7 48" xfId="1049"/>
    <cellStyle name="Normal 7 49" xfId="1060"/>
    <cellStyle name="Normal 7 5" xfId="716"/>
    <cellStyle name="Normal 7 5 2" xfId="49187"/>
    <cellStyle name="Normal 7 5 2 2" xfId="50879"/>
    <cellStyle name="Normal 7 5 3" xfId="49188"/>
    <cellStyle name="Normal 7 5_Mem." xfId="49189"/>
    <cellStyle name="Normal 7 50" xfId="1068"/>
    <cellStyle name="Normal 7 51" xfId="1074"/>
    <cellStyle name="Normal 7 52" xfId="1083"/>
    <cellStyle name="Normal 7 53" xfId="1091"/>
    <cellStyle name="Normal 7 54" xfId="1096"/>
    <cellStyle name="Normal 7 55" xfId="49190"/>
    <cellStyle name="Normal 7 6" xfId="724"/>
    <cellStyle name="Normal 7 6 2" xfId="49191"/>
    <cellStyle name="Normal 7 6 2 2" xfId="51199"/>
    <cellStyle name="Normal 7 6 3" xfId="49192"/>
    <cellStyle name="Normal 7 6_Mem." xfId="49193"/>
    <cellStyle name="Normal 7 7" xfId="732"/>
    <cellStyle name="Normal 7 7 2" xfId="49194"/>
    <cellStyle name="Normal 7 7_Mem." xfId="49195"/>
    <cellStyle name="Normal 7 8" xfId="740"/>
    <cellStyle name="Normal 7 8 2" xfId="49196"/>
    <cellStyle name="Normal 7 8_Mem." xfId="49197"/>
    <cellStyle name="Normal 7 9" xfId="745"/>
    <cellStyle name="Normal 7 9 2" xfId="51347"/>
    <cellStyle name="Normal 7 9 3" xfId="49845"/>
    <cellStyle name="Normal 7_Mem." xfId="49198"/>
    <cellStyle name="Normal 72" xfId="45304"/>
    <cellStyle name="Normal 8" xfId="308"/>
    <cellStyle name="Normal 8 2" xfId="1380"/>
    <cellStyle name="Normal 8 2 2" xfId="49199"/>
    <cellStyle name="Normal 8 2 2 2" xfId="51273"/>
    <cellStyle name="Normal 8 3" xfId="49200"/>
    <cellStyle name="Normal 8 3 2" xfId="49201"/>
    <cellStyle name="Normal 8 3 2 2" xfId="50884"/>
    <cellStyle name="Normal 8 3 3" xfId="50158"/>
    <cellStyle name="Normal 8 3 4" xfId="52223"/>
    <cellStyle name="Normal 8 4" xfId="49202"/>
    <cellStyle name="Normal 8 4 2" xfId="50518"/>
    <cellStyle name="Normal 8 5" xfId="49203"/>
    <cellStyle name="Normal 8 5 2" xfId="51230"/>
    <cellStyle name="Normal 8 6" xfId="49204"/>
    <cellStyle name="Normal 8 6 2" xfId="51348"/>
    <cellStyle name="Normal 8 7" xfId="49890"/>
    <cellStyle name="Normal 8_Mem." xfId="49205"/>
    <cellStyle name="Normal 9" xfId="690"/>
    <cellStyle name="Normal 9 2" xfId="1748"/>
    <cellStyle name="Normal 9 2 2" xfId="49206"/>
    <cellStyle name="Normal 9 2 2 2" xfId="49207"/>
    <cellStyle name="Normal 9 2 2 2 2" xfId="51127"/>
    <cellStyle name="Normal 9 2 2 3" xfId="50384"/>
    <cellStyle name="Normal 9 2 3" xfId="49208"/>
    <cellStyle name="Normal 9 2 3 2" xfId="50767"/>
    <cellStyle name="Normal 9 2 4" xfId="49209"/>
    <cellStyle name="Normal 9 2 4 2" xfId="51274"/>
    <cellStyle name="Normal 9 2 5" xfId="49210"/>
    <cellStyle name="Normal 9 2 6" xfId="52161"/>
    <cellStyle name="Normal 9 2_Mem." xfId="49211"/>
    <cellStyle name="Normal 9 3" xfId="49212"/>
    <cellStyle name="Normal 9 3 2" xfId="49213"/>
    <cellStyle name="Normal 9 3 2 2" xfId="49214"/>
    <cellStyle name="Normal 9 3 2 2 2" xfId="50992"/>
    <cellStyle name="Normal 9 3 2 3" xfId="50256"/>
    <cellStyle name="Normal 9 3 3" xfId="49215"/>
    <cellStyle name="Normal 9 3 3 2" xfId="50630"/>
    <cellStyle name="Normal 9 3 4" xfId="49970"/>
    <cellStyle name="Normal 9 3 5" xfId="52265"/>
    <cellStyle name="Normal 9 4" xfId="49216"/>
    <cellStyle name="Normal 9 4 2" xfId="49217"/>
    <cellStyle name="Normal 9 4 2 2" xfId="50885"/>
    <cellStyle name="Normal 9 4 3" xfId="50159"/>
    <cellStyle name="Normal 9 5" xfId="49218"/>
    <cellStyle name="Normal 9 5 2" xfId="50519"/>
    <cellStyle name="Normal 9 6" xfId="49219"/>
    <cellStyle name="Normal 9 6 2" xfId="51231"/>
    <cellStyle name="Normal 9 7" xfId="49220"/>
    <cellStyle name="Normal 9 7 2" xfId="51349"/>
    <cellStyle name="Normal 9 8" xfId="49891"/>
    <cellStyle name="Normal 9_Mem." xfId="49221"/>
    <cellStyle name="Nota" xfId="43956" builtinId="10" customBuiltin="1"/>
    <cellStyle name="Nota 10" xfId="51524"/>
    <cellStyle name="Nota 10 2" xfId="51948"/>
    <cellStyle name="Nota 11" xfId="51990"/>
    <cellStyle name="Nota 12" xfId="52033"/>
    <cellStyle name="Nota 13" xfId="52076"/>
    <cellStyle name="Nota 14" xfId="52119"/>
    <cellStyle name="Nota 15" xfId="51395"/>
    <cellStyle name="Nota 2" xfId="83"/>
    <cellStyle name="Nota 2 10" xfId="14443"/>
    <cellStyle name="Nota 2 11" xfId="16349"/>
    <cellStyle name="Nota 2 12" xfId="2267"/>
    <cellStyle name="Nota 2 13" xfId="3291"/>
    <cellStyle name="Nota 2 14" xfId="2699"/>
    <cellStyle name="Nota 2 15" xfId="23973"/>
    <cellStyle name="Nota 2 16" xfId="3263"/>
    <cellStyle name="Nota 2 17" xfId="27241"/>
    <cellStyle name="Nota 2 18" xfId="28182"/>
    <cellStyle name="Nota 2 19" xfId="30832"/>
    <cellStyle name="Nota 2 2" xfId="3508"/>
    <cellStyle name="Nota 2 2 10" xfId="13552"/>
    <cellStyle name="Nota 2 2 11" xfId="15455"/>
    <cellStyle name="Nota 2 2 12" xfId="16979"/>
    <cellStyle name="Nota 2 2 13" xfId="18886"/>
    <cellStyle name="Nota 2 2 14" xfId="20798"/>
    <cellStyle name="Nota 2 2 15" xfId="23081"/>
    <cellStyle name="Nota 2 2 16" xfId="24600"/>
    <cellStyle name="Nota 2 2 17" xfId="27595"/>
    <cellStyle name="Nota 2 2 18" xfId="28200"/>
    <cellStyle name="Nota 2 2 19" xfId="31173"/>
    <cellStyle name="Nota 2 2 2" xfId="3688"/>
    <cellStyle name="Nota 2 2 2 10" xfId="17579"/>
    <cellStyle name="Nota 2 2 2 11" xfId="19485"/>
    <cellStyle name="Nota 2 2 2 12" xfId="21397"/>
    <cellStyle name="Nota 2 2 2 13" xfId="23268"/>
    <cellStyle name="Nota 2 2 2 14" xfId="25199"/>
    <cellStyle name="Nota 2 2 2 15" xfId="26760"/>
    <cellStyle name="Nota 2 2 2 16" xfId="1881"/>
    <cellStyle name="Nota 2 2 2 17" xfId="30359"/>
    <cellStyle name="Nota 2 2 2 18" xfId="32703"/>
    <cellStyle name="Nota 2 2 2 19" xfId="33712"/>
    <cellStyle name="Nota 2 2 2 2" xfId="5755"/>
    <cellStyle name="Nota 2 2 2 2 10" xfId="22005"/>
    <cellStyle name="Nota 2 2 2 2 11" xfId="23740"/>
    <cellStyle name="Nota 2 2 2 2 12" xfId="25807"/>
    <cellStyle name="Nota 2 2 2 2 13" xfId="27105"/>
    <cellStyle name="Nota 2 2 2 2 14" xfId="29125"/>
    <cellStyle name="Nota 2 2 2 2 15" xfId="30696"/>
    <cellStyle name="Nota 2 2 2 2 16" xfId="31644"/>
    <cellStyle name="Nota 2 2 2 2 17" xfId="34309"/>
    <cellStyle name="Nota 2 2 2 2 18" xfId="36634"/>
    <cellStyle name="Nota 2 2 2 2 19" xfId="38513"/>
    <cellStyle name="Nota 2 2 2 2 2" xfId="7204"/>
    <cellStyle name="Nota 2 2 2 2 2 2" xfId="51312"/>
    <cellStyle name="Nota 2 2 2 2 20" xfId="38889"/>
    <cellStyle name="Nota 2 2 2 2 21" xfId="40574"/>
    <cellStyle name="Nota 2 2 2 2 22" xfId="43493"/>
    <cellStyle name="Nota 2 2 2 2 23" xfId="49222"/>
    <cellStyle name="Nota 2 2 2 2 24" xfId="52305"/>
    <cellStyle name="Nota 2 2 2 2 3" xfId="8658"/>
    <cellStyle name="Nota 2 2 2 2 3 2" xfId="52500"/>
    <cellStyle name="Nota 2 2 2 2 4" xfId="10568"/>
    <cellStyle name="Nota 2 2 2 2 4 2" xfId="52521"/>
    <cellStyle name="Nota 2 2 2 2 5" xfId="11788"/>
    <cellStyle name="Nota 2 2 2 2 6" xfId="14210"/>
    <cellStyle name="Nota 2 2 2 2 7" xfId="16114"/>
    <cellStyle name="Nota 2 2 2 2 8" xfId="18187"/>
    <cellStyle name="Nota 2 2 2 2 9" xfId="20093"/>
    <cellStyle name="Nota 2 2 2 2_Mem." xfId="49223"/>
    <cellStyle name="Nota 2 2 2 20" xfId="36026"/>
    <cellStyle name="Nota 2 2 2 21" xfId="37905"/>
    <cellStyle name="Nota 2 2 2 22" xfId="39911"/>
    <cellStyle name="Nota 2 2 2 23" xfId="41580"/>
    <cellStyle name="Nota 2 2 2 24" xfId="43044"/>
    <cellStyle name="Nota 2 2 2 25" xfId="49224"/>
    <cellStyle name="Nota 2 2 2 3" xfId="5149"/>
    <cellStyle name="Nota 2 2 2 3 10" xfId="52511"/>
    <cellStyle name="Nota 2 2 2 3 2" xfId="45675"/>
    <cellStyle name="Nota 2 2 2 3 3" xfId="46064"/>
    <cellStyle name="Nota 2 2 2 3 4" xfId="46422"/>
    <cellStyle name="Nota 2 2 2 3 5" xfId="46774"/>
    <cellStyle name="Nota 2 2 2 3 6" xfId="47089"/>
    <cellStyle name="Nota 2 2 2 3 7" xfId="47408"/>
    <cellStyle name="Nota 2 2 2 3 8" xfId="47726"/>
    <cellStyle name="Nota 2 2 2 3 9" xfId="50895"/>
    <cellStyle name="Nota 2 2 2 4" xfId="6599"/>
    <cellStyle name="Nota 2 2 2 4 2" xfId="45823"/>
    <cellStyle name="Nota 2 2 2 4 3" xfId="46212"/>
    <cellStyle name="Nota 2 2 2 4 4" xfId="46570"/>
    <cellStyle name="Nota 2 2 2 4 5" xfId="46922"/>
    <cellStyle name="Nota 2 2 2 4 6" xfId="47237"/>
    <cellStyle name="Nota 2 2 2 4 7" xfId="47556"/>
    <cellStyle name="Nota 2 2 2 4 8" xfId="47874"/>
    <cellStyle name="Nota 2 2 2 4 9" xfId="52448"/>
    <cellStyle name="Nota 2 2 2 5" xfId="8050"/>
    <cellStyle name="Nota 2 2 2 6" xfId="9960"/>
    <cellStyle name="Nota 2 2 2 7" xfId="11203"/>
    <cellStyle name="Nota 2 2 2 8" xfId="13740"/>
    <cellStyle name="Nota 2 2 2 9" xfId="15642"/>
    <cellStyle name="Nota 2 2 2_Mem." xfId="49225"/>
    <cellStyle name="Nota 2 2 20" xfId="33090"/>
    <cellStyle name="Nota 2 2 21" xfId="33647"/>
    <cellStyle name="Nota 2 2 22" xfId="35428"/>
    <cellStyle name="Nota 2 2 23" xfId="37306"/>
    <cellStyle name="Nota 2 2 24" xfId="40286"/>
    <cellStyle name="Nota 2 2 25" xfId="41942"/>
    <cellStyle name="Nota 2 2 26" xfId="42863"/>
    <cellStyle name="Nota 2 2 27" xfId="51423"/>
    <cellStyle name="Nota 2 2 3" xfId="2093"/>
    <cellStyle name="Nota 2 2 3 10" xfId="19016"/>
    <cellStyle name="Nota 2 2 3 11" xfId="20928"/>
    <cellStyle name="Nota 2 2 3 12" xfId="22459"/>
    <cellStyle name="Nota 2 2 3 13" xfId="24730"/>
    <cellStyle name="Nota 2 2 3 14" xfId="26341"/>
    <cellStyle name="Nota 2 2 3 15" xfId="29264"/>
    <cellStyle name="Nota 2 2 3 16" xfId="29949"/>
    <cellStyle name="Nota 2 2 3 17" xfId="32538"/>
    <cellStyle name="Nota 2 2 3 18" xfId="33745"/>
    <cellStyle name="Nota 2 2 3 19" xfId="35557"/>
    <cellStyle name="Nota 2 2 3 2" xfId="5662"/>
    <cellStyle name="Nota 2 2 3 2 10" xfId="21912"/>
    <cellStyle name="Nota 2 2 3 2 11" xfId="23499"/>
    <cellStyle name="Nota 2 2 3 2 12" xfId="25714"/>
    <cellStyle name="Nota 2 2 3 2 13" xfId="26631"/>
    <cellStyle name="Nota 2 2 3 2 14" xfId="29575"/>
    <cellStyle name="Nota 2 2 3 2 15" xfId="30234"/>
    <cellStyle name="Nota 2 2 3 2 16" xfId="32969"/>
    <cellStyle name="Nota 2 2 3 2 17" xfId="35033"/>
    <cellStyle name="Nota 2 2 3 2 18" xfId="36541"/>
    <cellStyle name="Nota 2 2 3 2 19" xfId="38420"/>
    <cellStyle name="Nota 2 2 3 2 2" xfId="7111"/>
    <cellStyle name="Nota 2 2 3 2 20" xfId="40170"/>
    <cellStyle name="Nota 2 2 3 2 21" xfId="41829"/>
    <cellStyle name="Nota 2 2 3 2 22" xfId="43265"/>
    <cellStyle name="Nota 2 2 3 2 23" xfId="51269"/>
    <cellStyle name="Nota 2 2 3 2 3" xfId="8565"/>
    <cellStyle name="Nota 2 2 3 2 4" xfId="10475"/>
    <cellStyle name="Nota 2 2 3 2 5" xfId="12509"/>
    <cellStyle name="Nota 2 2 3 2 6" xfId="13971"/>
    <cellStyle name="Nota 2 2 3 2 7" xfId="15872"/>
    <cellStyle name="Nota 2 2 3 2 8" xfId="18094"/>
    <cellStyle name="Nota 2 2 3 2 9" xfId="20000"/>
    <cellStyle name="Nota 2 2 3 20" xfId="37436"/>
    <cellStyle name="Nota 2 2 3 21" xfId="39751"/>
    <cellStyle name="Nota 2 2 3 22" xfId="41423"/>
    <cellStyle name="Nota 2 2 3 23" xfId="42270"/>
    <cellStyle name="Nota 2 2 3 24" xfId="49226"/>
    <cellStyle name="Nota 2 2 3 3" xfId="4683"/>
    <cellStyle name="Nota 2 2 3 3 2" xfId="45707"/>
    <cellStyle name="Nota 2 2 3 3 3" xfId="46096"/>
    <cellStyle name="Nota 2 2 3 3 4" xfId="46454"/>
    <cellStyle name="Nota 2 2 3 3 5" xfId="46806"/>
    <cellStyle name="Nota 2 2 3 3 6" xfId="47121"/>
    <cellStyle name="Nota 2 2 3 3 7" xfId="47440"/>
    <cellStyle name="Nota 2 2 3 3 8" xfId="47758"/>
    <cellStyle name="Nota 2 2 3 4" xfId="7581"/>
    <cellStyle name="Nota 2 2 3 4 2" xfId="45600"/>
    <cellStyle name="Nota 2 2 3 4 3" xfId="45989"/>
    <cellStyle name="Nota 2 2 3 4 4" xfId="46347"/>
    <cellStyle name="Nota 2 2 3 4 5" xfId="46699"/>
    <cellStyle name="Nota 2 2 3 4 6" xfId="47014"/>
    <cellStyle name="Nota 2 2 3 4 7" xfId="47333"/>
    <cellStyle name="Nota 2 2 3 4 8" xfId="47651"/>
    <cellStyle name="Nota 2 2 3 5" xfId="9491"/>
    <cellStyle name="Nota 2 2 3 5 2" xfId="45642"/>
    <cellStyle name="Nota 2 2 3 5 3" xfId="46031"/>
    <cellStyle name="Nota 2 2 3 5 4" xfId="46389"/>
    <cellStyle name="Nota 2 2 3 5 5" xfId="46741"/>
    <cellStyle name="Nota 2 2 3 5 6" xfId="47056"/>
    <cellStyle name="Nota 2 2 3 5 7" xfId="47375"/>
    <cellStyle name="Nota 2 2 3 5 8" xfId="47693"/>
    <cellStyle name="Nota 2 2 3 6" xfId="11640"/>
    <cellStyle name="Nota 2 2 3 7" xfId="12927"/>
    <cellStyle name="Nota 2 2 3 8" xfId="14832"/>
    <cellStyle name="Nota 2 2 3 9" xfId="17110"/>
    <cellStyle name="Nota 2 2 3_Mem." xfId="49227"/>
    <cellStyle name="Nota 2 2 4" xfId="4140"/>
    <cellStyle name="Nota 2 2 4 10" xfId="19775"/>
    <cellStyle name="Nota 2 2 4 11" xfId="21687"/>
    <cellStyle name="Nota 2 2 4 12" xfId="23848"/>
    <cellStyle name="Nota 2 2 4 13" xfId="25489"/>
    <cellStyle name="Nota 2 2 4 14" xfId="27093"/>
    <cellStyle name="Nota 2 2 4 15" xfId="2784"/>
    <cellStyle name="Nota 2 2 4 16" xfId="30684"/>
    <cellStyle name="Nota 2 2 4 17" xfId="1760"/>
    <cellStyle name="Nota 2 2 4 18" xfId="13327"/>
    <cellStyle name="Nota 2 2 4 19" xfId="36316"/>
    <cellStyle name="Nota 2 2 4 2" xfId="6045"/>
    <cellStyle name="Nota 2 2 4 2 10" xfId="22295"/>
    <cellStyle name="Nota 2 2 4 2 11" xfId="14682"/>
    <cellStyle name="Nota 2 2 4 2 12" xfId="26097"/>
    <cellStyle name="Nota 2 2 4 2 13" xfId="2862"/>
    <cellStyle name="Nota 2 2 4 2 14" xfId="27513"/>
    <cellStyle name="Nota 2 2 4 2 15" xfId="14718"/>
    <cellStyle name="Nota 2 2 4 2 16" xfId="22323"/>
    <cellStyle name="Nota 2 2 4 2 17" xfId="27005"/>
    <cellStyle name="Nota 2 2 4 2 18" xfId="36924"/>
    <cellStyle name="Nota 2 2 4 2 19" xfId="38803"/>
    <cellStyle name="Nota 2 2 4 2 2" xfId="7494"/>
    <cellStyle name="Nota 2 2 4 2 20" xfId="33569"/>
    <cellStyle name="Nota 2 2 4 2 21" xfId="2081"/>
    <cellStyle name="Nota 2 2 4 2 22" xfId="33349"/>
    <cellStyle name="Nota 2 2 4 2 3" xfId="8948"/>
    <cellStyle name="Nota 2 2 4 2 4" xfId="10858"/>
    <cellStyle name="Nota 2 2 4 2 5" xfId="3338"/>
    <cellStyle name="Nota 2 2 4 2 6" xfId="1964"/>
    <cellStyle name="Nota 2 2 4 2 7" xfId="2349"/>
    <cellStyle name="Nota 2 2 4 2 8" xfId="18477"/>
    <cellStyle name="Nota 2 2 4 2 9" xfId="20383"/>
    <cellStyle name="Nota 2 2 4 20" xfId="38195"/>
    <cellStyle name="Nota 2 2 4 21" xfId="34816"/>
    <cellStyle name="Nota 2 2 4 22" xfId="34630"/>
    <cellStyle name="Nota 2 2 4 23" xfId="43599"/>
    <cellStyle name="Nota 2 2 4 24" xfId="50164"/>
    <cellStyle name="Nota 2 2 4 3" xfId="6886"/>
    <cellStyle name="Nota 2 2 4 3 2" xfId="45692"/>
    <cellStyle name="Nota 2 2 4 3 3" xfId="46081"/>
    <cellStyle name="Nota 2 2 4 3 4" xfId="46439"/>
    <cellStyle name="Nota 2 2 4 3 5" xfId="46791"/>
    <cellStyle name="Nota 2 2 4 3 6" xfId="47106"/>
    <cellStyle name="Nota 2 2 4 3 7" xfId="47425"/>
    <cellStyle name="Nota 2 2 4 3 8" xfId="47743"/>
    <cellStyle name="Nota 2 2 4 4" xfId="8340"/>
    <cellStyle name="Nota 2 2 4 4 2" xfId="45752"/>
    <cellStyle name="Nota 2 2 4 4 3" xfId="46141"/>
    <cellStyle name="Nota 2 2 4 4 4" xfId="46499"/>
    <cellStyle name="Nota 2 2 4 4 5" xfId="46851"/>
    <cellStyle name="Nota 2 2 4 4 6" xfId="47166"/>
    <cellStyle name="Nota 2 2 4 4 7" xfId="47485"/>
    <cellStyle name="Nota 2 2 4 4 8" xfId="47803"/>
    <cellStyle name="Nota 2 2 4 5" xfId="10250"/>
    <cellStyle name="Nota 2 2 4 5 2" xfId="45812"/>
    <cellStyle name="Nota 2 2 4 5 3" xfId="46201"/>
    <cellStyle name="Nota 2 2 4 5 4" xfId="46559"/>
    <cellStyle name="Nota 2 2 4 5 5" xfId="46911"/>
    <cellStyle name="Nota 2 2 4 5 6" xfId="47226"/>
    <cellStyle name="Nota 2 2 4 5 7" xfId="47545"/>
    <cellStyle name="Nota 2 2 4 5 8" xfId="47863"/>
    <cellStyle name="Nota 2 2 4 6" xfId="11632"/>
    <cellStyle name="Nota 2 2 4 7" xfId="14318"/>
    <cellStyle name="Nota 2 2 4 8" xfId="16222"/>
    <cellStyle name="Nota 2 2 4 9" xfId="17869"/>
    <cellStyle name="Nota 2 2 5" xfId="4981"/>
    <cellStyle name="Nota 2 2 5 10" xfId="21229"/>
    <cellStyle name="Nota 2 2 5 11" xfId="23959"/>
    <cellStyle name="Nota 2 2 5 12" xfId="25031"/>
    <cellStyle name="Nota 2 2 5 13" xfId="26620"/>
    <cellStyle name="Nota 2 2 5 14" xfId="29448"/>
    <cellStyle name="Nota 2 2 5 15" xfId="30223"/>
    <cellStyle name="Nota 2 2 5 16" xfId="33149"/>
    <cellStyle name="Nota 2 2 5 17" xfId="34551"/>
    <cellStyle name="Nota 2 2 5 18" xfId="35858"/>
    <cellStyle name="Nota 2 2 5 19" xfId="37737"/>
    <cellStyle name="Nota 2 2 5 2" xfId="6431"/>
    <cellStyle name="Nota 2 2 5 2 2" xfId="45969"/>
    <cellStyle name="Nota 2 2 5 2 3" xfId="46327"/>
    <cellStyle name="Nota 2 2 5 2 4" xfId="46679"/>
    <cellStyle name="Nota 2 2 5 2 5" xfId="47631"/>
    <cellStyle name="Nota 2 2 5 20" xfId="40342"/>
    <cellStyle name="Nota 2 2 5 21" xfId="41998"/>
    <cellStyle name="Nota 2 2 5 22" xfId="43705"/>
    <cellStyle name="Nota 2 2 5 23" xfId="51481"/>
    <cellStyle name="Nota 2 2 5 3" xfId="7882"/>
    <cellStyle name="Nota 2 2 5 3 2" xfId="45761"/>
    <cellStyle name="Nota 2 2 5 3 3" xfId="46150"/>
    <cellStyle name="Nota 2 2 5 3 4" xfId="46508"/>
    <cellStyle name="Nota 2 2 5 3 5" xfId="46860"/>
    <cellStyle name="Nota 2 2 5 3 6" xfId="47175"/>
    <cellStyle name="Nota 2 2 5 3 7" xfId="47494"/>
    <cellStyle name="Nota 2 2 5 3 8" xfId="47812"/>
    <cellStyle name="Nota 2 2 5 4" xfId="9792"/>
    <cellStyle name="Nota 2 2 5 4 2" xfId="45830"/>
    <cellStyle name="Nota 2 2 5 4 3" xfId="46219"/>
    <cellStyle name="Nota 2 2 5 4 4" xfId="46577"/>
    <cellStyle name="Nota 2 2 5 4 5" xfId="46929"/>
    <cellStyle name="Nota 2 2 5 4 6" xfId="47244"/>
    <cellStyle name="Nota 2 2 5 4 7" xfId="47563"/>
    <cellStyle name="Nota 2 2 5 4 8" xfId="47881"/>
    <cellStyle name="Nota 2 2 5 5" xfId="11919"/>
    <cellStyle name="Nota 2 2 5 5 2" xfId="45867"/>
    <cellStyle name="Nota 2 2 5 5 3" xfId="46256"/>
    <cellStyle name="Nota 2 2 5 5 4" xfId="46614"/>
    <cellStyle name="Nota 2 2 5 5 5" xfId="46966"/>
    <cellStyle name="Nota 2 2 5 5 6" xfId="47281"/>
    <cellStyle name="Nota 2 2 5 5 7" xfId="47600"/>
    <cellStyle name="Nota 2 2 5 5 8" xfId="47918"/>
    <cellStyle name="Nota 2 2 5 6" xfId="14429"/>
    <cellStyle name="Nota 2 2 5 7" xfId="16335"/>
    <cellStyle name="Nota 2 2 5 8" xfId="17411"/>
    <cellStyle name="Nota 2 2 5 9" xfId="19317"/>
    <cellStyle name="Nota 2 2 6" xfId="5453"/>
    <cellStyle name="Nota 2 2 6 10" xfId="21703"/>
    <cellStyle name="Nota 2 2 6 11" xfId="22473"/>
    <cellStyle name="Nota 2 2 6 12" xfId="25505"/>
    <cellStyle name="Nota 2 2 6 13" xfId="26562"/>
    <cellStyle name="Nota 2 2 6 14" xfId="29563"/>
    <cellStyle name="Nota 2 2 6 15" xfId="30165"/>
    <cellStyle name="Nota 2 2 6 16" xfId="31845"/>
    <cellStyle name="Nota 2 2 6 17" xfId="34724"/>
    <cellStyle name="Nota 2 2 6 18" xfId="36332"/>
    <cellStyle name="Nota 2 2 6 19" xfId="38211"/>
    <cellStyle name="Nota 2 2 6 2" xfId="6902"/>
    <cellStyle name="Nota 2 2 6 20" xfId="39082"/>
    <cellStyle name="Nota 2 2 6 21" xfId="40763"/>
    <cellStyle name="Nota 2 2 6 22" xfId="42283"/>
    <cellStyle name="Nota 2 2 6 23" xfId="52283"/>
    <cellStyle name="Nota 2 2 6 3" xfId="8356"/>
    <cellStyle name="Nota 2 2 6 4" xfId="10266"/>
    <cellStyle name="Nota 2 2 6 5" xfId="12609"/>
    <cellStyle name="Nota 2 2 6 6" xfId="12941"/>
    <cellStyle name="Nota 2 2 6 7" xfId="14845"/>
    <cellStyle name="Nota 2 2 6 8" xfId="17885"/>
    <cellStyle name="Nota 2 2 6 9" xfId="19791"/>
    <cellStyle name="Nota 2 2 7" xfId="6276"/>
    <cellStyle name="Nota 2 2 7 2" xfId="45663"/>
    <cellStyle name="Nota 2 2 7 3" xfId="46052"/>
    <cellStyle name="Nota 2 2 7 4" xfId="46410"/>
    <cellStyle name="Nota 2 2 7 5" xfId="46762"/>
    <cellStyle name="Nota 2 2 7 6" xfId="47077"/>
    <cellStyle name="Nota 2 2 7 7" xfId="47396"/>
    <cellStyle name="Nota 2 2 7 8" xfId="47714"/>
    <cellStyle name="Nota 2 2 7 9" xfId="52444"/>
    <cellStyle name="Nota 2 2 8" xfId="9360"/>
    <cellStyle name="Nota 2 2 8 2" xfId="45569"/>
    <cellStyle name="Nota 2 2 9" xfId="12691"/>
    <cellStyle name="Nota 2 2_Mem." xfId="49228"/>
    <cellStyle name="Nota 2 20" xfId="32459"/>
    <cellStyle name="Nota 2 21" xfId="34242"/>
    <cellStyle name="Nota 2 22" xfId="32070"/>
    <cellStyle name="Nota 2 23" xfId="33516"/>
    <cellStyle name="Nota 2 24" xfId="39677"/>
    <cellStyle name="Nota 2 25" xfId="41350"/>
    <cellStyle name="Nota 2 26" xfId="43718"/>
    <cellStyle name="Nota 2 3" xfId="3503"/>
    <cellStyle name="Nota 2 3 10" xfId="14983"/>
    <cellStyle name="Nota 2 3 11" xfId="16968"/>
    <cellStyle name="Nota 2 3 12" xfId="18875"/>
    <cellStyle name="Nota 2 3 13" xfId="20787"/>
    <cellStyle name="Nota 2 3 14" xfId="22611"/>
    <cellStyle name="Nota 2 3 15" xfId="24589"/>
    <cellStyle name="Nota 2 3 16" xfId="27529"/>
    <cellStyle name="Nota 2 3 17" xfId="22704"/>
    <cellStyle name="Nota 2 3 18" xfId="31111"/>
    <cellStyle name="Nota 2 3 19" xfId="33162"/>
    <cellStyle name="Nota 2 3 2" xfId="3683"/>
    <cellStyle name="Nota 2 3 2 10" xfId="17574"/>
    <cellStyle name="Nota 2 3 2 11" xfId="19480"/>
    <cellStyle name="Nota 2 3 2 12" xfId="21392"/>
    <cellStyle name="Nota 2 3 2 13" xfId="24161"/>
    <cellStyle name="Nota 2 3 2 14" xfId="25194"/>
    <cellStyle name="Nota 2 3 2 15" xfId="27288"/>
    <cellStyle name="Nota 2 3 2 16" xfId="28177"/>
    <cellStyle name="Nota 2 3 2 17" xfId="30879"/>
    <cellStyle name="Nota 2 3 2 18" xfId="32065"/>
    <cellStyle name="Nota 2 3 2 19" xfId="34339"/>
    <cellStyle name="Nota 2 3 2 2" xfId="5750"/>
    <cellStyle name="Nota 2 3 2 2 10" xfId="22000"/>
    <cellStyle name="Nota 2 3 2 2 11" xfId="23717"/>
    <cellStyle name="Nota 2 3 2 2 12" xfId="25802"/>
    <cellStyle name="Nota 2 3 2 2 13" xfId="26249"/>
    <cellStyle name="Nota 2 3 2 2 14" xfId="29127"/>
    <cellStyle name="Nota 2 3 2 2 15" xfId="29859"/>
    <cellStyle name="Nota 2 3 2 2 16" xfId="31949"/>
    <cellStyle name="Nota 2 3 2 2 17" xfId="34405"/>
    <cellStyle name="Nota 2 3 2 2 18" xfId="36629"/>
    <cellStyle name="Nota 2 3 2 2 19" xfId="38508"/>
    <cellStyle name="Nota 2 3 2 2 2" xfId="7199"/>
    <cellStyle name="Nota 2 3 2 2 20" xfId="39179"/>
    <cellStyle name="Nota 2 3 2 2 21" xfId="40860"/>
    <cellStyle name="Nota 2 3 2 2 22" xfId="43474"/>
    <cellStyle name="Nota 2 3 2 2 23" xfId="51297"/>
    <cellStyle name="Nota 2 3 2 2 3" xfId="8653"/>
    <cellStyle name="Nota 2 3 2 2 4" xfId="10563"/>
    <cellStyle name="Nota 2 3 2 2 5" xfId="12678"/>
    <cellStyle name="Nota 2 3 2 2 6" xfId="14187"/>
    <cellStyle name="Nota 2 3 2 2 7" xfId="16091"/>
    <cellStyle name="Nota 2 3 2 2 8" xfId="18182"/>
    <cellStyle name="Nota 2 3 2 2 9" xfId="20088"/>
    <cellStyle name="Nota 2 3 2 20" xfId="36021"/>
    <cellStyle name="Nota 2 3 2 21" xfId="37900"/>
    <cellStyle name="Nota 2 3 2 22" xfId="39291"/>
    <cellStyle name="Nota 2 3 2 23" xfId="40967"/>
    <cellStyle name="Nota 2 3 2 24" xfId="43903"/>
    <cellStyle name="Nota 2 3 2 25" xfId="49229"/>
    <cellStyle name="Nota 2 3 2 3" xfId="5144"/>
    <cellStyle name="Nota 2 3 2 3 2" xfId="45718"/>
    <cellStyle name="Nota 2 3 2 3 3" xfId="46107"/>
    <cellStyle name="Nota 2 3 2 3 4" xfId="46465"/>
    <cellStyle name="Nota 2 3 2 3 5" xfId="46817"/>
    <cellStyle name="Nota 2 3 2 3 6" xfId="47132"/>
    <cellStyle name="Nota 2 3 2 3 7" xfId="47451"/>
    <cellStyle name="Nota 2 3 2 3 8" xfId="47769"/>
    <cellStyle name="Nota 2 3 2 4" xfId="6594"/>
    <cellStyle name="Nota 2 3 2 4 2" xfId="45780"/>
    <cellStyle name="Nota 2 3 2 4 3" xfId="46169"/>
    <cellStyle name="Nota 2 3 2 4 4" xfId="46527"/>
    <cellStyle name="Nota 2 3 2 4 5" xfId="46879"/>
    <cellStyle name="Nota 2 3 2 4 6" xfId="47194"/>
    <cellStyle name="Nota 2 3 2 4 7" xfId="47513"/>
    <cellStyle name="Nota 2 3 2 4 8" xfId="47831"/>
    <cellStyle name="Nota 2 3 2 5" xfId="8045"/>
    <cellStyle name="Nota 2 3 2 5 2" xfId="45633"/>
    <cellStyle name="Nota 2 3 2 5 3" xfId="46022"/>
    <cellStyle name="Nota 2 3 2 5 4" xfId="46380"/>
    <cellStyle name="Nota 2 3 2 5 5" xfId="46732"/>
    <cellStyle name="Nota 2 3 2 5 6" xfId="47047"/>
    <cellStyle name="Nota 2 3 2 5 7" xfId="47366"/>
    <cellStyle name="Nota 2 3 2 5 8" xfId="47684"/>
    <cellStyle name="Nota 2 3 2 6" xfId="9955"/>
    <cellStyle name="Nota 2 3 2 7" xfId="12121"/>
    <cellStyle name="Nota 2 3 2 8" xfId="14632"/>
    <cellStyle name="Nota 2 3 2 9" xfId="16538"/>
    <cellStyle name="Nota 2 3 2_Mem." xfId="49230"/>
    <cellStyle name="Nota 2 3 20" xfId="33626"/>
    <cellStyle name="Nota 2 3 21" xfId="35417"/>
    <cellStyle name="Nota 2 3 22" xfId="37295"/>
    <cellStyle name="Nota 2 3 23" xfId="40354"/>
    <cellStyle name="Nota 2 3 24" xfId="42010"/>
    <cellStyle name="Nota 2 3 25" xfId="42418"/>
    <cellStyle name="Nota 2 3 26" xfId="49231"/>
    <cellStyle name="Nota 2 3 27" xfId="51406"/>
    <cellStyle name="Nota 2 3 28" xfId="51478"/>
    <cellStyle name="Nota 2 3 29" xfId="51405"/>
    <cellStyle name="Nota 2 3 3" xfId="3240"/>
    <cellStyle name="Nota 2 3 3 10" xfId="19186"/>
    <cellStyle name="Nota 2 3 3 11" xfId="21098"/>
    <cellStyle name="Nota 2 3 3 12" xfId="23385"/>
    <cellStyle name="Nota 2 3 3 13" xfId="24900"/>
    <cellStyle name="Nota 2 3 3 14" xfId="26788"/>
    <cellStyle name="Nota 2 3 3 15" xfId="28811"/>
    <cellStyle name="Nota 2 3 3 16" xfId="30387"/>
    <cellStyle name="Nota 2 3 3 17" xfId="32456"/>
    <cellStyle name="Nota 2 3 3 18" xfId="33617"/>
    <cellStyle name="Nota 2 3 3 19" xfId="35727"/>
    <cellStyle name="Nota 2 3 3 2" xfId="4565"/>
    <cellStyle name="Nota 2 3 3 2 10" xfId="20810"/>
    <cellStyle name="Nota 2 3 3 2 11" xfId="22830"/>
    <cellStyle name="Nota 2 3 3 2 12" xfId="24612"/>
    <cellStyle name="Nota 2 3 3 2 13" xfId="27084"/>
    <cellStyle name="Nota 2 3 3 2 14" xfId="28589"/>
    <cellStyle name="Nota 2 3 3 2 15" xfId="30675"/>
    <cellStyle name="Nota 2 3 3 2 16" xfId="32824"/>
    <cellStyle name="Nota 2 3 3 2 17" xfId="33816"/>
    <cellStyle name="Nota 2 3 3 2 18" xfId="35440"/>
    <cellStyle name="Nota 2 3 3 2 19" xfId="37318"/>
    <cellStyle name="Nota 2 3 3 2 2" xfId="4407"/>
    <cellStyle name="Nota 2 3 3 2 20" xfId="40033"/>
    <cellStyle name="Nota 2 3 3 2 21" xfId="41697"/>
    <cellStyle name="Nota 2 3 3 2 22" xfId="42622"/>
    <cellStyle name="Nota 2 3 3 2 3" xfId="5339"/>
    <cellStyle name="Nota 2 3 3 2 4" xfId="9372"/>
    <cellStyle name="Nota 2 3 3 2 5" xfId="12337"/>
    <cellStyle name="Nota 2 3 3 2 6" xfId="13299"/>
    <cellStyle name="Nota 2 3 3 2 7" xfId="15204"/>
    <cellStyle name="Nota 2 3 3 2 8" xfId="16991"/>
    <cellStyle name="Nota 2 3 3 2 9" xfId="18898"/>
    <cellStyle name="Nota 2 3 3 20" xfId="37606"/>
    <cellStyle name="Nota 2 3 3 21" xfId="39674"/>
    <cellStyle name="Nota 2 3 3 22" xfId="41347"/>
    <cellStyle name="Nota 2 3 3 23" xfId="43152"/>
    <cellStyle name="Nota 2 3 3 24" xfId="50530"/>
    <cellStyle name="Nota 2 3 3 3" xfId="4850"/>
    <cellStyle name="Nota 2 3 3 3 2" xfId="45733"/>
    <cellStyle name="Nota 2 3 3 3 3" xfId="46122"/>
    <cellStyle name="Nota 2 3 3 3 4" xfId="46480"/>
    <cellStyle name="Nota 2 3 3 3 5" xfId="46832"/>
    <cellStyle name="Nota 2 3 3 3 6" xfId="47147"/>
    <cellStyle name="Nota 2 3 3 3 7" xfId="47466"/>
    <cellStyle name="Nota 2 3 3 3 8" xfId="47784"/>
    <cellStyle name="Nota 2 3 3 4" xfId="7751"/>
    <cellStyle name="Nota 2 3 3 4 2" xfId="45795"/>
    <cellStyle name="Nota 2 3 3 4 3" xfId="46184"/>
    <cellStyle name="Nota 2 3 3 4 4" xfId="46542"/>
    <cellStyle name="Nota 2 3 3 4 5" xfId="46894"/>
    <cellStyle name="Nota 2 3 3 4 6" xfId="47209"/>
    <cellStyle name="Nota 2 3 3 4 7" xfId="47528"/>
    <cellStyle name="Nota 2 3 3 4 8" xfId="47846"/>
    <cellStyle name="Nota 2 3 3 5" xfId="9661"/>
    <cellStyle name="Nota 2 3 3 5 2" xfId="45848"/>
    <cellStyle name="Nota 2 3 3 5 3" xfId="46237"/>
    <cellStyle name="Nota 2 3 3 5 4" xfId="46595"/>
    <cellStyle name="Nota 2 3 3 5 5" xfId="46947"/>
    <cellStyle name="Nota 2 3 3 5 6" xfId="47262"/>
    <cellStyle name="Nota 2 3 3 5 7" xfId="47581"/>
    <cellStyle name="Nota 2 3 3 5 8" xfId="47899"/>
    <cellStyle name="Nota 2 3 3 6" xfId="12173"/>
    <cellStyle name="Nota 2 3 3 7" xfId="13857"/>
    <cellStyle name="Nota 2 3 3 8" xfId="15758"/>
    <cellStyle name="Nota 2 3 3 9" xfId="17280"/>
    <cellStyle name="Nota 2 3 4" xfId="4135"/>
    <cellStyle name="Nota 2 3 4 10" xfId="19770"/>
    <cellStyle name="Nota 2 3 4 11" xfId="21682"/>
    <cellStyle name="Nota 2 3 4 12" xfId="23996"/>
    <cellStyle name="Nota 2 3 4 13" xfId="25484"/>
    <cellStyle name="Nota 2 3 4 14" xfId="27835"/>
    <cellStyle name="Nota 2 3 4 15" xfId="2792"/>
    <cellStyle name="Nota 2 3 4 16" xfId="31413"/>
    <cellStyle name="Nota 2 3 4 17" xfId="32202"/>
    <cellStyle name="Nota 2 3 4 18" xfId="34344"/>
    <cellStyle name="Nota 2 3 4 19" xfId="36311"/>
    <cellStyle name="Nota 2 3 4 2" xfId="6040"/>
    <cellStyle name="Nota 2 3 4 2 10" xfId="22290"/>
    <cellStyle name="Nota 2 3 4 2 11" xfId="2248"/>
    <cellStyle name="Nota 2 3 4 2 12" xfId="26092"/>
    <cellStyle name="Nota 2 3 4 2 13" xfId="3846"/>
    <cellStyle name="Nota 2 3 4 2 14" xfId="2200"/>
    <cellStyle name="Nota 2 3 4 2 15" xfId="24224"/>
    <cellStyle name="Nota 2 3 4 2 16" xfId="2921"/>
    <cellStyle name="Nota 2 3 4 2 17" xfId="27631"/>
    <cellStyle name="Nota 2 3 4 2 18" xfId="36919"/>
    <cellStyle name="Nota 2 3 4 2 19" xfId="38798"/>
    <cellStyle name="Nota 2 3 4 2 2" xfId="7489"/>
    <cellStyle name="Nota 2 3 4 2 20" xfId="26309"/>
    <cellStyle name="Nota 2 3 4 2 21" xfId="33828"/>
    <cellStyle name="Nota 2 3 4 2 22" xfId="12803"/>
    <cellStyle name="Nota 2 3 4 2 3" xfId="8943"/>
    <cellStyle name="Nota 2 3 4 2 4" xfId="10853"/>
    <cellStyle name="Nota 2 3 4 2 5" xfId="1767"/>
    <cellStyle name="Nota 2 3 4 2 6" xfId="3972"/>
    <cellStyle name="Nota 2 3 4 2 7" xfId="7527"/>
    <cellStyle name="Nota 2 3 4 2 8" xfId="18472"/>
    <cellStyle name="Nota 2 3 4 2 9" xfId="20378"/>
    <cellStyle name="Nota 2 3 4 20" xfId="38190"/>
    <cellStyle name="Nota 2 3 4 21" xfId="39424"/>
    <cellStyle name="Nota 2 3 4 22" xfId="41100"/>
    <cellStyle name="Nota 2 3 4 23" xfId="43740"/>
    <cellStyle name="Nota 2 3 4 3" xfId="6881"/>
    <cellStyle name="Nota 2 3 4 3 2" xfId="45767"/>
    <cellStyle name="Nota 2 3 4 3 3" xfId="46156"/>
    <cellStyle name="Nota 2 3 4 3 4" xfId="46514"/>
    <cellStyle name="Nota 2 3 4 3 5" xfId="46866"/>
    <cellStyle name="Nota 2 3 4 3 6" xfId="47181"/>
    <cellStyle name="Nota 2 3 4 3 7" xfId="47500"/>
    <cellStyle name="Nota 2 3 4 3 8" xfId="47818"/>
    <cellStyle name="Nota 2 3 4 4" xfId="8335"/>
    <cellStyle name="Nota 2 3 4 4 2" xfId="45836"/>
    <cellStyle name="Nota 2 3 4 4 3" xfId="46225"/>
    <cellStyle name="Nota 2 3 4 4 4" xfId="46583"/>
    <cellStyle name="Nota 2 3 4 4 5" xfId="46935"/>
    <cellStyle name="Nota 2 3 4 4 6" xfId="47250"/>
    <cellStyle name="Nota 2 3 4 4 7" xfId="47569"/>
    <cellStyle name="Nota 2 3 4 4 8" xfId="47887"/>
    <cellStyle name="Nota 2 3 4 5" xfId="10245"/>
    <cellStyle name="Nota 2 3 4 5 2" xfId="45873"/>
    <cellStyle name="Nota 2 3 4 5 3" xfId="46262"/>
    <cellStyle name="Nota 2 3 4 5 4" xfId="46620"/>
    <cellStyle name="Nota 2 3 4 5 5" xfId="46972"/>
    <cellStyle name="Nota 2 3 4 5 6" xfId="47287"/>
    <cellStyle name="Nota 2 3 4 5 7" xfId="47606"/>
    <cellStyle name="Nota 2 3 4 5 8" xfId="47924"/>
    <cellStyle name="Nota 2 3 4 6" xfId="11955"/>
    <cellStyle name="Nota 2 3 4 7" xfId="14466"/>
    <cellStyle name="Nota 2 3 4 8" xfId="16372"/>
    <cellStyle name="Nota 2 3 4 9" xfId="17864"/>
    <cellStyle name="Nota 2 3 5" xfId="4331"/>
    <cellStyle name="Nota 2 3 5 10" xfId="20465"/>
    <cellStyle name="Nota 2 3 5 11" xfId="23265"/>
    <cellStyle name="Nota 2 3 5 12" xfId="24267"/>
    <cellStyle name="Nota 2 3 5 13" xfId="26524"/>
    <cellStyle name="Nota 2 3 5 14" xfId="3190"/>
    <cellStyle name="Nota 2 3 5 15" xfId="30130"/>
    <cellStyle name="Nota 2 3 5 16" xfId="33098"/>
    <cellStyle name="Nota 2 3 5 17" xfId="33519"/>
    <cellStyle name="Nota 2 3 5 18" xfId="35095"/>
    <cellStyle name="Nota 2 3 5 19" xfId="36973"/>
    <cellStyle name="Nota 2 3 5 2" xfId="5376"/>
    <cellStyle name="Nota 2 3 5 20" xfId="40294"/>
    <cellStyle name="Nota 2 3 5 21" xfId="41950"/>
    <cellStyle name="Nota 2 3 5 22" xfId="43041"/>
    <cellStyle name="Nota 2 3 5 3" xfId="6678"/>
    <cellStyle name="Nota 2 3 5 4" xfId="9027"/>
    <cellStyle name="Nota 2 3 5 5" xfId="11200"/>
    <cellStyle name="Nota 2 3 5 6" xfId="13737"/>
    <cellStyle name="Nota 2 3 5 7" xfId="15639"/>
    <cellStyle name="Nota 2 3 5 8" xfId="16646"/>
    <cellStyle name="Nota 2 3 5 9" xfId="18553"/>
    <cellStyle name="Nota 2 3 6" xfId="6711"/>
    <cellStyle name="Nota 2 3 6 2" xfId="45676"/>
    <cellStyle name="Nota 2 3 6 3" xfId="46065"/>
    <cellStyle name="Nota 2 3 6 4" xfId="46423"/>
    <cellStyle name="Nota 2 3 6 5" xfId="46775"/>
    <cellStyle name="Nota 2 3 6 6" xfId="47090"/>
    <cellStyle name="Nota 2 3 6 7" xfId="47409"/>
    <cellStyle name="Nota 2 3 6 8" xfId="47727"/>
    <cellStyle name="Nota 2 3 7" xfId="9349"/>
    <cellStyle name="Nota 2 3 7 2" xfId="45651"/>
    <cellStyle name="Nota 2 3 7 3" xfId="46040"/>
    <cellStyle name="Nota 2 3 7 4" xfId="46398"/>
    <cellStyle name="Nota 2 3 7 5" xfId="46750"/>
    <cellStyle name="Nota 2 3 7 6" xfId="47065"/>
    <cellStyle name="Nota 2 3 7 7" xfId="47384"/>
    <cellStyle name="Nota 2 3 7 8" xfId="47702"/>
    <cellStyle name="Nota 2 3 8" xfId="11155"/>
    <cellStyle name="Nota 2 3 9" xfId="13078"/>
    <cellStyle name="Nota 2 3_Mem." xfId="49232"/>
    <cellStyle name="Nota 2 4" xfId="1901"/>
    <cellStyle name="Nota 2 4 10" xfId="17078"/>
    <cellStyle name="Nota 2 4 11" xfId="18984"/>
    <cellStyle name="Nota 2 4 12" xfId="20896"/>
    <cellStyle name="Nota 2 4 13" xfId="23025"/>
    <cellStyle name="Nota 2 4 14" xfId="24698"/>
    <cellStyle name="Nota 2 4 15" xfId="27476"/>
    <cellStyle name="Nota 2 4 16" xfId="29403"/>
    <cellStyle name="Nota 2 4 17" xfId="31063"/>
    <cellStyle name="Nota 2 4 18" xfId="31798"/>
    <cellStyle name="Nota 2 4 19" xfId="33725"/>
    <cellStyle name="Nota 2 4 2" xfId="4614"/>
    <cellStyle name="Nota 2 4 2 10" xfId="20859"/>
    <cellStyle name="Nota 2 4 2 11" xfId="23370"/>
    <cellStyle name="Nota 2 4 2 12" xfId="24661"/>
    <cellStyle name="Nota 2 4 2 13" xfId="26447"/>
    <cellStyle name="Nota 2 4 2 14" xfId="3804"/>
    <cellStyle name="Nota 2 4 2 15" xfId="30053"/>
    <cellStyle name="Nota 2 4 2 16" xfId="31776"/>
    <cellStyle name="Nota 2 4 2 17" xfId="33903"/>
    <cellStyle name="Nota 2 4 2 18" xfId="35489"/>
    <cellStyle name="Nota 2 4 2 19" xfId="37367"/>
    <cellStyle name="Nota 2 4 2 2" xfId="6062"/>
    <cellStyle name="Nota 2 4 2 2 2" xfId="45949"/>
    <cellStyle name="Nota 2 4 2 2 3" xfId="46307"/>
    <cellStyle name="Nota 2 4 2 2 4" xfId="46659"/>
    <cellStyle name="Nota 2 4 2 2 5" xfId="45590"/>
    <cellStyle name="Nota 2 4 2 20" xfId="39015"/>
    <cellStyle name="Nota 2 4 2 21" xfId="40697"/>
    <cellStyle name="Nota 2 4 2 22" xfId="43138"/>
    <cellStyle name="Nota 2 4 2 23" xfId="51326"/>
    <cellStyle name="Nota 2 4 2 3" xfId="7511"/>
    <cellStyle name="Nota 2 4 2 3 2" xfId="45722"/>
    <cellStyle name="Nota 2 4 2 3 3" xfId="46111"/>
    <cellStyle name="Nota 2 4 2 3 4" xfId="46469"/>
    <cellStyle name="Nota 2 4 2 3 5" xfId="46821"/>
    <cellStyle name="Nota 2 4 2 3 6" xfId="47136"/>
    <cellStyle name="Nota 2 4 2 3 7" xfId="47455"/>
    <cellStyle name="Nota 2 4 2 3 8" xfId="47773"/>
    <cellStyle name="Nota 2 4 2 4" xfId="9421"/>
    <cellStyle name="Nota 2 4 2 4 2" xfId="45784"/>
    <cellStyle name="Nota 2 4 2 4 3" xfId="46173"/>
    <cellStyle name="Nota 2 4 2 4 4" xfId="46531"/>
    <cellStyle name="Nota 2 4 2 4 5" xfId="46883"/>
    <cellStyle name="Nota 2 4 2 4 6" xfId="47198"/>
    <cellStyle name="Nota 2 4 2 4 7" xfId="47517"/>
    <cellStyle name="Nota 2 4 2 4 8" xfId="47835"/>
    <cellStyle name="Nota 2 4 2 5" xfId="12433"/>
    <cellStyle name="Nota 2 4 2 5 2" xfId="45635"/>
    <cellStyle name="Nota 2 4 2 5 3" xfId="46024"/>
    <cellStyle name="Nota 2 4 2 5 4" xfId="46382"/>
    <cellStyle name="Nota 2 4 2 5 5" xfId="46734"/>
    <cellStyle name="Nota 2 4 2 5 6" xfId="47049"/>
    <cellStyle name="Nota 2 4 2 5 7" xfId="47368"/>
    <cellStyle name="Nota 2 4 2 5 8" xfId="47686"/>
    <cellStyle name="Nota 2 4 2 6" xfId="13842"/>
    <cellStyle name="Nota 2 4 2 7" xfId="15743"/>
    <cellStyle name="Nota 2 4 2 8" xfId="17040"/>
    <cellStyle name="Nota 2 4 2 9" xfId="18947"/>
    <cellStyle name="Nota 2 4 20" xfId="35525"/>
    <cellStyle name="Nota 2 4 21" xfId="37404"/>
    <cellStyle name="Nota 2 4 22" xfId="39036"/>
    <cellStyle name="Nota 2 4 23" xfId="40718"/>
    <cellStyle name="Nota 2 4 24" xfId="42808"/>
    <cellStyle name="Nota 2 4 25" xfId="49233"/>
    <cellStyle name="Nota 2 4 26" xfId="51483"/>
    <cellStyle name="Nota 2 4 3" xfId="4652"/>
    <cellStyle name="Nota 2 4 3 2" xfId="45355"/>
    <cellStyle name="Nota 2 4 3 2 2" xfId="45957"/>
    <cellStyle name="Nota 2 4 3 2 3" xfId="46315"/>
    <cellStyle name="Nota 2 4 3 2 4" xfId="46667"/>
    <cellStyle name="Nota 2 4 3 2 5" xfId="47619"/>
    <cellStyle name="Nota 2 4 3 3" xfId="45413"/>
    <cellStyle name="Nota 2 4 3 3 2" xfId="45737"/>
    <cellStyle name="Nota 2 4 3 3 3" xfId="46126"/>
    <cellStyle name="Nota 2 4 3 3 4" xfId="46484"/>
    <cellStyle name="Nota 2 4 3 3 5" xfId="46836"/>
    <cellStyle name="Nota 2 4 3 3 6" xfId="47151"/>
    <cellStyle name="Nota 2 4 3 3 7" xfId="47470"/>
    <cellStyle name="Nota 2 4 3 3 8" xfId="47788"/>
    <cellStyle name="Nota 2 4 3 4" xfId="45440"/>
    <cellStyle name="Nota 2 4 3 4 2" xfId="45799"/>
    <cellStyle name="Nota 2 4 3 4 3" xfId="46188"/>
    <cellStyle name="Nota 2 4 3 4 4" xfId="46546"/>
    <cellStyle name="Nota 2 4 3 4 5" xfId="46898"/>
    <cellStyle name="Nota 2 4 3 4 6" xfId="47213"/>
    <cellStyle name="Nota 2 4 3 4 7" xfId="47532"/>
    <cellStyle name="Nota 2 4 3 4 8" xfId="47850"/>
    <cellStyle name="Nota 2 4 3 5" xfId="45464"/>
    <cellStyle name="Nota 2 4 3 5 2" xfId="45852"/>
    <cellStyle name="Nota 2 4 3 5 3" xfId="46241"/>
    <cellStyle name="Nota 2 4 3 5 4" xfId="46599"/>
    <cellStyle name="Nota 2 4 3 5 5" xfId="46951"/>
    <cellStyle name="Nota 2 4 3 5 6" xfId="47266"/>
    <cellStyle name="Nota 2 4 3 5 7" xfId="47585"/>
    <cellStyle name="Nota 2 4 3 5 8" xfId="47903"/>
    <cellStyle name="Nota 2 4 3 6" xfId="45904"/>
    <cellStyle name="Nota 2 4 3 7" xfId="45558"/>
    <cellStyle name="Nota 2 4 3 8" xfId="46276"/>
    <cellStyle name="Nota 2 4 3 9" xfId="45324"/>
    <cellStyle name="Nota 2 4 4" xfId="6099"/>
    <cellStyle name="Nota 2 4 4 2" xfId="45368"/>
    <cellStyle name="Nota 2 4 4 2 2" xfId="45975"/>
    <cellStyle name="Nota 2 4 4 2 3" xfId="46333"/>
    <cellStyle name="Nota 2 4 4 2 4" xfId="46685"/>
    <cellStyle name="Nota 2 4 4 2 5" xfId="47637"/>
    <cellStyle name="Nota 2 4 4 3" xfId="45427"/>
    <cellStyle name="Nota 2 4 4 3 2" xfId="45771"/>
    <cellStyle name="Nota 2 4 4 3 3" xfId="46160"/>
    <cellStyle name="Nota 2 4 4 3 4" xfId="46518"/>
    <cellStyle name="Nota 2 4 4 3 5" xfId="46870"/>
    <cellStyle name="Nota 2 4 4 3 6" xfId="47185"/>
    <cellStyle name="Nota 2 4 4 3 7" xfId="47504"/>
    <cellStyle name="Nota 2 4 4 3 8" xfId="47822"/>
    <cellStyle name="Nota 2 4 4 4" xfId="45457"/>
    <cellStyle name="Nota 2 4 4 4 2" xfId="45840"/>
    <cellStyle name="Nota 2 4 4 4 3" xfId="46229"/>
    <cellStyle name="Nota 2 4 4 4 4" xfId="46587"/>
    <cellStyle name="Nota 2 4 4 4 5" xfId="46939"/>
    <cellStyle name="Nota 2 4 4 4 6" xfId="47254"/>
    <cellStyle name="Nota 2 4 4 4 7" xfId="47573"/>
    <cellStyle name="Nota 2 4 4 4 8" xfId="47891"/>
    <cellStyle name="Nota 2 4 4 5" xfId="45477"/>
    <cellStyle name="Nota 2 4 4 5 2" xfId="45877"/>
    <cellStyle name="Nota 2 4 4 5 3" xfId="46266"/>
    <cellStyle name="Nota 2 4 4 5 4" xfId="46624"/>
    <cellStyle name="Nota 2 4 4 5 5" xfId="46976"/>
    <cellStyle name="Nota 2 4 4 5 6" xfId="47291"/>
    <cellStyle name="Nota 2 4 4 5 7" xfId="47610"/>
    <cellStyle name="Nota 2 4 4 5 8" xfId="47928"/>
    <cellStyle name="Nota 2 4 4 6" xfId="45917"/>
    <cellStyle name="Nota 2 4 4 7" xfId="45572"/>
    <cellStyle name="Nota 2 4 4 8" xfId="45556"/>
    <cellStyle name="Nota 2 4 4 9" xfId="47948"/>
    <cellStyle name="Nota 2 4 5" xfId="7549"/>
    <cellStyle name="Nota 2 4 5 2" xfId="45578"/>
    <cellStyle name="Nota 2 4 5 3" xfId="45927"/>
    <cellStyle name="Nota 2 4 5 4" xfId="46285"/>
    <cellStyle name="Nota 2 4 5 5" xfId="46637"/>
    <cellStyle name="Nota 2 4 5 6" xfId="46988"/>
    <cellStyle name="Nota 2 4 5 7" xfId="47305"/>
    <cellStyle name="Nota 2 4 5 8" xfId="45507"/>
    <cellStyle name="Nota 2 4 6" xfId="9459"/>
    <cellStyle name="Nota 2 4 6 2" xfId="45677"/>
    <cellStyle name="Nota 2 4 6 3" xfId="46066"/>
    <cellStyle name="Nota 2 4 6 4" xfId="46424"/>
    <cellStyle name="Nota 2 4 6 5" xfId="46776"/>
    <cellStyle name="Nota 2 4 6 6" xfId="47091"/>
    <cellStyle name="Nota 2 4 6 7" xfId="47410"/>
    <cellStyle name="Nota 2 4 6 8" xfId="47728"/>
    <cellStyle name="Nota 2 4 7" xfId="12613"/>
    <cellStyle name="Nota 2 4 7 2" xfId="45822"/>
    <cellStyle name="Nota 2 4 7 3" xfId="46211"/>
    <cellStyle name="Nota 2 4 7 4" xfId="46569"/>
    <cellStyle name="Nota 2 4 7 5" xfId="46921"/>
    <cellStyle name="Nota 2 4 7 6" xfId="47236"/>
    <cellStyle name="Nota 2 4 7 7" xfId="47555"/>
    <cellStyle name="Nota 2 4 7 8" xfId="47873"/>
    <cellStyle name="Nota 2 4 8" xfId="13495"/>
    <cellStyle name="Nota 2 4 9" xfId="15399"/>
    <cellStyle name="Nota 2 4_Mem." xfId="49234"/>
    <cellStyle name="Nota 2 5" xfId="3005"/>
    <cellStyle name="Nota 2 5 10" xfId="19135"/>
    <cellStyle name="Nota 2 5 11" xfId="21047"/>
    <cellStyle name="Nota 2 5 12" xfId="23420"/>
    <cellStyle name="Nota 2 5 13" xfId="24849"/>
    <cellStyle name="Nota 2 5 14" xfId="27054"/>
    <cellStyle name="Nota 2 5 15" xfId="4352"/>
    <cellStyle name="Nota 2 5 16" xfId="30646"/>
    <cellStyle name="Nota 2 5 17" xfId="33324"/>
    <cellStyle name="Nota 2 5 18" xfId="2881"/>
    <cellStyle name="Nota 2 5 19" xfId="35676"/>
    <cellStyle name="Nota 2 5 2" xfId="4541"/>
    <cellStyle name="Nota 2 5 2 10" xfId="20786"/>
    <cellStyle name="Nota 2 5 2 11" xfId="23256"/>
    <cellStyle name="Nota 2 5 2 12" xfId="24588"/>
    <cellStyle name="Nota 2 5 2 13" xfId="26301"/>
    <cellStyle name="Nota 2 5 2 14" xfId="28569"/>
    <cellStyle name="Nota 2 5 2 15" xfId="29910"/>
    <cellStyle name="Nota 2 5 2 16" xfId="32039"/>
    <cellStyle name="Nota 2 5 2 17" xfId="34497"/>
    <cellStyle name="Nota 2 5 2 18" xfId="35416"/>
    <cellStyle name="Nota 2 5 2 19" xfId="37294"/>
    <cellStyle name="Nota 2 5 2 2" xfId="2602"/>
    <cellStyle name="Nota 2 5 2 2 2" xfId="45588"/>
    <cellStyle name="Nota 2 5 2 2 3" xfId="45942"/>
    <cellStyle name="Nota 2 5 2 2 4" xfId="46300"/>
    <cellStyle name="Nota 2 5 2 2 5" xfId="46652"/>
    <cellStyle name="Nota 2 5 2 2 6" xfId="46998"/>
    <cellStyle name="Nota 2 5 2 2 7" xfId="47317"/>
    <cellStyle name="Nota 2 5 2 2 8" xfId="45506"/>
    <cellStyle name="Nota 2 5 2 20" xfId="39268"/>
    <cellStyle name="Nota 2 5 2 21" xfId="40945"/>
    <cellStyle name="Nota 2 5 2 22" xfId="43032"/>
    <cellStyle name="Nota 2 5 2 23" xfId="51342"/>
    <cellStyle name="Nota 2 5 2 3" xfId="4534"/>
    <cellStyle name="Nota 2 5 2 3 2" xfId="45706"/>
    <cellStyle name="Nota 2 5 2 3 3" xfId="46095"/>
    <cellStyle name="Nota 2 5 2 3 4" xfId="46453"/>
    <cellStyle name="Nota 2 5 2 3 5" xfId="46805"/>
    <cellStyle name="Nota 2 5 2 3 6" xfId="47120"/>
    <cellStyle name="Nota 2 5 2 3 7" xfId="47439"/>
    <cellStyle name="Nota 2 5 2 3 8" xfId="47757"/>
    <cellStyle name="Nota 2 5 2 4" xfId="9348"/>
    <cellStyle name="Nota 2 5 2 4 2" xfId="45601"/>
    <cellStyle name="Nota 2 5 2 4 3" xfId="45990"/>
    <cellStyle name="Nota 2 5 2 4 4" xfId="46348"/>
    <cellStyle name="Nota 2 5 2 4 5" xfId="46700"/>
    <cellStyle name="Nota 2 5 2 4 6" xfId="47015"/>
    <cellStyle name="Nota 2 5 2 4 7" xfId="47334"/>
    <cellStyle name="Nota 2 5 2 4 8" xfId="47652"/>
    <cellStyle name="Nota 2 5 2 5" xfId="11174"/>
    <cellStyle name="Nota 2 5 2 6" xfId="13728"/>
    <cellStyle name="Nota 2 5 2 7" xfId="15630"/>
    <cellStyle name="Nota 2 5 2 8" xfId="16967"/>
    <cellStyle name="Nota 2 5 2 9" xfId="18874"/>
    <cellStyle name="Nota 2 5 20" xfId="37555"/>
    <cellStyle name="Nota 2 5 21" xfId="40504"/>
    <cellStyle name="Nota 2 5 22" xfId="42156"/>
    <cellStyle name="Nota 2 5 23" xfId="43187"/>
    <cellStyle name="Nota 2 5 24" xfId="49235"/>
    <cellStyle name="Nota 2 5 25" xfId="51482"/>
    <cellStyle name="Nota 2 5 3" xfId="4799"/>
    <cellStyle name="Nota 2 5 3 2" xfId="45351"/>
    <cellStyle name="Nota 2 5 3 2 2" xfId="45953"/>
    <cellStyle name="Nota 2 5 3 2 3" xfId="46311"/>
    <cellStyle name="Nota 2 5 3 2 4" xfId="46663"/>
    <cellStyle name="Nota 2 5 3 2 5" xfId="45501"/>
    <cellStyle name="Nota 2 5 3 3" xfId="45409"/>
    <cellStyle name="Nota 2 5 3 3 2" xfId="45728"/>
    <cellStyle name="Nota 2 5 3 3 3" xfId="46117"/>
    <cellStyle name="Nota 2 5 3 3 4" xfId="46475"/>
    <cellStyle name="Nota 2 5 3 3 5" xfId="46827"/>
    <cellStyle name="Nota 2 5 3 3 6" xfId="47142"/>
    <cellStyle name="Nota 2 5 3 3 7" xfId="47461"/>
    <cellStyle name="Nota 2 5 3 3 8" xfId="47779"/>
    <cellStyle name="Nota 2 5 3 4" xfId="45436"/>
    <cellStyle name="Nota 2 5 3 4 2" xfId="45790"/>
    <cellStyle name="Nota 2 5 3 4 3" xfId="46179"/>
    <cellStyle name="Nota 2 5 3 4 4" xfId="46537"/>
    <cellStyle name="Nota 2 5 3 4 5" xfId="46889"/>
    <cellStyle name="Nota 2 5 3 4 6" xfId="47204"/>
    <cellStyle name="Nota 2 5 3 4 7" xfId="47523"/>
    <cellStyle name="Nota 2 5 3 4 8" xfId="47841"/>
    <cellStyle name="Nota 2 5 3 5" xfId="45387"/>
    <cellStyle name="Nota 2 5 3 5 2" xfId="45638"/>
    <cellStyle name="Nota 2 5 3 5 3" xfId="46027"/>
    <cellStyle name="Nota 2 5 3 5 4" xfId="46385"/>
    <cellStyle name="Nota 2 5 3 5 5" xfId="46737"/>
    <cellStyle name="Nota 2 5 3 5 6" xfId="47052"/>
    <cellStyle name="Nota 2 5 3 5 7" xfId="47371"/>
    <cellStyle name="Nota 2 5 3 5 8" xfId="47689"/>
    <cellStyle name="Nota 2 5 3 6" xfId="45900"/>
    <cellStyle name="Nota 2 5 3 7" xfId="45560"/>
    <cellStyle name="Nota 2 5 3 8" xfId="45486"/>
    <cellStyle name="Nota 2 5 3 9" xfId="45320"/>
    <cellStyle name="Nota 2 5 4" xfId="7700"/>
    <cellStyle name="Nota 2 5 4 2" xfId="45359"/>
    <cellStyle name="Nota 2 5 4 2 2" xfId="45961"/>
    <cellStyle name="Nota 2 5 4 2 3" xfId="46319"/>
    <cellStyle name="Nota 2 5 4 2 4" xfId="46671"/>
    <cellStyle name="Nota 2 5 4 2 5" xfId="47623"/>
    <cellStyle name="Nota 2 5 4 3" xfId="45417"/>
    <cellStyle name="Nota 2 5 4 3 2" xfId="45743"/>
    <cellStyle name="Nota 2 5 4 3 3" xfId="46132"/>
    <cellStyle name="Nota 2 5 4 3 4" xfId="46490"/>
    <cellStyle name="Nota 2 5 4 3 5" xfId="46842"/>
    <cellStyle name="Nota 2 5 4 3 6" xfId="47157"/>
    <cellStyle name="Nota 2 5 4 3 7" xfId="47476"/>
    <cellStyle name="Nota 2 5 4 3 8" xfId="47794"/>
    <cellStyle name="Nota 2 5 4 4" xfId="45444"/>
    <cellStyle name="Nota 2 5 4 4 2" xfId="45805"/>
    <cellStyle name="Nota 2 5 4 4 3" xfId="46194"/>
    <cellStyle name="Nota 2 5 4 4 4" xfId="46552"/>
    <cellStyle name="Nota 2 5 4 4 5" xfId="46904"/>
    <cellStyle name="Nota 2 5 4 4 6" xfId="47219"/>
    <cellStyle name="Nota 2 5 4 4 7" xfId="47538"/>
    <cellStyle name="Nota 2 5 4 4 8" xfId="47856"/>
    <cellStyle name="Nota 2 5 4 5" xfId="45468"/>
    <cellStyle name="Nota 2 5 4 5 2" xfId="45858"/>
    <cellStyle name="Nota 2 5 4 5 3" xfId="46247"/>
    <cellStyle name="Nota 2 5 4 5 4" xfId="46605"/>
    <cellStyle name="Nota 2 5 4 5 5" xfId="46957"/>
    <cellStyle name="Nota 2 5 4 5 6" xfId="47272"/>
    <cellStyle name="Nota 2 5 4 5 7" xfId="47591"/>
    <cellStyle name="Nota 2 5 4 5 8" xfId="47909"/>
    <cellStyle name="Nota 2 5 4 6" xfId="45908"/>
    <cellStyle name="Nota 2 5 4 7" xfId="45554"/>
    <cellStyle name="Nota 2 5 4 8" xfId="45503"/>
    <cellStyle name="Nota 2 5 4 9" xfId="45328"/>
    <cellStyle name="Nota 2 5 5" xfId="9610"/>
    <cellStyle name="Nota 2 5 5 2" xfId="45364"/>
    <cellStyle name="Nota 2 5 5 2 2" xfId="45966"/>
    <cellStyle name="Nota 2 5 5 2 3" xfId="46324"/>
    <cellStyle name="Nota 2 5 5 2 4" xfId="46676"/>
    <cellStyle name="Nota 2 5 5 2 5" xfId="47628"/>
    <cellStyle name="Nota 2 5 5 3" xfId="45422"/>
    <cellStyle name="Nota 2 5 5 3 2" xfId="45749"/>
    <cellStyle name="Nota 2 5 5 3 3" xfId="46138"/>
    <cellStyle name="Nota 2 5 5 3 4" xfId="46496"/>
    <cellStyle name="Nota 2 5 5 3 5" xfId="46848"/>
    <cellStyle name="Nota 2 5 5 3 6" xfId="47163"/>
    <cellStyle name="Nota 2 5 5 3 7" xfId="47482"/>
    <cellStyle name="Nota 2 5 5 3 8" xfId="47800"/>
    <cellStyle name="Nota 2 5 5 4" xfId="45449"/>
    <cellStyle name="Nota 2 5 5 4 2" xfId="45811"/>
    <cellStyle name="Nota 2 5 5 4 3" xfId="46200"/>
    <cellStyle name="Nota 2 5 5 4 4" xfId="46558"/>
    <cellStyle name="Nota 2 5 5 4 5" xfId="46910"/>
    <cellStyle name="Nota 2 5 5 4 6" xfId="47225"/>
    <cellStyle name="Nota 2 5 5 4 7" xfId="47544"/>
    <cellStyle name="Nota 2 5 5 4 8" xfId="47862"/>
    <cellStyle name="Nota 2 5 5 5" xfId="45473"/>
    <cellStyle name="Nota 2 5 5 5 2" xfId="45864"/>
    <cellStyle name="Nota 2 5 5 5 3" xfId="46253"/>
    <cellStyle name="Nota 2 5 5 5 4" xfId="46611"/>
    <cellStyle name="Nota 2 5 5 5 5" xfId="46963"/>
    <cellStyle name="Nota 2 5 5 5 6" xfId="47278"/>
    <cellStyle name="Nota 2 5 5 5 7" xfId="47597"/>
    <cellStyle name="Nota 2 5 5 5 8" xfId="47915"/>
    <cellStyle name="Nota 2 5 5 6" xfId="45913"/>
    <cellStyle name="Nota 2 5 5 7" xfId="45521"/>
    <cellStyle name="Nota 2 5 5 8" xfId="47299"/>
    <cellStyle name="Nota 2 5 5 9" xfId="47944"/>
    <cellStyle name="Nota 2 5 6" xfId="12254"/>
    <cellStyle name="Nota 2 5 6 10" xfId="47952"/>
    <cellStyle name="Nota 2 5 6 2" xfId="45372"/>
    <cellStyle name="Nota 2 5 6 2 2" xfId="45979"/>
    <cellStyle name="Nota 2 5 6 2 3" xfId="46337"/>
    <cellStyle name="Nota 2 5 6 2 4" xfId="46689"/>
    <cellStyle name="Nota 2 5 6 2 5" xfId="47641"/>
    <cellStyle name="Nota 2 5 6 3" xfId="45431"/>
    <cellStyle name="Nota 2 5 6 3 2" xfId="45777"/>
    <cellStyle name="Nota 2 5 6 3 3" xfId="46166"/>
    <cellStyle name="Nota 2 5 6 3 4" xfId="46524"/>
    <cellStyle name="Nota 2 5 6 3 5" xfId="46876"/>
    <cellStyle name="Nota 2 5 6 3 6" xfId="47191"/>
    <cellStyle name="Nota 2 5 6 3 7" xfId="47510"/>
    <cellStyle name="Nota 2 5 6 3 8" xfId="47828"/>
    <cellStyle name="Nota 2 5 6 4" xfId="45461"/>
    <cellStyle name="Nota 2 5 6 4 2" xfId="45846"/>
    <cellStyle name="Nota 2 5 6 4 3" xfId="46235"/>
    <cellStyle name="Nota 2 5 6 4 4" xfId="46593"/>
    <cellStyle name="Nota 2 5 6 4 5" xfId="46945"/>
    <cellStyle name="Nota 2 5 6 4 6" xfId="47260"/>
    <cellStyle name="Nota 2 5 6 4 7" xfId="47579"/>
    <cellStyle name="Nota 2 5 6 4 8" xfId="47897"/>
    <cellStyle name="Nota 2 5 6 5" xfId="45481"/>
    <cellStyle name="Nota 2 5 6 5 2" xfId="45883"/>
    <cellStyle name="Nota 2 5 6 5 3" xfId="46272"/>
    <cellStyle name="Nota 2 5 6 5 4" xfId="46630"/>
    <cellStyle name="Nota 2 5 6 5 5" xfId="46982"/>
    <cellStyle name="Nota 2 5 6 5 6" xfId="47297"/>
    <cellStyle name="Nota 2 5 6 5 7" xfId="47616"/>
    <cellStyle name="Nota 2 5 6 5 8" xfId="47934"/>
    <cellStyle name="Nota 2 5 6 6" xfId="45921"/>
    <cellStyle name="Nota 2 5 6 7" xfId="45534"/>
    <cellStyle name="Nota 2 5 6 8" xfId="45563"/>
    <cellStyle name="Nota 2 5 6 9" xfId="45333"/>
    <cellStyle name="Nota 2 5 7" xfId="13892"/>
    <cellStyle name="Nota 2 5 7 2" xfId="45579"/>
    <cellStyle name="Nota 2 5 7 3" xfId="45928"/>
    <cellStyle name="Nota 2 5 7 4" xfId="46286"/>
    <cellStyle name="Nota 2 5 7 5" xfId="46638"/>
    <cellStyle name="Nota 2 5 7 6" xfId="46989"/>
    <cellStyle name="Nota 2 5 7 7" xfId="47306"/>
    <cellStyle name="Nota 2 5 7 8" xfId="46277"/>
    <cellStyle name="Nota 2 5 8" xfId="15793"/>
    <cellStyle name="Nota 2 5 8 2" xfId="45678"/>
    <cellStyle name="Nota 2 5 8 3" xfId="46067"/>
    <cellStyle name="Nota 2 5 8 4" xfId="46425"/>
    <cellStyle name="Nota 2 5 8 5" xfId="46777"/>
    <cellStyle name="Nota 2 5 8 6" xfId="47092"/>
    <cellStyle name="Nota 2 5 8 7" xfId="47411"/>
    <cellStyle name="Nota 2 5 8 8" xfId="47729"/>
    <cellStyle name="Nota 2 5 9" xfId="17229"/>
    <cellStyle name="Nota 2 5_Mem." xfId="49236"/>
    <cellStyle name="Nota 2 6" xfId="2263"/>
    <cellStyle name="Nota 2 6 10" xfId="19043"/>
    <cellStyle name="Nota 2 6 11" xfId="20955"/>
    <cellStyle name="Nota 2 6 12" xfId="23541"/>
    <cellStyle name="Nota 2 6 13" xfId="24757"/>
    <cellStyle name="Nota 2 6 14" xfId="27177"/>
    <cellStyle name="Nota 2 6 15" xfId="29642"/>
    <cellStyle name="Nota 2 6 16" xfId="30768"/>
    <cellStyle name="Nota 2 6 17" xfId="31936"/>
    <cellStyle name="Nota 2 6 18" xfId="33732"/>
    <cellStyle name="Nota 2 6 19" xfId="35584"/>
    <cellStyle name="Nota 2 6 2" xfId="5648"/>
    <cellStyle name="Nota 2 6 2 10" xfId="21898"/>
    <cellStyle name="Nota 2 6 2 11" xfId="22913"/>
    <cellStyle name="Nota 2 6 2 12" xfId="25700"/>
    <cellStyle name="Nota 2 6 2 13" xfId="26614"/>
    <cellStyle name="Nota 2 6 2 14" xfId="3325"/>
    <cellStyle name="Nota 2 6 2 15" xfId="30217"/>
    <cellStyle name="Nota 2 6 2 16" xfId="32885"/>
    <cellStyle name="Nota 2 6 2 17" xfId="33964"/>
    <cellStyle name="Nota 2 6 2 18" xfId="36527"/>
    <cellStyle name="Nota 2 6 2 19" xfId="38406"/>
    <cellStyle name="Nota 2 6 2 2" xfId="7097"/>
    <cellStyle name="Nota 2 6 2 20" xfId="40090"/>
    <cellStyle name="Nota 2 6 2 21" xfId="41753"/>
    <cellStyle name="Nota 2 6 2 22" xfId="42699"/>
    <cellStyle name="Nota 2 6 2 23" xfId="51253"/>
    <cellStyle name="Nota 2 6 2 3" xfId="8551"/>
    <cellStyle name="Nota 2 6 2 4" xfId="10461"/>
    <cellStyle name="Nota 2 6 2 5" xfId="12182"/>
    <cellStyle name="Nota 2 6 2 6" xfId="13381"/>
    <cellStyle name="Nota 2 6 2 7" xfId="15286"/>
    <cellStyle name="Nota 2 6 2 8" xfId="18080"/>
    <cellStyle name="Nota 2 6 2 9" xfId="19986"/>
    <cellStyle name="Nota 2 6 20" xfId="37463"/>
    <cellStyle name="Nota 2 6 21" xfId="39166"/>
    <cellStyle name="Nota 2 6 22" xfId="40847"/>
    <cellStyle name="Nota 2 6 23" xfId="43306"/>
    <cellStyle name="Nota 2 6 24" xfId="49237"/>
    <cellStyle name="Nota 2 6 25" xfId="51641"/>
    <cellStyle name="Nota 2 6 3" xfId="6157"/>
    <cellStyle name="Nota 2 6 3 2" xfId="45674"/>
    <cellStyle name="Nota 2 6 3 3" xfId="46063"/>
    <cellStyle name="Nota 2 6 3 4" xfId="46421"/>
    <cellStyle name="Nota 2 6 3 5" xfId="46773"/>
    <cellStyle name="Nota 2 6 3 6" xfId="47088"/>
    <cellStyle name="Nota 2 6 3 7" xfId="47407"/>
    <cellStyle name="Nota 2 6 3 8" xfId="47725"/>
    <cellStyle name="Nota 2 6 4" xfId="7608"/>
    <cellStyle name="Nota 2 6 4 2" xfId="45650"/>
    <cellStyle name="Nota 2 6 4 3" xfId="46039"/>
    <cellStyle name="Nota 2 6 4 4" xfId="46397"/>
    <cellStyle name="Nota 2 6 4 5" xfId="46749"/>
    <cellStyle name="Nota 2 6 4 6" xfId="47064"/>
    <cellStyle name="Nota 2 6 4 7" xfId="47383"/>
    <cellStyle name="Nota 2 6 4 8" xfId="47701"/>
    <cellStyle name="Nota 2 6 5" xfId="9518"/>
    <cellStyle name="Nota 2 6 6" xfId="12505"/>
    <cellStyle name="Nota 2 6 7" xfId="14013"/>
    <cellStyle name="Nota 2 6 8" xfId="15914"/>
    <cellStyle name="Nota 2 6 9" xfId="17137"/>
    <cellStyle name="Nota 2 6_Mem." xfId="49238"/>
    <cellStyle name="Nota 2 7" xfId="3076"/>
    <cellStyle name="Nota 2 7 10" xfId="49861"/>
    <cellStyle name="Nota 2 7 11" xfId="52282"/>
    <cellStyle name="Nota 2 7 2" xfId="45338"/>
    <cellStyle name="Nota 2 7 2 2" xfId="45932"/>
    <cellStyle name="Nota 2 7 2 3" xfId="46290"/>
    <cellStyle name="Nota 2 7 2 4" xfId="46642"/>
    <cellStyle name="Nota 2 7 2 5" xfId="45546"/>
    <cellStyle name="Nota 2 7 2 6" xfId="51372"/>
    <cellStyle name="Nota 2 7 3" xfId="45396"/>
    <cellStyle name="Nota 2 7 3 2" xfId="45689"/>
    <cellStyle name="Nota 2 7 3 3" xfId="46078"/>
    <cellStyle name="Nota 2 7 3 4" xfId="46436"/>
    <cellStyle name="Nota 2 7 3 5" xfId="46788"/>
    <cellStyle name="Nota 2 7 3 6" xfId="47103"/>
    <cellStyle name="Nota 2 7 3 7" xfId="47422"/>
    <cellStyle name="Nota 2 7 3 8" xfId="47740"/>
    <cellStyle name="Nota 2 7 4" xfId="45384"/>
    <cellStyle name="Nota 2 7 4 2" xfId="45626"/>
    <cellStyle name="Nota 2 7 4 3" xfId="46015"/>
    <cellStyle name="Nota 2 7 4 4" xfId="46373"/>
    <cellStyle name="Nota 2 7 4 5" xfId="46725"/>
    <cellStyle name="Nota 2 7 4 6" xfId="47040"/>
    <cellStyle name="Nota 2 7 4 7" xfId="47359"/>
    <cellStyle name="Nota 2 7 4 8" xfId="47677"/>
    <cellStyle name="Nota 2 7 5" xfId="45391"/>
    <cellStyle name="Nota 2 7 5 2" xfId="45653"/>
    <cellStyle name="Nota 2 7 5 3" xfId="46042"/>
    <cellStyle name="Nota 2 7 5 4" xfId="46400"/>
    <cellStyle name="Nota 2 7 5 5" xfId="46752"/>
    <cellStyle name="Nota 2 7 5 6" xfId="47067"/>
    <cellStyle name="Nota 2 7 5 7" xfId="47386"/>
    <cellStyle name="Nota 2 7 5 8" xfId="47704"/>
    <cellStyle name="Nota 2 7 6" xfId="45887"/>
    <cellStyle name="Nota 2 7 7" xfId="45504"/>
    <cellStyle name="Nota 2 7 8" xfId="47312"/>
    <cellStyle name="Nota 2 7 9" xfId="45308"/>
    <cellStyle name="Nota 2 8" xfId="2654"/>
    <cellStyle name="Nota 2 8 10" xfId="49902"/>
    <cellStyle name="Nota 2 8 11" xfId="52456"/>
    <cellStyle name="Nota 2 8 2" xfId="45344"/>
    <cellStyle name="Nota 2 8 2 2" xfId="45943"/>
    <cellStyle name="Nota 2 8 2 3" xfId="46301"/>
    <cellStyle name="Nota 2 8 2 4" xfId="46653"/>
    <cellStyle name="Nota 2 8 2 5" xfId="45492"/>
    <cellStyle name="Nota 2 8 3" xfId="45402"/>
    <cellStyle name="Nota 2 8 3 2" xfId="45712"/>
    <cellStyle name="Nota 2 8 3 3" xfId="46101"/>
    <cellStyle name="Nota 2 8 3 4" xfId="46459"/>
    <cellStyle name="Nota 2 8 3 5" xfId="46811"/>
    <cellStyle name="Nota 2 8 3 6" xfId="47126"/>
    <cellStyle name="Nota 2 8 3 7" xfId="47445"/>
    <cellStyle name="Nota 2 8 3 8" xfId="47763"/>
    <cellStyle name="Nota 2 8 4" xfId="45375"/>
    <cellStyle name="Nota 2 8 4 2" xfId="45595"/>
    <cellStyle name="Nota 2 8 4 3" xfId="45984"/>
    <cellStyle name="Nota 2 8 4 4" xfId="46342"/>
    <cellStyle name="Nota 2 8 4 5" xfId="46694"/>
    <cellStyle name="Nota 2 8 4 6" xfId="47009"/>
    <cellStyle name="Nota 2 8 4 7" xfId="47328"/>
    <cellStyle name="Nota 2 8 4 8" xfId="47646"/>
    <cellStyle name="Nota 2 8 5" xfId="45450"/>
    <cellStyle name="Nota 2 8 5 2" xfId="45813"/>
    <cellStyle name="Nota 2 8 5 3" xfId="46202"/>
    <cellStyle name="Nota 2 8 5 4" xfId="46560"/>
    <cellStyle name="Nota 2 8 5 5" xfId="46912"/>
    <cellStyle name="Nota 2 8 5 6" xfId="47227"/>
    <cellStyle name="Nota 2 8 5 7" xfId="47546"/>
    <cellStyle name="Nota 2 8 5 8" xfId="47864"/>
    <cellStyle name="Nota 2 8 6" xfId="45893"/>
    <cellStyle name="Nota 2 8 7" xfId="45508"/>
    <cellStyle name="Nota 2 8 8" xfId="47321"/>
    <cellStyle name="Nota 2 8 9" xfId="45313"/>
    <cellStyle name="Nota 2 9" xfId="11933"/>
    <cellStyle name="Nota 2 9 2" xfId="45487"/>
    <cellStyle name="Nota 2_Mem." xfId="49239"/>
    <cellStyle name="Nota 3" xfId="45568"/>
    <cellStyle name="Nota 3 2" xfId="49240"/>
    <cellStyle name="Nota 3 2 2" xfId="51310"/>
    <cellStyle name="Nota 3 2 3" xfId="51677"/>
    <cellStyle name="Nota 3 3" xfId="51267"/>
    <cellStyle name="Nota 4" xfId="45567"/>
    <cellStyle name="Nota 4 2" xfId="51340"/>
    <cellStyle name="Nota 4 2 2" xfId="51690"/>
    <cellStyle name="Nota 5" xfId="45589"/>
    <cellStyle name="Nota 5 2" xfId="51733"/>
    <cellStyle name="Nota 6" xfId="45583"/>
    <cellStyle name="Nota 6 2" xfId="51775"/>
    <cellStyle name="Nota 7" xfId="45571"/>
    <cellStyle name="Nota 7 2" xfId="51817"/>
    <cellStyle name="Nota 8" xfId="45570"/>
    <cellStyle name="Nota 8 2" xfId="51432"/>
    <cellStyle name="Nota 8 3" xfId="51452"/>
    <cellStyle name="Nota 8 4" xfId="51491"/>
    <cellStyle name="Nota 8 5" xfId="51511"/>
    <cellStyle name="Nota 8 6" xfId="51858"/>
    <cellStyle name="Nota 9" xfId="51465"/>
    <cellStyle name="Nota 9 2" xfId="51905"/>
    <cellStyle name="Note" xfId="51563"/>
    <cellStyle name="Note 2" xfId="51568"/>
    <cellStyle name="Note 3" xfId="51569"/>
    <cellStyle name="Output" xfId="51564"/>
    <cellStyle name="Porcentagem" xfId="677" builtinId="5"/>
    <cellStyle name="Porcentagem 10" xfId="49241"/>
    <cellStyle name="Porcentagem 11" xfId="150"/>
    <cellStyle name="Porcentagem 11 2" xfId="1222"/>
    <cellStyle name="Porcentagem 12" xfId="53319"/>
    <cellStyle name="Porcentagem 2" xfId="684"/>
    <cellStyle name="Porcentagem 2 10" xfId="631"/>
    <cellStyle name="Porcentagem 2 10 2" xfId="1702"/>
    <cellStyle name="Porcentagem 2 11" xfId="449"/>
    <cellStyle name="Porcentagem 2 11 2" xfId="1520"/>
    <cellStyle name="Porcentagem 2 12" xfId="49242"/>
    <cellStyle name="Porcentagem 2 2" xfId="84"/>
    <cellStyle name="Porcentagem 2 2 2" xfId="1104"/>
    <cellStyle name="Porcentagem 2 2 3" xfId="45295"/>
    <cellStyle name="Porcentagem 2 2 4" xfId="49243"/>
    <cellStyle name="Porcentagem 2 3" xfId="233"/>
    <cellStyle name="Porcentagem 2 3 2" xfId="1305"/>
    <cellStyle name="Porcentagem 2 4" xfId="290"/>
    <cellStyle name="Porcentagem 2 4 2" xfId="1362"/>
    <cellStyle name="Porcentagem 2 5" xfId="340"/>
    <cellStyle name="Porcentagem 2 5 2" xfId="1412"/>
    <cellStyle name="Porcentagem 2 6" xfId="379"/>
    <cellStyle name="Porcentagem 2 6 2" xfId="1451"/>
    <cellStyle name="Porcentagem 2 7" xfId="437"/>
    <cellStyle name="Porcentagem 2 7 2" xfId="1509"/>
    <cellStyle name="Porcentagem 2 8" xfId="501"/>
    <cellStyle name="Porcentagem 2 8 2" xfId="1572"/>
    <cellStyle name="Porcentagem 2 9" xfId="529"/>
    <cellStyle name="Porcentagem 2 9 2" xfId="1600"/>
    <cellStyle name="Porcentagem 3" xfId="85"/>
    <cellStyle name="Porcentagem 3 10" xfId="545"/>
    <cellStyle name="Porcentagem 3 10 2" xfId="1616"/>
    <cellStyle name="Porcentagem 3 10 2 2" xfId="49244"/>
    <cellStyle name="Porcentagem 3 10 3" xfId="49245"/>
    <cellStyle name="Porcentagem 3 100" xfId="44363"/>
    <cellStyle name="Porcentagem 3 101" xfId="44364"/>
    <cellStyle name="Porcentagem 3 102" xfId="44365"/>
    <cellStyle name="Porcentagem 3 103" xfId="44366"/>
    <cellStyle name="Porcentagem 3 104" xfId="44367"/>
    <cellStyle name="Porcentagem 3 105" xfId="44368"/>
    <cellStyle name="Porcentagem 3 106" xfId="44369"/>
    <cellStyle name="Porcentagem 3 107" xfId="44370"/>
    <cellStyle name="Porcentagem 3 108" xfId="44371"/>
    <cellStyle name="Porcentagem 3 109" xfId="44372"/>
    <cellStyle name="Porcentagem 3 11" xfId="666"/>
    <cellStyle name="Porcentagem 3 11 2" xfId="1737"/>
    <cellStyle name="Porcentagem 3 11 2 2" xfId="49246"/>
    <cellStyle name="Porcentagem 3 11 3" xfId="49247"/>
    <cellStyle name="Porcentagem 3 110" xfId="44373"/>
    <cellStyle name="Porcentagem 3 111" xfId="44374"/>
    <cellStyle name="Porcentagem 3 112" xfId="44375"/>
    <cellStyle name="Porcentagem 3 113" xfId="44376"/>
    <cellStyle name="Porcentagem 3 114" xfId="44377"/>
    <cellStyle name="Porcentagem 3 115" xfId="44378"/>
    <cellStyle name="Porcentagem 3 116" xfId="44379"/>
    <cellStyle name="Porcentagem 3 117" xfId="44380"/>
    <cellStyle name="Porcentagem 3 118" xfId="44381"/>
    <cellStyle name="Porcentagem 3 119" xfId="44382"/>
    <cellStyle name="Porcentagem 3 12" xfId="1167"/>
    <cellStyle name="Porcentagem 3 12 2" xfId="49248"/>
    <cellStyle name="Porcentagem 3 120" xfId="44383"/>
    <cellStyle name="Porcentagem 3 121" xfId="44384"/>
    <cellStyle name="Porcentagem 3 122" xfId="44385"/>
    <cellStyle name="Porcentagem 3 123" xfId="44386"/>
    <cellStyle name="Porcentagem 3 124" xfId="44387"/>
    <cellStyle name="Porcentagem 3 125" xfId="44388"/>
    <cellStyle name="Porcentagem 3 126" xfId="44389"/>
    <cellStyle name="Porcentagem 3 127" xfId="44390"/>
    <cellStyle name="Porcentagem 3 128" xfId="44391"/>
    <cellStyle name="Porcentagem 3 129" xfId="44392"/>
    <cellStyle name="Porcentagem 3 13" xfId="44393"/>
    <cellStyle name="Porcentagem 3 13 2" xfId="49872"/>
    <cellStyle name="Porcentagem 3 130" xfId="44394"/>
    <cellStyle name="Porcentagem 3 131" xfId="44395"/>
    <cellStyle name="Porcentagem 3 132" xfId="44396"/>
    <cellStyle name="Porcentagem 3 133" xfId="44397"/>
    <cellStyle name="Porcentagem 3 134" xfId="44398"/>
    <cellStyle name="Porcentagem 3 135" xfId="44399"/>
    <cellStyle name="Porcentagem 3 136" xfId="44400"/>
    <cellStyle name="Porcentagem 3 137" xfId="44401"/>
    <cellStyle name="Porcentagem 3 138" xfId="44402"/>
    <cellStyle name="Porcentagem 3 139" xfId="44403"/>
    <cellStyle name="Porcentagem 3 14" xfId="44404"/>
    <cellStyle name="Porcentagem 3 140" xfId="44405"/>
    <cellStyle name="Porcentagem 3 141" xfId="44406"/>
    <cellStyle name="Porcentagem 3 142" xfId="44407"/>
    <cellStyle name="Porcentagem 3 143" xfId="44408"/>
    <cellStyle name="Porcentagem 3 144" xfId="44409"/>
    <cellStyle name="Porcentagem 3 145" xfId="44410"/>
    <cellStyle name="Porcentagem 3 146" xfId="44411"/>
    <cellStyle name="Porcentagem 3 147" xfId="44412"/>
    <cellStyle name="Porcentagem 3 148" xfId="44413"/>
    <cellStyle name="Porcentagem 3 149" xfId="44414"/>
    <cellStyle name="Porcentagem 3 15" xfId="44415"/>
    <cellStyle name="Porcentagem 3 150" xfId="44416"/>
    <cellStyle name="Porcentagem 3 151" xfId="44417"/>
    <cellStyle name="Porcentagem 3 152" xfId="44418"/>
    <cellStyle name="Porcentagem 3 153" xfId="44419"/>
    <cellStyle name="Porcentagem 3 154" xfId="44420"/>
    <cellStyle name="Porcentagem 3 155" xfId="44421"/>
    <cellStyle name="Porcentagem 3 156" xfId="44422"/>
    <cellStyle name="Porcentagem 3 157" xfId="44423"/>
    <cellStyle name="Porcentagem 3 158" xfId="44424"/>
    <cellStyle name="Porcentagem 3 159" xfId="44425"/>
    <cellStyle name="Porcentagem 3 16" xfId="44426"/>
    <cellStyle name="Porcentagem 3 160" xfId="44427"/>
    <cellStyle name="Porcentagem 3 161" xfId="44428"/>
    <cellStyle name="Porcentagem 3 162" xfId="44429"/>
    <cellStyle name="Porcentagem 3 163" xfId="44430"/>
    <cellStyle name="Porcentagem 3 164" xfId="44431"/>
    <cellStyle name="Porcentagem 3 165" xfId="44432"/>
    <cellStyle name="Porcentagem 3 166" xfId="44433"/>
    <cellStyle name="Porcentagem 3 167" xfId="44434"/>
    <cellStyle name="Porcentagem 3 168" xfId="44435"/>
    <cellStyle name="Porcentagem 3 169" xfId="44436"/>
    <cellStyle name="Porcentagem 3 17" xfId="44437"/>
    <cellStyle name="Porcentagem 3 170" xfId="44438"/>
    <cellStyle name="Porcentagem 3 171" xfId="44439"/>
    <cellStyle name="Porcentagem 3 172" xfId="44440"/>
    <cellStyle name="Porcentagem 3 173" xfId="44441"/>
    <cellStyle name="Porcentagem 3 174" xfId="44442"/>
    <cellStyle name="Porcentagem 3 175" xfId="44443"/>
    <cellStyle name="Porcentagem 3 176" xfId="44444"/>
    <cellStyle name="Porcentagem 3 177" xfId="44445"/>
    <cellStyle name="Porcentagem 3 178" xfId="44446"/>
    <cellStyle name="Porcentagem 3 179" xfId="44447"/>
    <cellStyle name="Porcentagem 3 18" xfId="44448"/>
    <cellStyle name="Porcentagem 3 180" xfId="44449"/>
    <cellStyle name="Porcentagem 3 181" xfId="44450"/>
    <cellStyle name="Porcentagem 3 182" xfId="44451"/>
    <cellStyle name="Porcentagem 3 183" xfId="44452"/>
    <cellStyle name="Porcentagem 3 184" xfId="44453"/>
    <cellStyle name="Porcentagem 3 185" xfId="44454"/>
    <cellStyle name="Porcentagem 3 186" xfId="44455"/>
    <cellStyle name="Porcentagem 3 187" xfId="49249"/>
    <cellStyle name="Porcentagem 3 19" xfId="44456"/>
    <cellStyle name="Porcentagem 3 2" xfId="151"/>
    <cellStyle name="Porcentagem 3 2 10" xfId="49250"/>
    <cellStyle name="Porcentagem 3 2 10 2" xfId="50493"/>
    <cellStyle name="Porcentagem 3 2 11" xfId="49251"/>
    <cellStyle name="Porcentagem 3 2 2" xfId="1223"/>
    <cellStyle name="Porcentagem 3 2 2 2" xfId="49252"/>
    <cellStyle name="Porcentagem 3 2 2 2 2" xfId="49253"/>
    <cellStyle name="Porcentagem 3 2 2 2 2 2" xfId="49254"/>
    <cellStyle name="Porcentagem 3 2 2 2 2 2 2" xfId="51079"/>
    <cellStyle name="Porcentagem 3 2 2 2 2 3" xfId="50337"/>
    <cellStyle name="Porcentagem 3 2 2 2 3" xfId="49255"/>
    <cellStyle name="Porcentagem 3 2 2 2 3 2" xfId="50719"/>
    <cellStyle name="Porcentagem 3 2 2 2 4" xfId="50035"/>
    <cellStyle name="Porcentagem 3 2 2 3" xfId="49256"/>
    <cellStyle name="Porcentagem 3 2 2 3 2" xfId="49257"/>
    <cellStyle name="Porcentagem 3 2 2 3 2 2" xfId="50945"/>
    <cellStyle name="Porcentagem 3 2 2 3 3" xfId="50209"/>
    <cellStyle name="Porcentagem 3 2 2 4" xfId="49258"/>
    <cellStyle name="Porcentagem 3 2 2 4 2" xfId="50582"/>
    <cellStyle name="Porcentagem 3 2 2 5" xfId="49259"/>
    <cellStyle name="Porcentagem 3 2 3" xfId="49260"/>
    <cellStyle name="Porcentagem 3 2 3 2" xfId="49261"/>
    <cellStyle name="Porcentagem 3 2 3 2 2" xfId="49262"/>
    <cellStyle name="Porcentagem 3 2 3 2 2 2" xfId="49263"/>
    <cellStyle name="Porcentagem 3 2 3 2 2 2 2" xfId="51112"/>
    <cellStyle name="Porcentagem 3 2 3 2 2 3" xfId="50369"/>
    <cellStyle name="Porcentagem 3 2 3 2 3" xfId="49264"/>
    <cellStyle name="Porcentagem 3 2 3 2 3 2" xfId="50752"/>
    <cellStyle name="Porcentagem 3 2 3 2 4" xfId="50061"/>
    <cellStyle name="Porcentagem 3 2 3 3" xfId="49265"/>
    <cellStyle name="Porcentagem 3 2 3 3 2" xfId="49266"/>
    <cellStyle name="Porcentagem 3 2 3 3 2 2" xfId="50977"/>
    <cellStyle name="Porcentagem 3 2 3 3 3" xfId="50241"/>
    <cellStyle name="Porcentagem 3 2 3 4" xfId="49267"/>
    <cellStyle name="Porcentagem 3 2 3 4 2" xfId="50615"/>
    <cellStyle name="Porcentagem 3 2 3 5" xfId="49960"/>
    <cellStyle name="Porcentagem 3 2 4" xfId="49268"/>
    <cellStyle name="Porcentagem 3 2 4 2" xfId="49269"/>
    <cellStyle name="Porcentagem 3 2 4 2 2" xfId="49270"/>
    <cellStyle name="Porcentagem 3 2 4 2 2 2" xfId="49271"/>
    <cellStyle name="Porcentagem 3 2 4 2 2 2 2" xfId="51152"/>
    <cellStyle name="Porcentagem 3 2 4 2 2 3" xfId="50408"/>
    <cellStyle name="Porcentagem 3 2 4 2 3" xfId="49272"/>
    <cellStyle name="Porcentagem 3 2 4 2 3 2" xfId="50792"/>
    <cellStyle name="Porcentagem 3 2 4 2 4" xfId="50092"/>
    <cellStyle name="Porcentagem 3 2 4 3" xfId="49273"/>
    <cellStyle name="Porcentagem 3 2 4 3 2" xfId="49274"/>
    <cellStyle name="Porcentagem 3 2 4 3 2 2" xfId="51016"/>
    <cellStyle name="Porcentagem 3 2 4 3 3" xfId="50280"/>
    <cellStyle name="Porcentagem 3 2 4 4" xfId="49275"/>
    <cellStyle name="Porcentagem 3 2 4 4 2" xfId="50655"/>
    <cellStyle name="Porcentagem 3 2 4 5" xfId="49989"/>
    <cellStyle name="Porcentagem 3 2 5" xfId="49276"/>
    <cellStyle name="Porcentagem 3 2 5 2" xfId="49277"/>
    <cellStyle name="Porcentagem 3 2 5 2 2" xfId="49278"/>
    <cellStyle name="Porcentagem 3 2 5 2 2 2" xfId="51056"/>
    <cellStyle name="Porcentagem 3 2 5 2 3" xfId="50315"/>
    <cellStyle name="Porcentagem 3 2 5 3" xfId="49279"/>
    <cellStyle name="Porcentagem 3 2 5 3 2" xfId="50696"/>
    <cellStyle name="Porcentagem 3 2 5 4" xfId="50018"/>
    <cellStyle name="Porcentagem 3 2 6" xfId="49280"/>
    <cellStyle name="Porcentagem 3 2 6 2" xfId="49281"/>
    <cellStyle name="Porcentagem 3 2 6 2 2" xfId="49282"/>
    <cellStyle name="Porcentagem 3 2 6 2 2 2" xfId="50923"/>
    <cellStyle name="Porcentagem 3 2 6 2 3" xfId="50187"/>
    <cellStyle name="Porcentagem 3 2 6 3" xfId="49283"/>
    <cellStyle name="Porcentagem 3 2 6 3 2" xfId="50559"/>
    <cellStyle name="Porcentagem 3 2 6 4" xfId="49923"/>
    <cellStyle name="Porcentagem 3 2 7" xfId="49284"/>
    <cellStyle name="Porcentagem 3 2 7 2" xfId="49285"/>
    <cellStyle name="Porcentagem 3 2 7 2 2" xfId="49286"/>
    <cellStyle name="Porcentagem 3 2 7 2 2 2" xfId="51185"/>
    <cellStyle name="Porcentagem 3 2 7 2 3" xfId="50437"/>
    <cellStyle name="Porcentagem 3 2 7 3" xfId="49287"/>
    <cellStyle name="Porcentagem 3 2 7 3 2" xfId="50826"/>
    <cellStyle name="Porcentagem 3 2 7 4" xfId="50120"/>
    <cellStyle name="Porcentagem 3 2 8" xfId="49288"/>
    <cellStyle name="Porcentagem 3 2 8 2" xfId="49289"/>
    <cellStyle name="Porcentagem 3 2 8 2 2" xfId="50868"/>
    <cellStyle name="Porcentagem 3 2 8 3" xfId="50145"/>
    <cellStyle name="Porcentagem 3 2 9" xfId="49290"/>
    <cellStyle name="Porcentagem 3 2 9 2" xfId="49291"/>
    <cellStyle name="Porcentagem 3 2 9 2 2" xfId="51218"/>
    <cellStyle name="Porcentagem 3 2 9 3" xfId="50465"/>
    <cellStyle name="Porcentagem 3 20" xfId="44457"/>
    <cellStyle name="Porcentagem 3 21" xfId="44458"/>
    <cellStyle name="Porcentagem 3 22" xfId="44459"/>
    <cellStyle name="Porcentagem 3 23" xfId="44460"/>
    <cellStyle name="Porcentagem 3 24" xfId="44461"/>
    <cellStyle name="Porcentagem 3 25" xfId="44462"/>
    <cellStyle name="Porcentagem 3 26" xfId="44463"/>
    <cellStyle name="Porcentagem 3 27" xfId="44464"/>
    <cellStyle name="Porcentagem 3 28" xfId="44465"/>
    <cellStyle name="Porcentagem 3 29" xfId="44466"/>
    <cellStyle name="Porcentagem 3 3" xfId="234"/>
    <cellStyle name="Porcentagem 3 3 10" xfId="49292"/>
    <cellStyle name="Porcentagem 3 3 10 2" xfId="50494"/>
    <cellStyle name="Porcentagem 3 3 11" xfId="49293"/>
    <cellStyle name="Porcentagem 3 3 2" xfId="1306"/>
    <cellStyle name="Porcentagem 3 3 2 2" xfId="49294"/>
    <cellStyle name="Porcentagem 3 3 2 2 2" xfId="49295"/>
    <cellStyle name="Porcentagem 3 3 2 2 2 2" xfId="49296"/>
    <cellStyle name="Porcentagem 3 3 2 2 2 2 2" xfId="51080"/>
    <cellStyle name="Porcentagem 3 3 2 2 2 3" xfId="50338"/>
    <cellStyle name="Porcentagem 3 3 2 2 3" xfId="49297"/>
    <cellStyle name="Porcentagem 3 3 2 2 3 2" xfId="50720"/>
    <cellStyle name="Porcentagem 3 3 2 2 4" xfId="50036"/>
    <cellStyle name="Porcentagem 3 3 2 3" xfId="49298"/>
    <cellStyle name="Porcentagem 3 3 2 3 2" xfId="49299"/>
    <cellStyle name="Porcentagem 3 3 2 3 2 2" xfId="50946"/>
    <cellStyle name="Porcentagem 3 3 2 3 3" xfId="50210"/>
    <cellStyle name="Porcentagem 3 3 2 4" xfId="49300"/>
    <cellStyle name="Porcentagem 3 3 2 4 2" xfId="50583"/>
    <cellStyle name="Porcentagem 3 3 2 5" xfId="49301"/>
    <cellStyle name="Porcentagem 3 3 3" xfId="49302"/>
    <cellStyle name="Porcentagem 3 3 3 2" xfId="49303"/>
    <cellStyle name="Porcentagem 3 3 3 2 2" xfId="49304"/>
    <cellStyle name="Porcentagem 3 3 3 2 2 2" xfId="49305"/>
    <cellStyle name="Porcentagem 3 3 3 2 2 2 2" xfId="51113"/>
    <cellStyle name="Porcentagem 3 3 3 2 2 3" xfId="50370"/>
    <cellStyle name="Porcentagem 3 3 3 2 3" xfId="49306"/>
    <cellStyle name="Porcentagem 3 3 3 2 3 2" xfId="50753"/>
    <cellStyle name="Porcentagem 3 3 3 2 4" xfId="50062"/>
    <cellStyle name="Porcentagem 3 3 3 3" xfId="49307"/>
    <cellStyle name="Porcentagem 3 3 3 3 2" xfId="49308"/>
    <cellStyle name="Porcentagem 3 3 3 3 2 2" xfId="50978"/>
    <cellStyle name="Porcentagem 3 3 3 3 3" xfId="50242"/>
    <cellStyle name="Porcentagem 3 3 3 4" xfId="49309"/>
    <cellStyle name="Porcentagem 3 3 3 4 2" xfId="50616"/>
    <cellStyle name="Porcentagem 3 3 3 5" xfId="49961"/>
    <cellStyle name="Porcentagem 3 3 4" xfId="49310"/>
    <cellStyle name="Porcentagem 3 3 4 2" xfId="49311"/>
    <cellStyle name="Porcentagem 3 3 4 2 2" xfId="49312"/>
    <cellStyle name="Porcentagem 3 3 4 2 2 2" xfId="49313"/>
    <cellStyle name="Porcentagem 3 3 4 2 2 2 2" xfId="51153"/>
    <cellStyle name="Porcentagem 3 3 4 2 2 3" xfId="50409"/>
    <cellStyle name="Porcentagem 3 3 4 2 3" xfId="49314"/>
    <cellStyle name="Porcentagem 3 3 4 2 3 2" xfId="50793"/>
    <cellStyle name="Porcentagem 3 3 4 2 4" xfId="50093"/>
    <cellStyle name="Porcentagem 3 3 4 3" xfId="49315"/>
    <cellStyle name="Porcentagem 3 3 4 3 2" xfId="49316"/>
    <cellStyle name="Porcentagem 3 3 4 3 2 2" xfId="51017"/>
    <cellStyle name="Porcentagem 3 3 4 3 3" xfId="50281"/>
    <cellStyle name="Porcentagem 3 3 4 4" xfId="49317"/>
    <cellStyle name="Porcentagem 3 3 4 4 2" xfId="50656"/>
    <cellStyle name="Porcentagem 3 3 4 5" xfId="49990"/>
    <cellStyle name="Porcentagem 3 3 5" xfId="49318"/>
    <cellStyle name="Porcentagem 3 3 5 2" xfId="49319"/>
    <cellStyle name="Porcentagem 3 3 5 2 2" xfId="49320"/>
    <cellStyle name="Porcentagem 3 3 5 2 2 2" xfId="51046"/>
    <cellStyle name="Porcentagem 3 3 5 2 3" xfId="50306"/>
    <cellStyle name="Porcentagem 3 3 5 3" xfId="49321"/>
    <cellStyle name="Porcentagem 3 3 5 3 2" xfId="50686"/>
    <cellStyle name="Porcentagem 3 3 5 4" xfId="50009"/>
    <cellStyle name="Porcentagem 3 3 6" xfId="49322"/>
    <cellStyle name="Porcentagem 3 3 6 2" xfId="49323"/>
    <cellStyle name="Porcentagem 3 3 6 2 2" xfId="49324"/>
    <cellStyle name="Porcentagem 3 3 6 2 2 2" xfId="50913"/>
    <cellStyle name="Porcentagem 3 3 6 2 3" xfId="50178"/>
    <cellStyle name="Porcentagem 3 3 6 3" xfId="49325"/>
    <cellStyle name="Porcentagem 3 3 6 3 2" xfId="50549"/>
    <cellStyle name="Porcentagem 3 3 6 4" xfId="49914"/>
    <cellStyle name="Porcentagem 3 3 7" xfId="49326"/>
    <cellStyle name="Porcentagem 3 3 7 2" xfId="49327"/>
    <cellStyle name="Porcentagem 3 3 7 2 2" xfId="49328"/>
    <cellStyle name="Porcentagem 3 3 7 2 2 2" xfId="51186"/>
    <cellStyle name="Porcentagem 3 3 7 2 3" xfId="50438"/>
    <cellStyle name="Porcentagem 3 3 7 3" xfId="49329"/>
    <cellStyle name="Porcentagem 3 3 7 3 2" xfId="50827"/>
    <cellStyle name="Porcentagem 3 3 7 4" xfId="50121"/>
    <cellStyle name="Porcentagem 3 3 8" xfId="49330"/>
    <cellStyle name="Porcentagem 3 3 8 2" xfId="49331"/>
    <cellStyle name="Porcentagem 3 3 8 2 2" xfId="50869"/>
    <cellStyle name="Porcentagem 3 3 8 3" xfId="50146"/>
    <cellStyle name="Porcentagem 3 3 9" xfId="49332"/>
    <cellStyle name="Porcentagem 3 3 9 2" xfId="49333"/>
    <cellStyle name="Porcentagem 3 3 9 2 2" xfId="51219"/>
    <cellStyle name="Porcentagem 3 3 9 3" xfId="50466"/>
    <cellStyle name="Porcentagem 3 30" xfId="44467"/>
    <cellStyle name="Porcentagem 3 31" xfId="44468"/>
    <cellStyle name="Porcentagem 3 32" xfId="44469"/>
    <cellStyle name="Porcentagem 3 33" xfId="44470"/>
    <cellStyle name="Porcentagem 3 34" xfId="44471"/>
    <cellStyle name="Porcentagem 3 35" xfId="44472"/>
    <cellStyle name="Porcentagem 3 36" xfId="44473"/>
    <cellStyle name="Porcentagem 3 37" xfId="44474"/>
    <cellStyle name="Porcentagem 3 38" xfId="44475"/>
    <cellStyle name="Porcentagem 3 39" xfId="44476"/>
    <cellStyle name="Porcentagem 3 4" xfId="291"/>
    <cellStyle name="Porcentagem 3 4 2" xfId="1363"/>
    <cellStyle name="Porcentagem 3 4 2 2" xfId="49334"/>
    <cellStyle name="Porcentagem 3 4 2 2 2" xfId="49335"/>
    <cellStyle name="Porcentagem 3 4 2 2 2 2" xfId="51078"/>
    <cellStyle name="Porcentagem 3 4 2 2 3" xfId="50336"/>
    <cellStyle name="Porcentagem 3 4 2 3" xfId="49336"/>
    <cellStyle name="Porcentagem 3 4 2 3 2" xfId="50718"/>
    <cellStyle name="Porcentagem 3 4 2 4" xfId="49337"/>
    <cellStyle name="Porcentagem 3 4 3" xfId="49338"/>
    <cellStyle name="Porcentagem 3 4 3 2" xfId="49339"/>
    <cellStyle name="Porcentagem 3 4 3 2 2" xfId="50944"/>
    <cellStyle name="Porcentagem 3 4 3 3" xfId="50208"/>
    <cellStyle name="Porcentagem 3 4 4" xfId="49340"/>
    <cellStyle name="Porcentagem 3 4 4 2" xfId="50581"/>
    <cellStyle name="Porcentagem 3 4 5" xfId="49341"/>
    <cellStyle name="Porcentagem 3 40" xfId="44477"/>
    <cellStyle name="Porcentagem 3 41" xfId="44478"/>
    <cellStyle name="Porcentagem 3 42" xfId="44479"/>
    <cellStyle name="Porcentagem 3 43" xfId="44480"/>
    <cellStyle name="Porcentagem 3 44" xfId="44481"/>
    <cellStyle name="Porcentagem 3 45" xfId="44482"/>
    <cellStyle name="Porcentagem 3 46" xfId="44483"/>
    <cellStyle name="Porcentagem 3 47" xfId="44484"/>
    <cellStyle name="Porcentagem 3 48" xfId="44485"/>
    <cellStyle name="Porcentagem 3 49" xfId="44486"/>
    <cellStyle name="Porcentagem 3 5" xfId="341"/>
    <cellStyle name="Porcentagem 3 5 2" xfId="1413"/>
    <cellStyle name="Porcentagem 3 5 2 2" xfId="49342"/>
    <cellStyle name="Porcentagem 3 5 2 2 2" xfId="49343"/>
    <cellStyle name="Porcentagem 3 5 2 2 2 2" xfId="51111"/>
    <cellStyle name="Porcentagem 3 5 2 2 3" xfId="50368"/>
    <cellStyle name="Porcentagem 3 5 2 3" xfId="49344"/>
    <cellStyle name="Porcentagem 3 5 2 3 2" xfId="50751"/>
    <cellStyle name="Porcentagem 3 5 2 4" xfId="49345"/>
    <cellStyle name="Porcentagem 3 5 3" xfId="49346"/>
    <cellStyle name="Porcentagem 3 5 3 2" xfId="49347"/>
    <cellStyle name="Porcentagem 3 5 3 2 2" xfId="50976"/>
    <cellStyle name="Porcentagem 3 5 3 3" xfId="50240"/>
    <cellStyle name="Porcentagem 3 5 4" xfId="49348"/>
    <cellStyle name="Porcentagem 3 5 4 2" xfId="50614"/>
    <cellStyle name="Porcentagem 3 5 5" xfId="49349"/>
    <cellStyle name="Porcentagem 3 50" xfId="44487"/>
    <cellStyle name="Porcentagem 3 51" xfId="44488"/>
    <cellStyle name="Porcentagem 3 52" xfId="44489"/>
    <cellStyle name="Porcentagem 3 53" xfId="44490"/>
    <cellStyle name="Porcentagem 3 54" xfId="44491"/>
    <cellStyle name="Porcentagem 3 55" xfId="44492"/>
    <cellStyle name="Porcentagem 3 56" xfId="44493"/>
    <cellStyle name="Porcentagem 3 57" xfId="44494"/>
    <cellStyle name="Porcentagem 3 58" xfId="44495"/>
    <cellStyle name="Porcentagem 3 59" xfId="44496"/>
    <cellStyle name="Porcentagem 3 6" xfId="380"/>
    <cellStyle name="Porcentagem 3 6 2" xfId="1452"/>
    <cellStyle name="Porcentagem 3 6 2 2" xfId="49350"/>
    <cellStyle name="Porcentagem 3 6 2 2 2" xfId="49351"/>
    <cellStyle name="Porcentagem 3 6 2 2 2 2" xfId="51151"/>
    <cellStyle name="Porcentagem 3 6 2 2 3" xfId="50407"/>
    <cellStyle name="Porcentagem 3 6 2 3" xfId="49352"/>
    <cellStyle name="Porcentagem 3 6 2 3 2" xfId="50791"/>
    <cellStyle name="Porcentagem 3 6 2 4" xfId="49353"/>
    <cellStyle name="Porcentagem 3 6 3" xfId="49354"/>
    <cellStyle name="Porcentagem 3 6 3 2" xfId="49355"/>
    <cellStyle name="Porcentagem 3 6 3 2 2" xfId="51015"/>
    <cellStyle name="Porcentagem 3 6 3 3" xfId="50279"/>
    <cellStyle name="Porcentagem 3 6 4" xfId="49356"/>
    <cellStyle name="Porcentagem 3 6 4 2" xfId="50654"/>
    <cellStyle name="Porcentagem 3 6 5" xfId="49357"/>
    <cellStyle name="Porcentagem 3 60" xfId="44497"/>
    <cellStyle name="Porcentagem 3 61" xfId="44498"/>
    <cellStyle name="Porcentagem 3 62" xfId="44499"/>
    <cellStyle name="Porcentagem 3 63" xfId="44500"/>
    <cellStyle name="Porcentagem 3 64" xfId="44501"/>
    <cellStyle name="Porcentagem 3 65" xfId="44502"/>
    <cellStyle name="Porcentagem 3 66" xfId="44503"/>
    <cellStyle name="Porcentagem 3 67" xfId="44504"/>
    <cellStyle name="Porcentagem 3 68" xfId="44505"/>
    <cellStyle name="Porcentagem 3 69" xfId="44506"/>
    <cellStyle name="Porcentagem 3 7" xfId="438"/>
    <cellStyle name="Porcentagem 3 7 2" xfId="1510"/>
    <cellStyle name="Porcentagem 3 7 2 2" xfId="49358"/>
    <cellStyle name="Porcentagem 3 7 2 2 2" xfId="51036"/>
    <cellStyle name="Porcentagem 3 7 2 3" xfId="49359"/>
    <cellStyle name="Porcentagem 3 7 3" xfId="49360"/>
    <cellStyle name="Porcentagem 3 7 3 2" xfId="50676"/>
    <cellStyle name="Porcentagem 3 7 4" xfId="49361"/>
    <cellStyle name="Porcentagem 3 70" xfId="44507"/>
    <cellStyle name="Porcentagem 3 71" xfId="44508"/>
    <cellStyle name="Porcentagem 3 72" xfId="44509"/>
    <cellStyle name="Porcentagem 3 73" xfId="44510"/>
    <cellStyle name="Porcentagem 3 74" xfId="44511"/>
    <cellStyle name="Porcentagem 3 75" xfId="44512"/>
    <cellStyle name="Porcentagem 3 76" xfId="44513"/>
    <cellStyle name="Porcentagem 3 77" xfId="44514"/>
    <cellStyle name="Porcentagem 3 78" xfId="44515"/>
    <cellStyle name="Porcentagem 3 79" xfId="44516"/>
    <cellStyle name="Porcentagem 3 8" xfId="502"/>
    <cellStyle name="Porcentagem 3 8 2" xfId="1573"/>
    <cellStyle name="Porcentagem 3 8 2 2" xfId="49362"/>
    <cellStyle name="Porcentagem 3 8 2 2 2" xfId="50903"/>
    <cellStyle name="Porcentagem 3 8 2 3" xfId="49363"/>
    <cellStyle name="Porcentagem 3 8 3" xfId="49364"/>
    <cellStyle name="Porcentagem 3 8 3 2" xfId="50539"/>
    <cellStyle name="Porcentagem 3 8 4" xfId="49365"/>
    <cellStyle name="Porcentagem 3 80" xfId="44517"/>
    <cellStyle name="Porcentagem 3 81" xfId="44518"/>
    <cellStyle name="Porcentagem 3 82" xfId="44519"/>
    <cellStyle name="Porcentagem 3 83" xfId="44520"/>
    <cellStyle name="Porcentagem 3 84" xfId="44521"/>
    <cellStyle name="Porcentagem 3 85" xfId="44522"/>
    <cellStyle name="Porcentagem 3 86" xfId="44523"/>
    <cellStyle name="Porcentagem 3 87" xfId="44524"/>
    <cellStyle name="Porcentagem 3 88" xfId="44525"/>
    <cellStyle name="Porcentagem 3 89" xfId="44526"/>
    <cellStyle name="Porcentagem 3 9" xfId="620"/>
    <cellStyle name="Porcentagem 3 9 2" xfId="1691"/>
    <cellStyle name="Porcentagem 3 9 2 2" xfId="49366"/>
    <cellStyle name="Porcentagem 3 9 2 2 2" xfId="51184"/>
    <cellStyle name="Porcentagem 3 9 2 3" xfId="49367"/>
    <cellStyle name="Porcentagem 3 9 3" xfId="49368"/>
    <cellStyle name="Porcentagem 3 9 3 2" xfId="50825"/>
    <cellStyle name="Porcentagem 3 9 4" xfId="49369"/>
    <cellStyle name="Porcentagem 3 90" xfId="44527"/>
    <cellStyle name="Porcentagem 3 91" xfId="44528"/>
    <cellStyle name="Porcentagem 3 92" xfId="44529"/>
    <cellStyle name="Porcentagem 3 93" xfId="44530"/>
    <cellStyle name="Porcentagem 3 94" xfId="44531"/>
    <cellStyle name="Porcentagem 3 95" xfId="44532"/>
    <cellStyle name="Porcentagem 3 96" xfId="44533"/>
    <cellStyle name="Porcentagem 3 97" xfId="44534"/>
    <cellStyle name="Porcentagem 3 98" xfId="44535"/>
    <cellStyle name="Porcentagem 3 99" xfId="44536"/>
    <cellStyle name="Porcentagem 4" xfId="683"/>
    <cellStyle name="Porcentagem 4 10" xfId="44537"/>
    <cellStyle name="Porcentagem 4 10 2" xfId="49370"/>
    <cellStyle name="Porcentagem 4 10 2 2" xfId="50870"/>
    <cellStyle name="Porcentagem 4 10 3" xfId="49371"/>
    <cellStyle name="Porcentagem 4 100" xfId="44538"/>
    <cellStyle name="Porcentagem 4 101" xfId="44539"/>
    <cellStyle name="Porcentagem 4 102" xfId="44540"/>
    <cellStyle name="Porcentagem 4 103" xfId="44541"/>
    <cellStyle name="Porcentagem 4 104" xfId="44542"/>
    <cellStyle name="Porcentagem 4 105" xfId="44543"/>
    <cellStyle name="Porcentagem 4 106" xfId="44544"/>
    <cellStyle name="Porcentagem 4 107" xfId="44545"/>
    <cellStyle name="Porcentagem 4 108" xfId="44546"/>
    <cellStyle name="Porcentagem 4 109" xfId="44547"/>
    <cellStyle name="Porcentagem 4 11" xfId="44548"/>
    <cellStyle name="Porcentagem 4 11 2" xfId="49372"/>
    <cellStyle name="Porcentagem 4 11 2 2" xfId="51220"/>
    <cellStyle name="Porcentagem 4 11 3" xfId="49373"/>
    <cellStyle name="Porcentagem 4 110" xfId="44549"/>
    <cellStyle name="Porcentagem 4 111" xfId="44550"/>
    <cellStyle name="Porcentagem 4 112" xfId="44551"/>
    <cellStyle name="Porcentagem 4 113" xfId="44552"/>
    <cellStyle name="Porcentagem 4 114" xfId="44553"/>
    <cellStyle name="Porcentagem 4 115" xfId="44554"/>
    <cellStyle name="Porcentagem 4 116" xfId="44555"/>
    <cellStyle name="Porcentagem 4 117" xfId="44556"/>
    <cellStyle name="Porcentagem 4 118" xfId="44557"/>
    <cellStyle name="Porcentagem 4 119" xfId="44558"/>
    <cellStyle name="Porcentagem 4 12" xfId="44559"/>
    <cellStyle name="Porcentagem 4 12 2" xfId="49374"/>
    <cellStyle name="Porcentagem 4 120" xfId="44560"/>
    <cellStyle name="Porcentagem 4 121" xfId="44561"/>
    <cellStyle name="Porcentagem 4 122" xfId="44562"/>
    <cellStyle name="Porcentagem 4 123" xfId="44563"/>
    <cellStyle name="Porcentagem 4 124" xfId="44564"/>
    <cellStyle name="Porcentagem 4 125" xfId="44565"/>
    <cellStyle name="Porcentagem 4 126" xfId="44566"/>
    <cellStyle name="Porcentagem 4 127" xfId="44567"/>
    <cellStyle name="Porcentagem 4 128" xfId="44568"/>
    <cellStyle name="Porcentagem 4 129" xfId="44569"/>
    <cellStyle name="Porcentagem 4 13" xfId="44570"/>
    <cellStyle name="Porcentagem 4 13 2" xfId="49873"/>
    <cellStyle name="Porcentagem 4 130" xfId="44571"/>
    <cellStyle name="Porcentagem 4 131" xfId="44572"/>
    <cellStyle name="Porcentagem 4 132" xfId="44573"/>
    <cellStyle name="Porcentagem 4 133" xfId="44574"/>
    <cellStyle name="Porcentagem 4 134" xfId="44575"/>
    <cellStyle name="Porcentagem 4 135" xfId="44576"/>
    <cellStyle name="Porcentagem 4 136" xfId="44577"/>
    <cellStyle name="Porcentagem 4 137" xfId="44578"/>
    <cellStyle name="Porcentagem 4 138" xfId="44579"/>
    <cellStyle name="Porcentagem 4 139" xfId="44580"/>
    <cellStyle name="Porcentagem 4 14" xfId="44581"/>
    <cellStyle name="Porcentagem 4 140" xfId="44582"/>
    <cellStyle name="Porcentagem 4 141" xfId="44583"/>
    <cellStyle name="Porcentagem 4 142" xfId="44584"/>
    <cellStyle name="Porcentagem 4 143" xfId="44585"/>
    <cellStyle name="Porcentagem 4 144" xfId="44586"/>
    <cellStyle name="Porcentagem 4 145" xfId="44587"/>
    <cellStyle name="Porcentagem 4 146" xfId="44588"/>
    <cellStyle name="Porcentagem 4 147" xfId="44589"/>
    <cellStyle name="Porcentagem 4 148" xfId="44590"/>
    <cellStyle name="Porcentagem 4 149" xfId="44591"/>
    <cellStyle name="Porcentagem 4 15" xfId="44592"/>
    <cellStyle name="Porcentagem 4 150" xfId="44593"/>
    <cellStyle name="Porcentagem 4 151" xfId="44594"/>
    <cellStyle name="Porcentagem 4 152" xfId="44595"/>
    <cellStyle name="Porcentagem 4 153" xfId="44596"/>
    <cellStyle name="Porcentagem 4 154" xfId="44597"/>
    <cellStyle name="Porcentagem 4 155" xfId="44598"/>
    <cellStyle name="Porcentagem 4 156" xfId="44599"/>
    <cellStyle name="Porcentagem 4 157" xfId="44600"/>
    <cellStyle name="Porcentagem 4 158" xfId="44601"/>
    <cellStyle name="Porcentagem 4 159" xfId="44602"/>
    <cellStyle name="Porcentagem 4 16" xfId="44603"/>
    <cellStyle name="Porcentagem 4 160" xfId="44604"/>
    <cellStyle name="Porcentagem 4 161" xfId="44605"/>
    <cellStyle name="Porcentagem 4 162" xfId="44606"/>
    <cellStyle name="Porcentagem 4 163" xfId="44607"/>
    <cellStyle name="Porcentagem 4 164" xfId="44608"/>
    <cellStyle name="Porcentagem 4 165" xfId="44609"/>
    <cellStyle name="Porcentagem 4 166" xfId="44610"/>
    <cellStyle name="Porcentagem 4 167" xfId="44611"/>
    <cellStyle name="Porcentagem 4 168" xfId="44612"/>
    <cellStyle name="Porcentagem 4 169" xfId="44613"/>
    <cellStyle name="Porcentagem 4 17" xfId="44614"/>
    <cellStyle name="Porcentagem 4 170" xfId="44615"/>
    <cellStyle name="Porcentagem 4 171" xfId="44616"/>
    <cellStyle name="Porcentagem 4 172" xfId="44617"/>
    <cellStyle name="Porcentagem 4 173" xfId="44618"/>
    <cellStyle name="Porcentagem 4 174" xfId="44619"/>
    <cellStyle name="Porcentagem 4 175" xfId="44620"/>
    <cellStyle name="Porcentagem 4 176" xfId="44621"/>
    <cellStyle name="Porcentagem 4 177" xfId="44622"/>
    <cellStyle name="Porcentagem 4 178" xfId="44623"/>
    <cellStyle name="Porcentagem 4 179" xfId="44624"/>
    <cellStyle name="Porcentagem 4 18" xfId="44625"/>
    <cellStyle name="Porcentagem 4 180" xfId="44626"/>
    <cellStyle name="Porcentagem 4 181" xfId="44627"/>
    <cellStyle name="Porcentagem 4 182" xfId="44628"/>
    <cellStyle name="Porcentagem 4 183" xfId="44629"/>
    <cellStyle name="Porcentagem 4 184" xfId="44630"/>
    <cellStyle name="Porcentagem 4 185" xfId="44631"/>
    <cellStyle name="Porcentagem 4 186" xfId="44632"/>
    <cellStyle name="Porcentagem 4 187" xfId="49375"/>
    <cellStyle name="Porcentagem 4 19" xfId="44633"/>
    <cellStyle name="Porcentagem 4 2" xfId="44634"/>
    <cellStyle name="Porcentagem 4 2 10" xfId="49376"/>
    <cellStyle name="Porcentagem 4 2 10 2" xfId="50495"/>
    <cellStyle name="Porcentagem 4 2 11" xfId="49377"/>
    <cellStyle name="Porcentagem 4 2 2" xfId="49378"/>
    <cellStyle name="Porcentagem 4 2 2 2" xfId="49379"/>
    <cellStyle name="Porcentagem 4 2 2 2 2" xfId="49380"/>
    <cellStyle name="Porcentagem 4 2 2 2 2 2" xfId="49381"/>
    <cellStyle name="Porcentagem 4 2 2 2 2 2 2" xfId="51082"/>
    <cellStyle name="Porcentagem 4 2 2 2 2 3" xfId="50340"/>
    <cellStyle name="Porcentagem 4 2 2 2 3" xfId="49382"/>
    <cellStyle name="Porcentagem 4 2 2 2 3 2" xfId="50722"/>
    <cellStyle name="Porcentagem 4 2 2 2 4" xfId="50038"/>
    <cellStyle name="Porcentagem 4 2 2 3" xfId="49383"/>
    <cellStyle name="Porcentagem 4 2 2 3 2" xfId="49384"/>
    <cellStyle name="Porcentagem 4 2 2 3 2 2" xfId="50948"/>
    <cellStyle name="Porcentagem 4 2 2 3 3" xfId="50212"/>
    <cellStyle name="Porcentagem 4 2 2 4" xfId="49385"/>
    <cellStyle name="Porcentagem 4 2 2 4 2" xfId="50585"/>
    <cellStyle name="Porcentagem 4 2 2 5" xfId="49940"/>
    <cellStyle name="Porcentagem 4 2 3" xfId="49386"/>
    <cellStyle name="Porcentagem 4 2 3 2" xfId="49387"/>
    <cellStyle name="Porcentagem 4 2 3 2 2" xfId="49388"/>
    <cellStyle name="Porcentagem 4 2 3 2 2 2" xfId="49389"/>
    <cellStyle name="Porcentagem 4 2 3 2 2 2 2" xfId="51115"/>
    <cellStyle name="Porcentagem 4 2 3 2 2 3" xfId="50372"/>
    <cellStyle name="Porcentagem 4 2 3 2 3" xfId="49390"/>
    <cellStyle name="Porcentagem 4 2 3 2 3 2" xfId="50755"/>
    <cellStyle name="Porcentagem 4 2 3 2 4" xfId="50064"/>
    <cellStyle name="Porcentagem 4 2 3 3" xfId="49391"/>
    <cellStyle name="Porcentagem 4 2 3 3 2" xfId="49392"/>
    <cellStyle name="Porcentagem 4 2 3 3 2 2" xfId="50980"/>
    <cellStyle name="Porcentagem 4 2 3 3 3" xfId="50244"/>
    <cellStyle name="Porcentagem 4 2 3 4" xfId="49393"/>
    <cellStyle name="Porcentagem 4 2 3 4 2" xfId="50618"/>
    <cellStyle name="Porcentagem 4 2 3 5" xfId="49962"/>
    <cellStyle name="Porcentagem 4 2 4" xfId="49394"/>
    <cellStyle name="Porcentagem 4 2 4 2" xfId="49395"/>
    <cellStyle name="Porcentagem 4 2 4 2 2" xfId="49396"/>
    <cellStyle name="Porcentagem 4 2 4 2 2 2" xfId="49397"/>
    <cellStyle name="Porcentagem 4 2 4 2 2 2 2" xfId="51155"/>
    <cellStyle name="Porcentagem 4 2 4 2 2 3" xfId="50411"/>
    <cellStyle name="Porcentagem 4 2 4 2 3" xfId="49398"/>
    <cellStyle name="Porcentagem 4 2 4 2 3 2" xfId="50795"/>
    <cellStyle name="Porcentagem 4 2 4 2 4" xfId="50095"/>
    <cellStyle name="Porcentagem 4 2 4 3" xfId="49399"/>
    <cellStyle name="Porcentagem 4 2 4 3 2" xfId="49400"/>
    <cellStyle name="Porcentagem 4 2 4 3 2 2" xfId="51019"/>
    <cellStyle name="Porcentagem 4 2 4 3 3" xfId="50283"/>
    <cellStyle name="Porcentagem 4 2 4 4" xfId="49401"/>
    <cellStyle name="Porcentagem 4 2 4 4 2" xfId="50658"/>
    <cellStyle name="Porcentagem 4 2 4 5" xfId="49991"/>
    <cellStyle name="Porcentagem 4 2 5" xfId="49402"/>
    <cellStyle name="Porcentagem 4 2 5 2" xfId="49403"/>
    <cellStyle name="Porcentagem 4 2 5 2 2" xfId="49404"/>
    <cellStyle name="Porcentagem 4 2 5 2 2 2" xfId="51052"/>
    <cellStyle name="Porcentagem 4 2 5 2 3" xfId="50311"/>
    <cellStyle name="Porcentagem 4 2 5 3" xfId="49405"/>
    <cellStyle name="Porcentagem 4 2 5 3 2" xfId="50692"/>
    <cellStyle name="Porcentagem 4 2 5 4" xfId="50014"/>
    <cellStyle name="Porcentagem 4 2 6" xfId="49406"/>
    <cellStyle name="Porcentagem 4 2 6 2" xfId="49407"/>
    <cellStyle name="Porcentagem 4 2 6 2 2" xfId="49408"/>
    <cellStyle name="Porcentagem 4 2 6 2 2 2" xfId="50919"/>
    <cellStyle name="Porcentagem 4 2 6 2 3" xfId="50183"/>
    <cellStyle name="Porcentagem 4 2 6 3" xfId="49409"/>
    <cellStyle name="Porcentagem 4 2 6 3 2" xfId="50555"/>
    <cellStyle name="Porcentagem 4 2 6 4" xfId="49919"/>
    <cellStyle name="Porcentagem 4 2 7" xfId="49410"/>
    <cellStyle name="Porcentagem 4 2 7 2" xfId="49411"/>
    <cellStyle name="Porcentagem 4 2 7 2 2" xfId="49412"/>
    <cellStyle name="Porcentagem 4 2 7 2 2 2" xfId="51188"/>
    <cellStyle name="Porcentagem 4 2 7 2 3" xfId="50440"/>
    <cellStyle name="Porcentagem 4 2 7 3" xfId="49413"/>
    <cellStyle name="Porcentagem 4 2 7 3 2" xfId="50829"/>
    <cellStyle name="Porcentagem 4 2 7 4" xfId="50122"/>
    <cellStyle name="Porcentagem 4 2 8" xfId="49414"/>
    <cellStyle name="Porcentagem 4 2 8 2" xfId="49415"/>
    <cellStyle name="Porcentagem 4 2 8 2 2" xfId="50871"/>
    <cellStyle name="Porcentagem 4 2 8 3" xfId="50147"/>
    <cellStyle name="Porcentagem 4 2 9" xfId="49416"/>
    <cellStyle name="Porcentagem 4 2 9 2" xfId="49417"/>
    <cellStyle name="Porcentagem 4 2 9 2 2" xfId="51221"/>
    <cellStyle name="Porcentagem 4 2 9 3" xfId="50467"/>
    <cellStyle name="Porcentagem 4 20" xfId="44635"/>
    <cellStyle name="Porcentagem 4 21" xfId="44636"/>
    <cellStyle name="Porcentagem 4 22" xfId="44637"/>
    <cellStyle name="Porcentagem 4 23" xfId="44638"/>
    <cellStyle name="Porcentagem 4 24" xfId="44639"/>
    <cellStyle name="Porcentagem 4 25" xfId="44640"/>
    <cellStyle name="Porcentagem 4 26" xfId="44641"/>
    <cellStyle name="Porcentagem 4 27" xfId="44642"/>
    <cellStyle name="Porcentagem 4 28" xfId="44643"/>
    <cellStyle name="Porcentagem 4 29" xfId="44644"/>
    <cellStyle name="Porcentagem 4 3" xfId="44645"/>
    <cellStyle name="Porcentagem 4 3 10" xfId="49418"/>
    <cellStyle name="Porcentagem 4 3 10 2" xfId="50496"/>
    <cellStyle name="Porcentagem 4 3 11" xfId="49419"/>
    <cellStyle name="Porcentagem 4 3 2" xfId="49420"/>
    <cellStyle name="Porcentagem 4 3 2 2" xfId="49421"/>
    <cellStyle name="Porcentagem 4 3 2 2 2" xfId="49422"/>
    <cellStyle name="Porcentagem 4 3 2 2 2 2" xfId="49423"/>
    <cellStyle name="Porcentagem 4 3 2 2 2 2 2" xfId="51083"/>
    <cellStyle name="Porcentagem 4 3 2 2 2 3" xfId="50341"/>
    <cellStyle name="Porcentagem 4 3 2 2 3" xfId="49424"/>
    <cellStyle name="Porcentagem 4 3 2 2 3 2" xfId="50723"/>
    <cellStyle name="Porcentagem 4 3 2 2 4" xfId="50039"/>
    <cellStyle name="Porcentagem 4 3 2 3" xfId="49425"/>
    <cellStyle name="Porcentagem 4 3 2 3 2" xfId="49426"/>
    <cellStyle name="Porcentagem 4 3 2 3 2 2" xfId="50949"/>
    <cellStyle name="Porcentagem 4 3 2 3 3" xfId="50213"/>
    <cellStyle name="Porcentagem 4 3 2 4" xfId="49427"/>
    <cellStyle name="Porcentagem 4 3 2 4 2" xfId="50586"/>
    <cellStyle name="Porcentagem 4 3 2 5" xfId="49941"/>
    <cellStyle name="Porcentagem 4 3 3" xfId="49428"/>
    <cellStyle name="Porcentagem 4 3 3 2" xfId="49429"/>
    <cellStyle name="Porcentagem 4 3 3 2 2" xfId="49430"/>
    <cellStyle name="Porcentagem 4 3 3 2 2 2" xfId="49431"/>
    <cellStyle name="Porcentagem 4 3 3 2 2 2 2" xfId="51116"/>
    <cellStyle name="Porcentagem 4 3 3 2 2 3" xfId="50373"/>
    <cellStyle name="Porcentagem 4 3 3 2 3" xfId="49432"/>
    <cellStyle name="Porcentagem 4 3 3 2 3 2" xfId="50756"/>
    <cellStyle name="Porcentagem 4 3 3 2 4" xfId="50065"/>
    <cellStyle name="Porcentagem 4 3 3 3" xfId="49433"/>
    <cellStyle name="Porcentagem 4 3 3 3 2" xfId="49434"/>
    <cellStyle name="Porcentagem 4 3 3 3 2 2" xfId="50981"/>
    <cellStyle name="Porcentagem 4 3 3 3 3" xfId="50245"/>
    <cellStyle name="Porcentagem 4 3 3 4" xfId="49435"/>
    <cellStyle name="Porcentagem 4 3 3 4 2" xfId="50619"/>
    <cellStyle name="Porcentagem 4 3 3 5" xfId="49963"/>
    <cellStyle name="Porcentagem 4 3 4" xfId="49436"/>
    <cellStyle name="Porcentagem 4 3 4 2" xfId="49437"/>
    <cellStyle name="Porcentagem 4 3 4 2 2" xfId="49438"/>
    <cellStyle name="Porcentagem 4 3 4 2 2 2" xfId="49439"/>
    <cellStyle name="Porcentagem 4 3 4 2 2 2 2" xfId="51156"/>
    <cellStyle name="Porcentagem 4 3 4 2 2 3" xfId="50412"/>
    <cellStyle name="Porcentagem 4 3 4 2 3" xfId="49440"/>
    <cellStyle name="Porcentagem 4 3 4 2 3 2" xfId="50796"/>
    <cellStyle name="Porcentagem 4 3 4 2 4" xfId="50096"/>
    <cellStyle name="Porcentagem 4 3 4 3" xfId="49441"/>
    <cellStyle name="Porcentagem 4 3 4 3 2" xfId="49442"/>
    <cellStyle name="Porcentagem 4 3 4 3 2 2" xfId="51020"/>
    <cellStyle name="Porcentagem 4 3 4 3 3" xfId="50284"/>
    <cellStyle name="Porcentagem 4 3 4 4" xfId="49443"/>
    <cellStyle name="Porcentagem 4 3 4 4 2" xfId="50659"/>
    <cellStyle name="Porcentagem 4 3 4 5" xfId="49992"/>
    <cellStyle name="Porcentagem 4 3 5" xfId="49444"/>
    <cellStyle name="Porcentagem 4 3 5 2" xfId="49445"/>
    <cellStyle name="Porcentagem 4 3 5 2 2" xfId="49446"/>
    <cellStyle name="Porcentagem 4 3 5 2 2 2" xfId="51042"/>
    <cellStyle name="Porcentagem 4 3 5 2 3" xfId="50302"/>
    <cellStyle name="Porcentagem 4 3 5 3" xfId="49447"/>
    <cellStyle name="Porcentagem 4 3 5 3 2" xfId="50682"/>
    <cellStyle name="Porcentagem 4 3 5 4" xfId="50005"/>
    <cellStyle name="Porcentagem 4 3 6" xfId="49448"/>
    <cellStyle name="Porcentagem 4 3 6 2" xfId="49449"/>
    <cellStyle name="Porcentagem 4 3 6 2 2" xfId="49450"/>
    <cellStyle name="Porcentagem 4 3 6 2 2 2" xfId="50909"/>
    <cellStyle name="Porcentagem 4 3 6 2 3" xfId="50174"/>
    <cellStyle name="Porcentagem 4 3 6 3" xfId="49451"/>
    <cellStyle name="Porcentagem 4 3 6 3 2" xfId="50545"/>
    <cellStyle name="Porcentagem 4 3 6 4" xfId="49910"/>
    <cellStyle name="Porcentagem 4 3 7" xfId="49452"/>
    <cellStyle name="Porcentagem 4 3 7 2" xfId="49453"/>
    <cellStyle name="Porcentagem 4 3 7 2 2" xfId="49454"/>
    <cellStyle name="Porcentagem 4 3 7 2 2 2" xfId="51189"/>
    <cellStyle name="Porcentagem 4 3 7 2 3" xfId="50441"/>
    <cellStyle name="Porcentagem 4 3 7 3" xfId="49455"/>
    <cellStyle name="Porcentagem 4 3 7 3 2" xfId="50830"/>
    <cellStyle name="Porcentagem 4 3 7 4" xfId="50123"/>
    <cellStyle name="Porcentagem 4 3 8" xfId="49456"/>
    <cellStyle name="Porcentagem 4 3 8 2" xfId="49457"/>
    <cellStyle name="Porcentagem 4 3 8 2 2" xfId="50872"/>
    <cellStyle name="Porcentagem 4 3 8 3" xfId="50148"/>
    <cellStyle name="Porcentagem 4 3 9" xfId="49458"/>
    <cellStyle name="Porcentagem 4 3 9 2" xfId="49459"/>
    <cellStyle name="Porcentagem 4 3 9 2 2" xfId="51222"/>
    <cellStyle name="Porcentagem 4 3 9 3" xfId="50468"/>
    <cellStyle name="Porcentagem 4 30" xfId="44646"/>
    <cellStyle name="Porcentagem 4 31" xfId="44647"/>
    <cellStyle name="Porcentagem 4 32" xfId="44648"/>
    <cellStyle name="Porcentagem 4 33" xfId="44649"/>
    <cellStyle name="Porcentagem 4 34" xfId="44650"/>
    <cellStyle name="Porcentagem 4 35" xfId="44651"/>
    <cellStyle name="Porcentagem 4 36" xfId="44652"/>
    <cellStyle name="Porcentagem 4 37" xfId="44653"/>
    <cellStyle name="Porcentagem 4 38" xfId="44654"/>
    <cellStyle name="Porcentagem 4 39" xfId="44655"/>
    <cellStyle name="Porcentagem 4 4" xfId="44656"/>
    <cellStyle name="Porcentagem 4 4 2" xfId="49460"/>
    <cellStyle name="Porcentagem 4 4 2 2" xfId="49461"/>
    <cellStyle name="Porcentagem 4 4 2 2 2" xfId="49462"/>
    <cellStyle name="Porcentagem 4 4 2 2 2 2" xfId="51081"/>
    <cellStyle name="Porcentagem 4 4 2 2 3" xfId="50339"/>
    <cellStyle name="Porcentagem 4 4 2 3" xfId="49463"/>
    <cellStyle name="Porcentagem 4 4 2 3 2" xfId="50721"/>
    <cellStyle name="Porcentagem 4 4 2 4" xfId="50037"/>
    <cellStyle name="Porcentagem 4 4 3" xfId="49464"/>
    <cellStyle name="Porcentagem 4 4 3 2" xfId="49465"/>
    <cellStyle name="Porcentagem 4 4 3 2 2" xfId="50947"/>
    <cellStyle name="Porcentagem 4 4 3 3" xfId="50211"/>
    <cellStyle name="Porcentagem 4 4 4" xfId="49466"/>
    <cellStyle name="Porcentagem 4 4 4 2" xfId="50584"/>
    <cellStyle name="Porcentagem 4 4 5" xfId="49467"/>
    <cellStyle name="Porcentagem 4 40" xfId="44657"/>
    <cellStyle name="Porcentagem 4 41" xfId="44658"/>
    <cellStyle name="Porcentagem 4 42" xfId="44659"/>
    <cellStyle name="Porcentagem 4 43" xfId="44660"/>
    <cellStyle name="Porcentagem 4 44" xfId="44661"/>
    <cellStyle name="Porcentagem 4 45" xfId="44662"/>
    <cellStyle name="Porcentagem 4 46" xfId="44663"/>
    <cellStyle name="Porcentagem 4 47" xfId="44664"/>
    <cellStyle name="Porcentagem 4 48" xfId="44665"/>
    <cellStyle name="Porcentagem 4 49" xfId="44666"/>
    <cellStyle name="Porcentagem 4 5" xfId="44667"/>
    <cellStyle name="Porcentagem 4 5 2" xfId="49468"/>
    <cellStyle name="Porcentagem 4 5 2 2" xfId="49469"/>
    <cellStyle name="Porcentagem 4 5 2 2 2" xfId="49470"/>
    <cellStyle name="Porcentagem 4 5 2 2 2 2" xfId="51114"/>
    <cellStyle name="Porcentagem 4 5 2 2 3" xfId="50371"/>
    <cellStyle name="Porcentagem 4 5 2 3" xfId="49471"/>
    <cellStyle name="Porcentagem 4 5 2 3 2" xfId="50754"/>
    <cellStyle name="Porcentagem 4 5 2 4" xfId="50063"/>
    <cellStyle name="Porcentagem 4 5 3" xfId="49472"/>
    <cellStyle name="Porcentagem 4 5 3 2" xfId="49473"/>
    <cellStyle name="Porcentagem 4 5 3 2 2" xfId="50979"/>
    <cellStyle name="Porcentagem 4 5 3 3" xfId="50243"/>
    <cellStyle name="Porcentagem 4 5 4" xfId="49474"/>
    <cellStyle name="Porcentagem 4 5 4 2" xfId="50617"/>
    <cellStyle name="Porcentagem 4 5 5" xfId="49475"/>
    <cellStyle name="Porcentagem 4 50" xfId="44668"/>
    <cellStyle name="Porcentagem 4 51" xfId="44669"/>
    <cellStyle name="Porcentagem 4 52" xfId="44670"/>
    <cellStyle name="Porcentagem 4 53" xfId="44671"/>
    <cellStyle name="Porcentagem 4 54" xfId="44672"/>
    <cellStyle name="Porcentagem 4 55" xfId="44673"/>
    <cellStyle name="Porcentagem 4 56" xfId="44674"/>
    <cellStyle name="Porcentagem 4 57" xfId="44675"/>
    <cellStyle name="Porcentagem 4 58" xfId="44676"/>
    <cellStyle name="Porcentagem 4 59" xfId="44677"/>
    <cellStyle name="Porcentagem 4 6" xfId="44678"/>
    <cellStyle name="Porcentagem 4 6 2" xfId="49476"/>
    <cellStyle name="Porcentagem 4 6 2 2" xfId="49477"/>
    <cellStyle name="Porcentagem 4 6 2 2 2" xfId="49478"/>
    <cellStyle name="Porcentagem 4 6 2 2 2 2" xfId="51154"/>
    <cellStyle name="Porcentagem 4 6 2 2 3" xfId="50410"/>
    <cellStyle name="Porcentagem 4 6 2 3" xfId="49479"/>
    <cellStyle name="Porcentagem 4 6 2 3 2" xfId="50794"/>
    <cellStyle name="Porcentagem 4 6 2 4" xfId="50094"/>
    <cellStyle name="Porcentagem 4 6 3" xfId="49480"/>
    <cellStyle name="Porcentagem 4 6 3 2" xfId="49481"/>
    <cellStyle name="Porcentagem 4 6 3 2 2" xfId="51018"/>
    <cellStyle name="Porcentagem 4 6 3 3" xfId="50282"/>
    <cellStyle name="Porcentagem 4 6 4" xfId="49482"/>
    <cellStyle name="Porcentagem 4 6 4 2" xfId="50657"/>
    <cellStyle name="Porcentagem 4 6 5" xfId="49483"/>
    <cellStyle name="Porcentagem 4 60" xfId="44679"/>
    <cellStyle name="Porcentagem 4 61" xfId="44680"/>
    <cellStyle name="Porcentagem 4 62" xfId="44681"/>
    <cellStyle name="Porcentagem 4 63" xfId="44682"/>
    <cellStyle name="Porcentagem 4 64" xfId="44683"/>
    <cellStyle name="Porcentagem 4 65" xfId="44684"/>
    <cellStyle name="Porcentagem 4 66" xfId="44685"/>
    <cellStyle name="Porcentagem 4 67" xfId="44686"/>
    <cellStyle name="Porcentagem 4 68" xfId="44687"/>
    <cellStyle name="Porcentagem 4 69" xfId="44688"/>
    <cellStyle name="Porcentagem 4 7" xfId="44689"/>
    <cellStyle name="Porcentagem 4 7 2" xfId="49484"/>
    <cellStyle name="Porcentagem 4 7 2 2" xfId="49485"/>
    <cellStyle name="Porcentagem 4 7 2 2 2" xfId="51032"/>
    <cellStyle name="Porcentagem 4 7 2 3" xfId="50295"/>
    <cellStyle name="Porcentagem 4 7 3" xfId="49486"/>
    <cellStyle name="Porcentagem 4 7 3 2" xfId="50672"/>
    <cellStyle name="Porcentagem 4 7 4" xfId="49487"/>
    <cellStyle name="Porcentagem 4 70" xfId="44690"/>
    <cellStyle name="Porcentagem 4 71" xfId="44691"/>
    <cellStyle name="Porcentagem 4 72" xfId="44692"/>
    <cellStyle name="Porcentagem 4 73" xfId="44693"/>
    <cellStyle name="Porcentagem 4 74" xfId="44694"/>
    <cellStyle name="Porcentagem 4 75" xfId="44695"/>
    <cellStyle name="Porcentagem 4 76" xfId="44696"/>
    <cellStyle name="Porcentagem 4 77" xfId="44697"/>
    <cellStyle name="Porcentagem 4 78" xfId="44698"/>
    <cellStyle name="Porcentagem 4 79" xfId="44699"/>
    <cellStyle name="Porcentagem 4 8" xfId="44700"/>
    <cellStyle name="Porcentagem 4 8 2" xfId="49488"/>
    <cellStyle name="Porcentagem 4 8 2 2" xfId="49489"/>
    <cellStyle name="Porcentagem 4 8 2 2 2" xfId="50899"/>
    <cellStyle name="Porcentagem 4 8 2 3" xfId="50167"/>
    <cellStyle name="Porcentagem 4 8 3" xfId="49490"/>
    <cellStyle name="Porcentagem 4 8 3 2" xfId="50535"/>
    <cellStyle name="Porcentagem 4 8 4" xfId="49491"/>
    <cellStyle name="Porcentagem 4 80" xfId="44701"/>
    <cellStyle name="Porcentagem 4 81" xfId="44702"/>
    <cellStyle name="Porcentagem 4 82" xfId="44703"/>
    <cellStyle name="Porcentagem 4 83" xfId="44704"/>
    <cellStyle name="Porcentagem 4 84" xfId="44705"/>
    <cellStyle name="Porcentagem 4 85" xfId="44706"/>
    <cellStyle name="Porcentagem 4 86" xfId="44707"/>
    <cellStyle name="Porcentagem 4 87" xfId="44708"/>
    <cellStyle name="Porcentagem 4 88" xfId="44709"/>
    <cellStyle name="Porcentagem 4 89" xfId="44710"/>
    <cellStyle name="Porcentagem 4 9" xfId="44711"/>
    <cellStyle name="Porcentagem 4 9 2" xfId="49492"/>
    <cellStyle name="Porcentagem 4 9 2 2" xfId="49493"/>
    <cellStyle name="Porcentagem 4 9 2 2 2" xfId="51187"/>
    <cellStyle name="Porcentagem 4 9 2 3" xfId="50439"/>
    <cellStyle name="Porcentagem 4 9 3" xfId="49494"/>
    <cellStyle name="Porcentagem 4 9 3 2" xfId="50828"/>
    <cellStyle name="Porcentagem 4 9 4" xfId="49495"/>
    <cellStyle name="Porcentagem 4 90" xfId="44712"/>
    <cellStyle name="Porcentagem 4 91" xfId="44713"/>
    <cellStyle name="Porcentagem 4 92" xfId="44714"/>
    <cellStyle name="Porcentagem 4 93" xfId="44715"/>
    <cellStyle name="Porcentagem 4 94" xfId="44716"/>
    <cellStyle name="Porcentagem 4 95" xfId="44717"/>
    <cellStyle name="Porcentagem 4 96" xfId="44718"/>
    <cellStyle name="Porcentagem 4 97" xfId="44719"/>
    <cellStyle name="Porcentagem 4 98" xfId="44720"/>
    <cellStyle name="Porcentagem 4 99" xfId="44721"/>
    <cellStyle name="Porcentagem 5" xfId="44722"/>
    <cellStyle name="Porcentagem 5 2" xfId="49496"/>
    <cellStyle name="Porcentagem 5 2 2" xfId="53313"/>
    <cellStyle name="Porcentagem 5 3" xfId="53312"/>
    <cellStyle name="Porcentagem 6" xfId="45288"/>
    <cellStyle name="Porcentagem 6 2" xfId="49497"/>
    <cellStyle name="Porcentagem 6_Mem." xfId="49498"/>
    <cellStyle name="Porcentagem 7" xfId="49499"/>
    <cellStyle name="Porcentagem 8" xfId="49500"/>
    <cellStyle name="Porcentagem 8 2" xfId="49501"/>
    <cellStyle name="Porcentagem 8 3" xfId="49502"/>
    <cellStyle name="Porcentagem 8 3 2" xfId="49503"/>
    <cellStyle name="Porcentagem 8 3 2 2" xfId="50881"/>
    <cellStyle name="Porcentagem 8 3 3" xfId="50155"/>
    <cellStyle name="Porcentagem 8 4" xfId="49504"/>
    <cellStyle name="Porcentagem 8 4 2" xfId="50515"/>
    <cellStyle name="Porcentagem 8 5" xfId="49889"/>
    <cellStyle name="Porcentagem 9" xfId="49505"/>
    <cellStyle name="Porcentagem 9 2" xfId="49506"/>
    <cellStyle name="Porcentagem 9 2 2" xfId="49507"/>
    <cellStyle name="Porcentagem 9 2 2 2" xfId="49508"/>
    <cellStyle name="Porcentagem 9 2 2 2 2" xfId="51128"/>
    <cellStyle name="Porcentagem 9 2 2 3" xfId="50385"/>
    <cellStyle name="Porcentagem 9 2 3" xfId="49509"/>
    <cellStyle name="Porcentagem 9 2 3 2" xfId="50768"/>
    <cellStyle name="Porcentagem 9 2 4" xfId="50074"/>
    <cellStyle name="Porcentagem 9 3" xfId="49510"/>
    <cellStyle name="Porcentagem 9 3 2" xfId="49511"/>
    <cellStyle name="Porcentagem 9 3 2 2" xfId="50993"/>
    <cellStyle name="Porcentagem 9 3 3" xfId="50257"/>
    <cellStyle name="Porcentagem 9 4" xfId="49512"/>
    <cellStyle name="Porcentagem 9 4 2" xfId="50631"/>
    <cellStyle name="Porcentagem 9 5" xfId="49971"/>
    <cellStyle name="Saída" xfId="43951" builtinId="21" customBuiltin="1"/>
    <cellStyle name="Saída 10" xfId="51947"/>
    <cellStyle name="Saída 11" xfId="51989"/>
    <cellStyle name="Saída 12" xfId="52032"/>
    <cellStyle name="Saída 13" xfId="52075"/>
    <cellStyle name="Saída 14" xfId="52118"/>
    <cellStyle name="Saída 2" xfId="86"/>
    <cellStyle name="Saída 2 10" xfId="11231"/>
    <cellStyle name="Saída 2 11" xfId="13755"/>
    <cellStyle name="Saída 2 12" xfId="15657"/>
    <cellStyle name="Saída 2 13" xfId="2817"/>
    <cellStyle name="Saída 2 14" xfId="15092"/>
    <cellStyle name="Saída 2 15" xfId="3317"/>
    <cellStyle name="Saída 2 16" xfId="23283"/>
    <cellStyle name="Saída 2 17" xfId="12840"/>
    <cellStyle name="Saída 2 18" xfId="27947"/>
    <cellStyle name="Saída 2 19" xfId="29006"/>
    <cellStyle name="Saída 2 2" xfId="3465"/>
    <cellStyle name="Saída 2 2 10" xfId="12858"/>
    <cellStyle name="Saída 2 2 11" xfId="14763"/>
    <cellStyle name="Saída 2 2 12" xfId="16878"/>
    <cellStyle name="Saída 2 2 13" xfId="18785"/>
    <cellStyle name="Saída 2 2 14" xfId="20697"/>
    <cellStyle name="Saída 2 2 15" xfId="22391"/>
    <cellStyle name="Saída 2 2 16" xfId="24499"/>
    <cellStyle name="Saída 2 2 17" xfId="14715"/>
    <cellStyle name="Saída 2 2 18" xfId="18506"/>
    <cellStyle name="Saída 2 2 19" xfId="11666"/>
    <cellStyle name="Saída 2 2 2" xfId="3645"/>
    <cellStyle name="Saída 2 2 2 10" xfId="17536"/>
    <cellStyle name="Saída 2 2 2 11" xfId="19442"/>
    <cellStyle name="Saída 2 2 2 12" xfId="21354"/>
    <cellStyle name="Saída 2 2 2 13" xfId="23705"/>
    <cellStyle name="Saída 2 2 2 14" xfId="25156"/>
    <cellStyle name="Saída 2 2 2 15" xfId="27179"/>
    <cellStyle name="Saída 2 2 2 16" xfId="28546"/>
    <cellStyle name="Saída 2 2 2 17" xfId="30770"/>
    <cellStyle name="Saída 2 2 2 18" xfId="32312"/>
    <cellStyle name="Saída 2 2 2 19" xfId="34368"/>
    <cellStyle name="Saída 2 2 2 2" xfId="4462"/>
    <cellStyle name="Saída 2 2 2 2 10" xfId="20707"/>
    <cellStyle name="Saída 2 2 2 2 11" xfId="16171"/>
    <cellStyle name="Saída 2 2 2 2 12" xfId="24509"/>
    <cellStyle name="Saída 2 2 2 2 13" xfId="12785"/>
    <cellStyle name="Saída 2 2 2 2 14" xfId="2882"/>
    <cellStyle name="Saída 2 2 2 2 15" xfId="16626"/>
    <cellStyle name="Saída 2 2 2 2 16" xfId="28021"/>
    <cellStyle name="Saída 2 2 2 2 17" xfId="3194"/>
    <cellStyle name="Saída 2 2 2 2 18" xfId="35337"/>
    <cellStyle name="Saída 2 2 2 2 19" xfId="37215"/>
    <cellStyle name="Saída 2 2 2 2 2" xfId="5429"/>
    <cellStyle name="Saída 2 2 2 2 20" xfId="27159"/>
    <cellStyle name="Saída 2 2 2 2 21" xfId="28390"/>
    <cellStyle name="Saída 2 2 2 2 22" xfId="28018"/>
    <cellStyle name="Saída 2 2 2 2 3" xfId="6664"/>
    <cellStyle name="Saída 2 2 2 2 4" xfId="9269"/>
    <cellStyle name="Saída 2 2 2 2 5" xfId="10955"/>
    <cellStyle name="Saída 2 2 2 2 6" xfId="3082"/>
    <cellStyle name="Saída 2 2 2 2 7" xfId="4184"/>
    <cellStyle name="Saída 2 2 2 2 8" xfId="16888"/>
    <cellStyle name="Saída 2 2 2 2 9" xfId="18795"/>
    <cellStyle name="Saída 2 2 2 20" xfId="35983"/>
    <cellStyle name="Saída 2 2 2 21" xfId="37862"/>
    <cellStyle name="Saída 2 2 2 22" xfId="39531"/>
    <cellStyle name="Saída 2 2 2 23" xfId="41205"/>
    <cellStyle name="Saída 2 2 2 24" xfId="43462"/>
    <cellStyle name="Saída 2 2 2 3" xfId="5106"/>
    <cellStyle name="Saída 2 2 2 3 2" xfId="45680"/>
    <cellStyle name="Saída 2 2 2 3 3" xfId="46069"/>
    <cellStyle name="Saída 2 2 2 3 4" xfId="46427"/>
    <cellStyle name="Saída 2 2 2 3 5" xfId="46779"/>
    <cellStyle name="Saída 2 2 2 3 6" xfId="47094"/>
    <cellStyle name="Saída 2 2 2 3 7" xfId="47413"/>
    <cellStyle name="Saída 2 2 2 3 8" xfId="47731"/>
    <cellStyle name="Saída 2 2 2 4" xfId="6556"/>
    <cellStyle name="Saída 2 2 2 4 2" xfId="45758"/>
    <cellStyle name="Saída 2 2 2 4 3" xfId="46147"/>
    <cellStyle name="Saída 2 2 2 4 4" xfId="46505"/>
    <cellStyle name="Saída 2 2 2 4 5" xfId="46857"/>
    <cellStyle name="Saída 2 2 2 4 6" xfId="47172"/>
    <cellStyle name="Saída 2 2 2 4 7" xfId="47491"/>
    <cellStyle name="Saída 2 2 2 4 8" xfId="47809"/>
    <cellStyle name="Saída 2 2 2 5" xfId="8007"/>
    <cellStyle name="Saída 2 2 2 5 2" xfId="45821"/>
    <cellStyle name="Saída 2 2 2 5 3" xfId="46210"/>
    <cellStyle name="Saída 2 2 2 5 4" xfId="46568"/>
    <cellStyle name="Saída 2 2 2 5 5" xfId="46920"/>
    <cellStyle name="Saída 2 2 2 5 6" xfId="47235"/>
    <cellStyle name="Saída 2 2 2 5 7" xfId="47554"/>
    <cellStyle name="Saída 2 2 2 5 8" xfId="47872"/>
    <cellStyle name="Saída 2 2 2 6" xfId="9917"/>
    <cellStyle name="Saída 2 2 2 7" xfId="11768"/>
    <cellStyle name="Saída 2 2 2 8" xfId="14175"/>
    <cellStyle name="Saída 2 2 2 9" xfId="16079"/>
    <cellStyle name="Saída 2 2 20" xfId="3301"/>
    <cellStyle name="Saída 2 2 21" xfId="2905"/>
    <cellStyle name="Saída 2 2 22" xfId="35327"/>
    <cellStyle name="Saída 2 2 23" xfId="37205"/>
    <cellStyle name="Saída 2 2 24" xfId="29210"/>
    <cellStyle name="Saída 2 2 25" xfId="20421"/>
    <cellStyle name="Saída 2 2 26" xfId="42202"/>
    <cellStyle name="Saída 2 2 3" xfId="3842"/>
    <cellStyle name="Saída 2 2 3 10" xfId="19565"/>
    <cellStyle name="Saída 2 2 3 11" xfId="21477"/>
    <cellStyle name="Saída 2 2 3 12" xfId="22625"/>
    <cellStyle name="Saída 2 2 3 13" xfId="25279"/>
    <cellStyle name="Saída 2 2 3 14" xfId="27129"/>
    <cellStyle name="Saída 2 2 3 15" xfId="29466"/>
    <cellStyle name="Saída 2 2 3 16" xfId="30720"/>
    <cellStyle name="Saída 2 2 3 17" xfId="32989"/>
    <cellStyle name="Saída 2 2 3 18" xfId="34138"/>
    <cellStyle name="Saída 2 2 3 19" xfId="36106"/>
    <cellStyle name="Saída 2 2 3 2" xfId="5835"/>
    <cellStyle name="Saída 2 2 3 2 10" xfId="22085"/>
    <cellStyle name="Saída 2 2 3 2 11" xfId="24166"/>
    <cellStyle name="Saída 2 2 3 2 12" xfId="25887"/>
    <cellStyle name="Saída 2 2 3 2 13" xfId="26316"/>
    <cellStyle name="Saída 2 2 3 2 14" xfId="28699"/>
    <cellStyle name="Saída 2 2 3 2 15" xfId="29924"/>
    <cellStyle name="Saída 2 2 3 2 16" xfId="32113"/>
    <cellStyle name="Saída 2 2 3 2 17" xfId="34580"/>
    <cellStyle name="Saída 2 2 3 2 18" xfId="36714"/>
    <cellStyle name="Saída 2 2 3 2 19" xfId="38593"/>
    <cellStyle name="Saída 2 2 3 2 2" xfId="7284"/>
    <cellStyle name="Saída 2 2 3 2 20" xfId="39337"/>
    <cellStyle name="Saída 2 2 3 2 21" xfId="41013"/>
    <cellStyle name="Saída 2 2 3 2 22" xfId="43908"/>
    <cellStyle name="Saída 2 2 3 2 3" xfId="8738"/>
    <cellStyle name="Saída 2 2 3 2 4" xfId="10648"/>
    <cellStyle name="Saída 2 2 3 2 5" xfId="12126"/>
    <cellStyle name="Saída 2 2 3 2 6" xfId="14637"/>
    <cellStyle name="Saída 2 2 3 2 7" xfId="16543"/>
    <cellStyle name="Saída 2 2 3 2 8" xfId="18267"/>
    <cellStyle name="Saída 2 2 3 2 9" xfId="20173"/>
    <cellStyle name="Saída 2 2 3 20" xfId="37985"/>
    <cellStyle name="Saída 2 2 3 21" xfId="40190"/>
    <cellStyle name="Saída 2 2 3 22" xfId="41849"/>
    <cellStyle name="Saída 2 2 3 23" xfId="42431"/>
    <cellStyle name="Saída 2 2 3 3" xfId="5229"/>
    <cellStyle name="Saída 2 2 3 3 2" xfId="45708"/>
    <cellStyle name="Saída 2 2 3 3 3" xfId="46097"/>
    <cellStyle name="Saída 2 2 3 3 4" xfId="46455"/>
    <cellStyle name="Saída 2 2 3 3 5" xfId="46807"/>
    <cellStyle name="Saída 2 2 3 3 6" xfId="47122"/>
    <cellStyle name="Saída 2 2 3 3 7" xfId="47441"/>
    <cellStyle name="Saída 2 2 3 3 8" xfId="47759"/>
    <cellStyle name="Saída 2 2 3 4" xfId="8130"/>
    <cellStyle name="Saída 2 2 3 4 2" xfId="45599"/>
    <cellStyle name="Saída 2 2 3 4 3" xfId="45988"/>
    <cellStyle name="Saída 2 2 3 4 4" xfId="46346"/>
    <cellStyle name="Saída 2 2 3 4 5" xfId="46698"/>
    <cellStyle name="Saída 2 2 3 4 6" xfId="47013"/>
    <cellStyle name="Saída 2 2 3 4 7" xfId="47332"/>
    <cellStyle name="Saída 2 2 3 4 8" xfId="47650"/>
    <cellStyle name="Saída 2 2 3 5" xfId="10040"/>
    <cellStyle name="Saída 2 2 3 5 2" xfId="45815"/>
    <cellStyle name="Saída 2 2 3 5 3" xfId="46204"/>
    <cellStyle name="Saída 2 2 3 5 4" xfId="46562"/>
    <cellStyle name="Saída 2 2 3 5 5" xfId="46914"/>
    <cellStyle name="Saída 2 2 3 5 6" xfId="47229"/>
    <cellStyle name="Saída 2 2 3 5 7" xfId="47548"/>
    <cellStyle name="Saída 2 2 3 5 8" xfId="47866"/>
    <cellStyle name="Saída 2 2 3 6" xfId="11712"/>
    <cellStyle name="Saída 2 2 3 7" xfId="13092"/>
    <cellStyle name="Saída 2 2 3 8" xfId="14997"/>
    <cellStyle name="Saída 2 2 3 9" xfId="17659"/>
    <cellStyle name="Saída 2 2 4" xfId="4097"/>
    <cellStyle name="Saída 2 2 4 10" xfId="19732"/>
    <cellStyle name="Saída 2 2 4 11" xfId="21644"/>
    <cellStyle name="Saída 2 2 4 12" xfId="22643"/>
    <cellStyle name="Saída 2 2 4 13" xfId="25446"/>
    <cellStyle name="Saída 2 2 4 14" xfId="27188"/>
    <cellStyle name="Saída 2 2 4 15" xfId="29258"/>
    <cellStyle name="Saída 2 2 4 16" xfId="30779"/>
    <cellStyle name="Saída 2 2 4 17" xfId="32105"/>
    <cellStyle name="Saída 2 2 4 18" xfId="34255"/>
    <cellStyle name="Saída 2 2 4 19" xfId="36273"/>
    <cellStyle name="Saída 2 2 4 2" xfId="6002"/>
    <cellStyle name="Saída 2 2 4 2 10" xfId="22252"/>
    <cellStyle name="Saída 2 2 4 2 11" xfId="23928"/>
    <cellStyle name="Saída 2 2 4 2 12" xfId="26054"/>
    <cellStyle name="Saída 2 2 4 2 13" xfId="26227"/>
    <cellStyle name="Saída 2 2 4 2 14" xfId="28895"/>
    <cellStyle name="Saída 2 2 4 2 15" xfId="29837"/>
    <cellStyle name="Saída 2 2 4 2 16" xfId="31795"/>
    <cellStyle name="Saída 2 2 4 2 17" xfId="34757"/>
    <cellStyle name="Saída 2 2 4 2 18" xfId="36881"/>
    <cellStyle name="Saída 2 2 4 2 19" xfId="38760"/>
    <cellStyle name="Saída 2 2 4 2 2" xfId="7451"/>
    <cellStyle name="Saída 2 2 4 2 20" xfId="39033"/>
    <cellStyle name="Saída 2 2 4 2 21" xfId="40715"/>
    <cellStyle name="Saída 2 2 4 2 22" xfId="43674"/>
    <cellStyle name="Saída 2 2 4 2 3" xfId="8905"/>
    <cellStyle name="Saída 2 2 4 2 4" xfId="10815"/>
    <cellStyle name="Saída 2 2 4 2 5" xfId="11887"/>
    <cellStyle name="Saída 2 2 4 2 6" xfId="14397"/>
    <cellStyle name="Saída 2 2 4 2 7" xfId="16303"/>
    <cellStyle name="Saída 2 2 4 2 8" xfId="18434"/>
    <cellStyle name="Saída 2 2 4 2 9" xfId="20340"/>
    <cellStyle name="Saída 2 2 4 20" xfId="38152"/>
    <cellStyle name="Saída 2 2 4 21" xfId="39329"/>
    <cellStyle name="Saída 2 2 4 22" xfId="41005"/>
    <cellStyle name="Saída 2 2 4 23" xfId="42449"/>
    <cellStyle name="Saída 2 2 4 3" xfId="6843"/>
    <cellStyle name="Saída 2 2 4 3 2" xfId="45693"/>
    <cellStyle name="Saída 2 2 4 3 3" xfId="46082"/>
    <cellStyle name="Saída 2 2 4 3 4" xfId="46440"/>
    <cellStyle name="Saída 2 2 4 3 5" xfId="46792"/>
    <cellStyle name="Saída 2 2 4 3 6" xfId="47107"/>
    <cellStyle name="Saída 2 2 4 3 7" xfId="47426"/>
    <cellStyle name="Saída 2 2 4 3 8" xfId="47744"/>
    <cellStyle name="Saída 2 2 4 4" xfId="8297"/>
    <cellStyle name="Saída 2 2 4 4 2" xfId="45624"/>
    <cellStyle name="Saída 2 2 4 4 3" xfId="46013"/>
    <cellStyle name="Saída 2 2 4 4 4" xfId="46371"/>
    <cellStyle name="Saída 2 2 4 4 5" xfId="46723"/>
    <cellStyle name="Saída 2 2 4 4 6" xfId="47038"/>
    <cellStyle name="Saída 2 2 4 4 7" xfId="47357"/>
    <cellStyle name="Saída 2 2 4 4 8" xfId="47675"/>
    <cellStyle name="Saída 2 2 4 5" xfId="10207"/>
    <cellStyle name="Saída 2 2 4 5 2" xfId="45662"/>
    <cellStyle name="Saída 2 2 4 5 3" xfId="46051"/>
    <cellStyle name="Saída 2 2 4 5 4" xfId="46409"/>
    <cellStyle name="Saída 2 2 4 5 5" xfId="46761"/>
    <cellStyle name="Saída 2 2 4 5 6" xfId="47076"/>
    <cellStyle name="Saída 2 2 4 5 7" xfId="47395"/>
    <cellStyle name="Saída 2 2 4 5 8" xfId="47713"/>
    <cellStyle name="Saída 2 2 4 6" xfId="12423"/>
    <cellStyle name="Saída 2 2 4 7" xfId="13110"/>
    <cellStyle name="Saída 2 2 4 8" xfId="15015"/>
    <cellStyle name="Saída 2 2 4 9" xfId="17826"/>
    <cellStyle name="Saída 2 2 5" xfId="4950"/>
    <cellStyle name="Saída 2 2 5 10" xfId="21198"/>
    <cellStyle name="Saída 2 2 5 11" xfId="23769"/>
    <cellStyle name="Saída 2 2 5 12" xfId="25000"/>
    <cellStyle name="Saída 2 2 5 13" xfId="27277"/>
    <cellStyle name="Saída 2 2 5 14" xfId="2751"/>
    <cellStyle name="Saída 2 2 5 15" xfId="30869"/>
    <cellStyle name="Saída 2 2 5 16" xfId="33254"/>
    <cellStyle name="Saída 2 2 5 17" xfId="18537"/>
    <cellStyle name="Saída 2 2 5 18" xfId="35827"/>
    <cellStyle name="Saída 2 2 5 19" xfId="37706"/>
    <cellStyle name="Saída 2 2 5 2" xfId="6400"/>
    <cellStyle name="Saída 2 2 5 2 2" xfId="45970"/>
    <cellStyle name="Saída 2 2 5 2 3" xfId="46328"/>
    <cellStyle name="Saída 2 2 5 2 4" xfId="46680"/>
    <cellStyle name="Saída 2 2 5 2 5" xfId="47003"/>
    <cellStyle name="Saída 2 2 5 2 6" xfId="47632"/>
    <cellStyle name="Saída 2 2 5 20" xfId="40440"/>
    <cellStyle name="Saída 2 2 5 21" xfId="42095"/>
    <cellStyle name="Saída 2 2 5 22" xfId="43522"/>
    <cellStyle name="Saída 2 2 5 3" xfId="7851"/>
    <cellStyle name="Saída 2 2 5 3 2" xfId="45762"/>
    <cellStyle name="Saída 2 2 5 3 3" xfId="46151"/>
    <cellStyle name="Saída 2 2 5 3 4" xfId="46509"/>
    <cellStyle name="Saída 2 2 5 3 5" xfId="46861"/>
    <cellStyle name="Saída 2 2 5 3 6" xfId="47176"/>
    <cellStyle name="Saída 2 2 5 3 7" xfId="47495"/>
    <cellStyle name="Saída 2 2 5 3 8" xfId="47813"/>
    <cellStyle name="Saída 2 2 5 4" xfId="9761"/>
    <cellStyle name="Saída 2 2 5 4 2" xfId="45831"/>
    <cellStyle name="Saída 2 2 5 4 3" xfId="46220"/>
    <cellStyle name="Saída 2 2 5 4 4" xfId="46578"/>
    <cellStyle name="Saída 2 2 5 4 5" xfId="46930"/>
    <cellStyle name="Saída 2 2 5 4 6" xfId="47245"/>
    <cellStyle name="Saída 2 2 5 4 7" xfId="47564"/>
    <cellStyle name="Saída 2 2 5 4 8" xfId="47882"/>
    <cellStyle name="Saída 2 2 5 5" xfId="11741"/>
    <cellStyle name="Saída 2 2 5 5 2" xfId="45868"/>
    <cellStyle name="Saída 2 2 5 5 3" xfId="46257"/>
    <cellStyle name="Saída 2 2 5 5 4" xfId="46615"/>
    <cellStyle name="Saída 2 2 5 5 5" xfId="46967"/>
    <cellStyle name="Saída 2 2 5 5 6" xfId="47282"/>
    <cellStyle name="Saída 2 2 5 5 7" xfId="47601"/>
    <cellStyle name="Saída 2 2 5 5 8" xfId="47919"/>
    <cellStyle name="Saída 2 2 5 6" xfId="14239"/>
    <cellStyle name="Saída 2 2 5 7" xfId="16143"/>
    <cellStyle name="Saída 2 2 5 8" xfId="17380"/>
    <cellStyle name="Saída 2 2 5 9" xfId="19286"/>
    <cellStyle name="Saída 2 2 6" xfId="4570"/>
    <cellStyle name="Saída 2 2 6 10" xfId="20815"/>
    <cellStyle name="Saída 2 2 6 11" xfId="23564"/>
    <cellStyle name="Saída 2 2 6 12" xfId="24617"/>
    <cellStyle name="Saída 2 2 6 13" xfId="26222"/>
    <cellStyle name="Saída 2 2 6 14" xfId="3003"/>
    <cellStyle name="Saída 2 2 6 15" xfId="29833"/>
    <cellStyle name="Saída 2 2 6 16" xfId="32704"/>
    <cellStyle name="Saída 2 2 6 17" xfId="2270"/>
    <cellStyle name="Saída 2 2 6 18" xfId="35445"/>
    <cellStyle name="Saída 2 2 6 19" xfId="37323"/>
    <cellStyle name="Saída 2 2 6 2" xfId="5407"/>
    <cellStyle name="Saída 2 2 6 20" xfId="39912"/>
    <cellStyle name="Saída 2 2 6 21" xfId="41581"/>
    <cellStyle name="Saída 2 2 6 22" xfId="43328"/>
    <cellStyle name="Saída 2 2 6 3" xfId="6629"/>
    <cellStyle name="Saída 2 2 6 4" xfId="9377"/>
    <cellStyle name="Saída 2 2 6 5" xfId="12564"/>
    <cellStyle name="Saída 2 2 6 6" xfId="14036"/>
    <cellStyle name="Saída 2 2 6 7" xfId="15937"/>
    <cellStyle name="Saída 2 2 6 8" xfId="16996"/>
    <cellStyle name="Saída 2 2 6 9" xfId="18903"/>
    <cellStyle name="Saída 2 2 7" xfId="6671"/>
    <cellStyle name="Saída 2 2 8" xfId="9259"/>
    <cellStyle name="Saída 2 2 9" xfId="10956"/>
    <cellStyle name="Saída 2 20" xfId="31527"/>
    <cellStyle name="Saída 2 21" xfId="32463"/>
    <cellStyle name="Saída 2 22" xfId="34253"/>
    <cellStyle name="Saída 2 23" xfId="28635"/>
    <cellStyle name="Saída 2 24" xfId="34454"/>
    <cellStyle name="Saída 2 25" xfId="39681"/>
    <cellStyle name="Saída 2 26" xfId="41354"/>
    <cellStyle name="Saída 2 27" xfId="43059"/>
    <cellStyle name="Saída 2 3" xfId="3428"/>
    <cellStyle name="Saída 2 3 10" xfId="14149"/>
    <cellStyle name="Saída 2 3 11" xfId="16053"/>
    <cellStyle name="Saída 2 3 12" xfId="16804"/>
    <cellStyle name="Saída 2 3 13" xfId="18711"/>
    <cellStyle name="Saída 2 3 14" xfId="20623"/>
    <cellStyle name="Saída 2 3 15" xfId="23679"/>
    <cellStyle name="Saída 2 3 16" xfId="24425"/>
    <cellStyle name="Saída 2 3 17" xfId="27314"/>
    <cellStyle name="Saída 2 3 18" xfId="28091"/>
    <cellStyle name="Saída 2 3 19" xfId="30904"/>
    <cellStyle name="Saída 2 3 2" xfId="3608"/>
    <cellStyle name="Saída 2 3 2 10" xfId="17499"/>
    <cellStyle name="Saída 2 3 2 11" xfId="19405"/>
    <cellStyle name="Saída 2 3 2 12" xfId="21317"/>
    <cellStyle name="Saída 2 3 2 13" xfId="24036"/>
    <cellStyle name="Saída 2 3 2 14" xfId="25119"/>
    <cellStyle name="Saída 2 3 2 15" xfId="27510"/>
    <cellStyle name="Saída 2 3 2 16" xfId="28573"/>
    <cellStyle name="Saída 2 3 2 17" xfId="31095"/>
    <cellStyle name="Saída 2 3 2 18" xfId="28357"/>
    <cellStyle name="Saída 2 3 2 19" xfId="33279"/>
    <cellStyle name="Saída 2 3 2 2" xfId="5513"/>
    <cellStyle name="Saída 2 3 2 2 10" xfId="21763"/>
    <cellStyle name="Saída 2 3 2 2 11" xfId="23777"/>
    <cellStyle name="Saída 2 3 2 2 12" xfId="25565"/>
    <cellStyle name="Saída 2 3 2 2 13" xfId="27943"/>
    <cellStyle name="Saída 2 3 2 2 14" xfId="28519"/>
    <cellStyle name="Saída 2 3 2 2 15" xfId="31523"/>
    <cellStyle name="Saída 2 3 2 2 16" xfId="32731"/>
    <cellStyle name="Saída 2 3 2 2 17" xfId="34572"/>
    <cellStyle name="Saída 2 3 2 2 18" xfId="36392"/>
    <cellStyle name="Saída 2 3 2 2 19" xfId="38271"/>
    <cellStyle name="Saída 2 3 2 2 2" xfId="6962"/>
    <cellStyle name="Saída 2 3 2 2 20" xfId="39940"/>
    <cellStyle name="Saída 2 3 2 2 21" xfId="41606"/>
    <cellStyle name="Saída 2 3 2 2 22" xfId="43530"/>
    <cellStyle name="Saída 2 3 2 2 3" xfId="8416"/>
    <cellStyle name="Saída 2 3 2 2 4" xfId="10326"/>
    <cellStyle name="Saída 2 3 2 2 5" xfId="11413"/>
    <cellStyle name="Saída 2 3 2 2 6" xfId="14247"/>
    <cellStyle name="Saída 2 3 2 2 7" xfId="16151"/>
    <cellStyle name="Saída 2 3 2 2 8" xfId="17945"/>
    <cellStyle name="Saída 2 3 2 2 9" xfId="19851"/>
    <cellStyle name="Saída 2 3 2 20" xfId="35946"/>
    <cellStyle name="Saída 2 3 2 21" xfId="37825"/>
    <cellStyle name="Saída 2 3 2 22" xfId="32484"/>
    <cellStyle name="Saída 2 3 2 23" xfId="29136"/>
    <cellStyle name="Saída 2 3 2 24" xfId="43780"/>
    <cellStyle name="Saída 2 3 2 3" xfId="5069"/>
    <cellStyle name="Saída 2 3 2 3 2" xfId="45727"/>
    <cellStyle name="Saída 2 3 2 3 3" xfId="46116"/>
    <cellStyle name="Saída 2 3 2 3 4" xfId="46474"/>
    <cellStyle name="Saída 2 3 2 3 5" xfId="46826"/>
    <cellStyle name="Saída 2 3 2 3 6" xfId="47141"/>
    <cellStyle name="Saída 2 3 2 3 7" xfId="47460"/>
    <cellStyle name="Saída 2 3 2 3 8" xfId="47778"/>
    <cellStyle name="Saída 2 3 2 4" xfId="6519"/>
    <cellStyle name="Saída 2 3 2 4 2" xfId="45789"/>
    <cellStyle name="Saída 2 3 2 4 3" xfId="46178"/>
    <cellStyle name="Saída 2 3 2 4 4" xfId="46536"/>
    <cellStyle name="Saída 2 3 2 4 5" xfId="46888"/>
    <cellStyle name="Saída 2 3 2 4 6" xfId="47203"/>
    <cellStyle name="Saída 2 3 2 4 7" xfId="47522"/>
    <cellStyle name="Saída 2 3 2 4 8" xfId="47840"/>
    <cellStyle name="Saída 2 3 2 5" xfId="7970"/>
    <cellStyle name="Saída 2 3 2 5 2" xfId="45615"/>
    <cellStyle name="Saída 2 3 2 5 3" xfId="46004"/>
    <cellStyle name="Saída 2 3 2 5 4" xfId="46362"/>
    <cellStyle name="Saída 2 3 2 5 5" xfId="46714"/>
    <cellStyle name="Saída 2 3 2 5 6" xfId="47029"/>
    <cellStyle name="Saída 2 3 2 5 7" xfId="47348"/>
    <cellStyle name="Saída 2 3 2 5 8" xfId="47666"/>
    <cellStyle name="Saída 2 3 2 6" xfId="9880"/>
    <cellStyle name="Saída 2 3 2 7" xfId="11995"/>
    <cellStyle name="Saída 2 3 2 8" xfId="14506"/>
    <cellStyle name="Saída 2 3 2 9" xfId="16412"/>
    <cellStyle name="Saída 2 3 20" xfId="33055"/>
    <cellStyle name="Saída 2 3 21" xfId="34939"/>
    <cellStyle name="Saída 2 3 22" xfId="35253"/>
    <cellStyle name="Saída 2 3 23" xfId="37131"/>
    <cellStyle name="Saída 2 3 24" xfId="40252"/>
    <cellStyle name="Saída 2 3 25" xfId="41910"/>
    <cellStyle name="Saída 2 3 26" xfId="43436"/>
    <cellStyle name="Saída 2 3 3" xfId="3776"/>
    <cellStyle name="Saída 2 3 3 10" xfId="19515"/>
    <cellStyle name="Saída 2 3 3 11" xfId="21427"/>
    <cellStyle name="Saída 2 3 3 12" xfId="23997"/>
    <cellStyle name="Saída 2 3 3 13" xfId="25229"/>
    <cellStyle name="Saída 2 3 3 14" xfId="27242"/>
    <cellStyle name="Saída 2 3 3 15" xfId="29106"/>
    <cellStyle name="Saída 2 3 3 16" xfId="30833"/>
    <cellStyle name="Saída 2 3 3 17" xfId="31861"/>
    <cellStyle name="Saída 2 3 3 18" xfId="34195"/>
    <cellStyle name="Saída 2 3 3 19" xfId="36056"/>
    <cellStyle name="Saída 2 3 3 2" xfId="5785"/>
    <cellStyle name="Saída 2 3 3 2 10" xfId="22035"/>
    <cellStyle name="Saída 2 3 3 2 11" xfId="23572"/>
    <cellStyle name="Saída 2 3 3 2 12" xfId="25837"/>
    <cellStyle name="Saída 2 3 3 2 13" xfId="27239"/>
    <cellStyle name="Saída 2 3 3 2 14" xfId="28749"/>
    <cellStyle name="Saída 2 3 3 2 15" xfId="30830"/>
    <cellStyle name="Saída 2 3 3 2 16" xfId="32024"/>
    <cellStyle name="Saída 2 3 3 2 17" xfId="33773"/>
    <cellStyle name="Saída 2 3 3 2 18" xfId="36664"/>
    <cellStyle name="Saída 2 3 3 2 19" xfId="38543"/>
    <cellStyle name="Saída 2 3 3 2 2" xfId="7234"/>
    <cellStyle name="Saída 2 3 3 2 20" xfId="39254"/>
    <cellStyle name="Saída 2 3 3 2 21" xfId="40931"/>
    <cellStyle name="Saída 2 3 3 2 22" xfId="43336"/>
    <cellStyle name="Saída 2 3 3 2 3" xfId="8688"/>
    <cellStyle name="Saída 2 3 3 2 4" xfId="10598"/>
    <cellStyle name="Saída 2 3 3 2 5" xfId="12518"/>
    <cellStyle name="Saída 2 3 3 2 6" xfId="14044"/>
    <cellStyle name="Saída 2 3 3 2 7" xfId="15945"/>
    <cellStyle name="Saída 2 3 3 2 8" xfId="18217"/>
    <cellStyle name="Saída 2 3 3 2 9" xfId="20123"/>
    <cellStyle name="Saída 2 3 3 20" xfId="37935"/>
    <cellStyle name="Saída 2 3 3 21" xfId="39096"/>
    <cellStyle name="Saída 2 3 3 22" xfId="40777"/>
    <cellStyle name="Saída 2 3 3 23" xfId="43741"/>
    <cellStyle name="Saída 2 3 3 3" xfId="5179"/>
    <cellStyle name="Saída 2 3 3 3 2" xfId="45742"/>
    <cellStyle name="Saída 2 3 3 3 3" xfId="46131"/>
    <cellStyle name="Saída 2 3 3 3 4" xfId="46489"/>
    <cellStyle name="Saída 2 3 3 3 5" xfId="46841"/>
    <cellStyle name="Saída 2 3 3 3 6" xfId="47156"/>
    <cellStyle name="Saída 2 3 3 3 7" xfId="47475"/>
    <cellStyle name="Saída 2 3 3 3 8" xfId="47793"/>
    <cellStyle name="Saída 2 3 3 4" xfId="8080"/>
    <cellStyle name="Saída 2 3 3 4 2" xfId="45804"/>
    <cellStyle name="Saída 2 3 3 4 3" xfId="46193"/>
    <cellStyle name="Saída 2 3 3 4 4" xfId="46551"/>
    <cellStyle name="Saída 2 3 3 4 5" xfId="46903"/>
    <cellStyle name="Saída 2 3 3 4 6" xfId="47218"/>
    <cellStyle name="Saída 2 3 3 4 7" xfId="47537"/>
    <cellStyle name="Saída 2 3 3 4 8" xfId="47855"/>
    <cellStyle name="Saída 2 3 3 5" xfId="9990"/>
    <cellStyle name="Saída 2 3 3 5 2" xfId="45857"/>
    <cellStyle name="Saída 2 3 3 5 3" xfId="46246"/>
    <cellStyle name="Saída 2 3 3 5 4" xfId="46604"/>
    <cellStyle name="Saída 2 3 3 5 5" xfId="46956"/>
    <cellStyle name="Saída 2 3 3 5 6" xfId="47271"/>
    <cellStyle name="Saída 2 3 3 5 7" xfId="47590"/>
    <cellStyle name="Saída 2 3 3 5 8" xfId="47908"/>
    <cellStyle name="Saída 2 3 3 6" xfId="11956"/>
    <cellStyle name="Saída 2 3 3 7" xfId="14467"/>
    <cellStyle name="Saída 2 3 3 8" xfId="16373"/>
    <cellStyle name="Saída 2 3 3 9" xfId="17609"/>
    <cellStyle name="Saída 2 3 4" xfId="4060"/>
    <cellStyle name="Saída 2 3 4 10" xfId="19695"/>
    <cellStyle name="Saída 2 3 4 11" xfId="21607"/>
    <cellStyle name="Saída 2 3 4 12" xfId="23750"/>
    <cellStyle name="Saída 2 3 4 13" xfId="25409"/>
    <cellStyle name="Saída 2 3 4 14" xfId="26240"/>
    <cellStyle name="Saída 2 3 4 15" xfId="23217"/>
    <cellStyle name="Saída 2 3 4 16" xfId="29850"/>
    <cellStyle name="Saída 2 3 4 17" xfId="32618"/>
    <cellStyle name="Saída 2 3 4 18" xfId="33974"/>
    <cellStyle name="Saída 2 3 4 19" xfId="36236"/>
    <cellStyle name="Saída 2 3 4 2" xfId="5965"/>
    <cellStyle name="Saída 2 3 4 2 10" xfId="22215"/>
    <cellStyle name="Saída 2 3 4 2 11" xfId="22503"/>
    <cellStyle name="Saída 2 3 4 2 12" xfId="26017"/>
    <cellStyle name="Saída 2 3 4 2 13" xfId="26337"/>
    <cellStyle name="Saída 2 3 4 2 14" xfId="29590"/>
    <cellStyle name="Saída 2 3 4 2 15" xfId="29945"/>
    <cellStyle name="Saída 2 3 4 2 16" xfId="32230"/>
    <cellStyle name="Saída 2 3 4 2 17" xfId="34964"/>
    <cellStyle name="Saída 2 3 4 2 18" xfId="36844"/>
    <cellStyle name="Saída 2 3 4 2 19" xfId="38723"/>
    <cellStyle name="Saída 2 3 4 2 2" xfId="7414"/>
    <cellStyle name="Saída 2 3 4 2 20" xfId="39449"/>
    <cellStyle name="Saída 2 3 4 2 21" xfId="41124"/>
    <cellStyle name="Saída 2 3 4 2 22" xfId="42313"/>
    <cellStyle name="Saída 2 3 4 2 3" xfId="8868"/>
    <cellStyle name="Saída 2 3 4 2 4" xfId="10778"/>
    <cellStyle name="Saída 2 3 4 2 5" xfId="11633"/>
    <cellStyle name="Saída 2 3 4 2 6" xfId="12971"/>
    <cellStyle name="Saída 2 3 4 2 7" xfId="14875"/>
    <cellStyle name="Saída 2 3 4 2 8" xfId="18397"/>
    <cellStyle name="Saída 2 3 4 2 9" xfId="20303"/>
    <cellStyle name="Saída 2 3 4 20" xfId="38115"/>
    <cellStyle name="Saída 2 3 4 21" xfId="39828"/>
    <cellStyle name="Saída 2 3 4 22" xfId="41497"/>
    <cellStyle name="Saída 2 3 4 23" xfId="43503"/>
    <cellStyle name="Saída 2 3 4 3" xfId="6806"/>
    <cellStyle name="Saída 2 3 4 3 2" xfId="45776"/>
    <cellStyle name="Saída 2 3 4 3 3" xfId="46165"/>
    <cellStyle name="Saída 2 3 4 3 4" xfId="46523"/>
    <cellStyle name="Saída 2 3 4 3 5" xfId="46875"/>
    <cellStyle name="Saída 2 3 4 3 6" xfId="47190"/>
    <cellStyle name="Saída 2 3 4 3 7" xfId="47509"/>
    <cellStyle name="Saída 2 3 4 3 8" xfId="47827"/>
    <cellStyle name="Saída 2 3 4 4" xfId="8260"/>
    <cellStyle name="Saída 2 3 4 4 2" xfId="45845"/>
    <cellStyle name="Saída 2 3 4 4 3" xfId="46234"/>
    <cellStyle name="Saída 2 3 4 4 4" xfId="46592"/>
    <cellStyle name="Saída 2 3 4 4 5" xfId="46944"/>
    <cellStyle name="Saída 2 3 4 4 6" xfId="47259"/>
    <cellStyle name="Saída 2 3 4 4 7" xfId="47578"/>
    <cellStyle name="Saída 2 3 4 4 8" xfId="47896"/>
    <cellStyle name="Saída 2 3 4 5" xfId="10170"/>
    <cellStyle name="Saída 2 3 4 5 2" xfId="45882"/>
    <cellStyle name="Saída 2 3 4 5 3" xfId="46271"/>
    <cellStyle name="Saída 2 3 4 5 4" xfId="46629"/>
    <cellStyle name="Saída 2 3 4 5 5" xfId="46981"/>
    <cellStyle name="Saída 2 3 4 5 6" xfId="47296"/>
    <cellStyle name="Saída 2 3 4 5 7" xfId="47615"/>
    <cellStyle name="Saída 2 3 4 5 8" xfId="47933"/>
    <cellStyle name="Saída 2 3 4 6" xfId="11442"/>
    <cellStyle name="Saída 2 3 4 7" xfId="14220"/>
    <cellStyle name="Saída 2 3 4 8" xfId="16124"/>
    <cellStyle name="Saída 2 3 4 9" xfId="17789"/>
    <cellStyle name="Saída 2 3 5" xfId="4919"/>
    <cellStyle name="Saída 2 3 5 10" xfId="21167"/>
    <cellStyle name="Saída 2 3 5 11" xfId="22635"/>
    <cellStyle name="Saída 2 3 5 12" xfId="24969"/>
    <cellStyle name="Saída 2 3 5 13" xfId="26467"/>
    <cellStyle name="Saída 2 3 5 14" xfId="2907"/>
    <cellStyle name="Saída 2 3 5 15" xfId="30072"/>
    <cellStyle name="Saída 2 3 5 16" xfId="32233"/>
    <cellStyle name="Saída 2 3 5 17" xfId="34333"/>
    <cellStyle name="Saída 2 3 5 18" xfId="35796"/>
    <cellStyle name="Saída 2 3 5 19" xfId="37675"/>
    <cellStyle name="Saída 2 3 5 2" xfId="6369"/>
    <cellStyle name="Saída 2 3 5 20" xfId="39452"/>
    <cellStyle name="Saída 2 3 5 21" xfId="41127"/>
    <cellStyle name="Saída 2 3 5 22" xfId="42441"/>
    <cellStyle name="Saída 2 3 5 3" xfId="7820"/>
    <cellStyle name="Saída 2 3 5 4" xfId="9730"/>
    <cellStyle name="Saída 2 3 5 5" xfId="3965"/>
    <cellStyle name="Saída 2 3 5 6" xfId="13102"/>
    <cellStyle name="Saída 2 3 5 7" xfId="15007"/>
    <cellStyle name="Saída 2 3 5 8" xfId="17349"/>
    <cellStyle name="Saída 2 3 5 9" xfId="19255"/>
    <cellStyle name="Saída 2 3 6" xfId="4598"/>
    <cellStyle name="Saída 2 3 6 10" xfId="20843"/>
    <cellStyle name="Saída 2 3 6 11" xfId="22846"/>
    <cellStyle name="Saída 2 3 6 12" xfId="24645"/>
    <cellStyle name="Saída 2 3 6 13" xfId="27667"/>
    <cellStyle name="Saída 2 3 6 14" xfId="29174"/>
    <cellStyle name="Saída 2 3 6 15" xfId="31243"/>
    <cellStyle name="Saída 2 3 6 16" xfId="32337"/>
    <cellStyle name="Saída 2 3 6 17" xfId="33642"/>
    <cellStyle name="Saída 2 3 6 18" xfId="35473"/>
    <cellStyle name="Saída 2 3 6 19" xfId="37351"/>
    <cellStyle name="Saída 2 3 6 2" xfId="3942"/>
    <cellStyle name="Saída 2 3 6 20" xfId="39556"/>
    <cellStyle name="Saída 2 3 6 21" xfId="41230"/>
    <cellStyle name="Saída 2 3 6 22" xfId="42637"/>
    <cellStyle name="Saída 2 3 6 3" xfId="1851"/>
    <cellStyle name="Saída 2 3 6 4" xfId="9405"/>
    <cellStyle name="Saída 2 3 6 5" xfId="11129"/>
    <cellStyle name="Saída 2 3 6 6" xfId="13315"/>
    <cellStyle name="Saída 2 3 6 7" xfId="15219"/>
    <cellStyle name="Saída 2 3 6 8" xfId="17024"/>
    <cellStyle name="Saída 2 3 6 9" xfId="18931"/>
    <cellStyle name="Saída 2 3 7" xfId="6665"/>
    <cellStyle name="Saída 2 3 7 2" xfId="45631"/>
    <cellStyle name="Saída 2 3 7 3" xfId="46020"/>
    <cellStyle name="Saída 2 3 7 4" xfId="46378"/>
    <cellStyle name="Saída 2 3 7 5" xfId="46730"/>
    <cellStyle name="Saída 2 3 7 6" xfId="47045"/>
    <cellStyle name="Saída 2 3 7 7" xfId="47364"/>
    <cellStyle name="Saída 2 3 7 8" xfId="47682"/>
    <cellStyle name="Saída 2 3 8" xfId="9185"/>
    <cellStyle name="Saída 2 3 9" xfId="11634"/>
    <cellStyle name="Saída 2 4" xfId="3504"/>
    <cellStyle name="Saída 2 4 10" xfId="15911"/>
    <cellStyle name="Saída 2 4 11" xfId="16972"/>
    <cellStyle name="Saída 2 4 12" xfId="18879"/>
    <cellStyle name="Saída 2 4 13" xfId="20791"/>
    <cellStyle name="Saída 2 4 14" xfId="23538"/>
    <cellStyle name="Saída 2 4 15" xfId="24593"/>
    <cellStyle name="Saída 2 4 16" xfId="27938"/>
    <cellStyle name="Saída 2 4 17" xfId="28808"/>
    <cellStyle name="Saída 2 4 18" xfId="31519"/>
    <cellStyle name="Saída 2 4 19" xfId="32862"/>
    <cellStyle name="Saída 2 4 2" xfId="3684"/>
    <cellStyle name="Saída 2 4 2 10" xfId="17575"/>
    <cellStyle name="Saída 2 4 2 11" xfId="19481"/>
    <cellStyle name="Saída 2 4 2 12" xfId="21393"/>
    <cellStyle name="Saída 2 4 2 13" xfId="23558"/>
    <cellStyle name="Saída 2 4 2 14" xfId="25195"/>
    <cellStyle name="Saída 2 4 2 15" xfId="26840"/>
    <cellStyle name="Saída 2 4 2 16" xfId="28066"/>
    <cellStyle name="Saída 2 4 2 17" xfId="30438"/>
    <cellStyle name="Saída 2 4 2 18" xfId="32748"/>
    <cellStyle name="Saída 2 4 2 19" xfId="34370"/>
    <cellStyle name="Saída 2 4 2 2" xfId="5751"/>
    <cellStyle name="Saída 2 4 2 2 10" xfId="22001"/>
    <cellStyle name="Saída 2 4 2 2 11" xfId="24114"/>
    <cellStyle name="Saída 2 4 2 2 12" xfId="25803"/>
    <cellStyle name="Saída 2 4 2 2 13" xfId="27795"/>
    <cellStyle name="Saída 2 4 2 2 14" xfId="14704"/>
    <cellStyle name="Saída 2 4 2 2 15" xfId="31372"/>
    <cellStyle name="Saída 2 4 2 2 16" xfId="32543"/>
    <cellStyle name="Saída 2 4 2 2 17" xfId="34944"/>
    <cellStyle name="Saída 2 4 2 2 18" xfId="36630"/>
    <cellStyle name="Saída 2 4 2 2 19" xfId="38509"/>
    <cellStyle name="Saída 2 4 2 2 2" xfId="7200"/>
    <cellStyle name="Saída 2 4 2 2 20" xfId="39756"/>
    <cellStyle name="Saída 2 4 2 2 21" xfId="41428"/>
    <cellStyle name="Saída 2 4 2 2 22" xfId="43857"/>
    <cellStyle name="Saída 2 4 2 2 3" xfId="8654"/>
    <cellStyle name="Saída 2 4 2 2 4" xfId="10564"/>
    <cellStyle name="Saída 2 4 2 2 5" xfId="12074"/>
    <cellStyle name="Saída 2 4 2 2 6" xfId="14585"/>
    <cellStyle name="Saída 2 4 2 2 7" xfId="16491"/>
    <cellStyle name="Saída 2 4 2 2 8" xfId="18183"/>
    <cellStyle name="Saída 2 4 2 2 9" xfId="20089"/>
    <cellStyle name="Saída 2 4 2 20" xfId="36022"/>
    <cellStyle name="Saída 2 4 2 21" xfId="37901"/>
    <cellStyle name="Saída 2 4 2 22" xfId="39957"/>
    <cellStyle name="Saída 2 4 2 23" xfId="41621"/>
    <cellStyle name="Saída 2 4 2 24" xfId="43322"/>
    <cellStyle name="Saída 2 4 2 3" xfId="5145"/>
    <cellStyle name="Saída 2 4 2 3 2" xfId="45715"/>
    <cellStyle name="Saída 2 4 2 3 3" xfId="46104"/>
    <cellStyle name="Saída 2 4 2 3 4" xfId="46462"/>
    <cellStyle name="Saída 2 4 2 3 5" xfId="46814"/>
    <cellStyle name="Saída 2 4 2 3 6" xfId="47129"/>
    <cellStyle name="Saída 2 4 2 3 7" xfId="47448"/>
    <cellStyle name="Saída 2 4 2 3 8" xfId="47766"/>
    <cellStyle name="Saída 2 4 2 4" xfId="6595"/>
    <cellStyle name="Saída 2 4 2 4 2" xfId="45592"/>
    <cellStyle name="Saída 2 4 2 4 3" xfId="45981"/>
    <cellStyle name="Saída 2 4 2 4 4" xfId="46339"/>
    <cellStyle name="Saída 2 4 2 4 5" xfId="46691"/>
    <cellStyle name="Saída 2 4 2 4 6" xfId="47006"/>
    <cellStyle name="Saída 2 4 2 4 7" xfId="47325"/>
    <cellStyle name="Saída 2 4 2 4 8" xfId="47643"/>
    <cellStyle name="Saída 2 4 2 5" xfId="8046"/>
    <cellStyle name="Saída 2 4 2 5 2" xfId="45644"/>
    <cellStyle name="Saída 2 4 2 5 3" xfId="46033"/>
    <cellStyle name="Saída 2 4 2 5 4" xfId="46391"/>
    <cellStyle name="Saída 2 4 2 5 5" xfId="46743"/>
    <cellStyle name="Saída 2 4 2 5 6" xfId="47058"/>
    <cellStyle name="Saída 2 4 2 5 7" xfId="47377"/>
    <cellStyle name="Saída 2 4 2 5 8" xfId="47695"/>
    <cellStyle name="Saída 2 4 2 6" xfId="9956"/>
    <cellStyle name="Saída 2 4 2 7" xfId="11068"/>
    <cellStyle name="Saída 2 4 2 8" xfId="14030"/>
    <cellStyle name="Saída 2 4 2 9" xfId="15931"/>
    <cellStyle name="Saída 2 4 20" xfId="34423"/>
    <cellStyle name="Saída 2 4 21" xfId="35421"/>
    <cellStyle name="Saída 2 4 22" xfId="37299"/>
    <cellStyle name="Saída 2 4 23" xfId="40069"/>
    <cellStyle name="Saída 2 4 24" xfId="41733"/>
    <cellStyle name="Saída 2 4 25" xfId="43303"/>
    <cellStyle name="Saída 2 4 3" xfId="2297"/>
    <cellStyle name="Saída 2 4 3 10" xfId="19046"/>
    <cellStyle name="Saída 2 4 3 11" xfId="20958"/>
    <cellStyle name="Saída 2 4 3 12" xfId="22749"/>
    <cellStyle name="Saída 2 4 3 13" xfId="24760"/>
    <cellStyle name="Saída 2 4 3 14" xfId="26363"/>
    <cellStyle name="Saída 2 4 3 15" xfId="29490"/>
    <cellStyle name="Saída 2 4 3 16" xfId="29971"/>
    <cellStyle name="Saída 2 4 3 17" xfId="32710"/>
    <cellStyle name="Saída 2 4 3 18" xfId="33926"/>
    <cellStyle name="Saída 2 4 3 19" xfId="35587"/>
    <cellStyle name="Saída 2 4 3 2" xfId="5729"/>
    <cellStyle name="Saída 2 4 3 2 10" xfId="21979"/>
    <cellStyle name="Saída 2 4 3 2 11" xfId="24023"/>
    <cellStyle name="Saída 2 4 3 2 12" xfId="25781"/>
    <cellStyle name="Saída 2 4 3 2 13" xfId="26630"/>
    <cellStyle name="Saída 2 4 3 2 14" xfId="28757"/>
    <cellStyle name="Saída 2 4 3 2 15" xfId="30233"/>
    <cellStyle name="Saída 2 4 3 2 16" xfId="32037"/>
    <cellStyle name="Saída 2 4 3 2 17" xfId="34078"/>
    <cellStyle name="Saída 2 4 3 2 18" xfId="36608"/>
    <cellStyle name="Saída 2 4 3 2 19" xfId="38487"/>
    <cellStyle name="Saída 2 4 3 2 2" xfId="7178"/>
    <cellStyle name="Saída 2 4 3 2 20" xfId="39267"/>
    <cellStyle name="Saída 2 4 3 2 21" xfId="40944"/>
    <cellStyle name="Saída 2 4 3 2 22" xfId="43767"/>
    <cellStyle name="Saída 2 4 3 2 3" xfId="8632"/>
    <cellStyle name="Saída 2 4 3 2 4" xfId="10542"/>
    <cellStyle name="Saída 2 4 3 2 5" xfId="11982"/>
    <cellStyle name="Saída 2 4 3 2 6" xfId="14493"/>
    <cellStyle name="Saída 2 4 3 2 7" xfId="16399"/>
    <cellStyle name="Saída 2 4 3 2 8" xfId="18161"/>
    <cellStyle name="Saída 2 4 3 2 9" xfId="20067"/>
    <cellStyle name="Saída 2 4 3 20" xfId="37466"/>
    <cellStyle name="Saída 2 4 3 21" xfId="39918"/>
    <cellStyle name="Saída 2 4 3 22" xfId="41587"/>
    <cellStyle name="Saída 2 4 3 23" xfId="42546"/>
    <cellStyle name="Saída 2 4 3 3" xfId="4712"/>
    <cellStyle name="Saída 2 4 3 3 2" xfId="45730"/>
    <cellStyle name="Saída 2 4 3 3 3" xfId="46119"/>
    <cellStyle name="Saída 2 4 3 3 4" xfId="46477"/>
    <cellStyle name="Saída 2 4 3 3 5" xfId="46829"/>
    <cellStyle name="Saída 2 4 3 3 6" xfId="47144"/>
    <cellStyle name="Saída 2 4 3 3 7" xfId="47463"/>
    <cellStyle name="Saída 2 4 3 3 8" xfId="47781"/>
    <cellStyle name="Saída 2 4 3 4" xfId="7611"/>
    <cellStyle name="Saída 2 4 3 4 2" xfId="45792"/>
    <cellStyle name="Saída 2 4 3 4 3" xfId="46181"/>
    <cellStyle name="Saída 2 4 3 4 4" xfId="46539"/>
    <cellStyle name="Saída 2 4 3 4 5" xfId="46891"/>
    <cellStyle name="Saída 2 4 3 4 6" xfId="47206"/>
    <cellStyle name="Saída 2 4 3 4 7" xfId="47525"/>
    <cellStyle name="Saída 2 4 3 4 8" xfId="47843"/>
    <cellStyle name="Saída 2 4 3 5" xfId="9521"/>
    <cellStyle name="Saída 2 4 3 5 2" xfId="45639"/>
    <cellStyle name="Saída 2 4 3 5 3" xfId="46028"/>
    <cellStyle name="Saída 2 4 3 5 4" xfId="46386"/>
    <cellStyle name="Saída 2 4 3 5 5" xfId="46738"/>
    <cellStyle name="Saída 2 4 3 5 6" xfId="47053"/>
    <cellStyle name="Saída 2 4 3 5 7" xfId="47372"/>
    <cellStyle name="Saída 2 4 3 5 8" xfId="47690"/>
    <cellStyle name="Saída 2 4 3 6" xfId="11818"/>
    <cellStyle name="Saída 2 4 3 7" xfId="13218"/>
    <cellStyle name="Saída 2 4 3 8" xfId="15121"/>
    <cellStyle name="Saída 2 4 3 9" xfId="17140"/>
    <cellStyle name="Saída 2 4 4" xfId="4136"/>
    <cellStyle name="Saída 2 4 4 10" xfId="19771"/>
    <cellStyle name="Saída 2 4 4 11" xfId="21683"/>
    <cellStyle name="Saída 2 4 4 12" xfId="23392"/>
    <cellStyle name="Saída 2 4 4 13" xfId="25485"/>
    <cellStyle name="Saída 2 4 4 14" xfId="27346"/>
    <cellStyle name="Saída 2 4 4 15" xfId="29349"/>
    <cellStyle name="Saída 2 4 4 16" xfId="30934"/>
    <cellStyle name="Saída 2 4 4 17" xfId="32010"/>
    <cellStyle name="Saída 2 4 4 18" xfId="33920"/>
    <cellStyle name="Saída 2 4 4 19" xfId="36312"/>
    <cellStyle name="Saída 2 4 4 2" xfId="6041"/>
    <cellStyle name="Saída 2 4 4 2 10" xfId="22291"/>
    <cellStyle name="Saída 2 4 4 2 11" xfId="2676"/>
    <cellStyle name="Saída 2 4 4 2 12" xfId="26093"/>
    <cellStyle name="Saída 2 4 4 2 13" xfId="3125"/>
    <cellStyle name="Saída 2 4 4 2 14" xfId="4209"/>
    <cellStyle name="Saída 2 4 4 2 15" xfId="26116"/>
    <cellStyle name="Saída 2 4 4 2 16" xfId="29228"/>
    <cellStyle name="Saída 2 4 4 2 17" xfId="22373"/>
    <cellStyle name="Saída 2 4 4 2 18" xfId="36920"/>
    <cellStyle name="Saída 2 4 4 2 19" xfId="38799"/>
    <cellStyle name="Saída 2 4 4 2 2" xfId="7490"/>
    <cellStyle name="Saída 2 4 4 2 20" xfId="28431"/>
    <cellStyle name="Saída 2 4 4 2 21" xfId="34466"/>
    <cellStyle name="Saída 2 4 4 2 22" xfId="29203"/>
    <cellStyle name="Saída 2 4 4 2 3" xfId="8944"/>
    <cellStyle name="Saída 2 4 4 2 4" xfId="10854"/>
    <cellStyle name="Saída 2 4 4 2 5" xfId="3802"/>
    <cellStyle name="Saída 2 4 4 2 6" xfId="1859"/>
    <cellStyle name="Saída 2 4 4 2 7" xfId="3168"/>
    <cellStyle name="Saída 2 4 4 2 8" xfId="18473"/>
    <cellStyle name="Saída 2 4 4 2 9" xfId="20379"/>
    <cellStyle name="Saída 2 4 4 20" xfId="38191"/>
    <cellStyle name="Saída 2 4 4 21" xfId="39241"/>
    <cellStyle name="Saída 2 4 4 22" xfId="40918"/>
    <cellStyle name="Saída 2 4 4 23" xfId="43159"/>
    <cellStyle name="Saída 2 4 4 3" xfId="6882"/>
    <cellStyle name="Saída 2 4 4 3 2" xfId="45764"/>
    <cellStyle name="Saída 2 4 4 3 3" xfId="46153"/>
    <cellStyle name="Saída 2 4 4 3 4" xfId="46511"/>
    <cellStyle name="Saída 2 4 4 3 5" xfId="46863"/>
    <cellStyle name="Saída 2 4 4 3 6" xfId="47178"/>
    <cellStyle name="Saída 2 4 4 3 7" xfId="47497"/>
    <cellStyle name="Saída 2 4 4 3 8" xfId="47815"/>
    <cellStyle name="Saída 2 4 4 4" xfId="8336"/>
    <cellStyle name="Saída 2 4 4 4 2" xfId="45833"/>
    <cellStyle name="Saída 2 4 4 4 3" xfId="46222"/>
    <cellStyle name="Saída 2 4 4 4 4" xfId="46580"/>
    <cellStyle name="Saída 2 4 4 4 5" xfId="46932"/>
    <cellStyle name="Saída 2 4 4 4 6" xfId="47247"/>
    <cellStyle name="Saída 2 4 4 4 7" xfId="47566"/>
    <cellStyle name="Saída 2 4 4 4 8" xfId="47884"/>
    <cellStyle name="Saída 2 4 4 5" xfId="10246"/>
    <cellStyle name="Saída 2 4 4 5 2" xfId="45870"/>
    <cellStyle name="Saída 2 4 4 5 3" xfId="46259"/>
    <cellStyle name="Saída 2 4 4 5 4" xfId="46617"/>
    <cellStyle name="Saída 2 4 4 5 5" xfId="46969"/>
    <cellStyle name="Saída 2 4 4 5 6" xfId="47284"/>
    <cellStyle name="Saída 2 4 4 5 7" xfId="47603"/>
    <cellStyle name="Saída 2 4 4 5 8" xfId="47921"/>
    <cellStyle name="Saída 2 4 4 6" xfId="12180"/>
    <cellStyle name="Saída 2 4 4 7" xfId="13864"/>
    <cellStyle name="Saída 2 4 4 8" xfId="15765"/>
    <cellStyle name="Saída 2 4 4 9" xfId="17865"/>
    <cellStyle name="Saída 2 4 5" xfId="4455"/>
    <cellStyle name="Saída 2 4 5 10" xfId="20700"/>
    <cellStyle name="Saída 2 4 5 11" xfId="24155"/>
    <cellStyle name="Saída 2 4 5 12" xfId="24502"/>
    <cellStyle name="Saída 2 4 5 13" xfId="27646"/>
    <cellStyle name="Saída 2 4 5 14" xfId="29112"/>
    <cellStyle name="Saída 2 4 5 15" xfId="31223"/>
    <cellStyle name="Saída 2 4 5 16" xfId="32215"/>
    <cellStyle name="Saída 2 4 5 17" xfId="33544"/>
    <cellStyle name="Saída 2 4 5 18" xfId="35330"/>
    <cellStyle name="Saída 2 4 5 19" xfId="37208"/>
    <cellStyle name="Saída 2 4 5 2" xfId="4315"/>
    <cellStyle name="Saída 2 4 5 20" xfId="39435"/>
    <cellStyle name="Saída 2 4 5 21" xfId="41111"/>
    <cellStyle name="Saída 2 4 5 22" xfId="43897"/>
    <cellStyle name="Saída 2 4 5 3" xfId="2681"/>
    <cellStyle name="Saída 2 4 5 4" xfId="9262"/>
    <cellStyle name="Saída 2 4 5 5" xfId="12115"/>
    <cellStyle name="Saída 2 4 5 6" xfId="14626"/>
    <cellStyle name="Saída 2 4 5 7" xfId="16532"/>
    <cellStyle name="Saída 2 4 5 8" xfId="16881"/>
    <cellStyle name="Saída 2 4 5 9" xfId="18788"/>
    <cellStyle name="Saída 2 4 6" xfId="6274"/>
    <cellStyle name="Saída 2 4 6 2" xfId="45681"/>
    <cellStyle name="Saída 2 4 6 3" xfId="46070"/>
    <cellStyle name="Saída 2 4 6 4" xfId="46428"/>
    <cellStyle name="Saída 2 4 6 5" xfId="46780"/>
    <cellStyle name="Saída 2 4 6 6" xfId="47095"/>
    <cellStyle name="Saída 2 4 6 7" xfId="47414"/>
    <cellStyle name="Saída 2 4 6 8" xfId="47732"/>
    <cellStyle name="Saída 2 4 7" xfId="9353"/>
    <cellStyle name="Saída 2 4 7 2" xfId="45757"/>
    <cellStyle name="Saída 2 4 7 3" xfId="46146"/>
    <cellStyle name="Saída 2 4 7 4" xfId="46504"/>
    <cellStyle name="Saída 2 4 7 5" xfId="46856"/>
    <cellStyle name="Saída 2 4 7 6" xfId="47171"/>
    <cellStyle name="Saída 2 4 7 7" xfId="47490"/>
    <cellStyle name="Saída 2 4 7 8" xfId="47808"/>
    <cellStyle name="Saída 2 4 8" xfId="11193"/>
    <cellStyle name="Saída 2 4 9" xfId="14010"/>
    <cellStyle name="Saída 2 5" xfId="2235"/>
    <cellStyle name="Saída 2 5 10" xfId="17131"/>
    <cellStyle name="Saída 2 5 11" xfId="19037"/>
    <cellStyle name="Saída 2 5 12" xfId="20949"/>
    <cellStyle name="Saída 2 5 13" xfId="23786"/>
    <cellStyle name="Saída 2 5 14" xfId="24751"/>
    <cellStyle name="Saída 2 5 15" xfId="27873"/>
    <cellStyle name="Saída 2 5 16" xfId="29184"/>
    <cellStyle name="Saída 2 5 17" xfId="31454"/>
    <cellStyle name="Saída 2 5 18" xfId="31686"/>
    <cellStyle name="Saída 2 5 19" xfId="33794"/>
    <cellStyle name="Saída 2 5 2" xfId="4946"/>
    <cellStyle name="Saída 2 5 2 10" xfId="21194"/>
    <cellStyle name="Saída 2 5 2 11" xfId="24067"/>
    <cellStyle name="Saída 2 5 2 12" xfId="24996"/>
    <cellStyle name="Saída 2 5 2 13" xfId="26961"/>
    <cellStyle name="Saída 2 5 2 14" xfId="29676"/>
    <cellStyle name="Saída 2 5 2 15" xfId="30555"/>
    <cellStyle name="Saída 2 5 2 16" xfId="31790"/>
    <cellStyle name="Saída 2 5 2 17" xfId="34045"/>
    <cellStyle name="Saída 2 5 2 18" xfId="35823"/>
    <cellStyle name="Saída 2 5 2 19" xfId="37702"/>
    <cellStyle name="Saída 2 5 2 2" xfId="6396"/>
    <cellStyle name="Saída 2 5 2 2 2" xfId="45587"/>
    <cellStyle name="Saída 2 5 2 2 3" xfId="45941"/>
    <cellStyle name="Saída 2 5 2 2 4" xfId="46299"/>
    <cellStyle name="Saída 2 5 2 2 5" xfId="46651"/>
    <cellStyle name="Saída 2 5 2 2 6" xfId="46997"/>
    <cellStyle name="Saída 2 5 2 2 7" xfId="47316"/>
    <cellStyle name="Saída 2 5 2 2 8" xfId="45819"/>
    <cellStyle name="Saída 2 5 2 20" xfId="39029"/>
    <cellStyle name="Saída 2 5 2 21" xfId="40711"/>
    <cellStyle name="Saída 2 5 2 22" xfId="43811"/>
    <cellStyle name="Saída 2 5 2 3" xfId="7847"/>
    <cellStyle name="Saída 2 5 2 3 2" xfId="45705"/>
    <cellStyle name="Saída 2 5 2 3 3" xfId="46094"/>
    <cellStyle name="Saída 2 5 2 3 4" xfId="46452"/>
    <cellStyle name="Saída 2 5 2 3 5" xfId="46804"/>
    <cellStyle name="Saída 2 5 2 3 6" xfId="47119"/>
    <cellStyle name="Saída 2 5 2 3 7" xfId="47438"/>
    <cellStyle name="Saída 2 5 2 3 8" xfId="47756"/>
    <cellStyle name="Saída 2 5 2 4" xfId="9757"/>
    <cellStyle name="Saída 2 5 2 4 2" xfId="45602"/>
    <cellStyle name="Saída 2 5 2 4 3" xfId="45991"/>
    <cellStyle name="Saída 2 5 2 4 4" xfId="46349"/>
    <cellStyle name="Saída 2 5 2 4 5" xfId="46701"/>
    <cellStyle name="Saída 2 5 2 4 6" xfId="47016"/>
    <cellStyle name="Saída 2 5 2 4 7" xfId="47335"/>
    <cellStyle name="Saída 2 5 2 4 8" xfId="47653"/>
    <cellStyle name="Saída 2 5 2 5" xfId="12026"/>
    <cellStyle name="Saída 2 5 2 5 2" xfId="45659"/>
    <cellStyle name="Saída 2 5 2 5 3" xfId="46048"/>
    <cellStyle name="Saída 2 5 2 5 4" xfId="46406"/>
    <cellStyle name="Saída 2 5 2 5 5" xfId="46758"/>
    <cellStyle name="Saída 2 5 2 5 6" xfId="47073"/>
    <cellStyle name="Saída 2 5 2 5 7" xfId="47392"/>
    <cellStyle name="Saída 2 5 2 5 8" xfId="47710"/>
    <cellStyle name="Saída 2 5 2 6" xfId="14537"/>
    <cellStyle name="Saída 2 5 2 7" xfId="16443"/>
    <cellStyle name="Saída 2 5 2 8" xfId="17376"/>
    <cellStyle name="Saída 2 5 2 9" xfId="19282"/>
    <cellStyle name="Saída 2 5 20" xfId="35578"/>
    <cellStyle name="Saída 2 5 21" xfId="37457"/>
    <cellStyle name="Saída 2 5 22" xfId="38928"/>
    <cellStyle name="Saída 2 5 23" xfId="40612"/>
    <cellStyle name="Saída 2 5 24" xfId="43539"/>
    <cellStyle name="Saída 2 5 3" xfId="4703"/>
    <cellStyle name="Saída 2 5 3 2" xfId="45350"/>
    <cellStyle name="Saída 2 5 3 2 2" xfId="45951"/>
    <cellStyle name="Saída 2 5 3 2 3" xfId="46309"/>
    <cellStyle name="Saída 2 5 3 2 4" xfId="46661"/>
    <cellStyle name="Saída 2 5 3 2 5" xfId="46999"/>
    <cellStyle name="Saída 2 5 3 2 6" xfId="45543"/>
    <cellStyle name="Saída 2 5 3 3" xfId="45408"/>
    <cellStyle name="Saída 2 5 3 3 2" xfId="45724"/>
    <cellStyle name="Saída 2 5 3 3 3" xfId="46113"/>
    <cellStyle name="Saída 2 5 3 3 4" xfId="46471"/>
    <cellStyle name="Saída 2 5 3 3 5" xfId="46823"/>
    <cellStyle name="Saída 2 5 3 3 6" xfId="47138"/>
    <cellStyle name="Saída 2 5 3 3 7" xfId="47457"/>
    <cellStyle name="Saída 2 5 3 3 8" xfId="47775"/>
    <cellStyle name="Saída 2 5 3 4" xfId="45435"/>
    <cellStyle name="Saída 2 5 3 4 2" xfId="45786"/>
    <cellStyle name="Saída 2 5 3 4 3" xfId="46175"/>
    <cellStyle name="Saída 2 5 3 4 4" xfId="46533"/>
    <cellStyle name="Saída 2 5 3 4 5" xfId="46885"/>
    <cellStyle name="Saída 2 5 3 4 6" xfId="47200"/>
    <cellStyle name="Saída 2 5 3 4 7" xfId="47519"/>
    <cellStyle name="Saída 2 5 3 4 8" xfId="47837"/>
    <cellStyle name="Saída 2 5 3 5" xfId="45386"/>
    <cellStyle name="Saída 2 5 3 5 2" xfId="45636"/>
    <cellStyle name="Saída 2 5 3 5 3" xfId="46025"/>
    <cellStyle name="Saída 2 5 3 5 4" xfId="46383"/>
    <cellStyle name="Saída 2 5 3 5 5" xfId="46735"/>
    <cellStyle name="Saída 2 5 3 5 6" xfId="47050"/>
    <cellStyle name="Saída 2 5 3 5 7" xfId="47369"/>
    <cellStyle name="Saída 2 5 3 5 8" xfId="47687"/>
    <cellStyle name="Saída 2 5 3 6" xfId="45899"/>
    <cellStyle name="Saída 2 5 3 7" xfId="45557"/>
    <cellStyle name="Saída 2 5 3 8" xfId="45565"/>
    <cellStyle name="Saída 2 5 3 9" xfId="45319"/>
    <cellStyle name="Saída 2 5 4" xfId="6151"/>
    <cellStyle name="Saída 2 5 4 2" xfId="45357"/>
    <cellStyle name="Saída 2 5 4 2 2" xfId="45959"/>
    <cellStyle name="Saída 2 5 4 2 3" xfId="46317"/>
    <cellStyle name="Saída 2 5 4 2 4" xfId="46669"/>
    <cellStyle name="Saída 2 5 4 2 5" xfId="47001"/>
    <cellStyle name="Saída 2 5 4 2 6" xfId="47621"/>
    <cellStyle name="Saída 2 5 4 3" xfId="45415"/>
    <cellStyle name="Saída 2 5 4 3 2" xfId="45739"/>
    <cellStyle name="Saída 2 5 4 3 3" xfId="46128"/>
    <cellStyle name="Saída 2 5 4 3 4" xfId="46486"/>
    <cellStyle name="Saída 2 5 4 3 5" xfId="46838"/>
    <cellStyle name="Saída 2 5 4 3 6" xfId="47153"/>
    <cellStyle name="Saída 2 5 4 3 7" xfId="47472"/>
    <cellStyle name="Saída 2 5 4 3 8" xfId="47790"/>
    <cellStyle name="Saída 2 5 4 4" xfId="45442"/>
    <cellStyle name="Saída 2 5 4 4 2" xfId="45801"/>
    <cellStyle name="Saída 2 5 4 4 3" xfId="46190"/>
    <cellStyle name="Saída 2 5 4 4 4" xfId="46548"/>
    <cellStyle name="Saída 2 5 4 4 5" xfId="46900"/>
    <cellStyle name="Saída 2 5 4 4 6" xfId="47215"/>
    <cellStyle name="Saída 2 5 4 4 7" xfId="47534"/>
    <cellStyle name="Saída 2 5 4 4 8" xfId="47852"/>
    <cellStyle name="Saída 2 5 4 5" xfId="45466"/>
    <cellStyle name="Saída 2 5 4 5 2" xfId="45854"/>
    <cellStyle name="Saída 2 5 4 5 3" xfId="46243"/>
    <cellStyle name="Saída 2 5 4 5 4" xfId="46601"/>
    <cellStyle name="Saída 2 5 4 5 5" xfId="46953"/>
    <cellStyle name="Saída 2 5 4 5 6" xfId="47268"/>
    <cellStyle name="Saída 2 5 4 5 7" xfId="47587"/>
    <cellStyle name="Saída 2 5 4 5 8" xfId="47905"/>
    <cellStyle name="Saída 2 5 4 6" xfId="45906"/>
    <cellStyle name="Saída 2 5 4 7" xfId="45566"/>
    <cellStyle name="Saída 2 5 4 8" xfId="45490"/>
    <cellStyle name="Saída 2 5 4 9" xfId="45326"/>
    <cellStyle name="Saída 2 5 5" xfId="7602"/>
    <cellStyle name="Saída 2 5 5 10" xfId="47943"/>
    <cellStyle name="Saída 2 5 5 2" xfId="45363"/>
    <cellStyle name="Saída 2 5 5 2 2" xfId="45965"/>
    <cellStyle name="Saída 2 5 5 2 3" xfId="46323"/>
    <cellStyle name="Saída 2 5 5 2 4" xfId="46675"/>
    <cellStyle name="Saída 2 5 5 2 5" xfId="47002"/>
    <cellStyle name="Saída 2 5 5 2 6" xfId="47627"/>
    <cellStyle name="Saída 2 5 5 3" xfId="45421"/>
    <cellStyle name="Saída 2 5 5 3 2" xfId="45748"/>
    <cellStyle name="Saída 2 5 5 3 3" xfId="46137"/>
    <cellStyle name="Saída 2 5 5 3 4" xfId="46495"/>
    <cellStyle name="Saída 2 5 5 3 5" xfId="46847"/>
    <cellStyle name="Saída 2 5 5 3 6" xfId="47162"/>
    <cellStyle name="Saída 2 5 5 3 7" xfId="47481"/>
    <cellStyle name="Saída 2 5 5 3 8" xfId="47799"/>
    <cellStyle name="Saída 2 5 5 4" xfId="45448"/>
    <cellStyle name="Saída 2 5 5 4 2" xfId="45810"/>
    <cellStyle name="Saída 2 5 5 4 3" xfId="46199"/>
    <cellStyle name="Saída 2 5 5 4 4" xfId="46557"/>
    <cellStyle name="Saída 2 5 5 4 5" xfId="46909"/>
    <cellStyle name="Saída 2 5 5 4 6" xfId="47224"/>
    <cellStyle name="Saída 2 5 5 4 7" xfId="47543"/>
    <cellStyle name="Saída 2 5 5 4 8" xfId="47861"/>
    <cellStyle name="Saída 2 5 5 5" xfId="45472"/>
    <cellStyle name="Saída 2 5 5 5 2" xfId="45863"/>
    <cellStyle name="Saída 2 5 5 5 3" xfId="46252"/>
    <cellStyle name="Saída 2 5 5 5 4" xfId="46610"/>
    <cellStyle name="Saída 2 5 5 5 5" xfId="46962"/>
    <cellStyle name="Saída 2 5 5 5 6" xfId="47277"/>
    <cellStyle name="Saída 2 5 5 5 7" xfId="47596"/>
    <cellStyle name="Saída 2 5 5 5 8" xfId="47914"/>
    <cellStyle name="Saída 2 5 5 6" xfId="45912"/>
    <cellStyle name="Saída 2 5 5 7" xfId="45538"/>
    <cellStyle name="Saída 2 5 5 8" xfId="47323"/>
    <cellStyle name="Saída 2 5 5 9" xfId="45329"/>
    <cellStyle name="Saída 2 5 6" xfId="9512"/>
    <cellStyle name="Saída 2 5 6 2" xfId="45370"/>
    <cellStyle name="Saída 2 5 6 2 2" xfId="45977"/>
    <cellStyle name="Saída 2 5 6 2 3" xfId="46335"/>
    <cellStyle name="Saída 2 5 6 2 4" xfId="46687"/>
    <cellStyle name="Saída 2 5 6 2 5" xfId="47004"/>
    <cellStyle name="Saída 2 5 6 2 6" xfId="47639"/>
    <cellStyle name="Saída 2 5 6 3" xfId="45429"/>
    <cellStyle name="Saída 2 5 6 3 2" xfId="45773"/>
    <cellStyle name="Saída 2 5 6 3 3" xfId="46162"/>
    <cellStyle name="Saída 2 5 6 3 4" xfId="46520"/>
    <cellStyle name="Saída 2 5 6 3 5" xfId="46872"/>
    <cellStyle name="Saída 2 5 6 3 6" xfId="47187"/>
    <cellStyle name="Saída 2 5 6 3 7" xfId="47506"/>
    <cellStyle name="Saída 2 5 6 3 8" xfId="47824"/>
    <cellStyle name="Saída 2 5 6 4" xfId="45459"/>
    <cellStyle name="Saída 2 5 6 4 2" xfId="45842"/>
    <cellStyle name="Saída 2 5 6 4 3" xfId="46231"/>
    <cellStyle name="Saída 2 5 6 4 4" xfId="46589"/>
    <cellStyle name="Saída 2 5 6 4 5" xfId="46941"/>
    <cellStyle name="Saída 2 5 6 4 6" xfId="47256"/>
    <cellStyle name="Saída 2 5 6 4 7" xfId="47575"/>
    <cellStyle name="Saída 2 5 6 4 8" xfId="47893"/>
    <cellStyle name="Saída 2 5 6 5" xfId="45479"/>
    <cellStyle name="Saída 2 5 6 5 2" xfId="45879"/>
    <cellStyle name="Saída 2 5 6 5 3" xfId="46268"/>
    <cellStyle name="Saída 2 5 6 5 4" xfId="46626"/>
    <cellStyle name="Saída 2 5 6 5 5" xfId="46978"/>
    <cellStyle name="Saída 2 5 6 5 6" xfId="47293"/>
    <cellStyle name="Saída 2 5 6 5 7" xfId="47612"/>
    <cellStyle name="Saída 2 5 6 5 8" xfId="47930"/>
    <cellStyle name="Saída 2 5 6 6" xfId="45919"/>
    <cellStyle name="Saída 2 5 6 7" xfId="45547"/>
    <cellStyle name="Saída 2 5 6 8" xfId="45564"/>
    <cellStyle name="Saída 2 5 6 9" xfId="47950"/>
    <cellStyle name="Saída 2 5 7" xfId="11726"/>
    <cellStyle name="Saída 2 5 7 2" xfId="45580"/>
    <cellStyle name="Saída 2 5 7 3" xfId="45929"/>
    <cellStyle name="Saída 2 5 7 4" xfId="46287"/>
    <cellStyle name="Saída 2 5 7 5" xfId="46639"/>
    <cellStyle name="Saída 2 5 7 6" xfId="46990"/>
    <cellStyle name="Saída 2 5 7 7" xfId="47307"/>
    <cellStyle name="Saída 2 5 7 8" xfId="45531"/>
    <cellStyle name="Saída 2 5 8" xfId="14256"/>
    <cellStyle name="Saída 2 5 8 2" xfId="45682"/>
    <cellStyle name="Saída 2 5 8 3" xfId="46071"/>
    <cellStyle name="Saída 2 5 8 4" xfId="46429"/>
    <cellStyle name="Saída 2 5 8 5" xfId="46781"/>
    <cellStyle name="Saída 2 5 8 6" xfId="47096"/>
    <cellStyle name="Saída 2 5 8 7" xfId="47415"/>
    <cellStyle name="Saída 2 5 8 8" xfId="47733"/>
    <cellStyle name="Saída 2 5 9" xfId="16160"/>
    <cellStyle name="Saída 2 5 9 2" xfId="45630"/>
    <cellStyle name="Saída 2 5 9 3" xfId="46019"/>
    <cellStyle name="Saída 2 5 9 4" xfId="46377"/>
    <cellStyle name="Saída 2 5 9 5" xfId="46729"/>
    <cellStyle name="Saída 2 5 9 6" xfId="47044"/>
    <cellStyle name="Saída 2 5 9 7" xfId="47363"/>
    <cellStyle name="Saída 2 5 9 8" xfId="47681"/>
    <cellStyle name="Saída 2 6" xfId="3206"/>
    <cellStyle name="Saída 2 6 10" xfId="19180"/>
    <cellStyle name="Saída 2 6 11" xfId="21092"/>
    <cellStyle name="Saída 2 6 12" xfId="22626"/>
    <cellStyle name="Saída 2 6 13" xfId="24894"/>
    <cellStyle name="Saída 2 6 14" xfId="27461"/>
    <cellStyle name="Saída 2 6 15" xfId="29050"/>
    <cellStyle name="Saída 2 6 16" xfId="31047"/>
    <cellStyle name="Saída 2 6 17" xfId="32288"/>
    <cellStyle name="Saída 2 6 18" xfId="34682"/>
    <cellStyle name="Saída 2 6 19" xfId="35721"/>
    <cellStyle name="Saída 2 6 2" xfId="5708"/>
    <cellStyle name="Saída 2 6 2 10" xfId="21958"/>
    <cellStyle name="Saída 2 6 2 11" xfId="23177"/>
    <cellStyle name="Saída 2 6 2 12" xfId="25760"/>
    <cellStyle name="Saída 2 6 2 13" xfId="27385"/>
    <cellStyle name="Saída 2 6 2 14" xfId="28279"/>
    <cellStyle name="Saída 2 6 2 15" xfId="30971"/>
    <cellStyle name="Saída 2 6 2 16" xfId="32000"/>
    <cellStyle name="Saída 2 6 2 17" xfId="34513"/>
    <cellStyle name="Saída 2 6 2 18" xfId="36587"/>
    <cellStyle name="Saída 2 6 2 19" xfId="38466"/>
    <cellStyle name="Saída 2 6 2 2" xfId="7157"/>
    <cellStyle name="Saída 2 6 2 20" xfId="39231"/>
    <cellStyle name="Saída 2 6 2 21" xfId="40908"/>
    <cellStyle name="Saída 2 6 2 22" xfId="42955"/>
    <cellStyle name="Saída 2 6 2 3" xfId="8611"/>
    <cellStyle name="Saída 2 6 2 4" xfId="10521"/>
    <cellStyle name="Saída 2 6 2 5" xfId="11005"/>
    <cellStyle name="Saída 2 6 2 6" xfId="13648"/>
    <cellStyle name="Saída 2 6 2 7" xfId="15551"/>
    <cellStyle name="Saída 2 6 2 8" xfId="18140"/>
    <cellStyle name="Saída 2 6 2 9" xfId="20046"/>
    <cellStyle name="Saída 2 6 20" xfId="37600"/>
    <cellStyle name="Saída 2 6 21" xfId="39508"/>
    <cellStyle name="Saída 2 6 22" xfId="41182"/>
    <cellStyle name="Saída 2 6 23" xfId="42432"/>
    <cellStyle name="Saída 2 6 3" xfId="4844"/>
    <cellStyle name="Saída 2 6 3 2" xfId="45679"/>
    <cellStyle name="Saída 2 6 3 3" xfId="46068"/>
    <cellStyle name="Saída 2 6 3 4" xfId="46426"/>
    <cellStyle name="Saída 2 6 3 5" xfId="46778"/>
    <cellStyle name="Saída 2 6 3 6" xfId="47093"/>
    <cellStyle name="Saída 2 6 3 7" xfId="47412"/>
    <cellStyle name="Saída 2 6 3 8" xfId="47730"/>
    <cellStyle name="Saída 2 6 4" xfId="7745"/>
    <cellStyle name="Saída 2 6 4 2" xfId="45632"/>
    <cellStyle name="Saída 2 6 4 3" xfId="46021"/>
    <cellStyle name="Saída 2 6 4 4" xfId="46379"/>
    <cellStyle name="Saída 2 6 4 5" xfId="46731"/>
    <cellStyle name="Saída 2 6 4 6" xfId="47046"/>
    <cellStyle name="Saída 2 6 4 7" xfId="47365"/>
    <cellStyle name="Saída 2 6 4 8" xfId="47683"/>
    <cellStyle name="Saída 2 6 5" xfId="9655"/>
    <cellStyle name="Saída 2 6 5 2" xfId="45652"/>
    <cellStyle name="Saída 2 6 5 3" xfId="46041"/>
    <cellStyle name="Saída 2 6 5 4" xfId="46399"/>
    <cellStyle name="Saída 2 6 5 5" xfId="46751"/>
    <cellStyle name="Saída 2 6 5 6" xfId="47066"/>
    <cellStyle name="Saída 2 6 5 7" xfId="47385"/>
    <cellStyle name="Saída 2 6 5 8" xfId="47703"/>
    <cellStyle name="Saída 2 6 6" xfId="11089"/>
    <cellStyle name="Saída 2 6 7" xfId="13093"/>
    <cellStyle name="Saída 2 6 8" xfId="14998"/>
    <cellStyle name="Saída 2 6 9" xfId="17274"/>
    <cellStyle name="Saída 2 7" xfId="3323"/>
    <cellStyle name="Saída 2 7 10" xfId="19198"/>
    <cellStyle name="Saída 2 7 11" xfId="21110"/>
    <cellStyle name="Saída 2 7 12" xfId="24090"/>
    <cellStyle name="Saída 2 7 13" xfId="24912"/>
    <cellStyle name="Saída 2 7 14" xfId="27420"/>
    <cellStyle name="Saída 2 7 15" xfId="29552"/>
    <cellStyle name="Saída 2 7 16" xfId="31006"/>
    <cellStyle name="Saída 2 7 17" xfId="32093"/>
    <cellStyle name="Saída 2 7 18" xfId="34665"/>
    <cellStyle name="Saída 2 7 19" xfId="35739"/>
    <cellStyle name="Saída 2 7 2" xfId="5585"/>
    <cellStyle name="Saída 2 7 2 10" xfId="21835"/>
    <cellStyle name="Saída 2 7 2 11" xfId="23891"/>
    <cellStyle name="Saída 2 7 2 12" xfId="25637"/>
    <cellStyle name="Saída 2 7 2 13" xfId="2576"/>
    <cellStyle name="Saída 2 7 2 14" xfId="4320"/>
    <cellStyle name="Saída 2 7 2 15" xfId="2347"/>
    <cellStyle name="Saída 2 7 2 16" xfId="3932"/>
    <cellStyle name="Saída 2 7 2 17" xfId="30197"/>
    <cellStyle name="Saída 2 7 2 18" xfId="36464"/>
    <cellStyle name="Saída 2 7 2 19" xfId="38343"/>
    <cellStyle name="Saída 2 7 2 2" xfId="7034"/>
    <cellStyle name="Saída 2 7 2 20" xfId="2474"/>
    <cellStyle name="Saída 2 7 2 21" xfId="33073"/>
    <cellStyle name="Saída 2 7 2 22" xfId="43641"/>
    <cellStyle name="Saída 2 7 2 3" xfId="8488"/>
    <cellStyle name="Saída 2 7 2 4" xfId="10398"/>
    <cellStyle name="Saída 2 7 2 5" xfId="12768"/>
    <cellStyle name="Saída 2 7 2 6" xfId="14361"/>
    <cellStyle name="Saída 2 7 2 7" xfId="16266"/>
    <cellStyle name="Saída 2 7 2 8" xfId="18017"/>
    <cellStyle name="Saída 2 7 2 9" xfId="19923"/>
    <cellStyle name="Saída 2 7 20" xfId="37618"/>
    <cellStyle name="Saída 2 7 21" xfId="39317"/>
    <cellStyle name="Saída 2 7 22" xfId="40993"/>
    <cellStyle name="Saída 2 7 23" xfId="43833"/>
    <cellStyle name="Saída 2 7 3" xfId="6312"/>
    <cellStyle name="Saída 2 7 3 2" xfId="45697"/>
    <cellStyle name="Saída 2 7 3 3" xfId="46086"/>
    <cellStyle name="Saída 2 7 3 4" xfId="46444"/>
    <cellStyle name="Saída 2 7 3 5" xfId="46796"/>
    <cellStyle name="Saída 2 7 3 6" xfId="47111"/>
    <cellStyle name="Saída 2 7 3 7" xfId="47430"/>
    <cellStyle name="Saída 2 7 3 8" xfId="47748"/>
    <cellStyle name="Saída 2 7 4" xfId="7763"/>
    <cellStyle name="Saída 2 7 4 2" xfId="45622"/>
    <cellStyle name="Saída 2 7 4 3" xfId="46011"/>
    <cellStyle name="Saída 2 7 4 4" xfId="46369"/>
    <cellStyle name="Saída 2 7 4 5" xfId="46721"/>
    <cellStyle name="Saída 2 7 4 6" xfId="47036"/>
    <cellStyle name="Saída 2 7 4 7" xfId="47355"/>
    <cellStyle name="Saída 2 7 4 8" xfId="47673"/>
    <cellStyle name="Saída 2 7 5" xfId="9673"/>
    <cellStyle name="Saída 2 7 5 2" xfId="45656"/>
    <cellStyle name="Saída 2 7 5 3" xfId="46045"/>
    <cellStyle name="Saída 2 7 5 4" xfId="46403"/>
    <cellStyle name="Saída 2 7 5 5" xfId="46755"/>
    <cellStyle name="Saída 2 7 5 6" xfId="47070"/>
    <cellStyle name="Saída 2 7 5 7" xfId="47389"/>
    <cellStyle name="Saída 2 7 5 8" xfId="47707"/>
    <cellStyle name="Saída 2 7 6" xfId="12049"/>
    <cellStyle name="Saída 2 7 7" xfId="14560"/>
    <cellStyle name="Saída 2 7 8" xfId="16466"/>
    <cellStyle name="Saída 2 7 9" xfId="17292"/>
    <cellStyle name="Saída 2 8" xfId="2168"/>
    <cellStyle name="Saída 2 8 2" xfId="45343"/>
    <cellStyle name="Saída 2 8 2 2" xfId="45937"/>
    <cellStyle name="Saída 2 8 2 3" xfId="46295"/>
    <cellStyle name="Saída 2 8 2 4" xfId="46647"/>
    <cellStyle name="Saída 2 8 2 5" xfId="46993"/>
    <cellStyle name="Saída 2 8 2 6" xfId="45522"/>
    <cellStyle name="Saída 2 8 3" xfId="45401"/>
    <cellStyle name="Saída 2 8 3 2" xfId="45700"/>
    <cellStyle name="Saída 2 8 3 3" xfId="46089"/>
    <cellStyle name="Saída 2 8 3 4" xfId="46447"/>
    <cellStyle name="Saída 2 8 3 5" xfId="46799"/>
    <cellStyle name="Saída 2 8 3 6" xfId="47114"/>
    <cellStyle name="Saída 2 8 3 7" xfId="47433"/>
    <cellStyle name="Saída 2 8 3 8" xfId="47751"/>
    <cellStyle name="Saída 2 8 4" xfId="45376"/>
    <cellStyle name="Saída 2 8 4 2" xfId="45607"/>
    <cellStyle name="Saída 2 8 4 3" xfId="45996"/>
    <cellStyle name="Saída 2 8 4 4" xfId="46354"/>
    <cellStyle name="Saída 2 8 4 5" xfId="46706"/>
    <cellStyle name="Saída 2 8 4 6" xfId="47021"/>
    <cellStyle name="Saída 2 8 4 7" xfId="47340"/>
    <cellStyle name="Saída 2 8 4 8" xfId="47658"/>
    <cellStyle name="Saída 2 8 5" xfId="45451"/>
    <cellStyle name="Saída 2 8 5 2" xfId="45816"/>
    <cellStyle name="Saída 2 8 5 3" xfId="46205"/>
    <cellStyle name="Saída 2 8 5 4" xfId="46563"/>
    <cellStyle name="Saída 2 8 5 5" xfId="46915"/>
    <cellStyle name="Saída 2 8 5 6" xfId="47230"/>
    <cellStyle name="Saída 2 8 5 7" xfId="47549"/>
    <cellStyle name="Saída 2 8 5 8" xfId="47867"/>
    <cellStyle name="Saída 2 8 6" xfId="45892"/>
    <cellStyle name="Saída 2 8 7" xfId="45494"/>
    <cellStyle name="Saída 2 8 8" xfId="45482"/>
    <cellStyle name="Saída 2 8 9" xfId="45312"/>
    <cellStyle name="Saída 2 9" xfId="1882"/>
    <cellStyle name="Saída 3" xfId="51678"/>
    <cellStyle name="Saída 4" xfId="51689"/>
    <cellStyle name="Saída 5" xfId="51732"/>
    <cellStyle name="Saída 6" xfId="51774"/>
    <cellStyle name="Saída 7" xfId="51816"/>
    <cellStyle name="Saída 8" xfId="51857"/>
    <cellStyle name="Saída 9" xfId="51904"/>
    <cellStyle name="Separador de milhares 12 2" xfId="87"/>
    <cellStyle name="Separador de milhares 12 2 10" xfId="644"/>
    <cellStyle name="Separador de milhares 12 2 10 2" xfId="1715"/>
    <cellStyle name="Separador de milhares 12 2 11" xfId="593"/>
    <cellStyle name="Separador de milhares 12 2 11 2" xfId="1664"/>
    <cellStyle name="Separador de milhares 12 2 12" xfId="1168"/>
    <cellStyle name="Separador de milhares 12 2 2" xfId="152"/>
    <cellStyle name="Separador de milhares 12 2 2 2" xfId="1224"/>
    <cellStyle name="Separador de milhares 12 2 3" xfId="236"/>
    <cellStyle name="Separador de milhares 12 2 3 2" xfId="1308"/>
    <cellStyle name="Separador de milhares 12 2 4" xfId="293"/>
    <cellStyle name="Separador de milhares 12 2 4 2" xfId="1365"/>
    <cellStyle name="Separador de milhares 12 2 5" xfId="342"/>
    <cellStyle name="Separador de milhares 12 2 5 2" xfId="1414"/>
    <cellStyle name="Separador de milhares 12 2 6" xfId="381"/>
    <cellStyle name="Separador de milhares 12 2 6 2" xfId="1453"/>
    <cellStyle name="Separador de milhares 12 2 7" xfId="439"/>
    <cellStyle name="Separador de milhares 12 2 7 2" xfId="1511"/>
    <cellStyle name="Separador de milhares 12 2 8" xfId="505"/>
    <cellStyle name="Separador de milhares 12 2 8 2" xfId="1576"/>
    <cellStyle name="Separador de milhares 12 2 9" xfId="561"/>
    <cellStyle name="Separador de milhares 12 2 9 2" xfId="1632"/>
    <cellStyle name="Separador de milhares 12 3" xfId="88"/>
    <cellStyle name="Separador de milhares 12 3 10" xfId="630"/>
    <cellStyle name="Separador de milhares 12 3 10 2" xfId="1701"/>
    <cellStyle name="Separador de milhares 12 3 11" xfId="642"/>
    <cellStyle name="Separador de milhares 12 3 11 2" xfId="1713"/>
    <cellStyle name="Separador de milhares 12 3 12" xfId="1169"/>
    <cellStyle name="Separador de milhares 12 3 2" xfId="153"/>
    <cellStyle name="Separador de milhares 12 3 2 2" xfId="1225"/>
    <cellStyle name="Separador de milhares 12 3 3" xfId="237"/>
    <cellStyle name="Separador de milhares 12 3 3 2" xfId="1309"/>
    <cellStyle name="Separador de milhares 12 3 4" xfId="294"/>
    <cellStyle name="Separador de milhares 12 3 4 2" xfId="1366"/>
    <cellStyle name="Separador de milhares 12 3 5" xfId="343"/>
    <cellStyle name="Separador de milhares 12 3 5 2" xfId="1415"/>
    <cellStyle name="Separador de milhares 12 3 6" xfId="382"/>
    <cellStyle name="Separador de milhares 12 3 6 2" xfId="1454"/>
    <cellStyle name="Separador de milhares 12 3 7" xfId="440"/>
    <cellStyle name="Separador de milhares 12 3 7 2" xfId="1512"/>
    <cellStyle name="Separador de milhares 12 3 8" xfId="506"/>
    <cellStyle name="Separador de milhares 12 3 8 2" xfId="1577"/>
    <cellStyle name="Separador de milhares 12 3 9" xfId="528"/>
    <cellStyle name="Separador de milhares 12 3 9 2" xfId="1599"/>
    <cellStyle name="Separador de milhares 17" xfId="52176"/>
    <cellStyle name="Separador de milhares 17 2" xfId="52259"/>
    <cellStyle name="Separador de milhares 17 3" xfId="52269"/>
    <cellStyle name="Separador de milhares 2" xfId="1119"/>
    <cellStyle name="Separador de milhares 2 10" xfId="1106"/>
    <cellStyle name="Separador de milhares 2 10 2" xfId="51605"/>
    <cellStyle name="Separador de milhares 2 11" xfId="1107"/>
    <cellStyle name="Separador de milhares 2 11 2" xfId="51608"/>
    <cellStyle name="Separador de milhares 2 12" xfId="1108"/>
    <cellStyle name="Separador de milhares 2 12 2" xfId="51611"/>
    <cellStyle name="Separador de milhares 2 13" xfId="1109"/>
    <cellStyle name="Separador de milhares 2 13 2" xfId="51614"/>
    <cellStyle name="Separador de milhares 2 14" xfId="1110"/>
    <cellStyle name="Separador de milhares 2 14 2" xfId="51617"/>
    <cellStyle name="Separador de milhares 2 15" xfId="1111"/>
    <cellStyle name="Separador de milhares 2 15 2" xfId="51618"/>
    <cellStyle name="Separador de milhares 2 16" xfId="51674"/>
    <cellStyle name="Separador de milhares 2 16 2" xfId="53314"/>
    <cellStyle name="Separador de milhares 2 17" xfId="51724"/>
    <cellStyle name="Separador de milhares 2 18" xfId="51766"/>
    <cellStyle name="Separador de milhares 2 19" xfId="51808"/>
    <cellStyle name="Separador de milhares 2 2" xfId="1105"/>
    <cellStyle name="Separador de milhares 2 2 2" xfId="51565"/>
    <cellStyle name="Separador de milhares 2 20" xfId="51852"/>
    <cellStyle name="Separador de milhares 2 21" xfId="51892"/>
    <cellStyle name="Separador de milhares 2 22" xfId="51939"/>
    <cellStyle name="Separador de milhares 2 23" xfId="51981"/>
    <cellStyle name="Separador de milhares 2 24" xfId="52024"/>
    <cellStyle name="Separador de milhares 2 25" xfId="52067"/>
    <cellStyle name="Separador de milhares 2 26" xfId="52110"/>
    <cellStyle name="Separador de milhares 2 27" xfId="52153"/>
    <cellStyle name="Separador de milhares 2 28" xfId="52157"/>
    <cellStyle name="Separador de milhares 2 29" xfId="52160"/>
    <cellStyle name="Separador de milhares 2 3" xfId="1112"/>
    <cellStyle name="Separador de milhares 2 3 2" xfId="49513"/>
    <cellStyle name="Separador de milhares 2 3 3" xfId="51573"/>
    <cellStyle name="Separador de milhares 2 30" xfId="52180"/>
    <cellStyle name="Separador de milhares 2 31" xfId="52181"/>
    <cellStyle name="Separador de milhares 2 32" xfId="52182"/>
    <cellStyle name="Separador de milhares 2 33" xfId="52183"/>
    <cellStyle name="Separador de milhares 2 34" xfId="52184"/>
    <cellStyle name="Separador de milhares 2 35" xfId="52186"/>
    <cellStyle name="Separador de milhares 2 36" xfId="52187"/>
    <cellStyle name="Separador de milhares 2 37" xfId="52169"/>
    <cellStyle name="Separador de milhares 2 38" xfId="52164"/>
    <cellStyle name="Separador de milhares 2 39" xfId="52261"/>
    <cellStyle name="Separador de milhares 2 4" xfId="1113"/>
    <cellStyle name="Separador de milhares 2 4 2" xfId="51578"/>
    <cellStyle name="Separador de milhares 2 5" xfId="1114"/>
    <cellStyle name="Separador de milhares 2 5 2" xfId="51581"/>
    <cellStyle name="Separador de milhares 2 6" xfId="1115"/>
    <cellStyle name="Separador de milhares 2 6 2" xfId="51587"/>
    <cellStyle name="Separador de milhares 2 7" xfId="1116"/>
    <cellStyle name="Separador de milhares 2 7 2" xfId="51591"/>
    <cellStyle name="Separador de milhares 2 8" xfId="1117"/>
    <cellStyle name="Separador de milhares 2 8 2" xfId="51593"/>
    <cellStyle name="Separador de milhares 2 9" xfId="1118"/>
    <cellStyle name="Separador de milhares 2 9 2" xfId="51602"/>
    <cellStyle name="Separador de milhares 3" xfId="44723"/>
    <cellStyle name="Separador de milhares 3 10" xfId="44724"/>
    <cellStyle name="Separador de milhares 3 10 2" xfId="49514"/>
    <cellStyle name="Separador de milhares 3 10 2 2" xfId="50873"/>
    <cellStyle name="Separador de milhares 3 10 3" xfId="49515"/>
    <cellStyle name="Separador de milhares 3 10_Mem." xfId="49516"/>
    <cellStyle name="Separador de milhares 3 100" xfId="44725"/>
    <cellStyle name="Separador de milhares 3 101" xfId="44726"/>
    <cellStyle name="Separador de milhares 3 102" xfId="44727"/>
    <cellStyle name="Separador de milhares 3 103" xfId="44728"/>
    <cellStyle name="Separador de milhares 3 104" xfId="44729"/>
    <cellStyle name="Separador de milhares 3 105" xfId="44730"/>
    <cellStyle name="Separador de milhares 3 106" xfId="44731"/>
    <cellStyle name="Separador de milhares 3 107" xfId="44732"/>
    <cellStyle name="Separador de milhares 3 108" xfId="44733"/>
    <cellStyle name="Separador de milhares 3 109" xfId="44734"/>
    <cellStyle name="Separador de milhares 3 11" xfId="44735"/>
    <cellStyle name="Separador de milhares 3 11 2" xfId="49517"/>
    <cellStyle name="Separador de milhares 3 11 2 2" xfId="51223"/>
    <cellStyle name="Separador de milhares 3 11 3" xfId="49518"/>
    <cellStyle name="Separador de milhares 3 11_Mem." xfId="49519"/>
    <cellStyle name="Separador de milhares 3 110" xfId="44736"/>
    <cellStyle name="Separador de milhares 3 111" xfId="44737"/>
    <cellStyle name="Separador de milhares 3 112" xfId="44738"/>
    <cellStyle name="Separador de milhares 3 113" xfId="44739"/>
    <cellStyle name="Separador de milhares 3 114" xfId="44740"/>
    <cellStyle name="Separador de milhares 3 115" xfId="44741"/>
    <cellStyle name="Separador de milhares 3 116" xfId="44742"/>
    <cellStyle name="Separador de milhares 3 117" xfId="44743"/>
    <cellStyle name="Separador de milhares 3 118" xfId="44744"/>
    <cellStyle name="Separador de milhares 3 119" xfId="44745"/>
    <cellStyle name="Separador de milhares 3 12" xfId="44746"/>
    <cellStyle name="Separador de milhares 3 12 2" xfId="49520"/>
    <cellStyle name="Separador de milhares 3 12_Mem." xfId="49521"/>
    <cellStyle name="Separador de milhares 3 120" xfId="44747"/>
    <cellStyle name="Separador de milhares 3 121" xfId="44748"/>
    <cellStyle name="Separador de milhares 3 122" xfId="44749"/>
    <cellStyle name="Separador de milhares 3 123" xfId="44750"/>
    <cellStyle name="Separador de milhares 3 124" xfId="44751"/>
    <cellStyle name="Separador de milhares 3 125" xfId="44752"/>
    <cellStyle name="Separador de milhares 3 126" xfId="44753"/>
    <cellStyle name="Separador de milhares 3 127" xfId="44754"/>
    <cellStyle name="Separador de milhares 3 128" xfId="44755"/>
    <cellStyle name="Separador de milhares 3 129" xfId="44756"/>
    <cellStyle name="Separador de milhares 3 13" xfId="44757"/>
    <cellStyle name="Separador de milhares 3 13 2" xfId="49874"/>
    <cellStyle name="Separador de milhares 3 130" xfId="44758"/>
    <cellStyle name="Separador de milhares 3 131" xfId="44759"/>
    <cellStyle name="Separador de milhares 3 132" xfId="44760"/>
    <cellStyle name="Separador de milhares 3 133" xfId="44761"/>
    <cellStyle name="Separador de milhares 3 134" xfId="44762"/>
    <cellStyle name="Separador de milhares 3 135" xfId="44763"/>
    <cellStyle name="Separador de milhares 3 136" xfId="44764"/>
    <cellStyle name="Separador de milhares 3 137" xfId="44765"/>
    <cellStyle name="Separador de milhares 3 138" xfId="44766"/>
    <cellStyle name="Separador de milhares 3 139" xfId="44767"/>
    <cellStyle name="Separador de milhares 3 14" xfId="44768"/>
    <cellStyle name="Separador de milhares 3 140" xfId="44769"/>
    <cellStyle name="Separador de milhares 3 141" xfId="44770"/>
    <cellStyle name="Separador de milhares 3 142" xfId="44771"/>
    <cellStyle name="Separador de milhares 3 143" xfId="44772"/>
    <cellStyle name="Separador de milhares 3 144" xfId="44773"/>
    <cellStyle name="Separador de milhares 3 145" xfId="44774"/>
    <cellStyle name="Separador de milhares 3 146" xfId="44775"/>
    <cellStyle name="Separador de milhares 3 147" xfId="44776"/>
    <cellStyle name="Separador de milhares 3 148" xfId="44777"/>
    <cellStyle name="Separador de milhares 3 149" xfId="44778"/>
    <cellStyle name="Separador de milhares 3 15" xfId="44779"/>
    <cellStyle name="Separador de milhares 3 150" xfId="44780"/>
    <cellStyle name="Separador de milhares 3 151" xfId="44781"/>
    <cellStyle name="Separador de milhares 3 152" xfId="44782"/>
    <cellStyle name="Separador de milhares 3 153" xfId="44783"/>
    <cellStyle name="Separador de milhares 3 154" xfId="44784"/>
    <cellStyle name="Separador de milhares 3 155" xfId="44785"/>
    <cellStyle name="Separador de milhares 3 156" xfId="44786"/>
    <cellStyle name="Separador de milhares 3 157" xfId="44787"/>
    <cellStyle name="Separador de milhares 3 158" xfId="44788"/>
    <cellStyle name="Separador de milhares 3 159" xfId="44789"/>
    <cellStyle name="Separador de milhares 3 16" xfId="44790"/>
    <cellStyle name="Separador de milhares 3 160" xfId="44791"/>
    <cellStyle name="Separador de milhares 3 161" xfId="44792"/>
    <cellStyle name="Separador de milhares 3 162" xfId="44793"/>
    <cellStyle name="Separador de milhares 3 163" xfId="44794"/>
    <cellStyle name="Separador de milhares 3 164" xfId="44795"/>
    <cellStyle name="Separador de milhares 3 165" xfId="44796"/>
    <cellStyle name="Separador de milhares 3 166" xfId="44797"/>
    <cellStyle name="Separador de milhares 3 167" xfId="44798"/>
    <cellStyle name="Separador de milhares 3 168" xfId="44799"/>
    <cellStyle name="Separador de milhares 3 169" xfId="44800"/>
    <cellStyle name="Separador de milhares 3 17" xfId="44801"/>
    <cellStyle name="Separador de milhares 3 170" xfId="44802"/>
    <cellStyle name="Separador de milhares 3 171" xfId="44803"/>
    <cellStyle name="Separador de milhares 3 172" xfId="44804"/>
    <cellStyle name="Separador de milhares 3 173" xfId="44805"/>
    <cellStyle name="Separador de milhares 3 174" xfId="44806"/>
    <cellStyle name="Separador de milhares 3 175" xfId="44807"/>
    <cellStyle name="Separador de milhares 3 176" xfId="44808"/>
    <cellStyle name="Separador de milhares 3 177" xfId="44809"/>
    <cellStyle name="Separador de milhares 3 178" xfId="44810"/>
    <cellStyle name="Separador de milhares 3 179" xfId="44811"/>
    <cellStyle name="Separador de milhares 3 18" xfId="44812"/>
    <cellStyle name="Separador de milhares 3 180" xfId="44813"/>
    <cellStyle name="Separador de milhares 3 181" xfId="44814"/>
    <cellStyle name="Separador de milhares 3 182" xfId="44815"/>
    <cellStyle name="Separador de milhares 3 183" xfId="44816"/>
    <cellStyle name="Separador de milhares 3 184" xfId="44817"/>
    <cellStyle name="Separador de milhares 3 185" xfId="44818"/>
    <cellStyle name="Separador de milhares 3 186" xfId="44819"/>
    <cellStyle name="Separador de milhares 3 187" xfId="44820"/>
    <cellStyle name="Separador de milhares 3 188" xfId="44821"/>
    <cellStyle name="Separador de milhares 3 189" xfId="44822"/>
    <cellStyle name="Separador de milhares 3 19" xfId="44823"/>
    <cellStyle name="Separador de milhares 3 190" xfId="44824"/>
    <cellStyle name="Separador de milhares 3 191" xfId="49522"/>
    <cellStyle name="Separador de milhares 3 2" xfId="44825"/>
    <cellStyle name="Separador de milhares 3 2 10" xfId="49523"/>
    <cellStyle name="Separador de milhares 3 2 10 2" xfId="50497"/>
    <cellStyle name="Separador de milhares 3 2 11" xfId="49524"/>
    <cellStyle name="Separador de milhares 3 2 2" xfId="49525"/>
    <cellStyle name="Separador de milhares 3 2 2 2" xfId="49526"/>
    <cellStyle name="Separador de milhares 3 2 2 2 2" xfId="49527"/>
    <cellStyle name="Separador de milhares 3 2 2 2 2 2" xfId="49528"/>
    <cellStyle name="Separador de milhares 3 2 2 2 2 2 2" xfId="51085"/>
    <cellStyle name="Separador de milhares 3 2 2 2 2 3" xfId="50343"/>
    <cellStyle name="Separador de milhares 3 2 2 2 3" xfId="49529"/>
    <cellStyle name="Separador de milhares 3 2 2 2 3 2" xfId="50725"/>
    <cellStyle name="Separador de milhares 3 2 2 2 4" xfId="50041"/>
    <cellStyle name="Separador de milhares 3 2 2 3" xfId="49530"/>
    <cellStyle name="Separador de milhares 3 2 2 3 2" xfId="49531"/>
    <cellStyle name="Separador de milhares 3 2 2 3 2 2" xfId="50951"/>
    <cellStyle name="Separador de milhares 3 2 2 3 3" xfId="50215"/>
    <cellStyle name="Separador de milhares 3 2 2 4" xfId="49532"/>
    <cellStyle name="Separador de milhares 3 2 2 4 2" xfId="50588"/>
    <cellStyle name="Separador de milhares 3 2 2 5" xfId="49942"/>
    <cellStyle name="Separador de milhares 3 2 3" xfId="49533"/>
    <cellStyle name="Separador de milhares 3 2 3 2" xfId="49534"/>
    <cellStyle name="Separador de milhares 3 2 3 2 2" xfId="49535"/>
    <cellStyle name="Separador de milhares 3 2 3 2 2 2" xfId="49536"/>
    <cellStyle name="Separador de milhares 3 2 3 2 2 2 2" xfId="51118"/>
    <cellStyle name="Separador de milhares 3 2 3 2 2 3" xfId="50375"/>
    <cellStyle name="Separador de milhares 3 2 3 2 3" xfId="49537"/>
    <cellStyle name="Separador de milhares 3 2 3 2 3 2" xfId="50758"/>
    <cellStyle name="Separador de milhares 3 2 3 2 4" xfId="50067"/>
    <cellStyle name="Separador de milhares 3 2 3 3" xfId="49538"/>
    <cellStyle name="Separador de milhares 3 2 3 3 2" xfId="49539"/>
    <cellStyle name="Separador de milhares 3 2 3 3 2 2" xfId="50983"/>
    <cellStyle name="Separador de milhares 3 2 3 3 3" xfId="50247"/>
    <cellStyle name="Separador de milhares 3 2 3 4" xfId="49540"/>
    <cellStyle name="Separador de milhares 3 2 3 4 2" xfId="50621"/>
    <cellStyle name="Separador de milhares 3 2 3 5" xfId="49964"/>
    <cellStyle name="Separador de milhares 3 2 4" xfId="49541"/>
    <cellStyle name="Separador de milhares 3 2 4 2" xfId="49542"/>
    <cellStyle name="Separador de milhares 3 2 4 2 2" xfId="49543"/>
    <cellStyle name="Separador de milhares 3 2 4 2 2 2" xfId="49544"/>
    <cellStyle name="Separador de milhares 3 2 4 2 2 2 2" xfId="51158"/>
    <cellStyle name="Separador de milhares 3 2 4 2 2 3" xfId="50414"/>
    <cellStyle name="Separador de milhares 3 2 4 2 3" xfId="49545"/>
    <cellStyle name="Separador de milhares 3 2 4 2 3 2" xfId="50798"/>
    <cellStyle name="Separador de milhares 3 2 4 2 4" xfId="50098"/>
    <cellStyle name="Separador de milhares 3 2 4 3" xfId="49546"/>
    <cellStyle name="Separador de milhares 3 2 4 3 2" xfId="49547"/>
    <cellStyle name="Separador de milhares 3 2 4 3 2 2" xfId="51022"/>
    <cellStyle name="Separador de milhares 3 2 4 3 3" xfId="50286"/>
    <cellStyle name="Separador de milhares 3 2 4 4" xfId="49548"/>
    <cellStyle name="Separador de milhares 3 2 4 4 2" xfId="50661"/>
    <cellStyle name="Separador de milhares 3 2 4 5" xfId="49993"/>
    <cellStyle name="Separador de milhares 3 2 5" xfId="49549"/>
    <cellStyle name="Separador de milhares 3 2 5 2" xfId="49550"/>
    <cellStyle name="Separador de milhares 3 2 5 2 2" xfId="49551"/>
    <cellStyle name="Separador de milhares 3 2 5 2 2 2" xfId="51054"/>
    <cellStyle name="Separador de milhares 3 2 5 2 3" xfId="50313"/>
    <cellStyle name="Separador de milhares 3 2 5 3" xfId="49552"/>
    <cellStyle name="Separador de milhares 3 2 5 3 2" xfId="50694"/>
    <cellStyle name="Separador de milhares 3 2 5 4" xfId="50016"/>
    <cellStyle name="Separador de milhares 3 2 6" xfId="49553"/>
    <cellStyle name="Separador de milhares 3 2 6 2" xfId="49554"/>
    <cellStyle name="Separador de milhares 3 2 6 2 2" xfId="49555"/>
    <cellStyle name="Separador de milhares 3 2 6 2 2 2" xfId="50921"/>
    <cellStyle name="Separador de milhares 3 2 6 2 3" xfId="50185"/>
    <cellStyle name="Separador de milhares 3 2 6 3" xfId="49556"/>
    <cellStyle name="Separador de milhares 3 2 6 3 2" xfId="50557"/>
    <cellStyle name="Separador de milhares 3 2 6 4" xfId="49921"/>
    <cellStyle name="Separador de milhares 3 2 7" xfId="49557"/>
    <cellStyle name="Separador de milhares 3 2 7 2" xfId="49558"/>
    <cellStyle name="Separador de milhares 3 2 7 2 2" xfId="49559"/>
    <cellStyle name="Separador de milhares 3 2 7 2 2 2" xfId="51191"/>
    <cellStyle name="Separador de milhares 3 2 7 2 3" xfId="50443"/>
    <cellStyle name="Separador de milhares 3 2 7 3" xfId="49560"/>
    <cellStyle name="Separador de milhares 3 2 7 3 2" xfId="50832"/>
    <cellStyle name="Separador de milhares 3 2 7 4" xfId="50124"/>
    <cellStyle name="Separador de milhares 3 2 8" xfId="49561"/>
    <cellStyle name="Separador de milhares 3 2 8 2" xfId="49562"/>
    <cellStyle name="Separador de milhares 3 2 8 2 2" xfId="50874"/>
    <cellStyle name="Separador de milhares 3 2 8 3" xfId="50149"/>
    <cellStyle name="Separador de milhares 3 2 9" xfId="49563"/>
    <cellStyle name="Separador de milhares 3 2 9 2" xfId="49564"/>
    <cellStyle name="Separador de milhares 3 2 9 2 2" xfId="51224"/>
    <cellStyle name="Separador de milhares 3 2 9 3" xfId="50469"/>
    <cellStyle name="Separador de milhares 3 2_Mem." xfId="49565"/>
    <cellStyle name="Separador de milhares 3 20" xfId="44826"/>
    <cellStyle name="Separador de milhares 3 21" xfId="44827"/>
    <cellStyle name="Separador de milhares 3 22" xfId="44828"/>
    <cellStyle name="Separador de milhares 3 23" xfId="44829"/>
    <cellStyle name="Separador de milhares 3 24" xfId="44830"/>
    <cellStyle name="Separador de milhares 3 25" xfId="44831"/>
    <cellStyle name="Separador de milhares 3 26" xfId="44832"/>
    <cellStyle name="Separador de milhares 3 27" xfId="44833"/>
    <cellStyle name="Separador de milhares 3 28" xfId="44834"/>
    <cellStyle name="Separador de milhares 3 29" xfId="44835"/>
    <cellStyle name="Separador de milhares 3 3" xfId="44836"/>
    <cellStyle name="Separador de milhares 3 3 10" xfId="49566"/>
    <cellStyle name="Separador de milhares 3 3 10 2" xfId="50498"/>
    <cellStyle name="Separador de milhares 3 3 11" xfId="49567"/>
    <cellStyle name="Separador de milhares 3 3 2" xfId="49568"/>
    <cellStyle name="Separador de milhares 3 3 2 2" xfId="49569"/>
    <cellStyle name="Separador de milhares 3 3 2 2 2" xfId="49570"/>
    <cellStyle name="Separador de milhares 3 3 2 2 2 2" xfId="49571"/>
    <cellStyle name="Separador de milhares 3 3 2 2 2 2 2" xfId="51086"/>
    <cellStyle name="Separador de milhares 3 3 2 2 2 3" xfId="50344"/>
    <cellStyle name="Separador de milhares 3 3 2 2 3" xfId="49572"/>
    <cellStyle name="Separador de milhares 3 3 2 2 3 2" xfId="50726"/>
    <cellStyle name="Separador de milhares 3 3 2 2 4" xfId="50042"/>
    <cellStyle name="Separador de milhares 3 3 2 3" xfId="49573"/>
    <cellStyle name="Separador de milhares 3 3 2 3 2" xfId="49574"/>
    <cellStyle name="Separador de milhares 3 3 2 3 2 2" xfId="50952"/>
    <cellStyle name="Separador de milhares 3 3 2 3 3" xfId="50216"/>
    <cellStyle name="Separador de milhares 3 3 2 4" xfId="49575"/>
    <cellStyle name="Separador de milhares 3 3 2 4 2" xfId="50589"/>
    <cellStyle name="Separador de milhares 3 3 2 5" xfId="49943"/>
    <cellStyle name="Separador de milhares 3 3 3" xfId="49576"/>
    <cellStyle name="Separador de milhares 3 3 3 2" xfId="49577"/>
    <cellStyle name="Separador de milhares 3 3 3 2 2" xfId="49578"/>
    <cellStyle name="Separador de milhares 3 3 3 2 2 2" xfId="49579"/>
    <cellStyle name="Separador de milhares 3 3 3 2 2 2 2" xfId="51119"/>
    <cellStyle name="Separador de milhares 3 3 3 2 2 3" xfId="50376"/>
    <cellStyle name="Separador de milhares 3 3 3 2 3" xfId="49580"/>
    <cellStyle name="Separador de milhares 3 3 3 2 3 2" xfId="50759"/>
    <cellStyle name="Separador de milhares 3 3 3 2 4" xfId="50068"/>
    <cellStyle name="Separador de milhares 3 3 3 3" xfId="49581"/>
    <cellStyle name="Separador de milhares 3 3 3 3 2" xfId="49582"/>
    <cellStyle name="Separador de milhares 3 3 3 3 2 2" xfId="50984"/>
    <cellStyle name="Separador de milhares 3 3 3 3 3" xfId="50248"/>
    <cellStyle name="Separador de milhares 3 3 3 4" xfId="49583"/>
    <cellStyle name="Separador de milhares 3 3 3 4 2" xfId="50622"/>
    <cellStyle name="Separador de milhares 3 3 3 5" xfId="49965"/>
    <cellStyle name="Separador de milhares 3 3 4" xfId="49584"/>
    <cellStyle name="Separador de milhares 3 3 4 2" xfId="49585"/>
    <cellStyle name="Separador de milhares 3 3 4 2 2" xfId="49586"/>
    <cellStyle name="Separador de milhares 3 3 4 2 2 2" xfId="49587"/>
    <cellStyle name="Separador de milhares 3 3 4 2 2 2 2" xfId="51159"/>
    <cellStyle name="Separador de milhares 3 3 4 2 2 3" xfId="50415"/>
    <cellStyle name="Separador de milhares 3 3 4 2 3" xfId="49588"/>
    <cellStyle name="Separador de milhares 3 3 4 2 3 2" xfId="50799"/>
    <cellStyle name="Separador de milhares 3 3 4 2 4" xfId="50099"/>
    <cellStyle name="Separador de milhares 3 3 4 3" xfId="49589"/>
    <cellStyle name="Separador de milhares 3 3 4 3 2" xfId="49590"/>
    <cellStyle name="Separador de milhares 3 3 4 3 2 2" xfId="51023"/>
    <cellStyle name="Separador de milhares 3 3 4 3 3" xfId="50287"/>
    <cellStyle name="Separador de milhares 3 3 4 4" xfId="49591"/>
    <cellStyle name="Separador de milhares 3 3 4 4 2" xfId="50662"/>
    <cellStyle name="Separador de milhares 3 3 4 5" xfId="49994"/>
    <cellStyle name="Separador de milhares 3 3 5" xfId="49592"/>
    <cellStyle name="Separador de milhares 3 3 5 2" xfId="49593"/>
    <cellStyle name="Separador de milhares 3 3 5 2 2" xfId="49594"/>
    <cellStyle name="Separador de milhares 3 3 5 2 2 2" xfId="51044"/>
    <cellStyle name="Separador de milhares 3 3 5 2 3" xfId="50304"/>
    <cellStyle name="Separador de milhares 3 3 5 3" xfId="49595"/>
    <cellStyle name="Separador de milhares 3 3 5 3 2" xfId="50684"/>
    <cellStyle name="Separador de milhares 3 3 5 4" xfId="50007"/>
    <cellStyle name="Separador de milhares 3 3 6" xfId="49596"/>
    <cellStyle name="Separador de milhares 3 3 6 2" xfId="49597"/>
    <cellStyle name="Separador de milhares 3 3 6 2 2" xfId="49598"/>
    <cellStyle name="Separador de milhares 3 3 6 2 2 2" xfId="50911"/>
    <cellStyle name="Separador de milhares 3 3 6 2 3" xfId="50176"/>
    <cellStyle name="Separador de milhares 3 3 6 3" xfId="49599"/>
    <cellStyle name="Separador de milhares 3 3 6 3 2" xfId="50547"/>
    <cellStyle name="Separador de milhares 3 3 6 4" xfId="49912"/>
    <cellStyle name="Separador de milhares 3 3 7" xfId="49600"/>
    <cellStyle name="Separador de milhares 3 3 7 2" xfId="49601"/>
    <cellStyle name="Separador de milhares 3 3 7 2 2" xfId="49602"/>
    <cellStyle name="Separador de milhares 3 3 7 2 2 2" xfId="51192"/>
    <cellStyle name="Separador de milhares 3 3 7 2 3" xfId="50444"/>
    <cellStyle name="Separador de milhares 3 3 7 3" xfId="49603"/>
    <cellStyle name="Separador de milhares 3 3 7 3 2" xfId="50833"/>
    <cellStyle name="Separador de milhares 3 3 7 4" xfId="50125"/>
    <cellStyle name="Separador de milhares 3 3 8" xfId="49604"/>
    <cellStyle name="Separador de milhares 3 3 8 2" xfId="49605"/>
    <cellStyle name="Separador de milhares 3 3 8 2 2" xfId="50875"/>
    <cellStyle name="Separador de milhares 3 3 8 3" xfId="50150"/>
    <cellStyle name="Separador de milhares 3 3 9" xfId="49606"/>
    <cellStyle name="Separador de milhares 3 3 9 2" xfId="49607"/>
    <cellStyle name="Separador de milhares 3 3 9 2 2" xfId="51225"/>
    <cellStyle name="Separador de milhares 3 3 9 3" xfId="50470"/>
    <cellStyle name="Separador de milhares 3 3_Mem." xfId="49608"/>
    <cellStyle name="Separador de milhares 3 30" xfId="44837"/>
    <cellStyle name="Separador de milhares 3 31" xfId="44838"/>
    <cellStyle name="Separador de milhares 3 32" xfId="44839"/>
    <cellStyle name="Separador de milhares 3 33" xfId="44840"/>
    <cellStyle name="Separador de milhares 3 34" xfId="44841"/>
    <cellStyle name="Separador de milhares 3 35" xfId="44842"/>
    <cellStyle name="Separador de milhares 3 36" xfId="44843"/>
    <cellStyle name="Separador de milhares 3 37" xfId="44844"/>
    <cellStyle name="Separador de milhares 3 38" xfId="44845"/>
    <cellStyle name="Separador de milhares 3 39" xfId="44846"/>
    <cellStyle name="Separador de milhares 3 4" xfId="44847"/>
    <cellStyle name="Separador de milhares 3 4 2" xfId="49609"/>
    <cellStyle name="Separador de milhares 3 4 2 2" xfId="49610"/>
    <cellStyle name="Separador de milhares 3 4 2 2 2" xfId="49611"/>
    <cellStyle name="Separador de milhares 3 4 2 2 2 2" xfId="51084"/>
    <cellStyle name="Separador de milhares 3 4 2 2 3" xfId="50342"/>
    <cellStyle name="Separador de milhares 3 4 2 3" xfId="49612"/>
    <cellStyle name="Separador de milhares 3 4 2 3 2" xfId="50724"/>
    <cellStyle name="Separador de milhares 3 4 2 4" xfId="50040"/>
    <cellStyle name="Separador de milhares 3 4 3" xfId="49613"/>
    <cellStyle name="Separador de milhares 3 4 3 2" xfId="49614"/>
    <cellStyle name="Separador de milhares 3 4 3 2 2" xfId="50950"/>
    <cellStyle name="Separador de milhares 3 4 3 3" xfId="50214"/>
    <cellStyle name="Separador de milhares 3 4 4" xfId="49615"/>
    <cellStyle name="Separador de milhares 3 4 4 2" xfId="50587"/>
    <cellStyle name="Separador de milhares 3 4 5" xfId="49616"/>
    <cellStyle name="Separador de milhares 3 4_Mem." xfId="49617"/>
    <cellStyle name="Separador de milhares 3 40" xfId="44848"/>
    <cellStyle name="Separador de milhares 3 41" xfId="44849"/>
    <cellStyle name="Separador de milhares 3 42" xfId="44850"/>
    <cellStyle name="Separador de milhares 3 43" xfId="44851"/>
    <cellStyle name="Separador de milhares 3 44" xfId="44852"/>
    <cellStyle name="Separador de milhares 3 45" xfId="44853"/>
    <cellStyle name="Separador de milhares 3 46" xfId="44854"/>
    <cellStyle name="Separador de milhares 3 47" xfId="44855"/>
    <cellStyle name="Separador de milhares 3 48" xfId="44856"/>
    <cellStyle name="Separador de milhares 3 49" xfId="44857"/>
    <cellStyle name="Separador de milhares 3 5" xfId="44858"/>
    <cellStyle name="Separador de milhares 3 5 2" xfId="49618"/>
    <cellStyle name="Separador de milhares 3 5 2 2" xfId="49619"/>
    <cellStyle name="Separador de milhares 3 5 2 2 2" xfId="49620"/>
    <cellStyle name="Separador de milhares 3 5 2 2 2 2" xfId="51117"/>
    <cellStyle name="Separador de milhares 3 5 2 2 3" xfId="50374"/>
    <cellStyle name="Separador de milhares 3 5 2 3" xfId="49621"/>
    <cellStyle name="Separador de milhares 3 5 2 3 2" xfId="50757"/>
    <cellStyle name="Separador de milhares 3 5 2 4" xfId="50066"/>
    <cellStyle name="Separador de milhares 3 5 3" xfId="49622"/>
    <cellStyle name="Separador de milhares 3 5 3 2" xfId="49623"/>
    <cellStyle name="Separador de milhares 3 5 3 2 2" xfId="50982"/>
    <cellStyle name="Separador de milhares 3 5 3 3" xfId="50246"/>
    <cellStyle name="Separador de milhares 3 5 4" xfId="49624"/>
    <cellStyle name="Separador de milhares 3 5 4 2" xfId="50620"/>
    <cellStyle name="Separador de milhares 3 5 5" xfId="49625"/>
    <cellStyle name="Separador de milhares 3 5_Mem." xfId="49626"/>
    <cellStyle name="Separador de milhares 3 50" xfId="44859"/>
    <cellStyle name="Separador de milhares 3 51" xfId="44860"/>
    <cellStyle name="Separador de milhares 3 52" xfId="44861"/>
    <cellStyle name="Separador de milhares 3 53" xfId="44862"/>
    <cellStyle name="Separador de milhares 3 54" xfId="44863"/>
    <cellStyle name="Separador de milhares 3 55" xfId="44864"/>
    <cellStyle name="Separador de milhares 3 56" xfId="44865"/>
    <cellStyle name="Separador de milhares 3 57" xfId="44866"/>
    <cellStyle name="Separador de milhares 3 58" xfId="44867"/>
    <cellStyle name="Separador de milhares 3 59" xfId="44868"/>
    <cellStyle name="Separador de milhares 3 6" xfId="44869"/>
    <cellStyle name="Separador de milhares 3 6 2" xfId="49627"/>
    <cellStyle name="Separador de milhares 3 6 2 2" xfId="49628"/>
    <cellStyle name="Separador de milhares 3 6 2 2 2" xfId="49629"/>
    <cellStyle name="Separador de milhares 3 6 2 2 2 2" xfId="51157"/>
    <cellStyle name="Separador de milhares 3 6 2 2 3" xfId="50413"/>
    <cellStyle name="Separador de milhares 3 6 2 3" xfId="49630"/>
    <cellStyle name="Separador de milhares 3 6 2 3 2" xfId="50797"/>
    <cellStyle name="Separador de milhares 3 6 2 4" xfId="50097"/>
    <cellStyle name="Separador de milhares 3 6 3" xfId="49631"/>
    <cellStyle name="Separador de milhares 3 6 3 2" xfId="49632"/>
    <cellStyle name="Separador de milhares 3 6 3 2 2" xfId="51021"/>
    <cellStyle name="Separador de milhares 3 6 3 3" xfId="50285"/>
    <cellStyle name="Separador de milhares 3 6 4" xfId="49633"/>
    <cellStyle name="Separador de milhares 3 6 4 2" xfId="50660"/>
    <cellStyle name="Separador de milhares 3 6 5" xfId="49634"/>
    <cellStyle name="Separador de milhares 3 6_Mem." xfId="49635"/>
    <cellStyle name="Separador de milhares 3 60" xfId="44870"/>
    <cellStyle name="Separador de milhares 3 61" xfId="44871"/>
    <cellStyle name="Separador de milhares 3 62" xfId="44872"/>
    <cellStyle name="Separador de milhares 3 63" xfId="44873"/>
    <cellStyle name="Separador de milhares 3 64" xfId="44874"/>
    <cellStyle name="Separador de milhares 3 65" xfId="44875"/>
    <cellStyle name="Separador de milhares 3 66" xfId="44876"/>
    <cellStyle name="Separador de milhares 3 67" xfId="44877"/>
    <cellStyle name="Separador de milhares 3 68" xfId="44878"/>
    <cellStyle name="Separador de milhares 3 69" xfId="44879"/>
    <cellStyle name="Separador de milhares 3 7" xfId="44880"/>
    <cellStyle name="Separador de milhares 3 7 2" xfId="49636"/>
    <cellStyle name="Separador de milhares 3 7 2 2" xfId="49637"/>
    <cellStyle name="Separador de milhares 3 7 2 2 2" xfId="51034"/>
    <cellStyle name="Separador de milhares 3 7 2 3" xfId="50297"/>
    <cellStyle name="Separador de milhares 3 7 3" xfId="49638"/>
    <cellStyle name="Separador de milhares 3 7 3 2" xfId="50674"/>
    <cellStyle name="Separador de milhares 3 7 4" xfId="49639"/>
    <cellStyle name="Separador de milhares 3 7_Mem." xfId="49640"/>
    <cellStyle name="Separador de milhares 3 70" xfId="44881"/>
    <cellStyle name="Separador de milhares 3 71" xfId="44882"/>
    <cellStyle name="Separador de milhares 3 72" xfId="44883"/>
    <cellStyle name="Separador de milhares 3 73" xfId="44884"/>
    <cellStyle name="Separador de milhares 3 74" xfId="44885"/>
    <cellStyle name="Separador de milhares 3 75" xfId="44886"/>
    <cellStyle name="Separador de milhares 3 76" xfId="44887"/>
    <cellStyle name="Separador de milhares 3 77" xfId="44888"/>
    <cellStyle name="Separador de milhares 3 78" xfId="44889"/>
    <cellStyle name="Separador de milhares 3 79" xfId="44890"/>
    <cellStyle name="Separador de milhares 3 8" xfId="44891"/>
    <cellStyle name="Separador de milhares 3 8 2" xfId="49641"/>
    <cellStyle name="Separador de milhares 3 8 2 2" xfId="49642"/>
    <cellStyle name="Separador de milhares 3 8 2 2 2" xfId="50901"/>
    <cellStyle name="Separador de milhares 3 8 2 3" xfId="50169"/>
    <cellStyle name="Separador de milhares 3 8 3" xfId="49643"/>
    <cellStyle name="Separador de milhares 3 8 3 2" xfId="50537"/>
    <cellStyle name="Separador de milhares 3 8 4" xfId="49644"/>
    <cellStyle name="Separador de milhares 3 8_Mem." xfId="49645"/>
    <cellStyle name="Separador de milhares 3 80" xfId="44892"/>
    <cellStyle name="Separador de milhares 3 81" xfId="44893"/>
    <cellStyle name="Separador de milhares 3 82" xfId="44894"/>
    <cellStyle name="Separador de milhares 3 83" xfId="44895"/>
    <cellStyle name="Separador de milhares 3 84" xfId="44896"/>
    <cellStyle name="Separador de milhares 3 85" xfId="44897"/>
    <cellStyle name="Separador de milhares 3 86" xfId="44898"/>
    <cellStyle name="Separador de milhares 3 87" xfId="44899"/>
    <cellStyle name="Separador de milhares 3 88" xfId="44900"/>
    <cellStyle name="Separador de milhares 3 89" xfId="44901"/>
    <cellStyle name="Separador de milhares 3 9" xfId="44902"/>
    <cellStyle name="Separador de milhares 3 9 2" xfId="49646"/>
    <cellStyle name="Separador de milhares 3 9 2 2" xfId="49647"/>
    <cellStyle name="Separador de milhares 3 9 2 2 2" xfId="51190"/>
    <cellStyle name="Separador de milhares 3 9 2 3" xfId="50442"/>
    <cellStyle name="Separador de milhares 3 9 3" xfId="49648"/>
    <cellStyle name="Separador de milhares 3 9 3 2" xfId="50831"/>
    <cellStyle name="Separador de milhares 3 9 4" xfId="49649"/>
    <cellStyle name="Separador de milhares 3 9_Mem." xfId="49650"/>
    <cellStyle name="Separador de milhares 3 90" xfId="44903"/>
    <cellStyle name="Separador de milhares 3 91" xfId="44904"/>
    <cellStyle name="Separador de milhares 3 92" xfId="44905"/>
    <cellStyle name="Separador de milhares 3 93" xfId="44906"/>
    <cellStyle name="Separador de milhares 3 94" xfId="44907"/>
    <cellStyle name="Separador de milhares 3 95" xfId="44908"/>
    <cellStyle name="Separador de milhares 3 96" xfId="44909"/>
    <cellStyle name="Separador de milhares 3 97" xfId="44910"/>
    <cellStyle name="Separador de milhares 3 98" xfId="44911"/>
    <cellStyle name="Separador de milhares 3 99" xfId="44912"/>
    <cellStyle name="Separador de milhares 3_Mem." xfId="49651"/>
    <cellStyle name="Separador de milhares 4" xfId="51570"/>
    <cellStyle name="Separador de milhares 4 10" xfId="44913"/>
    <cellStyle name="Separador de milhares 4 100" xfId="44914"/>
    <cellStyle name="Separador de milhares 4 101" xfId="44915"/>
    <cellStyle name="Separador de milhares 4 102" xfId="44916"/>
    <cellStyle name="Separador de milhares 4 103" xfId="44917"/>
    <cellStyle name="Separador de milhares 4 104" xfId="44918"/>
    <cellStyle name="Separador de milhares 4 105" xfId="44919"/>
    <cellStyle name="Separador de milhares 4 106" xfId="44920"/>
    <cellStyle name="Separador de milhares 4 107" xfId="44921"/>
    <cellStyle name="Separador de milhares 4 108" xfId="44922"/>
    <cellStyle name="Separador de milhares 4 109" xfId="44923"/>
    <cellStyle name="Separador de milhares 4 11" xfId="44924"/>
    <cellStyle name="Separador de milhares 4 110" xfId="44925"/>
    <cellStyle name="Separador de milhares 4 111" xfId="44926"/>
    <cellStyle name="Separador de milhares 4 112" xfId="44927"/>
    <cellStyle name="Separador de milhares 4 113" xfId="44928"/>
    <cellStyle name="Separador de milhares 4 114" xfId="44929"/>
    <cellStyle name="Separador de milhares 4 115" xfId="44930"/>
    <cellStyle name="Separador de milhares 4 116" xfId="44931"/>
    <cellStyle name="Separador de milhares 4 117" xfId="44932"/>
    <cellStyle name="Separador de milhares 4 118" xfId="44933"/>
    <cellStyle name="Separador de milhares 4 119" xfId="44934"/>
    <cellStyle name="Separador de milhares 4 12" xfId="44935"/>
    <cellStyle name="Separador de milhares 4 120" xfId="44936"/>
    <cellStyle name="Separador de milhares 4 121" xfId="44937"/>
    <cellStyle name="Separador de milhares 4 122" xfId="44938"/>
    <cellStyle name="Separador de milhares 4 123" xfId="44939"/>
    <cellStyle name="Separador de milhares 4 124" xfId="44940"/>
    <cellStyle name="Separador de milhares 4 125" xfId="44941"/>
    <cellStyle name="Separador de milhares 4 126" xfId="44942"/>
    <cellStyle name="Separador de milhares 4 127" xfId="44943"/>
    <cellStyle name="Separador de milhares 4 128" xfId="44944"/>
    <cellStyle name="Separador de milhares 4 129" xfId="44945"/>
    <cellStyle name="Separador de milhares 4 13" xfId="44946"/>
    <cellStyle name="Separador de milhares 4 130" xfId="44947"/>
    <cellStyle name="Separador de milhares 4 131" xfId="44948"/>
    <cellStyle name="Separador de milhares 4 132" xfId="44949"/>
    <cellStyle name="Separador de milhares 4 133" xfId="44950"/>
    <cellStyle name="Separador de milhares 4 134" xfId="44951"/>
    <cellStyle name="Separador de milhares 4 135" xfId="44952"/>
    <cellStyle name="Separador de milhares 4 136" xfId="44953"/>
    <cellStyle name="Separador de milhares 4 137" xfId="44954"/>
    <cellStyle name="Separador de milhares 4 138" xfId="44955"/>
    <cellStyle name="Separador de milhares 4 139" xfId="44956"/>
    <cellStyle name="Separador de milhares 4 14" xfId="44957"/>
    <cellStyle name="Separador de milhares 4 140" xfId="44958"/>
    <cellStyle name="Separador de milhares 4 141" xfId="44959"/>
    <cellStyle name="Separador de milhares 4 142" xfId="44960"/>
    <cellStyle name="Separador de milhares 4 143" xfId="44961"/>
    <cellStyle name="Separador de milhares 4 144" xfId="44962"/>
    <cellStyle name="Separador de milhares 4 145" xfId="44963"/>
    <cellStyle name="Separador de milhares 4 146" xfId="44964"/>
    <cellStyle name="Separador de milhares 4 147" xfId="44965"/>
    <cellStyle name="Separador de milhares 4 148" xfId="44966"/>
    <cellStyle name="Separador de milhares 4 149" xfId="44967"/>
    <cellStyle name="Separador de milhares 4 15" xfId="44968"/>
    <cellStyle name="Separador de milhares 4 150" xfId="44969"/>
    <cellStyle name="Separador de milhares 4 151" xfId="44970"/>
    <cellStyle name="Separador de milhares 4 152" xfId="44971"/>
    <cellStyle name="Separador de milhares 4 153" xfId="44972"/>
    <cellStyle name="Separador de milhares 4 154" xfId="44973"/>
    <cellStyle name="Separador de milhares 4 155" xfId="44974"/>
    <cellStyle name="Separador de milhares 4 156" xfId="44975"/>
    <cellStyle name="Separador de milhares 4 157" xfId="44976"/>
    <cellStyle name="Separador de milhares 4 158" xfId="44977"/>
    <cellStyle name="Separador de milhares 4 159" xfId="44978"/>
    <cellStyle name="Separador de milhares 4 16" xfId="44979"/>
    <cellStyle name="Separador de milhares 4 160" xfId="44980"/>
    <cellStyle name="Separador de milhares 4 161" xfId="44981"/>
    <cellStyle name="Separador de milhares 4 162" xfId="44982"/>
    <cellStyle name="Separador de milhares 4 163" xfId="44983"/>
    <cellStyle name="Separador de milhares 4 164" xfId="44984"/>
    <cellStyle name="Separador de milhares 4 165" xfId="44985"/>
    <cellStyle name="Separador de milhares 4 166" xfId="44986"/>
    <cellStyle name="Separador de milhares 4 167" xfId="44987"/>
    <cellStyle name="Separador de milhares 4 168" xfId="44988"/>
    <cellStyle name="Separador de milhares 4 169" xfId="44989"/>
    <cellStyle name="Separador de milhares 4 17" xfId="44990"/>
    <cellStyle name="Separador de milhares 4 170" xfId="44991"/>
    <cellStyle name="Separador de milhares 4 171" xfId="44992"/>
    <cellStyle name="Separador de milhares 4 172" xfId="44993"/>
    <cellStyle name="Separador de milhares 4 173" xfId="44994"/>
    <cellStyle name="Separador de milhares 4 174" xfId="44995"/>
    <cellStyle name="Separador de milhares 4 175" xfId="44996"/>
    <cellStyle name="Separador de milhares 4 176" xfId="44997"/>
    <cellStyle name="Separador de milhares 4 177" xfId="44998"/>
    <cellStyle name="Separador de milhares 4 178" xfId="44999"/>
    <cellStyle name="Separador de milhares 4 179" xfId="45000"/>
    <cellStyle name="Separador de milhares 4 18" xfId="45001"/>
    <cellStyle name="Separador de milhares 4 180" xfId="45002"/>
    <cellStyle name="Separador de milhares 4 181" xfId="45003"/>
    <cellStyle name="Separador de milhares 4 182" xfId="45004"/>
    <cellStyle name="Separador de milhares 4 183" xfId="45005"/>
    <cellStyle name="Separador de milhares 4 184" xfId="45006"/>
    <cellStyle name="Separador de milhares 4 185" xfId="45007"/>
    <cellStyle name="Separador de milhares 4 186" xfId="45008"/>
    <cellStyle name="Separador de milhares 4 187" xfId="45009"/>
    <cellStyle name="Separador de milhares 4 188" xfId="45010"/>
    <cellStyle name="Separador de milhares 4 189" xfId="45011"/>
    <cellStyle name="Separador de milhares 4 19" xfId="45012"/>
    <cellStyle name="Separador de milhares 4 190" xfId="45013"/>
    <cellStyle name="Separador de milhares 4 2" xfId="45014"/>
    <cellStyle name="Separador de milhares 4 20" xfId="45015"/>
    <cellStyle name="Separador de milhares 4 21" xfId="45016"/>
    <cellStyle name="Separador de milhares 4 22" xfId="45017"/>
    <cellStyle name="Separador de milhares 4 23" xfId="45018"/>
    <cellStyle name="Separador de milhares 4 24" xfId="45019"/>
    <cellStyle name="Separador de milhares 4 25" xfId="45020"/>
    <cellStyle name="Separador de milhares 4 26" xfId="45021"/>
    <cellStyle name="Separador de milhares 4 27" xfId="45022"/>
    <cellStyle name="Separador de milhares 4 28" xfId="45023"/>
    <cellStyle name="Separador de milhares 4 29" xfId="45024"/>
    <cellStyle name="Separador de milhares 4 3" xfId="45025"/>
    <cellStyle name="Separador de milhares 4 30" xfId="45026"/>
    <cellStyle name="Separador de milhares 4 31" xfId="45027"/>
    <cellStyle name="Separador de milhares 4 32" xfId="45028"/>
    <cellStyle name="Separador de milhares 4 33" xfId="45029"/>
    <cellStyle name="Separador de milhares 4 34" xfId="45030"/>
    <cellStyle name="Separador de milhares 4 35" xfId="45031"/>
    <cellStyle name="Separador de milhares 4 36" xfId="45032"/>
    <cellStyle name="Separador de milhares 4 37" xfId="45033"/>
    <cellStyle name="Separador de milhares 4 38" xfId="45034"/>
    <cellStyle name="Separador de milhares 4 39" xfId="45035"/>
    <cellStyle name="Separador de milhares 4 4" xfId="45036"/>
    <cellStyle name="Separador de milhares 4 40" xfId="45037"/>
    <cellStyle name="Separador de milhares 4 41" xfId="45038"/>
    <cellStyle name="Separador de milhares 4 42" xfId="45039"/>
    <cellStyle name="Separador de milhares 4 43" xfId="45040"/>
    <cellStyle name="Separador de milhares 4 44" xfId="45041"/>
    <cellStyle name="Separador de milhares 4 45" xfId="45042"/>
    <cellStyle name="Separador de milhares 4 46" xfId="45043"/>
    <cellStyle name="Separador de milhares 4 47" xfId="45044"/>
    <cellStyle name="Separador de milhares 4 48" xfId="45045"/>
    <cellStyle name="Separador de milhares 4 49" xfId="45046"/>
    <cellStyle name="Separador de milhares 4 5" xfId="45047"/>
    <cellStyle name="Separador de milhares 4 50" xfId="45048"/>
    <cellStyle name="Separador de milhares 4 51" xfId="45049"/>
    <cellStyle name="Separador de milhares 4 52" xfId="45050"/>
    <cellStyle name="Separador de milhares 4 53" xfId="45051"/>
    <cellStyle name="Separador de milhares 4 54" xfId="45052"/>
    <cellStyle name="Separador de milhares 4 55" xfId="45053"/>
    <cellStyle name="Separador de milhares 4 56" xfId="45054"/>
    <cellStyle name="Separador de milhares 4 57" xfId="45055"/>
    <cellStyle name="Separador de milhares 4 58" xfId="45056"/>
    <cellStyle name="Separador de milhares 4 59" xfId="45057"/>
    <cellStyle name="Separador de milhares 4 6" xfId="45058"/>
    <cellStyle name="Separador de milhares 4 60" xfId="45059"/>
    <cellStyle name="Separador de milhares 4 61" xfId="45060"/>
    <cellStyle name="Separador de milhares 4 62" xfId="45061"/>
    <cellStyle name="Separador de milhares 4 63" xfId="45062"/>
    <cellStyle name="Separador de milhares 4 64" xfId="45063"/>
    <cellStyle name="Separador de milhares 4 65" xfId="45064"/>
    <cellStyle name="Separador de milhares 4 66" xfId="45065"/>
    <cellStyle name="Separador de milhares 4 67" xfId="45066"/>
    <cellStyle name="Separador de milhares 4 68" xfId="45067"/>
    <cellStyle name="Separador de milhares 4 69" xfId="45068"/>
    <cellStyle name="Separador de milhares 4 7" xfId="45069"/>
    <cellStyle name="Separador de milhares 4 70" xfId="45070"/>
    <cellStyle name="Separador de milhares 4 71" xfId="45071"/>
    <cellStyle name="Separador de milhares 4 72" xfId="45072"/>
    <cellStyle name="Separador de milhares 4 73" xfId="45073"/>
    <cellStyle name="Separador de milhares 4 74" xfId="45074"/>
    <cellStyle name="Separador de milhares 4 75" xfId="45075"/>
    <cellStyle name="Separador de milhares 4 76" xfId="45076"/>
    <cellStyle name="Separador de milhares 4 77" xfId="45077"/>
    <cellStyle name="Separador de milhares 4 78" xfId="45078"/>
    <cellStyle name="Separador de milhares 4 79" xfId="45079"/>
    <cellStyle name="Separador de milhares 4 8" xfId="45080"/>
    <cellStyle name="Separador de milhares 4 80" xfId="45081"/>
    <cellStyle name="Separador de milhares 4 81" xfId="45082"/>
    <cellStyle name="Separador de milhares 4 82" xfId="45083"/>
    <cellStyle name="Separador de milhares 4 83" xfId="45084"/>
    <cellStyle name="Separador de milhares 4 84" xfId="45085"/>
    <cellStyle name="Separador de milhares 4 85" xfId="45086"/>
    <cellStyle name="Separador de milhares 4 86" xfId="45087"/>
    <cellStyle name="Separador de milhares 4 87" xfId="45088"/>
    <cellStyle name="Separador de milhares 4 88" xfId="45089"/>
    <cellStyle name="Separador de milhares 4 89" xfId="45090"/>
    <cellStyle name="Separador de milhares 4 9" xfId="45091"/>
    <cellStyle name="Separador de milhares 4 90" xfId="45092"/>
    <cellStyle name="Separador de milhares 4 91" xfId="45093"/>
    <cellStyle name="Separador de milhares 4 92" xfId="45094"/>
    <cellStyle name="Separador de milhares 4 93" xfId="45095"/>
    <cellStyle name="Separador de milhares 4 94" xfId="45096"/>
    <cellStyle name="Separador de milhares 4 95" xfId="45097"/>
    <cellStyle name="Separador de milhares 4 96" xfId="45098"/>
    <cellStyle name="Separador de milhares 4 97" xfId="45099"/>
    <cellStyle name="Separador de milhares 4 98" xfId="45100"/>
    <cellStyle name="Separador de milhares 4 99" xfId="45101"/>
    <cellStyle name="Separador de milhares 5" xfId="51575"/>
    <cellStyle name="Separador de milhares 5 10" xfId="45102"/>
    <cellStyle name="Separador de milhares 5 100" xfId="45103"/>
    <cellStyle name="Separador de milhares 5 101" xfId="45104"/>
    <cellStyle name="Separador de milhares 5 102" xfId="45105"/>
    <cellStyle name="Separador de milhares 5 103" xfId="45106"/>
    <cellStyle name="Separador de milhares 5 104" xfId="45107"/>
    <cellStyle name="Separador de milhares 5 105" xfId="45108"/>
    <cellStyle name="Separador de milhares 5 106" xfId="45109"/>
    <cellStyle name="Separador de milhares 5 107" xfId="45110"/>
    <cellStyle name="Separador de milhares 5 108" xfId="45111"/>
    <cellStyle name="Separador de milhares 5 109" xfId="45112"/>
    <cellStyle name="Separador de milhares 5 11" xfId="45113"/>
    <cellStyle name="Separador de milhares 5 110" xfId="45114"/>
    <cellStyle name="Separador de milhares 5 111" xfId="45115"/>
    <cellStyle name="Separador de milhares 5 112" xfId="45116"/>
    <cellStyle name="Separador de milhares 5 113" xfId="45117"/>
    <cellStyle name="Separador de milhares 5 114" xfId="45118"/>
    <cellStyle name="Separador de milhares 5 115" xfId="45119"/>
    <cellStyle name="Separador de milhares 5 116" xfId="45120"/>
    <cellStyle name="Separador de milhares 5 117" xfId="45121"/>
    <cellStyle name="Separador de milhares 5 118" xfId="45122"/>
    <cellStyle name="Separador de milhares 5 119" xfId="45123"/>
    <cellStyle name="Separador de milhares 5 12" xfId="45124"/>
    <cellStyle name="Separador de milhares 5 120" xfId="45125"/>
    <cellStyle name="Separador de milhares 5 121" xfId="45126"/>
    <cellStyle name="Separador de milhares 5 122" xfId="45127"/>
    <cellStyle name="Separador de milhares 5 123" xfId="45128"/>
    <cellStyle name="Separador de milhares 5 124" xfId="45129"/>
    <cellStyle name="Separador de milhares 5 125" xfId="45130"/>
    <cellStyle name="Separador de milhares 5 126" xfId="45131"/>
    <cellStyle name="Separador de milhares 5 127" xfId="45132"/>
    <cellStyle name="Separador de milhares 5 128" xfId="45133"/>
    <cellStyle name="Separador de milhares 5 129" xfId="45134"/>
    <cellStyle name="Separador de milhares 5 13" xfId="45135"/>
    <cellStyle name="Separador de milhares 5 130" xfId="45136"/>
    <cellStyle name="Separador de milhares 5 131" xfId="45137"/>
    <cellStyle name="Separador de milhares 5 132" xfId="45138"/>
    <cellStyle name="Separador de milhares 5 133" xfId="45139"/>
    <cellStyle name="Separador de milhares 5 134" xfId="45140"/>
    <cellStyle name="Separador de milhares 5 135" xfId="45141"/>
    <cellStyle name="Separador de milhares 5 136" xfId="45142"/>
    <cellStyle name="Separador de milhares 5 137" xfId="45143"/>
    <cellStyle name="Separador de milhares 5 138" xfId="45144"/>
    <cellStyle name="Separador de milhares 5 139" xfId="45145"/>
    <cellStyle name="Separador de milhares 5 14" xfId="45146"/>
    <cellStyle name="Separador de milhares 5 140" xfId="45147"/>
    <cellStyle name="Separador de milhares 5 141" xfId="45148"/>
    <cellStyle name="Separador de milhares 5 142" xfId="45149"/>
    <cellStyle name="Separador de milhares 5 143" xfId="45150"/>
    <cellStyle name="Separador de milhares 5 144" xfId="45151"/>
    <cellStyle name="Separador de milhares 5 145" xfId="45152"/>
    <cellStyle name="Separador de milhares 5 146" xfId="45153"/>
    <cellStyle name="Separador de milhares 5 147" xfId="45154"/>
    <cellStyle name="Separador de milhares 5 148" xfId="45155"/>
    <cellStyle name="Separador de milhares 5 149" xfId="45156"/>
    <cellStyle name="Separador de milhares 5 15" xfId="45157"/>
    <cellStyle name="Separador de milhares 5 150" xfId="45158"/>
    <cellStyle name="Separador de milhares 5 151" xfId="45159"/>
    <cellStyle name="Separador de milhares 5 152" xfId="45160"/>
    <cellStyle name="Separador de milhares 5 153" xfId="45161"/>
    <cellStyle name="Separador de milhares 5 154" xfId="45162"/>
    <cellStyle name="Separador de milhares 5 155" xfId="45163"/>
    <cellStyle name="Separador de milhares 5 156" xfId="45164"/>
    <cellStyle name="Separador de milhares 5 157" xfId="45165"/>
    <cellStyle name="Separador de milhares 5 158" xfId="45166"/>
    <cellStyle name="Separador de milhares 5 159" xfId="45167"/>
    <cellStyle name="Separador de milhares 5 16" xfId="45168"/>
    <cellStyle name="Separador de milhares 5 160" xfId="45169"/>
    <cellStyle name="Separador de milhares 5 161" xfId="45170"/>
    <cellStyle name="Separador de milhares 5 162" xfId="45171"/>
    <cellStyle name="Separador de milhares 5 163" xfId="45172"/>
    <cellStyle name="Separador de milhares 5 164" xfId="45173"/>
    <cellStyle name="Separador de milhares 5 165" xfId="45174"/>
    <cellStyle name="Separador de milhares 5 166" xfId="45175"/>
    <cellStyle name="Separador de milhares 5 167" xfId="45176"/>
    <cellStyle name="Separador de milhares 5 168" xfId="45177"/>
    <cellStyle name="Separador de milhares 5 169" xfId="45178"/>
    <cellStyle name="Separador de milhares 5 17" xfId="45179"/>
    <cellStyle name="Separador de milhares 5 170" xfId="45180"/>
    <cellStyle name="Separador de milhares 5 171" xfId="45181"/>
    <cellStyle name="Separador de milhares 5 172" xfId="45182"/>
    <cellStyle name="Separador de milhares 5 173" xfId="45183"/>
    <cellStyle name="Separador de milhares 5 174" xfId="45184"/>
    <cellStyle name="Separador de milhares 5 175" xfId="45185"/>
    <cellStyle name="Separador de milhares 5 176" xfId="45186"/>
    <cellStyle name="Separador de milhares 5 177" xfId="45187"/>
    <cellStyle name="Separador de milhares 5 178" xfId="45188"/>
    <cellStyle name="Separador de milhares 5 179" xfId="45189"/>
    <cellStyle name="Separador de milhares 5 18" xfId="45190"/>
    <cellStyle name="Separador de milhares 5 180" xfId="45191"/>
    <cellStyle name="Separador de milhares 5 181" xfId="45192"/>
    <cellStyle name="Separador de milhares 5 182" xfId="45193"/>
    <cellStyle name="Separador de milhares 5 183" xfId="45194"/>
    <cellStyle name="Separador de milhares 5 184" xfId="45195"/>
    <cellStyle name="Separador de milhares 5 185" xfId="45196"/>
    <cellStyle name="Separador de milhares 5 186" xfId="45197"/>
    <cellStyle name="Separador de milhares 5 19" xfId="45198"/>
    <cellStyle name="Separador de milhares 5 2" xfId="45199"/>
    <cellStyle name="Separador de milhares 5 20" xfId="45200"/>
    <cellStyle name="Separador de milhares 5 21" xfId="45201"/>
    <cellStyle name="Separador de milhares 5 22" xfId="45202"/>
    <cellStyle name="Separador de milhares 5 23" xfId="45203"/>
    <cellStyle name="Separador de milhares 5 24" xfId="45204"/>
    <cellStyle name="Separador de milhares 5 25" xfId="45205"/>
    <cellStyle name="Separador de milhares 5 26" xfId="45206"/>
    <cellStyle name="Separador de milhares 5 27" xfId="45207"/>
    <cellStyle name="Separador de milhares 5 28" xfId="45208"/>
    <cellStyle name="Separador de milhares 5 29" xfId="45209"/>
    <cellStyle name="Separador de milhares 5 3" xfId="45210"/>
    <cellStyle name="Separador de milhares 5 30" xfId="45211"/>
    <cellStyle name="Separador de milhares 5 31" xfId="45212"/>
    <cellStyle name="Separador de milhares 5 32" xfId="45213"/>
    <cellStyle name="Separador de milhares 5 33" xfId="45214"/>
    <cellStyle name="Separador de milhares 5 34" xfId="45215"/>
    <cellStyle name="Separador de milhares 5 35" xfId="45216"/>
    <cellStyle name="Separador de milhares 5 36" xfId="45217"/>
    <cellStyle name="Separador de milhares 5 37" xfId="45218"/>
    <cellStyle name="Separador de milhares 5 38" xfId="45219"/>
    <cellStyle name="Separador de milhares 5 39" xfId="45220"/>
    <cellStyle name="Separador de milhares 5 4" xfId="45221"/>
    <cellStyle name="Separador de milhares 5 40" xfId="45222"/>
    <cellStyle name="Separador de milhares 5 41" xfId="45223"/>
    <cellStyle name="Separador de milhares 5 42" xfId="45224"/>
    <cellStyle name="Separador de milhares 5 43" xfId="45225"/>
    <cellStyle name="Separador de milhares 5 44" xfId="45226"/>
    <cellStyle name="Separador de milhares 5 45" xfId="45227"/>
    <cellStyle name="Separador de milhares 5 46" xfId="45228"/>
    <cellStyle name="Separador de milhares 5 47" xfId="45229"/>
    <cellStyle name="Separador de milhares 5 48" xfId="45230"/>
    <cellStyle name="Separador de milhares 5 49" xfId="45231"/>
    <cellStyle name="Separador de milhares 5 5" xfId="45232"/>
    <cellStyle name="Separador de milhares 5 50" xfId="45233"/>
    <cellStyle name="Separador de milhares 5 51" xfId="45234"/>
    <cellStyle name="Separador de milhares 5 52" xfId="45235"/>
    <cellStyle name="Separador de milhares 5 53" xfId="45236"/>
    <cellStyle name="Separador de milhares 5 54" xfId="45237"/>
    <cellStyle name="Separador de milhares 5 55" xfId="45238"/>
    <cellStyle name="Separador de milhares 5 56" xfId="45239"/>
    <cellStyle name="Separador de milhares 5 57" xfId="45240"/>
    <cellStyle name="Separador de milhares 5 58" xfId="45241"/>
    <cellStyle name="Separador de milhares 5 59" xfId="45242"/>
    <cellStyle name="Separador de milhares 5 6" xfId="45243"/>
    <cellStyle name="Separador de milhares 5 60" xfId="45244"/>
    <cellStyle name="Separador de milhares 5 61" xfId="45245"/>
    <cellStyle name="Separador de milhares 5 62" xfId="45246"/>
    <cellStyle name="Separador de milhares 5 63" xfId="45247"/>
    <cellStyle name="Separador de milhares 5 64" xfId="45248"/>
    <cellStyle name="Separador de milhares 5 65" xfId="45249"/>
    <cellStyle name="Separador de milhares 5 66" xfId="45250"/>
    <cellStyle name="Separador de milhares 5 67" xfId="45251"/>
    <cellStyle name="Separador de milhares 5 68" xfId="45252"/>
    <cellStyle name="Separador de milhares 5 69" xfId="45253"/>
    <cellStyle name="Separador de milhares 5 7" xfId="45254"/>
    <cellStyle name="Separador de milhares 5 70" xfId="45255"/>
    <cellStyle name="Separador de milhares 5 71" xfId="45256"/>
    <cellStyle name="Separador de milhares 5 72" xfId="45257"/>
    <cellStyle name="Separador de milhares 5 73" xfId="45258"/>
    <cellStyle name="Separador de milhares 5 74" xfId="45259"/>
    <cellStyle name="Separador de milhares 5 75" xfId="45260"/>
    <cellStyle name="Separador de milhares 5 76" xfId="45261"/>
    <cellStyle name="Separador de milhares 5 77" xfId="45262"/>
    <cellStyle name="Separador de milhares 5 78" xfId="45263"/>
    <cellStyle name="Separador de milhares 5 79" xfId="45264"/>
    <cellStyle name="Separador de milhares 5 8" xfId="45265"/>
    <cellStyle name="Separador de milhares 5 80" xfId="45266"/>
    <cellStyle name="Separador de milhares 5 81" xfId="45267"/>
    <cellStyle name="Separador de milhares 5 82" xfId="45268"/>
    <cellStyle name="Separador de milhares 5 83" xfId="45269"/>
    <cellStyle name="Separador de milhares 5 84" xfId="45270"/>
    <cellStyle name="Separador de milhares 5 85" xfId="45271"/>
    <cellStyle name="Separador de milhares 5 86" xfId="45272"/>
    <cellStyle name="Separador de milhares 5 87" xfId="45273"/>
    <cellStyle name="Separador de milhares 5 88" xfId="45274"/>
    <cellStyle name="Separador de milhares 5 89" xfId="45275"/>
    <cellStyle name="Separador de milhares 5 9" xfId="45276"/>
    <cellStyle name="Separador de milhares 5 90" xfId="45277"/>
    <cellStyle name="Separador de milhares 5 91" xfId="45278"/>
    <cellStyle name="Separador de milhares 5 92" xfId="45279"/>
    <cellStyle name="Separador de milhares 5 93" xfId="45280"/>
    <cellStyle name="Separador de milhares 5 94" xfId="45281"/>
    <cellStyle name="Separador de milhares 5 95" xfId="45282"/>
    <cellStyle name="Separador de milhares 5 96" xfId="45283"/>
    <cellStyle name="Separador de milhares 5 97" xfId="45284"/>
    <cellStyle name="Separador de milhares 5 98" xfId="45285"/>
    <cellStyle name="Separador de milhares 5 99" xfId="45286"/>
    <cellStyle name="Separador de milhares 7" xfId="51584"/>
    <cellStyle name="Separador de milhares 7 2" xfId="89"/>
    <cellStyle name="Separador de milhares 7 2 10" xfId="542"/>
    <cellStyle name="Separador de milhares 7 2 10 2" xfId="1613"/>
    <cellStyle name="Separador de milhares 7 2 11" xfId="665"/>
    <cellStyle name="Separador de milhares 7 2 11 2" xfId="1736"/>
    <cellStyle name="Separador de milhares 7 2 12" xfId="1170"/>
    <cellStyle name="Separador de milhares 7 2 13" xfId="52200"/>
    <cellStyle name="Separador de milhares 7 2 2" xfId="154"/>
    <cellStyle name="Separador de milhares 7 2 2 2" xfId="1226"/>
    <cellStyle name="Separador de milhares 7 2 3" xfId="238"/>
    <cellStyle name="Separador de milhares 7 2 3 2" xfId="1310"/>
    <cellStyle name="Separador de milhares 7 2 4" xfId="295"/>
    <cellStyle name="Separador de milhares 7 2 4 2" xfId="1367"/>
    <cellStyle name="Separador de milhares 7 2 5" xfId="344"/>
    <cellStyle name="Separador de milhares 7 2 5 2" xfId="1416"/>
    <cellStyle name="Separador de milhares 7 2 6" xfId="383"/>
    <cellStyle name="Separador de milhares 7 2 6 2" xfId="1455"/>
    <cellStyle name="Separador de milhares 7 2 7" xfId="441"/>
    <cellStyle name="Separador de milhares 7 2 7 2" xfId="1513"/>
    <cellStyle name="Separador de milhares 7 2 8" xfId="507"/>
    <cellStyle name="Separador de milhares 7 2 8 2" xfId="1578"/>
    <cellStyle name="Separador de milhares 7 2 9" xfId="619"/>
    <cellStyle name="Separador de milhares 7 2 9 2" xfId="1690"/>
    <cellStyle name="Separador de milhares 7 3" xfId="90"/>
    <cellStyle name="Separador de milhares 7 3 10" xfId="551"/>
    <cellStyle name="Separador de milhares 7 3 10 2" xfId="1622"/>
    <cellStyle name="Separador de milhares 7 3 11" xfId="655"/>
    <cellStyle name="Separador de milhares 7 3 11 2" xfId="1726"/>
    <cellStyle name="Separador de milhares 7 3 12" xfId="1171"/>
    <cellStyle name="Separador de milhares 7 3 13" xfId="52240"/>
    <cellStyle name="Separador de milhares 7 3 2" xfId="155"/>
    <cellStyle name="Separador de milhares 7 3 2 2" xfId="1227"/>
    <cellStyle name="Separador de milhares 7 3 3" xfId="239"/>
    <cellStyle name="Separador de milhares 7 3 3 2" xfId="1311"/>
    <cellStyle name="Separador de milhares 7 3 4" xfId="296"/>
    <cellStyle name="Separador de milhares 7 3 4 2" xfId="1368"/>
    <cellStyle name="Separador de milhares 7 3 5" xfId="345"/>
    <cellStyle name="Separador de milhares 7 3 5 2" xfId="1417"/>
    <cellStyle name="Separador de milhares 7 3 6" xfId="384"/>
    <cellStyle name="Separador de milhares 7 3 6 2" xfId="1456"/>
    <cellStyle name="Separador de milhares 7 3 7" xfId="442"/>
    <cellStyle name="Separador de milhares 7 3 7 2" xfId="1514"/>
    <cellStyle name="Separador de milhares 7 3 8" xfId="508"/>
    <cellStyle name="Separador de milhares 7 3 8 2" xfId="1579"/>
    <cellStyle name="Separador de milhares 7 3 9" xfId="603"/>
    <cellStyle name="Separador de milhares 7 3 9 2" xfId="1674"/>
    <cellStyle name="Separador de milhares 7 4" xfId="91"/>
    <cellStyle name="Separador de milhares 7 4 10" xfId="578"/>
    <cellStyle name="Separador de milhares 7 4 10 2" xfId="1649"/>
    <cellStyle name="Separador de milhares 7 4 11" xfId="526"/>
    <cellStyle name="Separador de milhares 7 4 11 2" xfId="1597"/>
    <cellStyle name="Separador de milhares 7 4 12" xfId="1172"/>
    <cellStyle name="Separador de milhares 7 4 2" xfId="156"/>
    <cellStyle name="Separador de milhares 7 4 2 2" xfId="1228"/>
    <cellStyle name="Separador de milhares 7 4 3" xfId="240"/>
    <cellStyle name="Separador de milhares 7 4 3 2" xfId="1312"/>
    <cellStyle name="Separador de milhares 7 4 4" xfId="297"/>
    <cellStyle name="Separador de milhares 7 4 4 2" xfId="1369"/>
    <cellStyle name="Separador de milhares 7 4 5" xfId="346"/>
    <cellStyle name="Separador de milhares 7 4 5 2" xfId="1418"/>
    <cellStyle name="Separador de milhares 7 4 6" xfId="385"/>
    <cellStyle name="Separador de milhares 7 4 6 2" xfId="1457"/>
    <cellStyle name="Separador de milhares 7 4 7" xfId="443"/>
    <cellStyle name="Separador de milhares 7 4 7 2" xfId="1515"/>
    <cellStyle name="Separador de milhares 7 4 8" xfId="509"/>
    <cellStyle name="Separador de milhares 7 4 8 2" xfId="1580"/>
    <cellStyle name="Separador de milhares 7 4 9" xfId="582"/>
    <cellStyle name="Separador de milhares 7 4 9 2" xfId="1653"/>
    <cellStyle name="Separador de milhares 8" xfId="51588"/>
    <cellStyle name="Separador de milhares 8 2" xfId="52202"/>
    <cellStyle name="Separador de milhares 8 3" xfId="52231"/>
    <cellStyle name="Separador de milhares 9" xfId="51582"/>
    <cellStyle name="Separador de milhares 9 2" xfId="52198"/>
    <cellStyle name="Separador de milhares 9 3" xfId="52241"/>
    <cellStyle name="Texto de Aviso" xfId="43955" builtinId="11" customBuiltin="1"/>
    <cellStyle name="Texto de Aviso 10" xfId="51946"/>
    <cellStyle name="Texto de Aviso 11" xfId="51988"/>
    <cellStyle name="Texto de Aviso 12" xfId="52031"/>
    <cellStyle name="Texto de Aviso 13" xfId="52074"/>
    <cellStyle name="Texto de Aviso 14" xfId="52117"/>
    <cellStyle name="Texto de Aviso 2" xfId="92"/>
    <cellStyle name="Texto de Aviso 3" xfId="51679"/>
    <cellStyle name="Texto de Aviso 4" xfId="51688"/>
    <cellStyle name="Texto de Aviso 5" xfId="51731"/>
    <cellStyle name="Texto de Aviso 6" xfId="51773"/>
    <cellStyle name="Texto de Aviso 7" xfId="51815"/>
    <cellStyle name="Texto de Aviso 8" xfId="51893"/>
    <cellStyle name="Texto de Aviso 9" xfId="51903"/>
    <cellStyle name="Texto Explicativo" xfId="43957" builtinId="53" customBuiltin="1"/>
    <cellStyle name="Texto Explicativo 10" xfId="51945"/>
    <cellStyle name="Texto Explicativo 11" xfId="51987"/>
    <cellStyle name="Texto Explicativo 12" xfId="52030"/>
    <cellStyle name="Texto Explicativo 13" xfId="52073"/>
    <cellStyle name="Texto Explicativo 14" xfId="52116"/>
    <cellStyle name="Texto Explicativo 2" xfId="93"/>
    <cellStyle name="Texto Explicativo 3" xfId="51680"/>
    <cellStyle name="Texto Explicativo 4" xfId="51687"/>
    <cellStyle name="Texto Explicativo 5" xfId="51730"/>
    <cellStyle name="Texto Explicativo 6" xfId="51772"/>
    <cellStyle name="Texto Explicativo 7" xfId="51814"/>
    <cellStyle name="Texto Explicativo 8" xfId="51894"/>
    <cellStyle name="Texto Explicativo 9" xfId="51902"/>
    <cellStyle name="Title" xfId="51566"/>
    <cellStyle name="Título" xfId="43942" builtinId="15" customBuiltin="1"/>
    <cellStyle name="Título 1" xfId="43943" builtinId="16" customBuiltin="1"/>
    <cellStyle name="Título 1 10" xfId="51943"/>
    <cellStyle name="Título 1 11" xfId="51985"/>
    <cellStyle name="Título 1 12" xfId="52028"/>
    <cellStyle name="Título 1 13" xfId="52071"/>
    <cellStyle name="Título 1 14" xfId="52114"/>
    <cellStyle name="Título 1 2" xfId="95"/>
    <cellStyle name="Título 1 3" xfId="51682"/>
    <cellStyle name="Título 1 4" xfId="51725"/>
    <cellStyle name="Título 1 5" xfId="51767"/>
    <cellStyle name="Título 1 6" xfId="51809"/>
    <cellStyle name="Título 1 7" xfId="51853"/>
    <cellStyle name="Título 1 8" xfId="51896"/>
    <cellStyle name="Título 1 9" xfId="51900"/>
    <cellStyle name="Título 10" xfId="51813"/>
    <cellStyle name="Título 11" xfId="51895"/>
    <cellStyle name="Título 12" xfId="51901"/>
    <cellStyle name="Título 13" xfId="51944"/>
    <cellStyle name="Título 14" xfId="51986"/>
    <cellStyle name="Título 15" xfId="52029"/>
    <cellStyle name="Título 16" xfId="52072"/>
    <cellStyle name="Título 17" xfId="52115"/>
    <cellStyle name="Título 2" xfId="43944" builtinId="17" customBuiltin="1"/>
    <cellStyle name="Título 2 10" xfId="51982"/>
    <cellStyle name="Título 2 11" xfId="52025"/>
    <cellStyle name="Título 2 12" xfId="52068"/>
    <cellStyle name="Título 2 13" xfId="52111"/>
    <cellStyle name="Título 2 14" xfId="52154"/>
    <cellStyle name="Título 2 2" xfId="96"/>
    <cellStyle name="Título 2 3" xfId="51683"/>
    <cellStyle name="Título 2 4" xfId="51726"/>
    <cellStyle name="Título 2 5" xfId="51768"/>
    <cellStyle name="Título 2 6" xfId="51810"/>
    <cellStyle name="Título 2 7" xfId="51854"/>
    <cellStyle name="Título 2 8" xfId="51897"/>
    <cellStyle name="Título 2 9" xfId="51940"/>
    <cellStyle name="Título 3" xfId="43945" builtinId="18" customBuiltin="1"/>
    <cellStyle name="Título 3 10" xfId="51983"/>
    <cellStyle name="Título 3 11" xfId="52026"/>
    <cellStyle name="Título 3 12" xfId="52069"/>
    <cellStyle name="Título 3 13" xfId="52112"/>
    <cellStyle name="Título 3 14" xfId="52155"/>
    <cellStyle name="Título 3 2" xfId="97"/>
    <cellStyle name="Título 3 2 2" xfId="43983"/>
    <cellStyle name="Título 3 2 2 2" xfId="45334"/>
    <cellStyle name="Título 3 2 2 3" xfId="45305"/>
    <cellStyle name="Título 3 2 3" xfId="45296"/>
    <cellStyle name="Título 3 2 3 2" xfId="45336"/>
    <cellStyle name="Título 3 2 3 3" xfId="45306"/>
    <cellStyle name="Título 3 2 3 4" xfId="47936"/>
    <cellStyle name="Título 3 2 4" xfId="45301"/>
    <cellStyle name="Título 3 2 4 2" xfId="47938"/>
    <cellStyle name="Título 3 3" xfId="51684"/>
    <cellStyle name="Título 3 4" xfId="51727"/>
    <cellStyle name="Título 3 5" xfId="51769"/>
    <cellStyle name="Título 3 6" xfId="51811"/>
    <cellStyle name="Título 3 7" xfId="51855"/>
    <cellStyle name="Título 3 8" xfId="51898"/>
    <cellStyle name="Título 3 9" xfId="51941"/>
    <cellStyle name="Título 4" xfId="43946" builtinId="19" customBuiltin="1"/>
    <cellStyle name="Título 4 10" xfId="51984"/>
    <cellStyle name="Título 4 11" xfId="52027"/>
    <cellStyle name="Título 4 12" xfId="52070"/>
    <cellStyle name="Título 4 13" xfId="52113"/>
    <cellStyle name="Título 4 14" xfId="52156"/>
    <cellStyle name="Título 4 2" xfId="98"/>
    <cellStyle name="Título 4 3" xfId="51685"/>
    <cellStyle name="Título 4 4" xfId="51728"/>
    <cellStyle name="Título 4 5" xfId="51770"/>
    <cellStyle name="Título 4 6" xfId="51812"/>
    <cellStyle name="Título 4 7" xfId="51856"/>
    <cellStyle name="Título 4 8" xfId="51899"/>
    <cellStyle name="Título 4 9" xfId="51942"/>
    <cellStyle name="Título 5" xfId="94"/>
    <cellStyle name="Título 6" xfId="51681"/>
    <cellStyle name="Título 7" xfId="51686"/>
    <cellStyle name="Título 8" xfId="51729"/>
    <cellStyle name="Título 9" xfId="51771"/>
    <cellStyle name="Total" xfId="43958" builtinId="25" customBuiltin="1"/>
    <cellStyle name="Total 10" xfId="51595"/>
    <cellStyle name="Total 10 2" xfId="52205"/>
    <cellStyle name="Total 10 3" xfId="52246"/>
    <cellStyle name="Total 11" xfId="51603"/>
    <cellStyle name="Total 11 2" xfId="52212"/>
    <cellStyle name="Total 11 3" xfId="52220"/>
    <cellStyle name="Total 12" xfId="51606"/>
    <cellStyle name="Total 12 2" xfId="52213"/>
    <cellStyle name="Total 12 3" xfId="52252"/>
    <cellStyle name="Total 13" xfId="51609"/>
    <cellStyle name="Total 13 2" xfId="52214"/>
    <cellStyle name="Total 13 3" xfId="52243"/>
    <cellStyle name="Total 14" xfId="51612"/>
    <cellStyle name="Total 14 2" xfId="52215"/>
    <cellStyle name="Total 14 3" xfId="52233"/>
    <cellStyle name="Total 15" xfId="51615"/>
    <cellStyle name="Total 15 2" xfId="52216"/>
    <cellStyle name="Total 15 3" xfId="52222"/>
    <cellStyle name="Total 2" xfId="99"/>
    <cellStyle name="Total 2 10" xfId="4760"/>
    <cellStyle name="Total 2 11" xfId="4172"/>
    <cellStyle name="Total 2 12" xfId="2430"/>
    <cellStyle name="Total 2 13" xfId="4199"/>
    <cellStyle name="Total 2 14" xfId="1966"/>
    <cellStyle name="Total 2 15" xfId="2607"/>
    <cellStyle name="Total 2 16" xfId="2451"/>
    <cellStyle name="Total 2 17" xfId="10893"/>
    <cellStyle name="Total 2 18" xfId="3931"/>
    <cellStyle name="Total 2 19" xfId="5360"/>
    <cellStyle name="Total 2 2" xfId="3400"/>
    <cellStyle name="Total 2 2 10" xfId="14142"/>
    <cellStyle name="Total 2 2 11" xfId="16045"/>
    <cellStyle name="Total 2 2 12" xfId="16744"/>
    <cellStyle name="Total 2 2 13" xfId="18651"/>
    <cellStyle name="Total 2 2 14" xfId="20563"/>
    <cellStyle name="Total 2 2 15" xfId="23671"/>
    <cellStyle name="Total 2 2 16" xfId="24365"/>
    <cellStyle name="Total 2 2 17" xfId="27712"/>
    <cellStyle name="Total 2 2 18" xfId="28503"/>
    <cellStyle name="Total 2 2 19" xfId="31288"/>
    <cellStyle name="Total 2 2 2" xfId="3580"/>
    <cellStyle name="Total 2 2 2 10" xfId="17471"/>
    <cellStyle name="Total 2 2 2 11" xfId="19377"/>
    <cellStyle name="Total 2 2 2 12" xfId="21289"/>
    <cellStyle name="Total 2 2 2 13" xfId="23275"/>
    <cellStyle name="Total 2 2 2 14" xfId="25091"/>
    <cellStyle name="Total 2 2 2 15" xfId="27266"/>
    <cellStyle name="Total 2 2 2 16" xfId="29581"/>
    <cellStyle name="Total 2 2 2 17" xfId="30857"/>
    <cellStyle name="Total 2 2 2 18" xfId="31824"/>
    <cellStyle name="Total 2 2 2 19" xfId="34924"/>
    <cellStyle name="Total 2 2 2 2" xfId="5526"/>
    <cellStyle name="Total 2 2 2 2 10" xfId="21776"/>
    <cellStyle name="Total 2 2 2 2 11" xfId="22416"/>
    <cellStyle name="Total 2 2 2 2 12" xfId="25578"/>
    <cellStyle name="Total 2 2 2 2 13" xfId="12795"/>
    <cellStyle name="Total 2 2 2 2 14" xfId="24221"/>
    <cellStyle name="Total 2 2 2 2 15" xfId="4198"/>
    <cellStyle name="Total 2 2 2 2 16" xfId="12293"/>
    <cellStyle name="Total 2 2 2 2 17" xfId="32561"/>
    <cellStyle name="Total 2 2 2 2 18" xfId="36405"/>
    <cellStyle name="Total 2 2 2 2 19" xfId="38284"/>
    <cellStyle name="Total 2 2 2 2 2" xfId="6975"/>
    <cellStyle name="Total 2 2 2 2 20" xfId="34366"/>
    <cellStyle name="Total 2 2 2 2 21" xfId="3031"/>
    <cellStyle name="Total 2 2 2 2 22" xfId="42227"/>
    <cellStyle name="Total 2 2 2 2 3" xfId="8429"/>
    <cellStyle name="Total 2 2 2 2 4" xfId="10339"/>
    <cellStyle name="Total 2 2 2 2 5" xfId="11162"/>
    <cellStyle name="Total 2 2 2 2 6" xfId="12883"/>
    <cellStyle name="Total 2 2 2 2 7" xfId="14788"/>
    <cellStyle name="Total 2 2 2 2 8" xfId="17958"/>
    <cellStyle name="Total 2 2 2 2 9" xfId="19864"/>
    <cellStyle name="Total 2 2 2 20" xfId="35918"/>
    <cellStyle name="Total 2 2 2 21" xfId="37797"/>
    <cellStyle name="Total 2 2 2 22" xfId="39062"/>
    <cellStyle name="Total 2 2 2 23" xfId="40744"/>
    <cellStyle name="Total 2 2 2 24" xfId="43051"/>
    <cellStyle name="Total 2 2 2 3" xfId="5041"/>
    <cellStyle name="Total 2 2 2 3 2" xfId="45685"/>
    <cellStyle name="Total 2 2 2 3 3" xfId="46074"/>
    <cellStyle name="Total 2 2 2 3 4" xfId="46432"/>
    <cellStyle name="Total 2 2 2 3 5" xfId="46784"/>
    <cellStyle name="Total 2 2 2 3 6" xfId="47099"/>
    <cellStyle name="Total 2 2 2 3 7" xfId="47418"/>
    <cellStyle name="Total 2 2 2 3 8" xfId="47736"/>
    <cellStyle name="Total 2 2 2 4" xfId="6491"/>
    <cellStyle name="Total 2 2 2 4 2" xfId="45629"/>
    <cellStyle name="Total 2 2 2 4 3" xfId="46018"/>
    <cellStyle name="Total 2 2 2 4 4" xfId="46376"/>
    <cellStyle name="Total 2 2 2 4 5" xfId="46728"/>
    <cellStyle name="Total 2 2 2 4 6" xfId="47043"/>
    <cellStyle name="Total 2 2 2 4 7" xfId="47362"/>
    <cellStyle name="Total 2 2 2 4 8" xfId="47680"/>
    <cellStyle name="Total 2 2 2 5" xfId="7942"/>
    <cellStyle name="Total 2 2 2 6" xfId="9852"/>
    <cellStyle name="Total 2 2 2 7" xfId="11213"/>
    <cellStyle name="Total 2 2 2 8" xfId="13747"/>
    <cellStyle name="Total 2 2 2 9" xfId="15649"/>
    <cellStyle name="Total 2 2 20" xfId="33306"/>
    <cellStyle name="Total 2 2 21" xfId="33637"/>
    <cellStyle name="Total 2 2 22" xfId="35193"/>
    <cellStyle name="Total 2 2 23" xfId="37071"/>
    <cellStyle name="Total 2 2 24" xfId="40489"/>
    <cellStyle name="Total 2 2 25" xfId="42142"/>
    <cellStyle name="Total 2 2 26" xfId="43429"/>
    <cellStyle name="Total 2 2 3" xfId="3828"/>
    <cellStyle name="Total 2 2 3 10" xfId="19555"/>
    <cellStyle name="Total 2 2 3 11" xfId="21467"/>
    <cellStyle name="Total 2 2 3 12" xfId="22788"/>
    <cellStyle name="Total 2 2 3 13" xfId="25269"/>
    <cellStyle name="Total 2 2 3 14" xfId="27697"/>
    <cellStyle name="Total 2 2 3 15" xfId="3088"/>
    <cellStyle name="Total 2 2 3 16" xfId="31271"/>
    <cellStyle name="Total 2 2 3 17" xfId="32976"/>
    <cellStyle name="Total 2 2 3 18" xfId="29532"/>
    <cellStyle name="Total 2 2 3 19" xfId="36096"/>
    <cellStyle name="Total 2 2 3 2" xfId="5825"/>
    <cellStyle name="Total 2 2 3 2 10" xfId="22075"/>
    <cellStyle name="Total 2 2 3 2 11" xfId="23029"/>
    <cellStyle name="Total 2 2 3 2 12" xfId="25877"/>
    <cellStyle name="Total 2 2 3 2 13" xfId="26891"/>
    <cellStyle name="Total 2 2 3 2 14" xfId="28304"/>
    <cellStyle name="Total 2 2 3 2 15" xfId="30487"/>
    <cellStyle name="Total 2 2 3 2 16" xfId="33160"/>
    <cellStyle name="Total 2 2 3 2 17" xfId="33570"/>
    <cellStyle name="Total 2 2 3 2 18" xfId="36704"/>
    <cellStyle name="Total 2 2 3 2 19" xfId="38583"/>
    <cellStyle name="Total 2 2 3 2 2" xfId="7274"/>
    <cellStyle name="Total 2 2 3 2 20" xfId="40352"/>
    <cellStyle name="Total 2 2 3 2 21" xfId="42008"/>
    <cellStyle name="Total 2 2 3 2 22" xfId="42812"/>
    <cellStyle name="Total 2 2 3 2 3" xfId="8728"/>
    <cellStyle name="Total 2 2 3 2 4" xfId="10638"/>
    <cellStyle name="Total 2 2 3 2 5" xfId="12620"/>
    <cellStyle name="Total 2 2 3 2 6" xfId="13499"/>
    <cellStyle name="Total 2 2 3 2 7" xfId="15403"/>
    <cellStyle name="Total 2 2 3 2 8" xfId="18257"/>
    <cellStyle name="Total 2 2 3 2 9" xfId="20163"/>
    <cellStyle name="Total 2 2 3 20" xfId="37975"/>
    <cellStyle name="Total 2 2 3 21" xfId="40177"/>
    <cellStyle name="Total 2 2 3 22" xfId="41836"/>
    <cellStyle name="Total 2 2 3 23" xfId="42581"/>
    <cellStyle name="Total 2 2 3 3" xfId="5219"/>
    <cellStyle name="Total 2 2 3 3 2" xfId="45709"/>
    <cellStyle name="Total 2 2 3 3 3" xfId="46098"/>
    <cellStyle name="Total 2 2 3 3 4" xfId="46456"/>
    <cellStyle name="Total 2 2 3 3 5" xfId="46808"/>
    <cellStyle name="Total 2 2 3 3 6" xfId="47123"/>
    <cellStyle name="Total 2 2 3 3 7" xfId="47442"/>
    <cellStyle name="Total 2 2 3 3 8" xfId="47760"/>
    <cellStyle name="Total 2 2 3 4" xfId="8120"/>
    <cellStyle name="Total 2 2 3 4 2" xfId="45598"/>
    <cellStyle name="Total 2 2 3 4 3" xfId="45987"/>
    <cellStyle name="Total 2 2 3 4 4" xfId="46345"/>
    <cellStyle name="Total 2 2 3 4 5" xfId="46697"/>
    <cellStyle name="Total 2 2 3 4 6" xfId="47012"/>
    <cellStyle name="Total 2 2 3 4 7" xfId="47331"/>
    <cellStyle name="Total 2 2 3 4 8" xfId="47649"/>
    <cellStyle name="Total 2 2 3 5" xfId="10030"/>
    <cellStyle name="Total 2 2 3 5 2" xfId="45613"/>
    <cellStyle name="Total 2 2 3 5 3" xfId="46002"/>
    <cellStyle name="Total 2 2 3 5 4" xfId="46360"/>
    <cellStyle name="Total 2 2 3 5 5" xfId="46712"/>
    <cellStyle name="Total 2 2 3 5 6" xfId="47027"/>
    <cellStyle name="Total 2 2 3 5 7" xfId="47346"/>
    <cellStyle name="Total 2 2 3 5 8" xfId="47664"/>
    <cellStyle name="Total 2 2 3 6" xfId="12483"/>
    <cellStyle name="Total 2 2 3 7" xfId="13257"/>
    <cellStyle name="Total 2 2 3 8" xfId="15161"/>
    <cellStyle name="Total 2 2 3 9" xfId="17649"/>
    <cellStyle name="Total 2 2 4" xfId="4032"/>
    <cellStyle name="Total 2 2 4 10" xfId="19667"/>
    <cellStyle name="Total 2 2 4 11" xfId="21579"/>
    <cellStyle name="Total 2 2 4 12" xfId="23716"/>
    <cellStyle name="Total 2 2 4 13" xfId="25381"/>
    <cellStyle name="Total 2 2 4 14" xfId="26976"/>
    <cellStyle name="Total 2 2 4 15" xfId="29618"/>
    <cellStyle name="Total 2 2 4 16" xfId="30570"/>
    <cellStyle name="Total 2 2 4 17" xfId="31974"/>
    <cellStyle name="Total 2 2 4 18" xfId="33643"/>
    <cellStyle name="Total 2 2 4 19" xfId="36208"/>
    <cellStyle name="Total 2 2 4 2" xfId="5937"/>
    <cellStyle name="Total 2 2 4 2 10" xfId="22187"/>
    <cellStyle name="Total 2 2 4 2 11" xfId="23335"/>
    <cellStyle name="Total 2 2 4 2 12" xfId="25989"/>
    <cellStyle name="Total 2 2 4 2 13" xfId="27525"/>
    <cellStyle name="Total 2 2 4 2 14" xfId="29504"/>
    <cellStyle name="Total 2 2 4 2 15" xfId="31107"/>
    <cellStyle name="Total 2 2 4 2 16" xfId="32821"/>
    <cellStyle name="Total 2 2 4 2 17" xfId="34232"/>
    <cellStyle name="Total 2 2 4 2 18" xfId="36816"/>
    <cellStyle name="Total 2 2 4 2 19" xfId="38695"/>
    <cellStyle name="Total 2 2 4 2 2" xfId="7386"/>
    <cellStyle name="Total 2 2 4 2 20" xfId="40030"/>
    <cellStyle name="Total 2 2 4 2 21" xfId="41694"/>
    <cellStyle name="Total 2 2 4 2 22" xfId="43105"/>
    <cellStyle name="Total 2 2 4 2 3" xfId="8840"/>
    <cellStyle name="Total 2 2 4 2 4" xfId="10750"/>
    <cellStyle name="Total 2 2 4 2 5" xfId="11631"/>
    <cellStyle name="Total 2 2 4 2 6" xfId="13807"/>
    <cellStyle name="Total 2 2 4 2 7" xfId="15709"/>
    <cellStyle name="Total 2 2 4 2 8" xfId="18369"/>
    <cellStyle name="Total 2 2 4 2 9" xfId="20275"/>
    <cellStyle name="Total 2 2 4 20" xfId="38087"/>
    <cellStyle name="Total 2 2 4 21" xfId="39204"/>
    <cellStyle name="Total 2 2 4 22" xfId="40885"/>
    <cellStyle name="Total 2 2 4 23" xfId="43473"/>
    <cellStyle name="Total 2 2 4 3" xfId="6778"/>
    <cellStyle name="Total 2 2 4 3 2" xfId="45710"/>
    <cellStyle name="Total 2 2 4 3 3" xfId="46099"/>
    <cellStyle name="Total 2 2 4 3 4" xfId="46457"/>
    <cellStyle name="Total 2 2 4 3 5" xfId="46809"/>
    <cellStyle name="Total 2 2 4 3 6" xfId="47124"/>
    <cellStyle name="Total 2 2 4 3 7" xfId="47443"/>
    <cellStyle name="Total 2 2 4 3 8" xfId="47761"/>
    <cellStyle name="Total 2 2 4 4" xfId="8232"/>
    <cellStyle name="Total 2 2 4 4 2" xfId="45597"/>
    <cellStyle name="Total 2 2 4 4 3" xfId="45986"/>
    <cellStyle name="Total 2 2 4 4 4" xfId="46344"/>
    <cellStyle name="Total 2 2 4 4 5" xfId="46696"/>
    <cellStyle name="Total 2 2 4 4 6" xfId="47011"/>
    <cellStyle name="Total 2 2 4 4 7" xfId="47330"/>
    <cellStyle name="Total 2 2 4 4 8" xfId="47648"/>
    <cellStyle name="Total 2 2 4 5" xfId="10142"/>
    <cellStyle name="Total 2 2 4 5 2" xfId="45814"/>
    <cellStyle name="Total 2 2 4 5 3" xfId="46203"/>
    <cellStyle name="Total 2 2 4 5 4" xfId="46561"/>
    <cellStyle name="Total 2 2 4 5 5" xfId="46913"/>
    <cellStyle name="Total 2 2 4 5 6" xfId="47228"/>
    <cellStyle name="Total 2 2 4 5 7" xfId="47547"/>
    <cellStyle name="Total 2 2 4 5 8" xfId="47865"/>
    <cellStyle name="Total 2 2 4 6" xfId="11660"/>
    <cellStyle name="Total 2 2 4 7" xfId="14186"/>
    <cellStyle name="Total 2 2 4 8" xfId="16090"/>
    <cellStyle name="Total 2 2 4 9" xfId="17761"/>
    <cellStyle name="Total 2 2 5" xfId="4898"/>
    <cellStyle name="Total 2 2 5 10" xfId="21146"/>
    <cellStyle name="Total 2 2 5 11" xfId="23394"/>
    <cellStyle name="Total 2 2 5 12" xfId="24948"/>
    <cellStyle name="Total 2 2 5 13" xfId="27123"/>
    <cellStyle name="Total 2 2 5 14" xfId="2062"/>
    <cellStyle name="Total 2 2 5 15" xfId="30713"/>
    <cellStyle name="Total 2 2 5 16" xfId="32389"/>
    <cellStyle name="Total 2 2 5 17" xfId="33644"/>
    <cellStyle name="Total 2 2 5 18" xfId="35775"/>
    <cellStyle name="Total 2 2 5 19" xfId="37654"/>
    <cellStyle name="Total 2 2 5 2" xfId="6348"/>
    <cellStyle name="Total 2 2 5 2 2" xfId="45971"/>
    <cellStyle name="Total 2 2 5 2 3" xfId="46329"/>
    <cellStyle name="Total 2 2 5 2 4" xfId="46681"/>
    <cellStyle name="Total 2 2 5 2 5" xfId="47633"/>
    <cellStyle name="Total 2 2 5 20" xfId="39606"/>
    <cellStyle name="Total 2 2 5 21" xfId="41280"/>
    <cellStyle name="Total 2 2 5 22" xfId="43161"/>
    <cellStyle name="Total 2 2 5 3" xfId="7799"/>
    <cellStyle name="Total 2 2 5 3 2" xfId="45763"/>
    <cellStyle name="Total 2 2 5 3 3" xfId="46152"/>
    <cellStyle name="Total 2 2 5 3 4" xfId="46510"/>
    <cellStyle name="Total 2 2 5 3 5" xfId="46862"/>
    <cellStyle name="Total 2 2 5 3 6" xfId="47177"/>
    <cellStyle name="Total 2 2 5 3 7" xfId="47496"/>
    <cellStyle name="Total 2 2 5 3 8" xfId="47814"/>
    <cellStyle name="Total 2 2 5 4" xfId="9709"/>
    <cellStyle name="Total 2 2 5 4 2" xfId="45832"/>
    <cellStyle name="Total 2 2 5 4 3" xfId="46221"/>
    <cellStyle name="Total 2 2 5 4 4" xfId="46579"/>
    <cellStyle name="Total 2 2 5 4 5" xfId="46931"/>
    <cellStyle name="Total 2 2 5 4 6" xfId="47246"/>
    <cellStyle name="Total 2 2 5 4 7" xfId="47565"/>
    <cellStyle name="Total 2 2 5 4 8" xfId="47883"/>
    <cellStyle name="Total 2 2 5 5" xfId="12459"/>
    <cellStyle name="Total 2 2 5 5 2" xfId="45869"/>
    <cellStyle name="Total 2 2 5 5 3" xfId="46258"/>
    <cellStyle name="Total 2 2 5 5 4" xfId="46616"/>
    <cellStyle name="Total 2 2 5 5 5" xfId="46968"/>
    <cellStyle name="Total 2 2 5 5 6" xfId="47283"/>
    <cellStyle name="Total 2 2 5 5 7" xfId="47602"/>
    <cellStyle name="Total 2 2 5 5 8" xfId="47920"/>
    <cellStyle name="Total 2 2 5 6" xfId="13866"/>
    <cellStyle name="Total 2 2 5 7" xfId="15767"/>
    <cellStyle name="Total 2 2 5 8" xfId="17328"/>
    <cellStyle name="Total 2 2 5 9" xfId="19234"/>
    <cellStyle name="Total 2 2 6" xfId="5569"/>
    <cellStyle name="Total 2 2 6 10" xfId="21819"/>
    <cellStyle name="Total 2 2 6 11" xfId="22761"/>
    <cellStyle name="Total 2 2 6 12" xfId="25621"/>
    <cellStyle name="Total 2 2 6 13" xfId="27878"/>
    <cellStyle name="Total 2 2 6 14" xfId="28473"/>
    <cellStyle name="Total 2 2 6 15" xfId="31459"/>
    <cellStyle name="Total 2 2 6 16" xfId="33222"/>
    <cellStyle name="Total 2 2 6 17" xfId="33611"/>
    <cellStyle name="Total 2 2 6 18" xfId="36448"/>
    <cellStyle name="Total 2 2 6 19" xfId="38327"/>
    <cellStyle name="Total 2 2 6 2" xfId="7018"/>
    <cellStyle name="Total 2 2 6 20" xfId="40412"/>
    <cellStyle name="Total 2 2 6 21" xfId="42068"/>
    <cellStyle name="Total 2 2 6 22" xfId="42558"/>
    <cellStyle name="Total 2 2 6 3" xfId="8472"/>
    <cellStyle name="Total 2 2 6 4" xfId="10382"/>
    <cellStyle name="Total 2 2 6 5" xfId="11645"/>
    <cellStyle name="Total 2 2 6 6" xfId="13230"/>
    <cellStyle name="Total 2 2 6 7" xfId="15133"/>
    <cellStyle name="Total 2 2 6 8" xfId="18001"/>
    <cellStyle name="Total 2 2 6 9" xfId="19907"/>
    <cellStyle name="Total 2 2 7" xfId="6663"/>
    <cellStyle name="Total 2 2 8" xfId="9125"/>
    <cellStyle name="Total 2 2 9" xfId="11824"/>
    <cellStyle name="Total 2 20" xfId="2298"/>
    <cellStyle name="Total 2 21" xfId="32836"/>
    <cellStyle name="Total 2 22" xfId="33428"/>
    <cellStyle name="Total 2 23" xfId="31285"/>
    <cellStyle name="Total 2 24" xfId="3713"/>
    <cellStyle name="Total 2 25" xfId="40044"/>
    <cellStyle name="Total 2 26" xfId="41708"/>
    <cellStyle name="Total 2 27" xfId="18525"/>
    <cellStyle name="Total 2 3" xfId="3494"/>
    <cellStyle name="Total 2 3 10" xfId="14174"/>
    <cellStyle name="Total 2 3 11" xfId="16078"/>
    <cellStyle name="Total 2 3 12" xfId="16942"/>
    <cellStyle name="Total 2 3 13" xfId="18849"/>
    <cellStyle name="Total 2 3 14" xfId="20761"/>
    <cellStyle name="Total 2 3 15" xfId="23704"/>
    <cellStyle name="Total 2 3 16" xfId="24563"/>
    <cellStyle name="Total 2 3 17" xfId="27773"/>
    <cellStyle name="Total 2 3 18" xfId="29715"/>
    <cellStyle name="Total 2 3 19" xfId="31351"/>
    <cellStyle name="Total 2 3 2" xfId="3674"/>
    <cellStyle name="Total 2 3 2 10" xfId="17565"/>
    <cellStyle name="Total 2 3 2 11" xfId="19471"/>
    <cellStyle name="Total 2 3 2 12" xfId="21383"/>
    <cellStyle name="Total 2 3 2 13" xfId="24174"/>
    <cellStyle name="Total 2 3 2 14" xfId="25185"/>
    <cellStyle name="Total 2 3 2 15" xfId="27065"/>
    <cellStyle name="Total 2 3 2 16" xfId="29138"/>
    <cellStyle name="Total 2 3 2 17" xfId="30656"/>
    <cellStyle name="Total 2 3 2 18" xfId="32504"/>
    <cellStyle name="Total 2 3 2 19" xfId="33981"/>
    <cellStyle name="Total 2 3 2 2" xfId="4620"/>
    <cellStyle name="Total 2 3 2 2 10" xfId="20865"/>
    <cellStyle name="Total 2 3 2 2 11" xfId="24116"/>
    <cellStyle name="Total 2 3 2 2 12" xfId="24667"/>
    <cellStyle name="Total 2 3 2 2 13" xfId="27591"/>
    <cellStyle name="Total 2 3 2 2 14" xfId="29634"/>
    <cellStyle name="Total 2 3 2 2 15" xfId="31170"/>
    <cellStyle name="Total 2 3 2 2 16" xfId="32855"/>
    <cellStyle name="Total 2 3 2 2 17" xfId="33803"/>
    <cellStyle name="Total 2 3 2 2 18" xfId="35495"/>
    <cellStyle name="Total 2 3 2 2 19" xfId="37373"/>
    <cellStyle name="Total 2 3 2 2 2" xfId="6068"/>
    <cellStyle name="Total 2 3 2 2 20" xfId="40062"/>
    <cellStyle name="Total 2 3 2 2 21" xfId="41726"/>
    <cellStyle name="Total 2 3 2 2 22" xfId="43859"/>
    <cellStyle name="Total 2 3 2 2 3" xfId="7517"/>
    <cellStyle name="Total 2 3 2 2 4" xfId="9427"/>
    <cellStyle name="Total 2 3 2 2 5" xfId="12076"/>
    <cellStyle name="Total 2 3 2 2 6" xfId="14587"/>
    <cellStyle name="Total 2 3 2 2 7" xfId="16493"/>
    <cellStyle name="Total 2 3 2 2 8" xfId="17046"/>
    <cellStyle name="Total 2 3 2 2 9" xfId="18953"/>
    <cellStyle name="Total 2 3 2 20" xfId="36012"/>
    <cellStyle name="Total 2 3 2 21" xfId="37891"/>
    <cellStyle name="Total 2 3 2 22" xfId="39719"/>
    <cellStyle name="Total 2 3 2 23" xfId="41391"/>
    <cellStyle name="Total 2 3 2 24" xfId="43916"/>
    <cellStyle name="Total 2 3 2 3" xfId="5135"/>
    <cellStyle name="Total 2 3 2 3 2" xfId="45729"/>
    <cellStyle name="Total 2 3 2 3 3" xfId="46118"/>
    <cellStyle name="Total 2 3 2 3 4" xfId="46476"/>
    <cellStyle name="Total 2 3 2 3 5" xfId="46828"/>
    <cellStyle name="Total 2 3 2 3 6" xfId="47143"/>
    <cellStyle name="Total 2 3 2 3 7" xfId="47462"/>
    <cellStyle name="Total 2 3 2 3 8" xfId="47780"/>
    <cellStyle name="Total 2 3 2 4" xfId="6585"/>
    <cellStyle name="Total 2 3 2 4 2" xfId="45791"/>
    <cellStyle name="Total 2 3 2 4 3" xfId="46180"/>
    <cellStyle name="Total 2 3 2 4 4" xfId="46538"/>
    <cellStyle name="Total 2 3 2 4 5" xfId="46890"/>
    <cellStyle name="Total 2 3 2 4 6" xfId="47205"/>
    <cellStyle name="Total 2 3 2 4 7" xfId="47524"/>
    <cellStyle name="Total 2 3 2 4 8" xfId="47842"/>
    <cellStyle name="Total 2 3 2 5" xfId="8036"/>
    <cellStyle name="Total 2 3 2 5 2" xfId="45616"/>
    <cellStyle name="Total 2 3 2 5 3" xfId="46005"/>
    <cellStyle name="Total 2 3 2 5 4" xfId="46363"/>
    <cellStyle name="Total 2 3 2 5 5" xfId="46715"/>
    <cellStyle name="Total 2 3 2 5 6" xfId="47030"/>
    <cellStyle name="Total 2 3 2 5 7" xfId="47349"/>
    <cellStyle name="Total 2 3 2 5 8" xfId="47667"/>
    <cellStyle name="Total 2 3 2 6" xfId="9946"/>
    <cellStyle name="Total 2 3 2 7" xfId="12134"/>
    <cellStyle name="Total 2 3 2 8" xfId="14645"/>
    <cellStyle name="Total 2 3 2 9" xfId="16551"/>
    <cellStyle name="Total 2 3 20" xfId="32004"/>
    <cellStyle name="Total 2 3 21" xfId="33737"/>
    <cellStyle name="Total 2 3 22" xfId="35391"/>
    <cellStyle name="Total 2 3 23" xfId="37269"/>
    <cellStyle name="Total 2 3 24" xfId="39235"/>
    <cellStyle name="Total 2 3 25" xfId="40912"/>
    <cellStyle name="Total 2 3 26" xfId="43461"/>
    <cellStyle name="Total 2 3 3" xfId="3830"/>
    <cellStyle name="Total 2 3 3 10" xfId="19557"/>
    <cellStyle name="Total 2 3 3 11" xfId="21469"/>
    <cellStyle name="Total 2 3 3 12" xfId="23316"/>
    <cellStyle name="Total 2 3 3 13" xfId="25271"/>
    <cellStyle name="Total 2 3 3 14" xfId="27828"/>
    <cellStyle name="Total 2 3 3 15" xfId="29312"/>
    <cellStyle name="Total 2 3 3 16" xfId="31406"/>
    <cellStyle name="Total 2 3 3 17" xfId="31715"/>
    <cellStyle name="Total 2 3 3 18" xfId="33474"/>
    <cellStyle name="Total 2 3 3 19" xfId="36098"/>
    <cellStyle name="Total 2 3 3 2" xfId="5827"/>
    <cellStyle name="Total 2 3 3 2 10" xfId="22077"/>
    <cellStyle name="Total 2 3 3 2 11" xfId="23453"/>
    <cellStyle name="Total 2 3 3 2 12" xfId="25879"/>
    <cellStyle name="Total 2 3 3 2 13" xfId="27059"/>
    <cellStyle name="Total 2 3 3 2 14" xfId="28283"/>
    <cellStyle name="Total 2 3 3 2 15" xfId="30651"/>
    <cellStyle name="Total 2 3 3 2 16" xfId="32493"/>
    <cellStyle name="Total 2 3 3 2 17" xfId="33945"/>
    <cellStyle name="Total 2 3 3 2 18" xfId="36706"/>
    <cellStyle name="Total 2 3 3 2 19" xfId="38585"/>
    <cellStyle name="Total 2 3 3 2 2" xfId="7276"/>
    <cellStyle name="Total 2 3 3 2 20" xfId="39708"/>
    <cellStyle name="Total 2 3 3 2 21" xfId="41380"/>
    <cellStyle name="Total 2 3 3 2 22" xfId="43220"/>
    <cellStyle name="Total 2 3 3 2 3" xfId="8730"/>
    <cellStyle name="Total 2 3 3 2 4" xfId="10640"/>
    <cellStyle name="Total 2 3 3 2 5" xfId="12541"/>
    <cellStyle name="Total 2 3 3 2 6" xfId="13925"/>
    <cellStyle name="Total 2 3 3 2 7" xfId="15826"/>
    <cellStyle name="Total 2 3 3 2 8" xfId="18259"/>
    <cellStyle name="Total 2 3 3 2 9" xfId="20165"/>
    <cellStyle name="Total 2 3 3 20" xfId="37977"/>
    <cellStyle name="Total 2 3 3 21" xfId="38956"/>
    <cellStyle name="Total 2 3 3 22" xfId="40639"/>
    <cellStyle name="Total 2 3 3 23" xfId="43088"/>
    <cellStyle name="Total 2 3 3 3" xfId="5221"/>
    <cellStyle name="Total 2 3 3 3 2" xfId="45744"/>
    <cellStyle name="Total 2 3 3 3 3" xfId="46133"/>
    <cellStyle name="Total 2 3 3 3 4" xfId="46491"/>
    <cellStyle name="Total 2 3 3 3 5" xfId="46843"/>
    <cellStyle name="Total 2 3 3 3 6" xfId="47158"/>
    <cellStyle name="Total 2 3 3 3 7" xfId="47477"/>
    <cellStyle name="Total 2 3 3 3 8" xfId="47795"/>
    <cellStyle name="Total 2 3 3 4" xfId="8122"/>
    <cellStyle name="Total 2 3 3 4 2" xfId="45806"/>
    <cellStyle name="Total 2 3 3 4 3" xfId="46195"/>
    <cellStyle name="Total 2 3 3 4 4" xfId="46553"/>
    <cellStyle name="Total 2 3 3 4 5" xfId="46905"/>
    <cellStyle name="Total 2 3 3 4 6" xfId="47220"/>
    <cellStyle name="Total 2 3 3 4 7" xfId="47539"/>
    <cellStyle name="Total 2 3 3 4 8" xfId="47857"/>
    <cellStyle name="Total 2 3 3 5" xfId="10032"/>
    <cellStyle name="Total 2 3 3 5 2" xfId="45859"/>
    <cellStyle name="Total 2 3 3 5 3" xfId="46248"/>
    <cellStyle name="Total 2 3 3 5 4" xfId="46606"/>
    <cellStyle name="Total 2 3 3 5 5" xfId="46958"/>
    <cellStyle name="Total 2 3 3 5 6" xfId="47273"/>
    <cellStyle name="Total 2 3 3 5 7" xfId="47592"/>
    <cellStyle name="Total 2 3 3 5 8" xfId="47910"/>
    <cellStyle name="Total 2 3 3 6" xfId="11215"/>
    <cellStyle name="Total 2 3 3 7" xfId="13788"/>
    <cellStyle name="Total 2 3 3 8" xfId="15690"/>
    <cellStyle name="Total 2 3 3 9" xfId="17651"/>
    <cellStyle name="Total 2 3 4" xfId="4126"/>
    <cellStyle name="Total 2 3 4 10" xfId="19761"/>
    <cellStyle name="Total 2 3 4 11" xfId="21673"/>
    <cellStyle name="Total 2 3 4 12" xfId="23925"/>
    <cellStyle name="Total 2 3 4 13" xfId="25475"/>
    <cellStyle name="Total 2 3 4 14" xfId="26600"/>
    <cellStyle name="Total 2 3 4 15" xfId="29152"/>
    <cellStyle name="Total 2 3 4 16" xfId="30202"/>
    <cellStyle name="Total 2 3 4 17" xfId="31944"/>
    <cellStyle name="Total 2 3 4 18" xfId="34220"/>
    <cellStyle name="Total 2 3 4 19" xfId="36302"/>
    <cellStyle name="Total 2 3 4 2" xfId="6031"/>
    <cellStyle name="Total 2 3 4 2 10" xfId="22281"/>
    <cellStyle name="Total 2 3 4 2 11" xfId="22512"/>
    <cellStyle name="Total 2 3 4 2 12" xfId="26083"/>
    <cellStyle name="Total 2 3 4 2 13" xfId="27692"/>
    <cellStyle name="Total 2 3 4 2 14" xfId="28935"/>
    <cellStyle name="Total 2 3 4 2 15" xfId="31266"/>
    <cellStyle name="Total 2 3 4 2 16" xfId="33153"/>
    <cellStyle name="Total 2 3 4 2 17" xfId="34040"/>
    <cellStyle name="Total 2 3 4 2 18" xfId="36910"/>
    <cellStyle name="Total 2 3 4 2 19" xfId="38789"/>
    <cellStyle name="Total 2 3 4 2 2" xfId="7480"/>
    <cellStyle name="Total 2 3 4 2 20" xfId="40346"/>
    <cellStyle name="Total 2 3 4 2 21" xfId="42002"/>
    <cellStyle name="Total 2 3 4 2 22" xfId="42322"/>
    <cellStyle name="Total 2 3 4 2 3" xfId="8934"/>
    <cellStyle name="Total 2 3 4 2 4" xfId="10844"/>
    <cellStyle name="Total 2 3 4 2 5" xfId="11667"/>
    <cellStyle name="Total 2 3 4 2 6" xfId="12980"/>
    <cellStyle name="Total 2 3 4 2 7" xfId="14884"/>
    <cellStyle name="Total 2 3 4 2 8" xfId="18463"/>
    <cellStyle name="Total 2 3 4 2 9" xfId="20369"/>
    <cellStyle name="Total 2 3 4 20" xfId="38181"/>
    <cellStyle name="Total 2 3 4 21" xfId="39174"/>
    <cellStyle name="Total 2 3 4 22" xfId="40855"/>
    <cellStyle name="Total 2 3 4 23" xfId="43671"/>
    <cellStyle name="Total 2 3 4 3" xfId="6872"/>
    <cellStyle name="Total 2 3 4 3 2" xfId="45778"/>
    <cellStyle name="Total 2 3 4 3 3" xfId="46167"/>
    <cellStyle name="Total 2 3 4 3 4" xfId="46525"/>
    <cellStyle name="Total 2 3 4 3 5" xfId="46877"/>
    <cellStyle name="Total 2 3 4 3 6" xfId="47192"/>
    <cellStyle name="Total 2 3 4 3 7" xfId="47511"/>
    <cellStyle name="Total 2 3 4 3 8" xfId="47829"/>
    <cellStyle name="Total 2 3 4 4" xfId="8326"/>
    <cellStyle name="Total 2 3 4 4 2" xfId="45847"/>
    <cellStyle name="Total 2 3 4 4 3" xfId="46236"/>
    <cellStyle name="Total 2 3 4 4 4" xfId="46594"/>
    <cellStyle name="Total 2 3 4 4 5" xfId="46946"/>
    <cellStyle name="Total 2 3 4 4 6" xfId="47261"/>
    <cellStyle name="Total 2 3 4 4 7" xfId="47580"/>
    <cellStyle name="Total 2 3 4 4 8" xfId="47898"/>
    <cellStyle name="Total 2 3 4 5" xfId="10236"/>
    <cellStyle name="Total 2 3 4 5 2" xfId="45884"/>
    <cellStyle name="Total 2 3 4 5 3" xfId="46273"/>
    <cellStyle name="Total 2 3 4 5 4" xfId="46631"/>
    <cellStyle name="Total 2 3 4 5 5" xfId="46983"/>
    <cellStyle name="Total 2 3 4 5 6" xfId="47298"/>
    <cellStyle name="Total 2 3 4 5 7" xfId="47617"/>
    <cellStyle name="Total 2 3 4 5 8" xfId="47935"/>
    <cellStyle name="Total 2 3 4 6" xfId="11884"/>
    <cellStyle name="Total 2 3 4 7" xfId="14394"/>
    <cellStyle name="Total 2 3 4 8" xfId="16300"/>
    <cellStyle name="Total 2 3 4 9" xfId="17855"/>
    <cellStyle name="Total 2 3 5" xfId="4973"/>
    <cellStyle name="Total 2 3 5 10" xfId="21221"/>
    <cellStyle name="Total 2 3 5 11" xfId="23382"/>
    <cellStyle name="Total 2 3 5 12" xfId="25023"/>
    <cellStyle name="Total 2 3 5 13" xfId="27964"/>
    <cellStyle name="Total 2 3 5 14" xfId="10897"/>
    <cellStyle name="Total 2 3 5 15" xfId="31544"/>
    <cellStyle name="Total 2 3 5 16" xfId="2493"/>
    <cellStyle name="Total 2 3 5 17" xfId="33344"/>
    <cellStyle name="Total 2 3 5 18" xfId="35850"/>
    <cellStyle name="Total 2 3 5 19" xfId="37729"/>
    <cellStyle name="Total 2 3 5 2" xfId="6423"/>
    <cellStyle name="Total 2 3 5 20" xfId="30826"/>
    <cellStyle name="Total 2 3 5 21" xfId="34153"/>
    <cellStyle name="Total 2 3 5 22" xfId="43149"/>
    <cellStyle name="Total 2 3 5 3" xfId="7874"/>
    <cellStyle name="Total 2 3 5 4" xfId="9784"/>
    <cellStyle name="Total 2 3 5 5" xfId="11032"/>
    <cellStyle name="Total 2 3 5 6" xfId="13854"/>
    <cellStyle name="Total 2 3 5 7" xfId="15755"/>
    <cellStyle name="Total 2 3 5 8" xfId="17403"/>
    <cellStyle name="Total 2 3 5 9" xfId="19309"/>
    <cellStyle name="Total 2 3 6" xfId="5573"/>
    <cellStyle name="Total 2 3 6 10" xfId="21823"/>
    <cellStyle name="Total 2 3 6 11" xfId="23935"/>
    <cellStyle name="Total 2 3 6 12" xfId="25625"/>
    <cellStyle name="Total 2 3 6 13" xfId="27076"/>
    <cellStyle name="Total 2 3 6 14" xfId="28535"/>
    <cellStyle name="Total 2 3 6 15" xfId="30667"/>
    <cellStyle name="Total 2 3 6 16" xfId="32322"/>
    <cellStyle name="Total 2 3 6 17" xfId="34867"/>
    <cellStyle name="Total 2 3 6 18" xfId="36452"/>
    <cellStyle name="Total 2 3 6 19" xfId="38331"/>
    <cellStyle name="Total 2 3 6 2" xfId="7022"/>
    <cellStyle name="Total 2 3 6 20" xfId="39541"/>
    <cellStyle name="Total 2 3 6 21" xfId="41215"/>
    <cellStyle name="Total 2 3 6 22" xfId="43681"/>
    <cellStyle name="Total 2 3 6 3" xfId="8476"/>
    <cellStyle name="Total 2 3 6 4" xfId="10386"/>
    <cellStyle name="Total 2 3 6 5" xfId="11895"/>
    <cellStyle name="Total 2 3 6 6" xfId="14405"/>
    <cellStyle name="Total 2 3 6 7" xfId="16311"/>
    <cellStyle name="Total 2 3 6 8" xfId="18005"/>
    <cellStyle name="Total 2 3 6 9" xfId="19911"/>
    <cellStyle name="Total 2 3 7" xfId="6718"/>
    <cellStyle name="Total 2 3 7 2" xfId="45755"/>
    <cellStyle name="Total 2 3 7 3" xfId="46144"/>
    <cellStyle name="Total 2 3 7 4" xfId="46502"/>
    <cellStyle name="Total 2 3 7 5" xfId="46854"/>
    <cellStyle name="Total 2 3 7 6" xfId="47169"/>
    <cellStyle name="Total 2 3 7 7" xfId="47488"/>
    <cellStyle name="Total 2 3 7 8" xfId="47806"/>
    <cellStyle name="Total 2 3 8" xfId="9323"/>
    <cellStyle name="Total 2 3 9" xfId="11802"/>
    <cellStyle name="Total 2 4" xfId="3498"/>
    <cellStyle name="Total 2 4 10" xfId="14764"/>
    <cellStyle name="Total 2 4 11" xfId="16953"/>
    <cellStyle name="Total 2 4 12" xfId="18860"/>
    <cellStyle name="Total 2 4 13" xfId="20772"/>
    <cellStyle name="Total 2 4 14" xfId="22392"/>
    <cellStyle name="Total 2 4 15" xfId="24574"/>
    <cellStyle name="Total 2 4 16" xfId="2778"/>
    <cellStyle name="Total 2 4 17" xfId="29142"/>
    <cellStyle name="Total 2 4 18" xfId="28992"/>
    <cellStyle name="Total 2 4 19" xfId="2629"/>
    <cellStyle name="Total 2 4 2" xfId="3678"/>
    <cellStyle name="Total 2 4 2 10" xfId="17569"/>
    <cellStyle name="Total 2 4 2 11" xfId="19475"/>
    <cellStyle name="Total 2 4 2 12" xfId="21387"/>
    <cellStyle name="Total 2 4 2 13" xfId="22385"/>
    <cellStyle name="Total 2 4 2 14" xfId="25189"/>
    <cellStyle name="Total 2 4 2 15" xfId="1950"/>
    <cellStyle name="Total 2 4 2 16" xfId="1837"/>
    <cellStyle name="Total 2 4 2 17" xfId="3203"/>
    <cellStyle name="Total 2 4 2 18" xfId="2874"/>
    <cellStyle name="Total 2 4 2 19" xfId="2344"/>
    <cellStyle name="Total 2 4 2 2" xfId="5745"/>
    <cellStyle name="Total 2 4 2 2 10" xfId="21995"/>
    <cellStyle name="Total 2 4 2 2 11" xfId="22815"/>
    <cellStyle name="Total 2 4 2 2 12" xfId="25797"/>
    <cellStyle name="Total 2 4 2 2 13" xfId="26272"/>
    <cellStyle name="Total 2 4 2 2 14" xfId="28281"/>
    <cellStyle name="Total 2 4 2 2 15" xfId="29881"/>
    <cellStyle name="Total 2 4 2 2 16" xfId="33303"/>
    <cellStyle name="Total 2 4 2 2 17" xfId="34860"/>
    <cellStyle name="Total 2 4 2 2 18" xfId="36624"/>
    <cellStyle name="Total 2 4 2 2 19" xfId="38503"/>
    <cellStyle name="Total 2 4 2 2 2" xfId="7194"/>
    <cellStyle name="Total 2 4 2 2 20" xfId="40485"/>
    <cellStyle name="Total 2 4 2 2 21" xfId="42139"/>
    <cellStyle name="Total 2 4 2 2 22" xfId="42608"/>
    <cellStyle name="Total 2 4 2 2 3" xfId="8648"/>
    <cellStyle name="Total 2 4 2 2 4" xfId="10558"/>
    <cellStyle name="Total 2 4 2 2 5" xfId="12207"/>
    <cellStyle name="Total 2 4 2 2 6" xfId="13285"/>
    <cellStyle name="Total 2 4 2 2 7" xfId="15189"/>
    <cellStyle name="Total 2 4 2 2 8" xfId="18177"/>
    <cellStyle name="Total 2 4 2 2 9" xfId="20083"/>
    <cellStyle name="Total 2 4 2 20" xfId="36016"/>
    <cellStyle name="Total 2 4 2 21" xfId="37895"/>
    <cellStyle name="Total 2 4 2 22" xfId="27594"/>
    <cellStyle name="Total 2 4 2 23" xfId="35065"/>
    <cellStyle name="Total 2 4 2 24" xfId="42196"/>
    <cellStyle name="Total 2 4 2 3" xfId="5139"/>
    <cellStyle name="Total 2 4 2 3 2" xfId="45720"/>
    <cellStyle name="Total 2 4 2 3 3" xfId="46109"/>
    <cellStyle name="Total 2 4 2 3 4" xfId="46467"/>
    <cellStyle name="Total 2 4 2 3 5" xfId="46819"/>
    <cellStyle name="Total 2 4 2 3 6" xfId="47134"/>
    <cellStyle name="Total 2 4 2 3 7" xfId="47453"/>
    <cellStyle name="Total 2 4 2 3 8" xfId="47771"/>
    <cellStyle name="Total 2 4 2 4" xfId="6589"/>
    <cellStyle name="Total 2 4 2 4 2" xfId="45782"/>
    <cellStyle name="Total 2 4 2 4 3" xfId="46171"/>
    <cellStyle name="Total 2 4 2 4 4" xfId="46529"/>
    <cellStyle name="Total 2 4 2 4 5" xfId="46881"/>
    <cellStyle name="Total 2 4 2 4 6" xfId="47196"/>
    <cellStyle name="Total 2 4 2 4 7" xfId="47515"/>
    <cellStyle name="Total 2 4 2 4 8" xfId="47833"/>
    <cellStyle name="Total 2 4 2 5" xfId="8040"/>
    <cellStyle name="Total 2 4 2 5 2" xfId="45634"/>
    <cellStyle name="Total 2 4 2 5 3" xfId="46023"/>
    <cellStyle name="Total 2 4 2 5 4" xfId="46381"/>
    <cellStyle name="Total 2 4 2 5 5" xfId="46733"/>
    <cellStyle name="Total 2 4 2 5 6" xfId="47048"/>
    <cellStyle name="Total 2 4 2 5 7" xfId="47367"/>
    <cellStyle name="Total 2 4 2 5 8" xfId="47685"/>
    <cellStyle name="Total 2 4 2 6" xfId="9950"/>
    <cellStyle name="Total 2 4 2 7" xfId="11848"/>
    <cellStyle name="Total 2 4 2 8" xfId="12852"/>
    <cellStyle name="Total 2 4 2 9" xfId="14757"/>
    <cellStyle name="Total 2 4 20" xfId="32205"/>
    <cellStyle name="Total 2 4 21" xfId="35402"/>
    <cellStyle name="Total 2 4 22" xfId="37280"/>
    <cellStyle name="Total 2 4 23" xfId="2365"/>
    <cellStyle name="Total 2 4 24" xfId="39226"/>
    <cellStyle name="Total 2 4 25" xfId="42203"/>
    <cellStyle name="Total 2 4 3" xfId="3757"/>
    <cellStyle name="Total 2 4 3 10" xfId="19505"/>
    <cellStyle name="Total 2 4 3 11" xfId="21417"/>
    <cellStyle name="Total 2 4 3 12" xfId="23447"/>
    <cellStyle name="Total 2 4 3 13" xfId="25219"/>
    <cellStyle name="Total 2 4 3 14" xfId="26902"/>
    <cellStyle name="Total 2 4 3 15" xfId="28507"/>
    <cellStyle name="Total 2 4 3 16" xfId="30498"/>
    <cellStyle name="Total 2 4 3 17" xfId="32005"/>
    <cellStyle name="Total 2 4 3 18" xfId="34530"/>
    <cellStyle name="Total 2 4 3 19" xfId="36046"/>
    <cellStyle name="Total 2 4 3 2" xfId="5775"/>
    <cellStyle name="Total 2 4 3 2 10" xfId="22025"/>
    <cellStyle name="Total 2 4 3 2 11" xfId="22409"/>
    <cellStyle name="Total 2 4 3 2 12" xfId="25827"/>
    <cellStyle name="Total 2 4 3 2 13" xfId="27875"/>
    <cellStyle name="Total 2 4 3 2 14" xfId="28750"/>
    <cellStyle name="Total 2 4 3 2 15" xfId="31456"/>
    <cellStyle name="Total 2 4 3 2 16" xfId="31863"/>
    <cellStyle name="Total 2 4 3 2 17" xfId="33414"/>
    <cellStyle name="Total 2 4 3 2 18" xfId="36654"/>
    <cellStyle name="Total 2 4 3 2 19" xfId="38533"/>
    <cellStyle name="Total 2 4 3 2 2" xfId="7224"/>
    <cellStyle name="Total 2 4 3 2 20" xfId="39098"/>
    <cellStyle name="Total 2 4 3 2 21" xfId="40779"/>
    <cellStyle name="Total 2 4 3 2 22" xfId="42220"/>
    <cellStyle name="Total 2 4 3 2 3" xfId="8678"/>
    <cellStyle name="Total 2 4 3 2 4" xfId="10588"/>
    <cellStyle name="Total 2 4 3 2 5" xfId="2229"/>
    <cellStyle name="Total 2 4 3 2 6" xfId="12876"/>
    <cellStyle name="Total 2 4 3 2 7" xfId="14781"/>
    <cellStyle name="Total 2 4 3 2 8" xfId="18207"/>
    <cellStyle name="Total 2 4 3 2 9" xfId="20113"/>
    <cellStyle name="Total 2 4 3 20" xfId="37925"/>
    <cellStyle name="Total 2 4 3 21" xfId="39236"/>
    <cellStyle name="Total 2 4 3 22" xfId="40913"/>
    <cellStyle name="Total 2 4 3 23" xfId="43214"/>
    <cellStyle name="Total 2 4 3 3" xfId="5169"/>
    <cellStyle name="Total 2 4 3 3 2" xfId="45735"/>
    <cellStyle name="Total 2 4 3 3 3" xfId="46124"/>
    <cellStyle name="Total 2 4 3 3 4" xfId="46482"/>
    <cellStyle name="Total 2 4 3 3 5" xfId="46834"/>
    <cellStyle name="Total 2 4 3 3 6" xfId="47149"/>
    <cellStyle name="Total 2 4 3 3 7" xfId="47468"/>
    <cellStyle name="Total 2 4 3 3 8" xfId="47786"/>
    <cellStyle name="Total 2 4 3 4" xfId="8070"/>
    <cellStyle name="Total 2 4 3 4 2" xfId="45797"/>
    <cellStyle name="Total 2 4 3 4 3" xfId="46186"/>
    <cellStyle name="Total 2 4 3 4 4" xfId="46544"/>
    <cellStyle name="Total 2 4 3 4 5" xfId="46896"/>
    <cellStyle name="Total 2 4 3 4 6" xfId="47211"/>
    <cellStyle name="Total 2 4 3 4 7" xfId="47530"/>
    <cellStyle name="Total 2 4 3 4 8" xfId="47848"/>
    <cellStyle name="Total 2 4 3 5" xfId="9980"/>
    <cellStyle name="Total 2 4 3 5 2" xfId="45850"/>
    <cellStyle name="Total 2 4 3 5 3" xfId="46239"/>
    <cellStyle name="Total 2 4 3 5 4" xfId="46597"/>
    <cellStyle name="Total 2 4 3 5 5" xfId="46949"/>
    <cellStyle name="Total 2 4 3 5 6" xfId="47264"/>
    <cellStyle name="Total 2 4 3 5 7" xfId="47583"/>
    <cellStyle name="Total 2 4 3 5 8" xfId="47901"/>
    <cellStyle name="Total 2 4 3 6" xfId="12422"/>
    <cellStyle name="Total 2 4 3 7" xfId="13919"/>
    <cellStyle name="Total 2 4 3 8" xfId="15820"/>
    <cellStyle name="Total 2 4 3 9" xfId="17599"/>
    <cellStyle name="Total 2 4 4" xfId="4130"/>
    <cellStyle name="Total 2 4 4 10" xfId="19765"/>
    <cellStyle name="Total 2 4 4 11" xfId="21677"/>
    <cellStyle name="Total 2 4 4 12" xfId="22407"/>
    <cellStyle name="Total 2 4 4 13" xfId="25479"/>
    <cellStyle name="Total 2 4 4 14" xfId="26279"/>
    <cellStyle name="Total 2 4 4 15" xfId="3100"/>
    <cellStyle name="Total 2 4 4 16" xfId="29888"/>
    <cellStyle name="Total 2 4 4 17" xfId="30678"/>
    <cellStyle name="Total 2 4 4 18" xfId="28691"/>
    <cellStyle name="Total 2 4 4 19" xfId="36306"/>
    <cellStyle name="Total 2 4 4 2" xfId="6035"/>
    <cellStyle name="Total 2 4 4 2 10" xfId="22285"/>
    <cellStyle name="Total 2 4 4 2 11" xfId="24030"/>
    <cellStyle name="Total 2 4 4 2 12" xfId="26087"/>
    <cellStyle name="Total 2 4 4 2 13" xfId="27355"/>
    <cellStyle name="Total 2 4 4 2 14" xfId="29521"/>
    <cellStyle name="Total 2 4 4 2 15" xfId="30944"/>
    <cellStyle name="Total 2 4 4 2 16" xfId="32095"/>
    <cellStyle name="Total 2 4 4 2 17" xfId="34836"/>
    <cellStyle name="Total 2 4 4 2 18" xfId="36914"/>
    <cellStyle name="Total 2 4 4 2 19" xfId="38793"/>
    <cellStyle name="Total 2 4 4 2 2" xfId="7484"/>
    <cellStyle name="Total 2 4 4 2 20" xfId="39319"/>
    <cellStyle name="Total 2 4 4 2 21" xfId="40995"/>
    <cellStyle name="Total 2 4 4 2 22" xfId="43774"/>
    <cellStyle name="Total 2 4 4 2 3" xfId="8938"/>
    <cellStyle name="Total 2 4 4 2 4" xfId="10848"/>
    <cellStyle name="Total 2 4 4 2 5" xfId="11989"/>
    <cellStyle name="Total 2 4 4 2 6" xfId="14500"/>
    <cellStyle name="Total 2 4 4 2 7" xfId="16406"/>
    <cellStyle name="Total 2 4 4 2 8" xfId="18467"/>
    <cellStyle name="Total 2 4 4 2 9" xfId="20373"/>
    <cellStyle name="Total 2 4 4 20" xfId="38185"/>
    <cellStyle name="Total 2 4 4 21" xfId="3184"/>
    <cellStyle name="Total 2 4 4 22" xfId="39939"/>
    <cellStyle name="Total 2 4 4 23" xfId="42218"/>
    <cellStyle name="Total 2 4 4 3" xfId="6876"/>
    <cellStyle name="Total 2 4 4 3 2" xfId="45769"/>
    <cellStyle name="Total 2 4 4 3 3" xfId="46158"/>
    <cellStyle name="Total 2 4 4 3 4" xfId="46516"/>
    <cellStyle name="Total 2 4 4 3 5" xfId="46868"/>
    <cellStyle name="Total 2 4 4 3 6" xfId="47183"/>
    <cellStyle name="Total 2 4 4 3 7" xfId="47502"/>
    <cellStyle name="Total 2 4 4 3 8" xfId="47820"/>
    <cellStyle name="Total 2 4 4 4" xfId="8330"/>
    <cellStyle name="Total 2 4 4 4 2" xfId="45838"/>
    <cellStyle name="Total 2 4 4 4 3" xfId="46227"/>
    <cellStyle name="Total 2 4 4 4 4" xfId="46585"/>
    <cellStyle name="Total 2 4 4 4 5" xfId="46937"/>
    <cellStyle name="Total 2 4 4 4 6" xfId="47252"/>
    <cellStyle name="Total 2 4 4 4 7" xfId="47571"/>
    <cellStyle name="Total 2 4 4 4 8" xfId="47889"/>
    <cellStyle name="Total 2 4 4 5" xfId="10240"/>
    <cellStyle name="Total 2 4 4 5 2" xfId="45875"/>
    <cellStyle name="Total 2 4 4 5 3" xfId="46264"/>
    <cellStyle name="Total 2 4 4 5 4" xfId="46622"/>
    <cellStyle name="Total 2 4 4 5 5" xfId="46974"/>
    <cellStyle name="Total 2 4 4 5 6" xfId="47289"/>
    <cellStyle name="Total 2 4 4 5 7" xfId="47608"/>
    <cellStyle name="Total 2 4 4 5 8" xfId="47926"/>
    <cellStyle name="Total 2 4 4 6" xfId="12338"/>
    <cellStyle name="Total 2 4 4 7" xfId="12874"/>
    <cellStyle name="Total 2 4 4 8" xfId="14779"/>
    <cellStyle name="Total 2 4 4 9" xfId="17859"/>
    <cellStyle name="Total 2 4 5" xfId="4288"/>
    <cellStyle name="Total 2 4 5 10" xfId="20520"/>
    <cellStyle name="Total 2 4 5 11" xfId="22782"/>
    <cellStyle name="Total 2 4 5 12" xfId="24322"/>
    <cellStyle name="Total 2 4 5 13" xfId="26801"/>
    <cellStyle name="Total 2 4 5 14" xfId="29713"/>
    <cellStyle name="Total 2 4 5 15" xfId="30399"/>
    <cellStyle name="Total 2 4 5 16" xfId="32016"/>
    <cellStyle name="Total 2 4 5 17" xfId="34926"/>
    <cellStyle name="Total 2 4 5 18" xfId="35150"/>
    <cellStyle name="Total 2 4 5 19" xfId="37028"/>
    <cellStyle name="Total 2 4 5 2" xfId="4445"/>
    <cellStyle name="Total 2 4 5 20" xfId="39246"/>
    <cellStyle name="Total 2 4 5 21" xfId="40923"/>
    <cellStyle name="Total 2 4 5 22" xfId="42575"/>
    <cellStyle name="Total 2 4 5 3" xfId="3949"/>
    <cellStyle name="Total 2 4 5 4" xfId="9082"/>
    <cellStyle name="Total 2 4 5 5" xfId="12222"/>
    <cellStyle name="Total 2 4 5 6" xfId="13251"/>
    <cellStyle name="Total 2 4 5 7" xfId="15155"/>
    <cellStyle name="Total 2 4 5 8" xfId="16701"/>
    <cellStyle name="Total 2 4 5 9" xfId="18608"/>
    <cellStyle name="Total 2 4 6" xfId="3102"/>
    <cellStyle name="Total 2 4 6 2" xfId="45686"/>
    <cellStyle name="Total 2 4 6 3" xfId="46075"/>
    <cellStyle name="Total 2 4 6 4" xfId="46433"/>
    <cellStyle name="Total 2 4 6 5" xfId="46785"/>
    <cellStyle name="Total 2 4 6 6" xfId="47100"/>
    <cellStyle name="Total 2 4 6 7" xfId="47419"/>
    <cellStyle name="Total 2 4 6 8" xfId="47737"/>
    <cellStyle name="Total 2 4 7" xfId="9334"/>
    <cellStyle name="Total 2 4 7 2" xfId="45628"/>
    <cellStyle name="Total 2 4 7 3" xfId="46017"/>
    <cellStyle name="Total 2 4 7 4" xfId="46375"/>
    <cellStyle name="Total 2 4 7 5" xfId="46727"/>
    <cellStyle name="Total 2 4 7 6" xfId="47042"/>
    <cellStyle name="Total 2 4 7 7" xfId="47361"/>
    <cellStyle name="Total 2 4 7 8" xfId="47679"/>
    <cellStyle name="Total 2 4 8" xfId="2621"/>
    <cellStyle name="Total 2 4 9" xfId="12859"/>
    <cellStyle name="Total 2 5" xfId="2069"/>
    <cellStyle name="Total 2 5 10" xfId="17103"/>
    <cellStyle name="Total 2 5 11" xfId="19009"/>
    <cellStyle name="Total 2 5 12" xfId="20921"/>
    <cellStyle name="Total 2 5 13" xfId="24183"/>
    <cellStyle name="Total 2 5 14" xfId="24723"/>
    <cellStyle name="Total 2 5 15" xfId="27050"/>
    <cellStyle name="Total 2 5 16" xfId="26155"/>
    <cellStyle name="Total 2 5 17" xfId="30642"/>
    <cellStyle name="Total 2 5 18" xfId="32400"/>
    <cellStyle name="Total 2 5 19" xfId="33456"/>
    <cellStyle name="Total 2 5 2" xfId="4616"/>
    <cellStyle name="Total 2 5 2 10" xfId="20861"/>
    <cellStyle name="Total 2 5 2 11" xfId="23210"/>
    <cellStyle name="Total 2 5 2 12" xfId="24663"/>
    <cellStyle name="Total 2 5 2 13" xfId="27443"/>
    <cellStyle name="Total 2 5 2 14" xfId="4333"/>
    <cellStyle name="Total 2 5 2 15" xfId="31029"/>
    <cellStyle name="Total 2 5 2 16" xfId="32550"/>
    <cellStyle name="Total 2 5 2 17" xfId="31331"/>
    <cellStyle name="Total 2 5 2 18" xfId="35491"/>
    <cellStyle name="Total 2 5 2 19" xfId="37369"/>
    <cellStyle name="Total 2 5 2 2" xfId="6064"/>
    <cellStyle name="Total 2 5 2 2 2" xfId="45586"/>
    <cellStyle name="Total 2 5 2 2 3" xfId="45940"/>
    <cellStyle name="Total 2 5 2 2 4" xfId="46298"/>
    <cellStyle name="Total 2 5 2 2 5" xfId="46650"/>
    <cellStyle name="Total 2 5 2 2 6" xfId="46996"/>
    <cellStyle name="Total 2 5 2 2 7" xfId="47315"/>
    <cellStyle name="Total 2 5 2 2 8" xfId="45529"/>
    <cellStyle name="Total 2 5 2 20" xfId="39763"/>
    <cellStyle name="Total 2 5 2 21" xfId="41435"/>
    <cellStyle name="Total 2 5 2 22" xfId="42988"/>
    <cellStyle name="Total 2 5 2 3" xfId="7513"/>
    <cellStyle name="Total 2 5 2 3 2" xfId="45704"/>
    <cellStyle name="Total 2 5 2 3 3" xfId="46093"/>
    <cellStyle name="Total 2 5 2 3 4" xfId="46451"/>
    <cellStyle name="Total 2 5 2 3 5" xfId="46803"/>
    <cellStyle name="Total 2 5 2 3 6" xfId="47118"/>
    <cellStyle name="Total 2 5 2 3 7" xfId="47437"/>
    <cellStyle name="Total 2 5 2 3 8" xfId="47755"/>
    <cellStyle name="Total 2 5 2 4" xfId="9423"/>
    <cellStyle name="Total 2 5 2 4 2" xfId="45603"/>
    <cellStyle name="Total 2 5 2 4 3" xfId="45992"/>
    <cellStyle name="Total 2 5 2 4 4" xfId="46350"/>
    <cellStyle name="Total 2 5 2 4 5" xfId="46702"/>
    <cellStyle name="Total 2 5 2 4 6" xfId="47017"/>
    <cellStyle name="Total 2 5 2 4 7" xfId="47336"/>
    <cellStyle name="Total 2 5 2 4 8" xfId="47654"/>
    <cellStyle name="Total 2 5 2 5" xfId="11081"/>
    <cellStyle name="Total 2 5 2 6" xfId="13682"/>
    <cellStyle name="Total 2 5 2 7" xfId="15584"/>
    <cellStyle name="Total 2 5 2 8" xfId="17042"/>
    <cellStyle name="Total 2 5 2 9" xfId="18949"/>
    <cellStyle name="Total 2 5 20" xfId="35550"/>
    <cellStyle name="Total 2 5 21" xfId="37429"/>
    <cellStyle name="Total 2 5 22" xfId="39617"/>
    <cellStyle name="Total 2 5 23" xfId="41291"/>
    <cellStyle name="Total 2 5 24" xfId="43923"/>
    <cellStyle name="Total 2 5 3" xfId="4676"/>
    <cellStyle name="Total 2 5 3 2" xfId="45349"/>
    <cellStyle name="Total 2 5 3 2 2" xfId="45948"/>
    <cellStyle name="Total 2 5 3 2 3" xfId="46306"/>
    <cellStyle name="Total 2 5 3 2 4" xfId="46658"/>
    <cellStyle name="Total 2 5 3 2 5" xfId="45495"/>
    <cellStyle name="Total 2 5 3 3" xfId="45407"/>
    <cellStyle name="Total 2 5 3 3 2" xfId="45721"/>
    <cellStyle name="Total 2 5 3 3 3" xfId="46110"/>
    <cellStyle name="Total 2 5 3 3 4" xfId="46468"/>
    <cellStyle name="Total 2 5 3 3 5" xfId="46820"/>
    <cellStyle name="Total 2 5 3 3 6" xfId="47135"/>
    <cellStyle name="Total 2 5 3 3 7" xfId="47454"/>
    <cellStyle name="Total 2 5 3 3 8" xfId="47772"/>
    <cellStyle name="Total 2 5 3 4" xfId="45434"/>
    <cellStyle name="Total 2 5 3 4 2" xfId="45783"/>
    <cellStyle name="Total 2 5 3 4 3" xfId="46172"/>
    <cellStyle name="Total 2 5 3 4 4" xfId="46530"/>
    <cellStyle name="Total 2 5 3 4 5" xfId="46882"/>
    <cellStyle name="Total 2 5 3 4 6" xfId="47197"/>
    <cellStyle name="Total 2 5 3 4 7" xfId="47516"/>
    <cellStyle name="Total 2 5 3 4 8" xfId="47834"/>
    <cellStyle name="Total 2 5 3 5" xfId="45380"/>
    <cellStyle name="Total 2 5 3 5 2" xfId="45611"/>
    <cellStyle name="Total 2 5 3 5 3" xfId="46000"/>
    <cellStyle name="Total 2 5 3 5 4" xfId="46358"/>
    <cellStyle name="Total 2 5 3 5 5" xfId="46710"/>
    <cellStyle name="Total 2 5 3 5 6" xfId="47025"/>
    <cellStyle name="Total 2 5 3 5 7" xfId="47344"/>
    <cellStyle name="Total 2 5 3 5 8" xfId="47662"/>
    <cellStyle name="Total 2 5 3 6" xfId="45898"/>
    <cellStyle name="Total 2 5 3 7" xfId="45549"/>
    <cellStyle name="Total 2 5 3 8" xfId="45541"/>
    <cellStyle name="Total 2 5 3 9" xfId="45318"/>
    <cellStyle name="Total 2 5 4" xfId="6123"/>
    <cellStyle name="Total 2 5 4 2" xfId="45354"/>
    <cellStyle name="Total 2 5 4 2 2" xfId="45956"/>
    <cellStyle name="Total 2 5 4 2 3" xfId="46314"/>
    <cellStyle name="Total 2 5 4 2 4" xfId="46666"/>
    <cellStyle name="Total 2 5 4 2 5" xfId="47618"/>
    <cellStyle name="Total 2 5 4 3" xfId="45412"/>
    <cellStyle name="Total 2 5 4 3 2" xfId="45736"/>
    <cellStyle name="Total 2 5 4 3 3" xfId="46125"/>
    <cellStyle name="Total 2 5 4 3 4" xfId="46483"/>
    <cellStyle name="Total 2 5 4 3 5" xfId="46835"/>
    <cellStyle name="Total 2 5 4 3 6" xfId="47150"/>
    <cellStyle name="Total 2 5 4 3 7" xfId="47469"/>
    <cellStyle name="Total 2 5 4 3 8" xfId="47787"/>
    <cellStyle name="Total 2 5 4 4" xfId="45439"/>
    <cellStyle name="Total 2 5 4 4 2" xfId="45798"/>
    <cellStyle name="Total 2 5 4 4 3" xfId="46187"/>
    <cellStyle name="Total 2 5 4 4 4" xfId="46545"/>
    <cellStyle name="Total 2 5 4 4 5" xfId="46897"/>
    <cellStyle name="Total 2 5 4 4 6" xfId="47212"/>
    <cellStyle name="Total 2 5 4 4 7" xfId="47531"/>
    <cellStyle name="Total 2 5 4 4 8" xfId="47849"/>
    <cellStyle name="Total 2 5 4 5" xfId="45463"/>
    <cellStyle name="Total 2 5 4 5 2" xfId="45851"/>
    <cellStyle name="Total 2 5 4 5 3" xfId="46240"/>
    <cellStyle name="Total 2 5 4 5 4" xfId="46598"/>
    <cellStyle name="Total 2 5 4 5 5" xfId="46950"/>
    <cellStyle name="Total 2 5 4 5 6" xfId="47265"/>
    <cellStyle name="Total 2 5 4 5 7" xfId="47584"/>
    <cellStyle name="Total 2 5 4 5 8" xfId="47902"/>
    <cellStyle name="Total 2 5 4 6" xfId="45903"/>
    <cellStyle name="Total 2 5 4 7" xfId="45526"/>
    <cellStyle name="Total 2 5 4 8" xfId="47310"/>
    <cellStyle name="Total 2 5 4 9" xfId="45323"/>
    <cellStyle name="Total 2 5 5" xfId="7574"/>
    <cellStyle name="Total 2 5 5 2" xfId="45362"/>
    <cellStyle name="Total 2 5 5 2 2" xfId="45964"/>
    <cellStyle name="Total 2 5 5 2 3" xfId="46322"/>
    <cellStyle name="Total 2 5 5 2 4" xfId="46674"/>
    <cellStyle name="Total 2 5 5 2 5" xfId="47626"/>
    <cellStyle name="Total 2 5 5 3" xfId="45420"/>
    <cellStyle name="Total 2 5 5 3 2" xfId="45747"/>
    <cellStyle name="Total 2 5 5 3 3" xfId="46136"/>
    <cellStyle name="Total 2 5 5 3 4" xfId="46494"/>
    <cellStyle name="Total 2 5 5 3 5" xfId="46846"/>
    <cellStyle name="Total 2 5 5 3 6" xfId="47161"/>
    <cellStyle name="Total 2 5 5 3 7" xfId="47480"/>
    <cellStyle name="Total 2 5 5 3 8" xfId="47798"/>
    <cellStyle name="Total 2 5 5 4" xfId="45447"/>
    <cellStyle name="Total 2 5 5 4 2" xfId="45809"/>
    <cellStyle name="Total 2 5 5 4 3" xfId="46198"/>
    <cellStyle name="Total 2 5 5 4 4" xfId="46556"/>
    <cellStyle name="Total 2 5 5 4 5" xfId="46908"/>
    <cellStyle name="Total 2 5 5 4 6" xfId="47223"/>
    <cellStyle name="Total 2 5 5 4 7" xfId="47542"/>
    <cellStyle name="Total 2 5 5 4 8" xfId="47860"/>
    <cellStyle name="Total 2 5 5 5" xfId="45471"/>
    <cellStyle name="Total 2 5 5 5 2" xfId="45862"/>
    <cellStyle name="Total 2 5 5 5 3" xfId="46251"/>
    <cellStyle name="Total 2 5 5 5 4" xfId="46609"/>
    <cellStyle name="Total 2 5 5 5 5" xfId="46961"/>
    <cellStyle name="Total 2 5 5 5 6" xfId="47276"/>
    <cellStyle name="Total 2 5 5 5 7" xfId="47595"/>
    <cellStyle name="Total 2 5 5 5 8" xfId="47913"/>
    <cellStyle name="Total 2 5 5 6" xfId="45911"/>
    <cellStyle name="Total 2 5 5 7" xfId="45502"/>
    <cellStyle name="Total 2 5 5 8" xfId="47000"/>
    <cellStyle name="Total 2 5 5 9" xfId="47942"/>
    <cellStyle name="Total 2 5 6" xfId="9484"/>
    <cellStyle name="Total 2 5 6 10" xfId="47947"/>
    <cellStyle name="Total 2 5 6 2" xfId="45367"/>
    <cellStyle name="Total 2 5 6 2 2" xfId="45974"/>
    <cellStyle name="Total 2 5 6 2 3" xfId="46332"/>
    <cellStyle name="Total 2 5 6 2 4" xfId="46684"/>
    <cellStyle name="Total 2 5 6 2 5" xfId="47636"/>
    <cellStyle name="Total 2 5 6 3" xfId="45426"/>
    <cellStyle name="Total 2 5 6 3 2" xfId="45770"/>
    <cellStyle name="Total 2 5 6 3 3" xfId="46159"/>
    <cellStyle name="Total 2 5 6 3 4" xfId="46517"/>
    <cellStyle name="Total 2 5 6 3 5" xfId="46869"/>
    <cellStyle name="Total 2 5 6 3 6" xfId="47184"/>
    <cellStyle name="Total 2 5 6 3 7" xfId="47503"/>
    <cellStyle name="Total 2 5 6 3 8" xfId="47821"/>
    <cellStyle name="Total 2 5 6 4" xfId="45456"/>
    <cellStyle name="Total 2 5 6 4 2" xfId="45839"/>
    <cellStyle name="Total 2 5 6 4 3" xfId="46228"/>
    <cellStyle name="Total 2 5 6 4 4" xfId="46586"/>
    <cellStyle name="Total 2 5 6 4 5" xfId="46938"/>
    <cellStyle name="Total 2 5 6 4 6" xfId="47253"/>
    <cellStyle name="Total 2 5 6 4 7" xfId="47572"/>
    <cellStyle name="Total 2 5 6 4 8" xfId="47890"/>
    <cellStyle name="Total 2 5 6 5" xfId="45476"/>
    <cellStyle name="Total 2 5 6 5 2" xfId="45876"/>
    <cellStyle name="Total 2 5 6 5 3" xfId="46265"/>
    <cellStyle name="Total 2 5 6 5 4" xfId="46623"/>
    <cellStyle name="Total 2 5 6 5 5" xfId="46975"/>
    <cellStyle name="Total 2 5 6 5 6" xfId="47290"/>
    <cellStyle name="Total 2 5 6 5 7" xfId="47609"/>
    <cellStyle name="Total 2 5 6 5 8" xfId="47927"/>
    <cellStyle name="Total 2 5 6 6" xfId="45916"/>
    <cellStyle name="Total 2 5 6 7" xfId="45491"/>
    <cellStyle name="Total 2 5 6 8" xfId="45540"/>
    <cellStyle name="Total 2 5 6 9" xfId="45332"/>
    <cellStyle name="Total 2 5 7" xfId="12142"/>
    <cellStyle name="Total 2 5 7 2" xfId="45581"/>
    <cellStyle name="Total 2 5 7 3" xfId="45930"/>
    <cellStyle name="Total 2 5 7 4" xfId="46288"/>
    <cellStyle name="Total 2 5 7 5" xfId="46640"/>
    <cellStyle name="Total 2 5 7 6" xfId="46991"/>
    <cellStyle name="Total 2 5 7 7" xfId="47308"/>
    <cellStyle name="Total 2 5 7 8" xfId="45496"/>
    <cellStyle name="Total 2 5 8" xfId="14654"/>
    <cellStyle name="Total 2 5 8 2" xfId="45687"/>
    <cellStyle name="Total 2 5 8 3" xfId="46076"/>
    <cellStyle name="Total 2 5 8 4" xfId="46434"/>
    <cellStyle name="Total 2 5 8 5" xfId="46786"/>
    <cellStyle name="Total 2 5 8 6" xfId="47101"/>
    <cellStyle name="Total 2 5 8 7" xfId="47420"/>
    <cellStyle name="Total 2 5 8 8" xfId="47738"/>
    <cellStyle name="Total 2 5 9" xfId="16560"/>
    <cellStyle name="Total 2 5 9 2" xfId="45754"/>
    <cellStyle name="Total 2 5 9 3" xfId="46143"/>
    <cellStyle name="Total 2 5 9 4" xfId="46501"/>
    <cellStyle name="Total 2 5 9 5" xfId="46853"/>
    <cellStyle name="Total 2 5 9 6" xfId="47168"/>
    <cellStyle name="Total 2 5 9 7" xfId="47487"/>
    <cellStyle name="Total 2 5 9 8" xfId="47805"/>
    <cellStyle name="Total 2 6" xfId="2261"/>
    <cellStyle name="Total 2 6 10" xfId="19042"/>
    <cellStyle name="Total 2 6 11" xfId="20954"/>
    <cellStyle name="Total 2 6 12" xfId="24144"/>
    <cellStyle name="Total 2 6 13" xfId="24756"/>
    <cellStyle name="Total 2 6 14" xfId="26811"/>
    <cellStyle name="Total 2 6 15" xfId="28155"/>
    <cellStyle name="Total 2 6 16" xfId="30410"/>
    <cellStyle name="Total 2 6 17" xfId="32395"/>
    <cellStyle name="Total 2 6 18" xfId="34354"/>
    <cellStyle name="Total 2 6 19" xfId="35583"/>
    <cellStyle name="Total 2 6 2" xfId="4569"/>
    <cellStyle name="Total 2 6 2 10" xfId="20814"/>
    <cellStyle name="Total 2 6 2 11" xfId="24167"/>
    <cellStyle name="Total 2 6 2 12" xfId="24616"/>
    <cellStyle name="Total 2 6 2 13" xfId="27582"/>
    <cellStyle name="Total 2 6 2 14" xfId="27091"/>
    <cellStyle name="Total 2 6 2 15" xfId="31161"/>
    <cellStyle name="Total 2 6 2 16" xfId="32035"/>
    <cellStyle name="Total 2 6 2 17" xfId="30605"/>
    <cellStyle name="Total 2 6 2 18" xfId="35444"/>
    <cellStyle name="Total 2 6 2 19" xfId="37322"/>
    <cellStyle name="Total 2 6 2 2" xfId="4777"/>
    <cellStyle name="Total 2 6 2 20" xfId="39265"/>
    <cellStyle name="Total 2 6 2 21" xfId="40942"/>
    <cellStyle name="Total 2 6 2 22" xfId="43909"/>
    <cellStyle name="Total 2 6 2 3" xfId="6154"/>
    <cellStyle name="Total 2 6 2 4" xfId="9376"/>
    <cellStyle name="Total 2 6 2 5" xfId="12127"/>
    <cellStyle name="Total 2 6 2 6" xfId="14638"/>
    <cellStyle name="Total 2 6 2 7" xfId="16544"/>
    <cellStyle name="Total 2 6 2 8" xfId="16995"/>
    <cellStyle name="Total 2 6 2 9" xfId="18902"/>
    <cellStyle name="Total 2 6 20" xfId="37462"/>
    <cellStyle name="Total 2 6 21" xfId="39612"/>
    <cellStyle name="Total 2 6 22" xfId="41286"/>
    <cellStyle name="Total 2 6 23" xfId="43887"/>
    <cellStyle name="Total 2 6 3" xfId="4708"/>
    <cellStyle name="Total 2 6 3 2" xfId="45684"/>
    <cellStyle name="Total 2 6 3 3" xfId="46073"/>
    <cellStyle name="Total 2 6 3 4" xfId="46431"/>
    <cellStyle name="Total 2 6 3 5" xfId="46783"/>
    <cellStyle name="Total 2 6 3 6" xfId="47098"/>
    <cellStyle name="Total 2 6 3 7" xfId="47417"/>
    <cellStyle name="Total 2 6 3 8" xfId="47735"/>
    <cellStyle name="Total 2 6 4" xfId="7607"/>
    <cellStyle name="Total 2 6 4 2" xfId="45756"/>
    <cellStyle name="Total 2 6 4 3" xfId="46145"/>
    <cellStyle name="Total 2 6 4 4" xfId="46503"/>
    <cellStyle name="Total 2 6 4 5" xfId="46855"/>
    <cellStyle name="Total 2 6 4 6" xfId="47170"/>
    <cellStyle name="Total 2 6 4 7" xfId="47489"/>
    <cellStyle name="Total 2 6 4 8" xfId="47807"/>
    <cellStyle name="Total 2 6 5" xfId="9517"/>
    <cellStyle name="Total 2 6 6" xfId="12104"/>
    <cellStyle name="Total 2 6 7" xfId="14615"/>
    <cellStyle name="Total 2 6 8" xfId="16521"/>
    <cellStyle name="Total 2 6 9" xfId="17136"/>
    <cellStyle name="Total 2 7" xfId="2435"/>
    <cellStyle name="Total 2 7 10" xfId="19067"/>
    <cellStyle name="Total 2 7 11" xfId="20979"/>
    <cellStyle name="Total 2 7 12" xfId="23539"/>
    <cellStyle name="Total 2 7 13" xfId="24781"/>
    <cellStyle name="Total 2 7 14" xfId="27348"/>
    <cellStyle name="Total 2 7 15" xfId="29580"/>
    <cellStyle name="Total 2 7 16" xfId="30936"/>
    <cellStyle name="Total 2 7 17" xfId="32473"/>
    <cellStyle name="Total 2 7 18" xfId="33476"/>
    <cellStyle name="Total 2 7 19" xfId="35608"/>
    <cellStyle name="Total 2 7 2" xfId="5582"/>
    <cellStyle name="Total 2 7 2 10" xfId="21832"/>
    <cellStyle name="Total 2 7 2 11" xfId="22908"/>
    <cellStyle name="Total 2 7 2 12" xfId="25634"/>
    <cellStyle name="Total 2 7 2 13" xfId="26264"/>
    <cellStyle name="Total 2 7 2 14" xfId="2666"/>
    <cellStyle name="Total 2 7 2 15" xfId="29874"/>
    <cellStyle name="Total 2 7 2 16" xfId="32718"/>
    <cellStyle name="Total 2 7 2 17" xfId="35059"/>
    <cellStyle name="Total 2 7 2 18" xfId="36461"/>
    <cellStyle name="Total 2 7 2 19" xfId="38340"/>
    <cellStyle name="Total 2 7 2 2" xfId="7031"/>
    <cellStyle name="Total 2 7 2 20" xfId="39928"/>
    <cellStyle name="Total 2 7 2 21" xfId="41594"/>
    <cellStyle name="Total 2 7 2 22" xfId="42694"/>
    <cellStyle name="Total 2 7 2 3" xfId="8485"/>
    <cellStyle name="Total 2 7 2 4" xfId="10395"/>
    <cellStyle name="Total 2 7 2 5" xfId="10983"/>
    <cellStyle name="Total 2 7 2 6" xfId="13376"/>
    <cellStyle name="Total 2 7 2 7" xfId="15281"/>
    <cellStyle name="Total 2 7 2 8" xfId="18014"/>
    <cellStyle name="Total 2 7 2 9" xfId="19920"/>
    <cellStyle name="Total 2 7 20" xfId="37487"/>
    <cellStyle name="Total 2 7 21" xfId="39691"/>
    <cellStyle name="Total 2 7 22" xfId="41364"/>
    <cellStyle name="Total 2 7 23" xfId="43304"/>
    <cellStyle name="Total 2 7 3" xfId="6181"/>
    <cellStyle name="Total 2 7 3 2" xfId="45690"/>
    <cellStyle name="Total 2 7 3 3" xfId="46079"/>
    <cellStyle name="Total 2 7 3 4" xfId="46437"/>
    <cellStyle name="Total 2 7 3 5" xfId="46789"/>
    <cellStyle name="Total 2 7 3 6" xfId="47104"/>
    <cellStyle name="Total 2 7 3 7" xfId="47423"/>
    <cellStyle name="Total 2 7 3 8" xfId="47741"/>
    <cellStyle name="Total 2 7 4" xfId="7632"/>
    <cellStyle name="Total 2 7 4 2" xfId="45753"/>
    <cellStyle name="Total 2 7 4 3" xfId="46142"/>
    <cellStyle name="Total 2 7 4 4" xfId="46500"/>
    <cellStyle name="Total 2 7 4 5" xfId="46852"/>
    <cellStyle name="Total 2 7 4 6" xfId="47167"/>
    <cellStyle name="Total 2 7 4 7" xfId="47486"/>
    <cellStyle name="Total 2 7 4 8" xfId="47804"/>
    <cellStyle name="Total 2 7 5" xfId="9542"/>
    <cellStyle name="Total 2 7 5 2" xfId="45820"/>
    <cellStyle name="Total 2 7 5 3" xfId="46209"/>
    <cellStyle name="Total 2 7 5 4" xfId="46567"/>
    <cellStyle name="Total 2 7 5 5" xfId="46919"/>
    <cellStyle name="Total 2 7 5 6" xfId="47234"/>
    <cellStyle name="Total 2 7 5 7" xfId="47553"/>
    <cellStyle name="Total 2 7 5 8" xfId="47871"/>
    <cellStyle name="Total 2 7 6" xfId="12515"/>
    <cellStyle name="Total 2 7 7" xfId="14011"/>
    <cellStyle name="Total 2 7 8" xfId="15912"/>
    <cellStyle name="Total 2 7 9" xfId="17161"/>
    <cellStyle name="Total 2 8" xfId="3157"/>
    <cellStyle name="Total 2 8 2" xfId="45346"/>
    <cellStyle name="Total 2 8 2 2" xfId="45945"/>
    <cellStyle name="Total 2 8 2 3" xfId="46303"/>
    <cellStyle name="Total 2 8 2 4" xfId="46655"/>
    <cellStyle name="Total 2 8 2 5" xfId="45505"/>
    <cellStyle name="Total 2 8 3" xfId="45404"/>
    <cellStyle name="Total 2 8 3 2" xfId="45714"/>
    <cellStyle name="Total 2 8 3 3" xfId="46103"/>
    <cellStyle name="Total 2 8 3 4" xfId="46461"/>
    <cellStyle name="Total 2 8 3 5" xfId="46813"/>
    <cellStyle name="Total 2 8 3 6" xfId="47128"/>
    <cellStyle name="Total 2 8 3 7" xfId="47447"/>
    <cellStyle name="Total 2 8 3 8" xfId="47765"/>
    <cellStyle name="Total 2 8 4" xfId="45373"/>
    <cellStyle name="Total 2 8 4 2" xfId="45593"/>
    <cellStyle name="Total 2 8 4 3" xfId="45982"/>
    <cellStyle name="Total 2 8 4 4" xfId="46340"/>
    <cellStyle name="Total 2 8 4 5" xfId="46692"/>
    <cellStyle name="Total 2 8 4 6" xfId="47007"/>
    <cellStyle name="Total 2 8 4 7" xfId="47326"/>
    <cellStyle name="Total 2 8 4 8" xfId="47644"/>
    <cellStyle name="Total 2 8 5" xfId="45382"/>
    <cellStyle name="Total 2 8 5 2" xfId="45621"/>
    <cellStyle name="Total 2 8 5 3" xfId="46010"/>
    <cellStyle name="Total 2 8 5 4" xfId="46368"/>
    <cellStyle name="Total 2 8 5 5" xfId="46720"/>
    <cellStyle name="Total 2 8 5 6" xfId="47035"/>
    <cellStyle name="Total 2 8 5 7" xfId="47354"/>
    <cellStyle name="Total 2 8 5 8" xfId="47672"/>
    <cellStyle name="Total 2 8 6" xfId="45895"/>
    <cellStyle name="Total 2 8 7" xfId="45555"/>
    <cellStyle name="Total 2 8 8" xfId="47319"/>
    <cellStyle name="Total 2 8 9" xfId="45315"/>
    <cellStyle name="Total 2 9" xfId="2452"/>
    <cellStyle name="Total 3" xfId="51571"/>
    <cellStyle name="Total 3 2" xfId="52193"/>
    <cellStyle name="Total 3 3" xfId="52224"/>
    <cellStyle name="Total 4" xfId="51576"/>
    <cellStyle name="Total 4 2" xfId="52196"/>
    <cellStyle name="Total 4 3" xfId="52247"/>
    <cellStyle name="Total 5" xfId="51579"/>
    <cellStyle name="Total 5 2" xfId="52197"/>
    <cellStyle name="Total 5 3" xfId="52251"/>
    <cellStyle name="Total 6" xfId="51585"/>
    <cellStyle name="Total 6 2" xfId="52201"/>
    <cellStyle name="Total 6 3" xfId="52239"/>
    <cellStyle name="Total 7" xfId="51589"/>
    <cellStyle name="Total 7 2" xfId="52203"/>
    <cellStyle name="Total 7 3" xfId="52227"/>
    <cellStyle name="Total 8" xfId="51583"/>
    <cellStyle name="Total 8 2" xfId="52199"/>
    <cellStyle name="Total 8 3" xfId="52238"/>
    <cellStyle name="Total 9" xfId="51599"/>
    <cellStyle name="Total 9 2" xfId="52210"/>
    <cellStyle name="Total 9 3" xfId="52232"/>
    <cellStyle name="Vírgula" xfId="1" builtinId="3"/>
    <cellStyle name="Vírgula 2" xfId="100"/>
    <cellStyle name="Vírgula 2 10" xfId="571"/>
    <cellStyle name="Vírgula 2 10 2" xfId="1642"/>
    <cellStyle name="Vírgula 2 11" xfId="654"/>
    <cellStyle name="Vírgula 2 11 2" xfId="1725"/>
    <cellStyle name="Vírgula 2 12" xfId="1120"/>
    <cellStyle name="Vírgula 2 12 2" xfId="45297"/>
    <cellStyle name="Vírgula 2 12 3" xfId="43984"/>
    <cellStyle name="Vírgula 2 13" xfId="1173"/>
    <cellStyle name="Vírgula 2 13 2" xfId="45298"/>
    <cellStyle name="Vírgula 2 13 3" xfId="45287"/>
    <cellStyle name="Vírgula 2 13_Mem." xfId="49652"/>
    <cellStyle name="Vírgula 2 14" xfId="1850"/>
    <cellStyle name="Vírgula 2 2" xfId="157"/>
    <cellStyle name="Vírgula 2 2 2" xfId="1121"/>
    <cellStyle name="Vírgula 2 2 2 2" xfId="45299"/>
    <cellStyle name="Vírgula 2 2 2 3" xfId="43986"/>
    <cellStyle name="Vírgula 2 2 3" xfId="1229"/>
    <cellStyle name="Vírgula 2 2_Mem." xfId="49653"/>
    <cellStyle name="Vírgula 2 3" xfId="250"/>
    <cellStyle name="Vírgula 2 3 10" xfId="49654"/>
    <cellStyle name="Vírgula 2 3 2" xfId="1322"/>
    <cellStyle name="Vírgula 2 3 2 2" xfId="49655"/>
    <cellStyle name="Vírgula 2 3 2 2 2" xfId="49656"/>
    <cellStyle name="Vírgula 2 3 2 2 2 2" xfId="49657"/>
    <cellStyle name="Vírgula 2 3 2 2 2 2 2" xfId="51120"/>
    <cellStyle name="Vírgula 2 3 2 2 2 3" xfId="50377"/>
    <cellStyle name="Vírgula 2 3 2 2 3" xfId="49658"/>
    <cellStyle name="Vírgula 2 3 2 2 3 2" xfId="50760"/>
    <cellStyle name="Vírgula 2 3 2 2 4" xfId="50069"/>
    <cellStyle name="Vírgula 2 3 2 3" xfId="49659"/>
    <cellStyle name="Vírgula 2 3 2 3 2" xfId="49660"/>
    <cellStyle name="Vírgula 2 3 2 3 2 2" xfId="50985"/>
    <cellStyle name="Vírgula 2 3 2 3 3" xfId="50249"/>
    <cellStyle name="Vírgula 2 3 2 4" xfId="49661"/>
    <cellStyle name="Vírgula 2 3 2 4 2" xfId="50623"/>
    <cellStyle name="Vírgula 2 3 2 5" xfId="49662"/>
    <cellStyle name="Vírgula 2 3 3" xfId="49663"/>
    <cellStyle name="Vírgula 2 3 3 2" xfId="49664"/>
    <cellStyle name="Vírgula 2 3 3 2 2" xfId="49665"/>
    <cellStyle name="Vírgula 2 3 3 2 2 2" xfId="49666"/>
    <cellStyle name="Vírgula 2 3 3 2 2 2 2" xfId="51160"/>
    <cellStyle name="Vírgula 2 3 3 2 2 3" xfId="50416"/>
    <cellStyle name="Vírgula 2 3 3 2 3" xfId="49667"/>
    <cellStyle name="Vírgula 2 3 3 2 3 2" xfId="50800"/>
    <cellStyle name="Vírgula 2 3 3 2 4" xfId="50100"/>
    <cellStyle name="Vírgula 2 3 3 3" xfId="49668"/>
    <cellStyle name="Vírgula 2 3 3 3 2" xfId="49669"/>
    <cellStyle name="Vírgula 2 3 3 3 2 2" xfId="51024"/>
    <cellStyle name="Vírgula 2 3 3 3 3" xfId="50288"/>
    <cellStyle name="Vírgula 2 3 3 4" xfId="49670"/>
    <cellStyle name="Vírgula 2 3 3 4 2" xfId="50663"/>
    <cellStyle name="Vírgula 2 3 3 5" xfId="49995"/>
    <cellStyle name="Vírgula 2 3 4" xfId="49671"/>
    <cellStyle name="Vírgula 2 3 4 2" xfId="49672"/>
    <cellStyle name="Vírgula 2 3 4 2 2" xfId="49673"/>
    <cellStyle name="Vírgula 2 3 4 2 2 2" xfId="51087"/>
    <cellStyle name="Vírgula 2 3 4 2 3" xfId="50345"/>
    <cellStyle name="Vírgula 2 3 4 3" xfId="49674"/>
    <cellStyle name="Vírgula 2 3 4 3 2" xfId="50727"/>
    <cellStyle name="Vírgula 2 3 4 4" xfId="50043"/>
    <cellStyle name="Vírgula 2 3 5" xfId="49675"/>
    <cellStyle name="Vírgula 2 3 5 2" xfId="49676"/>
    <cellStyle name="Vírgula 2 3 5 2 2" xfId="49677"/>
    <cellStyle name="Vírgula 2 3 5 2 2 2" xfId="50953"/>
    <cellStyle name="Vírgula 2 3 5 2 3" xfId="50217"/>
    <cellStyle name="Vírgula 2 3 5 3" xfId="49678"/>
    <cellStyle name="Vírgula 2 3 5 3 2" xfId="50590"/>
    <cellStyle name="Vírgula 2 3 5 4" xfId="49944"/>
    <cellStyle name="Vírgula 2 3 6" xfId="49679"/>
    <cellStyle name="Vírgula 2 3 6 2" xfId="49680"/>
    <cellStyle name="Vírgula 2 3 6 2 2" xfId="49681"/>
    <cellStyle name="Vírgula 2 3 6 2 2 2" xfId="51193"/>
    <cellStyle name="Vírgula 2 3 6 2 3" xfId="50445"/>
    <cellStyle name="Vírgula 2 3 6 3" xfId="49682"/>
    <cellStyle name="Vírgula 2 3 6 3 2" xfId="50834"/>
    <cellStyle name="Vírgula 2 3 6 4" xfId="50126"/>
    <cellStyle name="Vírgula 2 3 7" xfId="49683"/>
    <cellStyle name="Vírgula 2 3 7 2" xfId="49684"/>
    <cellStyle name="Vírgula 2 3 7 2 2" xfId="50876"/>
    <cellStyle name="Vírgula 2 3 7 3" xfId="50151"/>
    <cellStyle name="Vírgula 2 3 8" xfId="49685"/>
    <cellStyle name="Vírgula 2 3 8 2" xfId="49686"/>
    <cellStyle name="Vírgula 2 3 8 2 2" xfId="51226"/>
    <cellStyle name="Vírgula 2 3 8 3" xfId="50471"/>
    <cellStyle name="Vírgula 2 3 9" xfId="49687"/>
    <cellStyle name="Vírgula 2 3 9 2" xfId="50499"/>
    <cellStyle name="Vírgula 2 4" xfId="307"/>
    <cellStyle name="Vírgula 2 4 2" xfId="1379"/>
    <cellStyle name="Vírgula 2 5" xfId="347"/>
    <cellStyle name="Vírgula 2 5 2" xfId="1419"/>
    <cellStyle name="Vírgula 2 6" xfId="386"/>
    <cellStyle name="Vírgula 2 6 2" xfId="1458"/>
    <cellStyle name="Vírgula 2 7" xfId="444"/>
    <cellStyle name="Vírgula 2 7 2" xfId="1516"/>
    <cellStyle name="Vírgula 2 8" xfId="511"/>
    <cellStyle name="Vírgula 2 8 2" xfId="1582"/>
    <cellStyle name="Vírgula 2 9" xfId="602"/>
    <cellStyle name="Vírgula 2 9 2" xfId="1673"/>
    <cellStyle name="Vírgula 3" xfId="101"/>
    <cellStyle name="Vírgula 3 10" xfId="617"/>
    <cellStyle name="Vírgula 3 10 2" xfId="1688"/>
    <cellStyle name="Vírgula 3 10 2 2" xfId="49688"/>
    <cellStyle name="Vírgula 3 10 3" xfId="49689"/>
    <cellStyle name="Vírgula 3 11" xfId="552"/>
    <cellStyle name="Vírgula 3 11 2" xfId="1623"/>
    <cellStyle name="Vírgula 3 11 2 2" xfId="49690"/>
    <cellStyle name="Vírgula 3 11 3" xfId="49691"/>
    <cellStyle name="Vírgula 3 12" xfId="1174"/>
    <cellStyle name="Vírgula 3 12 2" xfId="49692"/>
    <cellStyle name="Vírgula 3 13" xfId="45518"/>
    <cellStyle name="Vírgula 3 13 2" xfId="49875"/>
    <cellStyle name="Vírgula 3 14" xfId="49693"/>
    <cellStyle name="Vírgula 3 2" xfId="158"/>
    <cellStyle name="Vírgula 3 2 10" xfId="49694"/>
    <cellStyle name="Vírgula 3 2 10 2" xfId="50500"/>
    <cellStyle name="Vírgula 3 2 11" xfId="49695"/>
    <cellStyle name="Vírgula 3 2 2" xfId="1230"/>
    <cellStyle name="Vírgula 3 2 2 2" xfId="49696"/>
    <cellStyle name="Vírgula 3 2 2 2 2" xfId="49697"/>
    <cellStyle name="Vírgula 3 2 2 2 2 2" xfId="49698"/>
    <cellStyle name="Vírgula 3 2 2 2 2 2 2" xfId="51089"/>
    <cellStyle name="Vírgula 3 2 2 2 2 3" xfId="50347"/>
    <cellStyle name="Vírgula 3 2 2 2 3" xfId="49699"/>
    <cellStyle name="Vírgula 3 2 2 2 3 2" xfId="50729"/>
    <cellStyle name="Vírgula 3 2 2 2 4" xfId="50044"/>
    <cellStyle name="Vírgula 3 2 2 3" xfId="49700"/>
    <cellStyle name="Vírgula 3 2 2 3 2" xfId="49701"/>
    <cellStyle name="Vírgula 3 2 2 3 2 2" xfId="50955"/>
    <cellStyle name="Vírgula 3 2 2 3 3" xfId="50219"/>
    <cellStyle name="Vírgula 3 2 2 4" xfId="49702"/>
    <cellStyle name="Vírgula 3 2 2 4 2" xfId="50592"/>
    <cellStyle name="Vírgula 3 2 2 5" xfId="49703"/>
    <cellStyle name="Vírgula 3 2 3" xfId="49704"/>
    <cellStyle name="Vírgula 3 2 3 2" xfId="49705"/>
    <cellStyle name="Vírgula 3 2 3 2 2" xfId="49706"/>
    <cellStyle name="Vírgula 3 2 3 2 2 2" xfId="49707"/>
    <cellStyle name="Vírgula 3 2 3 2 2 2 2" xfId="51122"/>
    <cellStyle name="Vírgula 3 2 3 2 2 3" xfId="50379"/>
    <cellStyle name="Vírgula 3 2 3 2 3" xfId="49708"/>
    <cellStyle name="Vírgula 3 2 3 2 3 2" xfId="50762"/>
    <cellStyle name="Vírgula 3 2 3 2 4" xfId="50070"/>
    <cellStyle name="Vírgula 3 2 3 3" xfId="49709"/>
    <cellStyle name="Vírgula 3 2 3 3 2" xfId="49710"/>
    <cellStyle name="Vírgula 3 2 3 3 2 2" xfId="50987"/>
    <cellStyle name="Vírgula 3 2 3 3 3" xfId="50251"/>
    <cellStyle name="Vírgula 3 2 3 4" xfId="49711"/>
    <cellStyle name="Vírgula 3 2 3 4 2" xfId="50625"/>
    <cellStyle name="Vírgula 3 2 3 5" xfId="49966"/>
    <cellStyle name="Vírgula 3 2 4" xfId="49712"/>
    <cellStyle name="Vírgula 3 2 4 2" xfId="49713"/>
    <cellStyle name="Vírgula 3 2 4 2 2" xfId="49714"/>
    <cellStyle name="Vírgula 3 2 4 2 2 2" xfId="49715"/>
    <cellStyle name="Vírgula 3 2 4 2 2 2 2" xfId="51162"/>
    <cellStyle name="Vírgula 3 2 4 2 2 3" xfId="50418"/>
    <cellStyle name="Vírgula 3 2 4 2 3" xfId="49716"/>
    <cellStyle name="Vírgula 3 2 4 2 3 2" xfId="50802"/>
    <cellStyle name="Vírgula 3 2 4 2 4" xfId="50101"/>
    <cellStyle name="Vírgula 3 2 4 3" xfId="49717"/>
    <cellStyle name="Vírgula 3 2 4 3 2" xfId="49718"/>
    <cellStyle name="Vírgula 3 2 4 3 2 2" xfId="51026"/>
    <cellStyle name="Vírgula 3 2 4 3 3" xfId="50290"/>
    <cellStyle name="Vírgula 3 2 4 4" xfId="49719"/>
    <cellStyle name="Vírgula 3 2 4 4 2" xfId="50665"/>
    <cellStyle name="Vírgula 3 2 4 5" xfId="49996"/>
    <cellStyle name="Vírgula 3 2 5" xfId="49720"/>
    <cellStyle name="Vírgula 3 2 5 2" xfId="49721"/>
    <cellStyle name="Vírgula 3 2 5 2 2" xfId="49722"/>
    <cellStyle name="Vírgula 3 2 5 2 2 2" xfId="51050"/>
    <cellStyle name="Vírgula 3 2 5 2 3" xfId="50309"/>
    <cellStyle name="Vírgula 3 2 5 3" xfId="49723"/>
    <cellStyle name="Vírgula 3 2 5 3 2" xfId="50690"/>
    <cellStyle name="Vírgula 3 2 5 4" xfId="50012"/>
    <cellStyle name="Vírgula 3 2 6" xfId="49724"/>
    <cellStyle name="Vírgula 3 2 6 2" xfId="49725"/>
    <cellStyle name="Vírgula 3 2 6 2 2" xfId="49726"/>
    <cellStyle name="Vírgula 3 2 6 2 2 2" xfId="50917"/>
    <cellStyle name="Vírgula 3 2 6 2 3" xfId="50181"/>
    <cellStyle name="Vírgula 3 2 6 3" xfId="49727"/>
    <cellStyle name="Vírgula 3 2 6 3 2" xfId="50553"/>
    <cellStyle name="Vírgula 3 2 6 4" xfId="49917"/>
    <cellStyle name="Vírgula 3 2 7" xfId="49728"/>
    <cellStyle name="Vírgula 3 2 7 2" xfId="49729"/>
    <cellStyle name="Vírgula 3 2 7 2 2" xfId="49730"/>
    <cellStyle name="Vírgula 3 2 7 2 2 2" xfId="51195"/>
    <cellStyle name="Vírgula 3 2 7 2 3" xfId="50446"/>
    <cellStyle name="Vírgula 3 2 7 3" xfId="49731"/>
    <cellStyle name="Vírgula 3 2 7 3 2" xfId="50836"/>
    <cellStyle name="Vírgula 3 2 7 4" xfId="50127"/>
    <cellStyle name="Vírgula 3 2 8" xfId="49732"/>
    <cellStyle name="Vírgula 3 2 8 2" xfId="49733"/>
    <cellStyle name="Vírgula 3 2 8 2 2" xfId="50877"/>
    <cellStyle name="Vírgula 3 2 8 3" xfId="50152"/>
    <cellStyle name="Vírgula 3 2 9" xfId="49734"/>
    <cellStyle name="Vírgula 3 2 9 2" xfId="49735"/>
    <cellStyle name="Vírgula 3 2 9 2 2" xfId="51227"/>
    <cellStyle name="Vírgula 3 2 9 3" xfId="50472"/>
    <cellStyle name="Vírgula 3 3" xfId="251"/>
    <cellStyle name="Vírgula 3 3 10" xfId="49736"/>
    <cellStyle name="Vírgula 3 3 10 2" xfId="50501"/>
    <cellStyle name="Vírgula 3 3 11" xfId="49737"/>
    <cellStyle name="Vírgula 3 3 2" xfId="1323"/>
    <cellStyle name="Vírgula 3 3 2 2" xfId="49738"/>
    <cellStyle name="Vírgula 3 3 2 2 2" xfId="49739"/>
    <cellStyle name="Vírgula 3 3 2 2 2 2" xfId="49740"/>
    <cellStyle name="Vírgula 3 3 2 2 2 2 2" xfId="51090"/>
    <cellStyle name="Vírgula 3 3 2 2 2 3" xfId="50348"/>
    <cellStyle name="Vírgula 3 3 2 2 3" xfId="49741"/>
    <cellStyle name="Vírgula 3 3 2 2 3 2" xfId="50730"/>
    <cellStyle name="Vírgula 3 3 2 2 4" xfId="50045"/>
    <cellStyle name="Vírgula 3 3 2 3" xfId="49742"/>
    <cellStyle name="Vírgula 3 3 2 3 2" xfId="49743"/>
    <cellStyle name="Vírgula 3 3 2 3 2 2" xfId="50956"/>
    <cellStyle name="Vírgula 3 3 2 3 3" xfId="50220"/>
    <cellStyle name="Vírgula 3 3 2 4" xfId="49744"/>
    <cellStyle name="Vírgula 3 3 2 4 2" xfId="50593"/>
    <cellStyle name="Vírgula 3 3 2 5" xfId="49745"/>
    <cellStyle name="Vírgula 3 3 3" xfId="49746"/>
    <cellStyle name="Vírgula 3 3 3 2" xfId="49747"/>
    <cellStyle name="Vírgula 3 3 3 2 2" xfId="49748"/>
    <cellStyle name="Vírgula 3 3 3 2 2 2" xfId="49749"/>
    <cellStyle name="Vírgula 3 3 3 2 2 2 2" xfId="51123"/>
    <cellStyle name="Vírgula 3 3 3 2 2 3" xfId="50380"/>
    <cellStyle name="Vírgula 3 3 3 2 3" xfId="49750"/>
    <cellStyle name="Vírgula 3 3 3 2 3 2" xfId="50763"/>
    <cellStyle name="Vírgula 3 3 3 2 4" xfId="50071"/>
    <cellStyle name="Vírgula 3 3 3 3" xfId="49751"/>
    <cellStyle name="Vírgula 3 3 3 3 2" xfId="49752"/>
    <cellStyle name="Vírgula 3 3 3 3 2 2" xfId="50988"/>
    <cellStyle name="Vírgula 3 3 3 3 3" xfId="50252"/>
    <cellStyle name="Vírgula 3 3 3 4" xfId="49753"/>
    <cellStyle name="Vírgula 3 3 3 4 2" xfId="50626"/>
    <cellStyle name="Vírgula 3 3 3 5" xfId="49967"/>
    <cellStyle name="Vírgula 3 3 4" xfId="49754"/>
    <cellStyle name="Vírgula 3 3 4 2" xfId="49755"/>
    <cellStyle name="Vírgula 3 3 4 2 2" xfId="49756"/>
    <cellStyle name="Vírgula 3 3 4 2 2 2" xfId="49757"/>
    <cellStyle name="Vírgula 3 3 4 2 2 2 2" xfId="51163"/>
    <cellStyle name="Vírgula 3 3 4 2 2 3" xfId="50419"/>
    <cellStyle name="Vírgula 3 3 4 2 3" xfId="49758"/>
    <cellStyle name="Vírgula 3 3 4 2 3 2" xfId="50803"/>
    <cellStyle name="Vírgula 3 3 4 2 4" xfId="50102"/>
    <cellStyle name="Vírgula 3 3 4 3" xfId="49759"/>
    <cellStyle name="Vírgula 3 3 4 3 2" xfId="49760"/>
    <cellStyle name="Vírgula 3 3 4 3 2 2" xfId="51027"/>
    <cellStyle name="Vírgula 3 3 4 3 3" xfId="50291"/>
    <cellStyle name="Vírgula 3 3 4 4" xfId="49761"/>
    <cellStyle name="Vírgula 3 3 4 4 2" xfId="50666"/>
    <cellStyle name="Vírgula 3 3 4 5" xfId="49997"/>
    <cellStyle name="Vírgula 3 3 5" xfId="49762"/>
    <cellStyle name="Vírgula 3 3 5 2" xfId="49763"/>
    <cellStyle name="Vírgula 3 3 5 2 2" xfId="49764"/>
    <cellStyle name="Vírgula 3 3 5 2 2 2" xfId="51040"/>
    <cellStyle name="Vírgula 3 3 5 2 3" xfId="50300"/>
    <cellStyle name="Vírgula 3 3 5 3" xfId="49765"/>
    <cellStyle name="Vírgula 3 3 5 3 2" xfId="50680"/>
    <cellStyle name="Vírgula 3 3 5 4" xfId="50003"/>
    <cellStyle name="Vírgula 3 3 6" xfId="49766"/>
    <cellStyle name="Vírgula 3 3 6 2" xfId="49767"/>
    <cellStyle name="Vírgula 3 3 6 2 2" xfId="49768"/>
    <cellStyle name="Vírgula 3 3 6 2 2 2" xfId="50907"/>
    <cellStyle name="Vírgula 3 3 6 2 3" xfId="50172"/>
    <cellStyle name="Vírgula 3 3 6 3" xfId="49769"/>
    <cellStyle name="Vírgula 3 3 6 3 2" xfId="50543"/>
    <cellStyle name="Vírgula 3 3 6 4" xfId="49908"/>
    <cellStyle name="Vírgula 3 3 7" xfId="49770"/>
    <cellStyle name="Vírgula 3 3 7 2" xfId="49771"/>
    <cellStyle name="Vírgula 3 3 7 2 2" xfId="49772"/>
    <cellStyle name="Vírgula 3 3 7 2 2 2" xfId="51196"/>
    <cellStyle name="Vírgula 3 3 7 2 3" xfId="50447"/>
    <cellStyle name="Vírgula 3 3 7 3" xfId="49773"/>
    <cellStyle name="Vírgula 3 3 7 3 2" xfId="50837"/>
    <cellStyle name="Vírgula 3 3 7 4" xfId="50128"/>
    <cellStyle name="Vírgula 3 3 8" xfId="49774"/>
    <cellStyle name="Vírgula 3 3 8 2" xfId="49775"/>
    <cellStyle name="Vírgula 3 3 8 2 2" xfId="50878"/>
    <cellStyle name="Vírgula 3 3 8 3" xfId="50153"/>
    <cellStyle name="Vírgula 3 3 9" xfId="49776"/>
    <cellStyle name="Vírgula 3 3 9 2" xfId="49777"/>
    <cellStyle name="Vírgula 3 3 9 2 2" xfId="51228"/>
    <cellStyle name="Vírgula 3 3 9 3" xfId="50473"/>
    <cellStyle name="Vírgula 3 4" xfId="309"/>
    <cellStyle name="Vírgula 3 4 2" xfId="1381"/>
    <cellStyle name="Vírgula 3 4 2 2" xfId="49778"/>
    <cellStyle name="Vírgula 3 4 2 2 2" xfId="49779"/>
    <cellStyle name="Vírgula 3 4 2 2 2 2" xfId="51088"/>
    <cellStyle name="Vírgula 3 4 2 2 3" xfId="50346"/>
    <cellStyle name="Vírgula 3 4 2 3" xfId="49780"/>
    <cellStyle name="Vírgula 3 4 2 3 2" xfId="50728"/>
    <cellStyle name="Vírgula 3 4 2 4" xfId="49781"/>
    <cellStyle name="Vírgula 3 4 3" xfId="49782"/>
    <cellStyle name="Vírgula 3 4 3 2" xfId="49783"/>
    <cellStyle name="Vírgula 3 4 3 2 2" xfId="50954"/>
    <cellStyle name="Vírgula 3 4 3 3" xfId="50218"/>
    <cellStyle name="Vírgula 3 4 4" xfId="49784"/>
    <cellStyle name="Vírgula 3 4 4 2" xfId="50591"/>
    <cellStyle name="Vírgula 3 4 5" xfId="49785"/>
    <cellStyle name="Vírgula 3 5" xfId="348"/>
    <cellStyle name="Vírgula 3 5 2" xfId="1420"/>
    <cellStyle name="Vírgula 3 5 2 2" xfId="49786"/>
    <cellStyle name="Vírgula 3 5 2 2 2" xfId="49787"/>
    <cellStyle name="Vírgula 3 5 2 2 2 2" xfId="51121"/>
    <cellStyle name="Vírgula 3 5 2 2 3" xfId="50378"/>
    <cellStyle name="Vírgula 3 5 2 3" xfId="49788"/>
    <cellStyle name="Vírgula 3 5 2 3 2" xfId="50761"/>
    <cellStyle name="Vírgula 3 5 2 4" xfId="49789"/>
    <cellStyle name="Vírgula 3 5 3" xfId="49790"/>
    <cellStyle name="Vírgula 3 5 3 2" xfId="49791"/>
    <cellStyle name="Vírgula 3 5 3 2 2" xfId="50986"/>
    <cellStyle name="Vírgula 3 5 3 3" xfId="50250"/>
    <cellStyle name="Vírgula 3 5 4" xfId="49792"/>
    <cellStyle name="Vírgula 3 5 4 2" xfId="50624"/>
    <cellStyle name="Vírgula 3 5 5" xfId="49793"/>
    <cellStyle name="Vírgula 3 6" xfId="387"/>
    <cellStyle name="Vírgula 3 6 2" xfId="1459"/>
    <cellStyle name="Vírgula 3 6 2 2" xfId="49794"/>
    <cellStyle name="Vírgula 3 6 2 2 2" xfId="49795"/>
    <cellStyle name="Vírgula 3 6 2 2 2 2" xfId="51161"/>
    <cellStyle name="Vírgula 3 6 2 2 3" xfId="50417"/>
    <cellStyle name="Vírgula 3 6 2 3" xfId="49796"/>
    <cellStyle name="Vírgula 3 6 2 3 2" xfId="50801"/>
    <cellStyle name="Vírgula 3 6 2 4" xfId="49797"/>
    <cellStyle name="Vírgula 3 6 3" xfId="49798"/>
    <cellStyle name="Vírgula 3 6 3 2" xfId="49799"/>
    <cellStyle name="Vírgula 3 6 3 2 2" xfId="51025"/>
    <cellStyle name="Vírgula 3 6 3 3" xfId="50289"/>
    <cellStyle name="Vírgula 3 6 4" xfId="49800"/>
    <cellStyle name="Vírgula 3 6 4 2" xfId="50664"/>
    <cellStyle name="Vírgula 3 6 5" xfId="49801"/>
    <cellStyle name="Vírgula 3 7" xfId="445"/>
    <cellStyle name="Vírgula 3 7 2" xfId="1517"/>
    <cellStyle name="Vírgula 3 7 2 2" xfId="49802"/>
    <cellStyle name="Vírgula 3 7 2 2 2" xfId="51030"/>
    <cellStyle name="Vírgula 3 7 2 3" xfId="49803"/>
    <cellStyle name="Vírgula 3 7 3" xfId="49804"/>
    <cellStyle name="Vírgula 3 7 3 2" xfId="50670"/>
    <cellStyle name="Vírgula 3 7 4" xfId="49805"/>
    <cellStyle name="Vírgula 3 8" xfId="512"/>
    <cellStyle name="Vírgula 3 8 2" xfId="1583"/>
    <cellStyle name="Vírgula 3 8 2 2" xfId="49806"/>
    <cellStyle name="Vírgula 3 8 2 2 2" xfId="50897"/>
    <cellStyle name="Vírgula 3 8 2 3" xfId="49807"/>
    <cellStyle name="Vírgula 3 8 3" xfId="49808"/>
    <cellStyle name="Vírgula 3 8 3 2" xfId="50533"/>
    <cellStyle name="Vírgula 3 8 4" xfId="49809"/>
    <cellStyle name="Vírgula 3 9" xfId="581"/>
    <cellStyle name="Vírgula 3 9 2" xfId="1652"/>
    <cellStyle name="Vírgula 3 9 2 2" xfId="49810"/>
    <cellStyle name="Vírgula 3 9 2 2 2" xfId="51194"/>
    <cellStyle name="Vírgula 3 9 2 3" xfId="49811"/>
    <cellStyle name="Vírgula 3 9 3" xfId="49812"/>
    <cellStyle name="Vírgula 3 9 3 2" xfId="50835"/>
    <cellStyle name="Vírgula 3 9 4" xfId="49813"/>
    <cellStyle name="Vírgula 4" xfId="102"/>
    <cellStyle name="Vírgula 4 10" xfId="643"/>
    <cellStyle name="Vírgula 4 10 2" xfId="1714"/>
    <cellStyle name="Vírgula 4 11" xfId="572"/>
    <cellStyle name="Vírgula 4 11 2" xfId="1643"/>
    <cellStyle name="Vírgula 4 12" xfId="1175"/>
    <cellStyle name="Vírgula 4 13" xfId="1852"/>
    <cellStyle name="Vírgula 4 14" xfId="1759"/>
    <cellStyle name="Vírgula 4 2" xfId="159"/>
    <cellStyle name="Vírgula 4 2 2" xfId="1231"/>
    <cellStyle name="Vírgula 4 3" xfId="252"/>
    <cellStyle name="Vírgula 4 3 2" xfId="1324"/>
    <cellStyle name="Vírgula 4 4" xfId="310"/>
    <cellStyle name="Vírgula 4 4 2" xfId="1382"/>
    <cellStyle name="Vírgula 4 5" xfId="349"/>
    <cellStyle name="Vírgula 4 5 2" xfId="1421"/>
    <cellStyle name="Vírgula 4 6" xfId="388"/>
    <cellStyle name="Vírgula 4 6 2" xfId="1460"/>
    <cellStyle name="Vírgula 4 7" xfId="446"/>
    <cellStyle name="Vírgula 4 7 2" xfId="1518"/>
    <cellStyle name="Vírgula 4 8" xfId="513"/>
    <cellStyle name="Vírgula 4 8 2" xfId="1584"/>
    <cellStyle name="Vírgula 4 9" xfId="560"/>
    <cellStyle name="Vírgula 4 9 2" xfId="1631"/>
    <cellStyle name="Vírgula 4_Mem." xfId="49814"/>
    <cellStyle name="Vírgula 5" xfId="679"/>
    <cellStyle name="Vírgula 5 2" xfId="49815"/>
    <cellStyle name="Vírgula 5 2 2" xfId="49816"/>
    <cellStyle name="Vírgula 5 2 2 2" xfId="49817"/>
    <cellStyle name="Vírgula 5 2 2 2 2" xfId="49818"/>
    <cellStyle name="Vírgula 5 2 2 2 2 2" xfId="51164"/>
    <cellStyle name="Vírgula 5 2 2 2 3" xfId="50420"/>
    <cellStyle name="Vírgula 5 2 2 3" xfId="49819"/>
    <cellStyle name="Vírgula 5 2 2 3 2" xfId="50804"/>
    <cellStyle name="Vírgula 5 2 2 4" xfId="50103"/>
    <cellStyle name="Vírgula 5 2 3" xfId="49820"/>
    <cellStyle name="Vírgula 5 2 3 2" xfId="49821"/>
    <cellStyle name="Vírgula 5 2 3 2 2" xfId="51028"/>
    <cellStyle name="Vírgula 5 2 3 3" xfId="50292"/>
    <cellStyle name="Vírgula 5 2 4" xfId="49822"/>
    <cellStyle name="Vírgula 5 2 4 2" xfId="50667"/>
    <cellStyle name="Vírgula 5 2 5" xfId="49998"/>
    <cellStyle name="Vírgula 5 3" xfId="49823"/>
    <cellStyle name="Vírgula 5 3 2" xfId="49824"/>
    <cellStyle name="Vírgula 5 3 2 2" xfId="49825"/>
    <cellStyle name="Vírgula 5 3 2 2 2" xfId="51126"/>
    <cellStyle name="Vírgula 5 3 2 3" xfId="50383"/>
    <cellStyle name="Vírgula 5 3 3" xfId="49826"/>
    <cellStyle name="Vírgula 5 3 3 2" xfId="50766"/>
    <cellStyle name="Vírgula 5 3 4" xfId="50073"/>
    <cellStyle name="Vírgula 5 4" xfId="49827"/>
    <cellStyle name="Vírgula 5 4 2" xfId="49828"/>
    <cellStyle name="Vírgula 5 4 2 2" xfId="49829"/>
    <cellStyle name="Vírgula 5 4 2 2 2" xfId="50991"/>
    <cellStyle name="Vírgula 5 4 2 3" xfId="50255"/>
    <cellStyle name="Vírgula 5 4 3" xfId="49830"/>
    <cellStyle name="Vírgula 5 4 3 2" xfId="50629"/>
    <cellStyle name="Vírgula 5 4 4" xfId="49969"/>
    <cellStyle name="Vírgula 5 5" xfId="49831"/>
    <cellStyle name="Vírgula 5 5 2" xfId="49832"/>
    <cellStyle name="Vírgula 5 5 2 2" xfId="50880"/>
    <cellStyle name="Vírgula 5 5 3" xfId="50154"/>
    <cellStyle name="Vírgula 5 6" xfId="49833"/>
    <cellStyle name="Vírgula 5 6 2" xfId="49834"/>
    <cellStyle name="Vírgula 5 6 2 2" xfId="51229"/>
    <cellStyle name="Vírgula 5 6 3" xfId="50474"/>
    <cellStyle name="Vírgula 5 7" xfId="49835"/>
    <cellStyle name="Vírgula 5 7 2" xfId="50514"/>
    <cellStyle name="Vírgula 5 8" xfId="49836"/>
    <cellStyle name="Vírgula 6" xfId="45289"/>
    <cellStyle name="Vírgula 6 2" xfId="49837"/>
    <cellStyle name="Vírgula 6 2 2" xfId="53316"/>
    <cellStyle name="Vírgula 6 3" xfId="53315"/>
    <cellStyle name="Vírgula 7" xfId="49838"/>
    <cellStyle name="Vírgula 8" xfId="53320"/>
    <cellStyle name="Vírgula 9" xfId="53322"/>
    <cellStyle name="Warning Text" xfId="51567"/>
  </cellStyles>
  <dxfs count="14">
    <dxf>
      <font>
        <b/>
        <i val="0"/>
      </font>
      <fill>
        <patternFill patternType="solid">
          <bgColor theme="0"/>
        </patternFill>
      </fill>
      <border>
        <left/>
        <right/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 patternType="solid">
          <bgColor theme="0"/>
        </patternFill>
      </fill>
      <border>
        <left/>
        <right/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 patternType="solid">
          <bgColor theme="0"/>
        </patternFill>
      </fill>
      <border>
        <left/>
        <right/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 patternType="solid">
          <bgColor theme="0"/>
        </patternFill>
      </fill>
      <border>
        <left/>
        <right/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 patternType="solid">
          <bgColor theme="0"/>
        </patternFill>
      </fill>
      <border>
        <left/>
        <right/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 patternType="solid">
          <bgColor theme="0"/>
        </patternFill>
      </fill>
      <border>
        <left/>
        <right/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 patternType="solid">
          <bgColor theme="0"/>
        </patternFill>
      </fill>
      <border>
        <left/>
        <right/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0"/>
        </patternFill>
      </fill>
    </dxf>
  </dxfs>
  <tableStyles count="0" defaultTableStyle="TableStyleMedium9" defaultPivotStyle="PivotStyleLight16"/>
  <colors>
    <mruColors>
      <color rgb="FF0000FF"/>
      <color rgb="FF0033CC"/>
      <color rgb="FFFFFF66"/>
      <color rgb="FFFF66FF"/>
      <color rgb="FFFFCC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7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5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externalLink" Target="externalLinks/externalLink6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428625</xdr:colOff>
      <xdr:row>229</xdr:row>
      <xdr:rowOff>0</xdr:rowOff>
    </xdr:from>
    <xdr:to>
      <xdr:col>2</xdr:col>
      <xdr:colOff>535517</xdr:colOff>
      <xdr:row>230</xdr:row>
      <xdr:rowOff>33620</xdr:rowOff>
    </xdr:to>
    <xdr:sp macro="" textlink="">
      <xdr:nvSpPr>
        <xdr:cNvPr id="196" name="AutoShape 1">
          <a:extLst>
            <a:ext uri="{FF2B5EF4-FFF2-40B4-BE49-F238E27FC236}">
              <a16:creationId xmlns="" xmlns:a16="http://schemas.microsoft.com/office/drawing/2014/main" id="{00000000-0008-0000-0400-0000C4000000}"/>
            </a:ext>
          </a:extLst>
        </xdr:cNvPr>
        <xdr:cNvSpPr>
          <a:spLocks noChangeAspect="1" noChangeArrowheads="1"/>
        </xdr:cNvSpPr>
      </xdr:nvSpPr>
      <xdr:spPr bwMode="auto">
        <a:xfrm>
          <a:off x="2857500" y="22040850"/>
          <a:ext cx="5619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229</xdr:row>
      <xdr:rowOff>0</xdr:rowOff>
    </xdr:from>
    <xdr:to>
      <xdr:col>2</xdr:col>
      <xdr:colOff>535517</xdr:colOff>
      <xdr:row>230</xdr:row>
      <xdr:rowOff>33620</xdr:rowOff>
    </xdr:to>
    <xdr:sp macro="" textlink="">
      <xdr:nvSpPr>
        <xdr:cNvPr id="197" name="AutoShape 1">
          <a:extLst>
            <a:ext uri="{FF2B5EF4-FFF2-40B4-BE49-F238E27FC236}">
              <a16:creationId xmlns="" xmlns:a16="http://schemas.microsoft.com/office/drawing/2014/main" id="{00000000-0008-0000-0400-0000C5000000}"/>
            </a:ext>
          </a:extLst>
        </xdr:cNvPr>
        <xdr:cNvSpPr>
          <a:spLocks noChangeAspect="1" noChangeArrowheads="1"/>
        </xdr:cNvSpPr>
      </xdr:nvSpPr>
      <xdr:spPr bwMode="auto">
        <a:xfrm>
          <a:off x="2857500" y="22040850"/>
          <a:ext cx="5619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229</xdr:row>
      <xdr:rowOff>0</xdr:rowOff>
    </xdr:from>
    <xdr:to>
      <xdr:col>2</xdr:col>
      <xdr:colOff>535517</xdr:colOff>
      <xdr:row>230</xdr:row>
      <xdr:rowOff>33620</xdr:rowOff>
    </xdr:to>
    <xdr:sp macro="" textlink="">
      <xdr:nvSpPr>
        <xdr:cNvPr id="198" name="AutoShape 1">
          <a:extLst>
            <a:ext uri="{FF2B5EF4-FFF2-40B4-BE49-F238E27FC236}">
              <a16:creationId xmlns="" xmlns:a16="http://schemas.microsoft.com/office/drawing/2014/main" id="{00000000-0008-0000-0400-0000C6000000}"/>
            </a:ext>
          </a:extLst>
        </xdr:cNvPr>
        <xdr:cNvSpPr>
          <a:spLocks noChangeAspect="1" noChangeArrowheads="1"/>
        </xdr:cNvSpPr>
      </xdr:nvSpPr>
      <xdr:spPr bwMode="auto">
        <a:xfrm>
          <a:off x="2857500" y="22040850"/>
          <a:ext cx="5619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229</xdr:row>
      <xdr:rowOff>0</xdr:rowOff>
    </xdr:from>
    <xdr:to>
      <xdr:col>2</xdr:col>
      <xdr:colOff>535517</xdr:colOff>
      <xdr:row>230</xdr:row>
      <xdr:rowOff>33620</xdr:rowOff>
    </xdr:to>
    <xdr:sp macro="" textlink="">
      <xdr:nvSpPr>
        <xdr:cNvPr id="199" name="AutoShape 1">
          <a:extLst>
            <a:ext uri="{FF2B5EF4-FFF2-40B4-BE49-F238E27FC236}">
              <a16:creationId xmlns="" xmlns:a16="http://schemas.microsoft.com/office/drawing/2014/main" id="{00000000-0008-0000-0400-0000C7000000}"/>
            </a:ext>
          </a:extLst>
        </xdr:cNvPr>
        <xdr:cNvSpPr>
          <a:spLocks noChangeAspect="1" noChangeArrowheads="1"/>
        </xdr:cNvSpPr>
      </xdr:nvSpPr>
      <xdr:spPr bwMode="auto">
        <a:xfrm>
          <a:off x="2857500" y="22040850"/>
          <a:ext cx="5619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232</xdr:row>
      <xdr:rowOff>0</xdr:rowOff>
    </xdr:from>
    <xdr:to>
      <xdr:col>2</xdr:col>
      <xdr:colOff>535517</xdr:colOff>
      <xdr:row>233</xdr:row>
      <xdr:rowOff>33618</xdr:rowOff>
    </xdr:to>
    <xdr:sp macro="" textlink="">
      <xdr:nvSpPr>
        <xdr:cNvPr id="10" name="AutoShape 1"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173005750"/>
          <a:ext cx="1218142" cy="1923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232</xdr:row>
      <xdr:rowOff>0</xdr:rowOff>
    </xdr:from>
    <xdr:to>
      <xdr:col>2</xdr:col>
      <xdr:colOff>535517</xdr:colOff>
      <xdr:row>233</xdr:row>
      <xdr:rowOff>33618</xdr:rowOff>
    </xdr:to>
    <xdr:sp macro="" textlink="">
      <xdr:nvSpPr>
        <xdr:cNvPr id="11" name="AutoShape 1">
          <a:extLst>
            <a:ext uri="{FF2B5EF4-FFF2-40B4-BE49-F238E27FC236}">
              <a16:creationId xmlns="" xmlns:a16="http://schemas.microsoft.com/office/drawing/2014/main" id="{00000000-0008-0000-04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173005750"/>
          <a:ext cx="1218142" cy="1923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232</xdr:row>
      <xdr:rowOff>0</xdr:rowOff>
    </xdr:from>
    <xdr:to>
      <xdr:col>2</xdr:col>
      <xdr:colOff>535517</xdr:colOff>
      <xdr:row>233</xdr:row>
      <xdr:rowOff>33618</xdr:rowOff>
    </xdr:to>
    <xdr:sp macro="" textlink="">
      <xdr:nvSpPr>
        <xdr:cNvPr id="12" name="AutoShape 1">
          <a:extLst>
            <a:ext uri="{FF2B5EF4-FFF2-40B4-BE49-F238E27FC236}">
              <a16:creationId xmlns="" xmlns:a16="http://schemas.microsoft.com/office/drawing/2014/main" id="{00000000-0008-0000-04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173005750"/>
          <a:ext cx="1218142" cy="1923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232</xdr:row>
      <xdr:rowOff>0</xdr:rowOff>
    </xdr:from>
    <xdr:to>
      <xdr:col>2</xdr:col>
      <xdr:colOff>535517</xdr:colOff>
      <xdr:row>233</xdr:row>
      <xdr:rowOff>33618</xdr:rowOff>
    </xdr:to>
    <xdr:sp macro="" textlink="">
      <xdr:nvSpPr>
        <xdr:cNvPr id="13" name="AutoShape 1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381000" y="173005750"/>
          <a:ext cx="1218142" cy="1923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232</xdr:row>
      <xdr:rowOff>0</xdr:rowOff>
    </xdr:from>
    <xdr:to>
      <xdr:col>2</xdr:col>
      <xdr:colOff>535517</xdr:colOff>
      <xdr:row>233</xdr:row>
      <xdr:rowOff>33617</xdr:rowOff>
    </xdr:to>
    <xdr:sp macro="" textlink="">
      <xdr:nvSpPr>
        <xdr:cNvPr id="14" name="AutoShape 1">
          <a:extLst>
            <a:ext uri="{FF2B5EF4-FFF2-40B4-BE49-F238E27FC236}">
              <a16:creationId xmlns="" xmlns:a16="http://schemas.microsoft.com/office/drawing/2014/main" id="{00000000-0008-0000-04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43124438"/>
          <a:ext cx="1214173" cy="2003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232</xdr:row>
      <xdr:rowOff>0</xdr:rowOff>
    </xdr:from>
    <xdr:to>
      <xdr:col>2</xdr:col>
      <xdr:colOff>535517</xdr:colOff>
      <xdr:row>233</xdr:row>
      <xdr:rowOff>33617</xdr:rowOff>
    </xdr:to>
    <xdr:sp macro="" textlink="">
      <xdr:nvSpPr>
        <xdr:cNvPr id="15" name="AutoShape 1">
          <a:extLst>
            <a:ext uri="{FF2B5EF4-FFF2-40B4-BE49-F238E27FC236}">
              <a16:creationId xmlns="" xmlns:a16="http://schemas.microsoft.com/office/drawing/2014/main" id="{00000000-0008-0000-04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43124438"/>
          <a:ext cx="1214173" cy="2003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232</xdr:row>
      <xdr:rowOff>0</xdr:rowOff>
    </xdr:from>
    <xdr:to>
      <xdr:col>2</xdr:col>
      <xdr:colOff>535517</xdr:colOff>
      <xdr:row>233</xdr:row>
      <xdr:rowOff>33617</xdr:rowOff>
    </xdr:to>
    <xdr:sp macro="" textlink="">
      <xdr:nvSpPr>
        <xdr:cNvPr id="16" name="AutoShape 1">
          <a:extLst>
            <a:ext uri="{FF2B5EF4-FFF2-40B4-BE49-F238E27FC236}">
              <a16:creationId xmlns="" xmlns:a16="http://schemas.microsoft.com/office/drawing/2014/main" id="{00000000-0008-0000-04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43124438"/>
          <a:ext cx="1214173" cy="2003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232</xdr:row>
      <xdr:rowOff>0</xdr:rowOff>
    </xdr:from>
    <xdr:to>
      <xdr:col>2</xdr:col>
      <xdr:colOff>535517</xdr:colOff>
      <xdr:row>233</xdr:row>
      <xdr:rowOff>33617</xdr:rowOff>
    </xdr:to>
    <xdr:sp macro="" textlink="">
      <xdr:nvSpPr>
        <xdr:cNvPr id="17" name="AutoShape 1">
          <a:extLst>
            <a:ext uri="{FF2B5EF4-FFF2-40B4-BE49-F238E27FC236}">
              <a16:creationId xmlns="" xmlns:a16="http://schemas.microsoft.com/office/drawing/2014/main" id="{00000000-0008-0000-04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43124438"/>
          <a:ext cx="1214173" cy="2003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232</xdr:row>
      <xdr:rowOff>0</xdr:rowOff>
    </xdr:from>
    <xdr:to>
      <xdr:col>2</xdr:col>
      <xdr:colOff>535517</xdr:colOff>
      <xdr:row>233</xdr:row>
      <xdr:rowOff>33618</xdr:rowOff>
    </xdr:to>
    <xdr:sp macro="" textlink="">
      <xdr:nvSpPr>
        <xdr:cNvPr id="26" name="AutoShape 1">
          <a:extLst>
            <a:ext uri="{FF2B5EF4-FFF2-40B4-BE49-F238E27FC236}">
              <a16:creationId xmlns="" xmlns:a16="http://schemas.microsoft.com/office/drawing/2014/main" id="{00000000-0008-0000-04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66317813"/>
          <a:ext cx="1214173" cy="2003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232</xdr:row>
      <xdr:rowOff>0</xdr:rowOff>
    </xdr:from>
    <xdr:to>
      <xdr:col>2</xdr:col>
      <xdr:colOff>535517</xdr:colOff>
      <xdr:row>233</xdr:row>
      <xdr:rowOff>33618</xdr:rowOff>
    </xdr:to>
    <xdr:sp macro="" textlink="">
      <xdr:nvSpPr>
        <xdr:cNvPr id="27" name="AutoShape 1">
          <a:extLst>
            <a:ext uri="{FF2B5EF4-FFF2-40B4-BE49-F238E27FC236}">
              <a16:creationId xmlns="" xmlns:a16="http://schemas.microsoft.com/office/drawing/2014/main" id="{00000000-0008-0000-04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66317813"/>
          <a:ext cx="1214173" cy="2003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232</xdr:row>
      <xdr:rowOff>0</xdr:rowOff>
    </xdr:from>
    <xdr:to>
      <xdr:col>2</xdr:col>
      <xdr:colOff>535517</xdr:colOff>
      <xdr:row>233</xdr:row>
      <xdr:rowOff>33618</xdr:rowOff>
    </xdr:to>
    <xdr:sp macro="" textlink="">
      <xdr:nvSpPr>
        <xdr:cNvPr id="28" name="AutoShape 1">
          <a:extLst>
            <a:ext uri="{FF2B5EF4-FFF2-40B4-BE49-F238E27FC236}">
              <a16:creationId xmlns="" xmlns:a16="http://schemas.microsoft.com/office/drawing/2014/main" id="{00000000-0008-0000-04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66317813"/>
          <a:ext cx="1214173" cy="2003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232</xdr:row>
      <xdr:rowOff>0</xdr:rowOff>
    </xdr:from>
    <xdr:to>
      <xdr:col>2</xdr:col>
      <xdr:colOff>535517</xdr:colOff>
      <xdr:row>233</xdr:row>
      <xdr:rowOff>33618</xdr:rowOff>
    </xdr:to>
    <xdr:sp macro="" textlink="">
      <xdr:nvSpPr>
        <xdr:cNvPr id="29" name="AutoShape 1">
          <a:extLst>
            <a:ext uri="{FF2B5EF4-FFF2-40B4-BE49-F238E27FC236}">
              <a16:creationId xmlns="" xmlns:a16="http://schemas.microsoft.com/office/drawing/2014/main" id="{00000000-0008-0000-04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66317813"/>
          <a:ext cx="1214173" cy="2003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238</xdr:row>
      <xdr:rowOff>0</xdr:rowOff>
    </xdr:from>
    <xdr:to>
      <xdr:col>2</xdr:col>
      <xdr:colOff>535517</xdr:colOff>
      <xdr:row>239</xdr:row>
      <xdr:rowOff>33617</xdr:rowOff>
    </xdr:to>
    <xdr:sp macro="" textlink="">
      <xdr:nvSpPr>
        <xdr:cNvPr id="30" name="AutoShape 1">
          <a:extLst>
            <a:ext uri="{FF2B5EF4-FFF2-40B4-BE49-F238E27FC236}">
              <a16:creationId xmlns="" xmlns:a16="http://schemas.microsoft.com/office/drawing/2014/main" id="{00000000-0008-0000-04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67972781"/>
          <a:ext cx="1214173" cy="2003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238</xdr:row>
      <xdr:rowOff>0</xdr:rowOff>
    </xdr:from>
    <xdr:to>
      <xdr:col>2</xdr:col>
      <xdr:colOff>535517</xdr:colOff>
      <xdr:row>239</xdr:row>
      <xdr:rowOff>33617</xdr:rowOff>
    </xdr:to>
    <xdr:sp macro="" textlink="">
      <xdr:nvSpPr>
        <xdr:cNvPr id="31" name="AutoShape 1">
          <a:extLst>
            <a:ext uri="{FF2B5EF4-FFF2-40B4-BE49-F238E27FC236}">
              <a16:creationId xmlns="" xmlns:a16="http://schemas.microsoft.com/office/drawing/2014/main" id="{00000000-0008-0000-04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67972781"/>
          <a:ext cx="1214173" cy="2003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238</xdr:row>
      <xdr:rowOff>0</xdr:rowOff>
    </xdr:from>
    <xdr:to>
      <xdr:col>2</xdr:col>
      <xdr:colOff>535517</xdr:colOff>
      <xdr:row>239</xdr:row>
      <xdr:rowOff>33617</xdr:rowOff>
    </xdr:to>
    <xdr:sp macro="" textlink="">
      <xdr:nvSpPr>
        <xdr:cNvPr id="32" name="AutoShape 1">
          <a:extLst>
            <a:ext uri="{FF2B5EF4-FFF2-40B4-BE49-F238E27FC236}">
              <a16:creationId xmlns="" xmlns:a16="http://schemas.microsoft.com/office/drawing/2014/main" id="{00000000-0008-0000-04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67972781"/>
          <a:ext cx="1214173" cy="2003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238</xdr:row>
      <xdr:rowOff>0</xdr:rowOff>
    </xdr:from>
    <xdr:to>
      <xdr:col>2</xdr:col>
      <xdr:colOff>535517</xdr:colOff>
      <xdr:row>239</xdr:row>
      <xdr:rowOff>33617</xdr:rowOff>
    </xdr:to>
    <xdr:sp macro="" textlink="">
      <xdr:nvSpPr>
        <xdr:cNvPr id="33" name="AutoShape 1">
          <a:extLst>
            <a:ext uri="{FF2B5EF4-FFF2-40B4-BE49-F238E27FC236}">
              <a16:creationId xmlns="" xmlns:a16="http://schemas.microsoft.com/office/drawing/2014/main" id="{00000000-0008-0000-04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67972781"/>
          <a:ext cx="1214173" cy="2003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238</xdr:row>
      <xdr:rowOff>0</xdr:rowOff>
    </xdr:from>
    <xdr:to>
      <xdr:col>2</xdr:col>
      <xdr:colOff>535517</xdr:colOff>
      <xdr:row>239</xdr:row>
      <xdr:rowOff>33616</xdr:rowOff>
    </xdr:to>
    <xdr:sp macro="" textlink="">
      <xdr:nvSpPr>
        <xdr:cNvPr id="34" name="AutoShape 1">
          <a:extLst>
            <a:ext uri="{FF2B5EF4-FFF2-40B4-BE49-F238E27FC236}">
              <a16:creationId xmlns="" xmlns:a16="http://schemas.microsoft.com/office/drawing/2014/main" id="{00000000-0008-0000-04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67972781"/>
          <a:ext cx="1214173" cy="2003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238</xdr:row>
      <xdr:rowOff>0</xdr:rowOff>
    </xdr:from>
    <xdr:to>
      <xdr:col>2</xdr:col>
      <xdr:colOff>535517</xdr:colOff>
      <xdr:row>239</xdr:row>
      <xdr:rowOff>33616</xdr:rowOff>
    </xdr:to>
    <xdr:sp macro="" textlink="">
      <xdr:nvSpPr>
        <xdr:cNvPr id="35" name="AutoShape 1">
          <a:extLst>
            <a:ext uri="{FF2B5EF4-FFF2-40B4-BE49-F238E27FC236}">
              <a16:creationId xmlns="" xmlns:a16="http://schemas.microsoft.com/office/drawing/2014/main" id="{00000000-0008-0000-04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67972781"/>
          <a:ext cx="1214173" cy="2003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238</xdr:row>
      <xdr:rowOff>0</xdr:rowOff>
    </xdr:from>
    <xdr:to>
      <xdr:col>2</xdr:col>
      <xdr:colOff>535517</xdr:colOff>
      <xdr:row>239</xdr:row>
      <xdr:rowOff>33616</xdr:rowOff>
    </xdr:to>
    <xdr:sp macro="" textlink="">
      <xdr:nvSpPr>
        <xdr:cNvPr id="36" name="AutoShape 1">
          <a:extLst>
            <a:ext uri="{FF2B5EF4-FFF2-40B4-BE49-F238E27FC236}">
              <a16:creationId xmlns="" xmlns:a16="http://schemas.microsoft.com/office/drawing/2014/main" id="{00000000-0008-0000-04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67972781"/>
          <a:ext cx="1214173" cy="2003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238</xdr:row>
      <xdr:rowOff>0</xdr:rowOff>
    </xdr:from>
    <xdr:to>
      <xdr:col>2</xdr:col>
      <xdr:colOff>535517</xdr:colOff>
      <xdr:row>239</xdr:row>
      <xdr:rowOff>33616</xdr:rowOff>
    </xdr:to>
    <xdr:sp macro="" textlink="">
      <xdr:nvSpPr>
        <xdr:cNvPr id="37" name="AutoShape 1">
          <a:extLst>
            <a:ext uri="{FF2B5EF4-FFF2-40B4-BE49-F238E27FC236}">
              <a16:creationId xmlns="" xmlns:a16="http://schemas.microsoft.com/office/drawing/2014/main" id="{00000000-0008-0000-04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67972781"/>
          <a:ext cx="1214173" cy="2003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428625</xdr:colOff>
      <xdr:row>238</xdr:row>
      <xdr:rowOff>0</xdr:rowOff>
    </xdr:from>
    <xdr:ext cx="1209071" cy="196904"/>
    <xdr:sp macro="" textlink="">
      <xdr:nvSpPr>
        <xdr:cNvPr id="38" name="AutoShape 1">
          <a:extLst>
            <a:ext uri="{FF2B5EF4-FFF2-40B4-BE49-F238E27FC236}">
              <a16:creationId xmlns="" xmlns:a16="http://schemas.microsoft.com/office/drawing/2014/main" id="{00000000-0008-0000-0400-000026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63040786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238</xdr:row>
      <xdr:rowOff>0</xdr:rowOff>
    </xdr:from>
    <xdr:ext cx="1209071" cy="196904"/>
    <xdr:sp macro="" textlink="">
      <xdr:nvSpPr>
        <xdr:cNvPr id="39" name="AutoShape 1">
          <a:extLst>
            <a:ext uri="{FF2B5EF4-FFF2-40B4-BE49-F238E27FC236}">
              <a16:creationId xmlns="" xmlns:a16="http://schemas.microsoft.com/office/drawing/2014/main" id="{00000000-0008-0000-04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63040786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238</xdr:row>
      <xdr:rowOff>0</xdr:rowOff>
    </xdr:from>
    <xdr:ext cx="1209071" cy="196904"/>
    <xdr:sp macro="" textlink="">
      <xdr:nvSpPr>
        <xdr:cNvPr id="40" name="AutoShape 1">
          <a:extLst>
            <a:ext uri="{FF2B5EF4-FFF2-40B4-BE49-F238E27FC236}">
              <a16:creationId xmlns="" xmlns:a16="http://schemas.microsoft.com/office/drawing/2014/main" id="{00000000-0008-0000-04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63040786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238</xdr:row>
      <xdr:rowOff>0</xdr:rowOff>
    </xdr:from>
    <xdr:ext cx="1209071" cy="196904"/>
    <xdr:sp macro="" textlink="">
      <xdr:nvSpPr>
        <xdr:cNvPr id="41" name="AutoShape 1">
          <a:extLst>
            <a:ext uri="{FF2B5EF4-FFF2-40B4-BE49-F238E27FC236}">
              <a16:creationId xmlns="" xmlns:a16="http://schemas.microsoft.com/office/drawing/2014/main" id="{00000000-0008-0000-04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63040786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238</xdr:row>
      <xdr:rowOff>0</xdr:rowOff>
    </xdr:from>
    <xdr:ext cx="1209071" cy="196903"/>
    <xdr:sp macro="" textlink="">
      <xdr:nvSpPr>
        <xdr:cNvPr id="42" name="AutoShape 1">
          <a:extLst>
            <a:ext uri="{FF2B5EF4-FFF2-40B4-BE49-F238E27FC236}">
              <a16:creationId xmlns="" xmlns:a16="http://schemas.microsoft.com/office/drawing/2014/main" id="{00000000-0008-0000-04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63040786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238</xdr:row>
      <xdr:rowOff>0</xdr:rowOff>
    </xdr:from>
    <xdr:ext cx="1209071" cy="196903"/>
    <xdr:sp macro="" textlink="">
      <xdr:nvSpPr>
        <xdr:cNvPr id="43" name="AutoShape 1">
          <a:extLst>
            <a:ext uri="{FF2B5EF4-FFF2-40B4-BE49-F238E27FC236}">
              <a16:creationId xmlns="" xmlns:a16="http://schemas.microsoft.com/office/drawing/2014/main" id="{00000000-0008-0000-04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63040786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238</xdr:row>
      <xdr:rowOff>0</xdr:rowOff>
    </xdr:from>
    <xdr:ext cx="1209071" cy="196903"/>
    <xdr:sp macro="" textlink="">
      <xdr:nvSpPr>
        <xdr:cNvPr id="44" name="AutoShape 1">
          <a:extLst>
            <a:ext uri="{FF2B5EF4-FFF2-40B4-BE49-F238E27FC236}">
              <a16:creationId xmlns="" xmlns:a16="http://schemas.microsoft.com/office/drawing/2014/main" id="{00000000-0008-0000-0400-00002C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63040786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238</xdr:row>
      <xdr:rowOff>0</xdr:rowOff>
    </xdr:from>
    <xdr:ext cx="1209071" cy="196903"/>
    <xdr:sp macro="" textlink="">
      <xdr:nvSpPr>
        <xdr:cNvPr id="45" name="AutoShape 1">
          <a:extLst>
            <a:ext uri="{FF2B5EF4-FFF2-40B4-BE49-F238E27FC236}">
              <a16:creationId xmlns="" xmlns:a16="http://schemas.microsoft.com/office/drawing/2014/main" id="{00000000-0008-0000-04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63040786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238</xdr:row>
      <xdr:rowOff>0</xdr:rowOff>
    </xdr:from>
    <xdr:ext cx="1209071" cy="196904"/>
    <xdr:sp macro="" textlink="">
      <xdr:nvSpPr>
        <xdr:cNvPr id="46" name="AutoShape 1">
          <a:extLst>
            <a:ext uri="{FF2B5EF4-FFF2-40B4-BE49-F238E27FC236}">
              <a16:creationId xmlns="" xmlns:a16="http://schemas.microsoft.com/office/drawing/2014/main" id="{00000000-0008-0000-04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63040786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238</xdr:row>
      <xdr:rowOff>0</xdr:rowOff>
    </xdr:from>
    <xdr:ext cx="1209071" cy="196904"/>
    <xdr:sp macro="" textlink="">
      <xdr:nvSpPr>
        <xdr:cNvPr id="47" name="AutoShape 1">
          <a:extLst>
            <a:ext uri="{FF2B5EF4-FFF2-40B4-BE49-F238E27FC236}">
              <a16:creationId xmlns="" xmlns:a16="http://schemas.microsoft.com/office/drawing/2014/main" id="{00000000-0008-0000-04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63040786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238</xdr:row>
      <xdr:rowOff>0</xdr:rowOff>
    </xdr:from>
    <xdr:ext cx="1209071" cy="196904"/>
    <xdr:sp macro="" textlink="">
      <xdr:nvSpPr>
        <xdr:cNvPr id="48" name="AutoShape 1">
          <a:extLst>
            <a:ext uri="{FF2B5EF4-FFF2-40B4-BE49-F238E27FC236}">
              <a16:creationId xmlns="" xmlns:a16="http://schemas.microsoft.com/office/drawing/2014/main" id="{00000000-0008-0000-0400-000030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63040786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238</xdr:row>
      <xdr:rowOff>0</xdr:rowOff>
    </xdr:from>
    <xdr:ext cx="1209071" cy="196904"/>
    <xdr:sp macro="" textlink="">
      <xdr:nvSpPr>
        <xdr:cNvPr id="49" name="AutoShape 1">
          <a:extLst>
            <a:ext uri="{FF2B5EF4-FFF2-40B4-BE49-F238E27FC236}">
              <a16:creationId xmlns="" xmlns:a16="http://schemas.microsoft.com/office/drawing/2014/main" id="{00000000-0008-0000-04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63040786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238</xdr:row>
      <xdr:rowOff>0</xdr:rowOff>
    </xdr:from>
    <xdr:ext cx="1209071" cy="196904"/>
    <xdr:sp macro="" textlink="">
      <xdr:nvSpPr>
        <xdr:cNvPr id="50" name="AutoShape 1">
          <a:extLst>
            <a:ext uri="{FF2B5EF4-FFF2-40B4-BE49-F238E27FC236}">
              <a16:creationId xmlns="" xmlns:a16="http://schemas.microsoft.com/office/drawing/2014/main" id="{00000000-0008-0000-04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68361179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238</xdr:row>
      <xdr:rowOff>0</xdr:rowOff>
    </xdr:from>
    <xdr:ext cx="1209071" cy="196904"/>
    <xdr:sp macro="" textlink="">
      <xdr:nvSpPr>
        <xdr:cNvPr id="51" name="AutoShape 1">
          <a:extLst>
            <a:ext uri="{FF2B5EF4-FFF2-40B4-BE49-F238E27FC236}">
              <a16:creationId xmlns="" xmlns:a16="http://schemas.microsoft.com/office/drawing/2014/main" id="{00000000-0008-0000-04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68361179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238</xdr:row>
      <xdr:rowOff>0</xdr:rowOff>
    </xdr:from>
    <xdr:ext cx="1209071" cy="196904"/>
    <xdr:sp macro="" textlink="">
      <xdr:nvSpPr>
        <xdr:cNvPr id="52" name="AutoShape 1">
          <a:extLst>
            <a:ext uri="{FF2B5EF4-FFF2-40B4-BE49-F238E27FC236}">
              <a16:creationId xmlns="" xmlns:a16="http://schemas.microsoft.com/office/drawing/2014/main" id="{00000000-0008-0000-04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68361179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238</xdr:row>
      <xdr:rowOff>0</xdr:rowOff>
    </xdr:from>
    <xdr:ext cx="1209071" cy="196904"/>
    <xdr:sp macro="" textlink="">
      <xdr:nvSpPr>
        <xdr:cNvPr id="53" name="AutoShape 1">
          <a:extLst>
            <a:ext uri="{FF2B5EF4-FFF2-40B4-BE49-F238E27FC236}">
              <a16:creationId xmlns="" xmlns:a16="http://schemas.microsoft.com/office/drawing/2014/main" id="{00000000-0008-0000-04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68361179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238</xdr:row>
      <xdr:rowOff>0</xdr:rowOff>
    </xdr:from>
    <xdr:ext cx="1209071" cy="196903"/>
    <xdr:sp macro="" textlink="">
      <xdr:nvSpPr>
        <xdr:cNvPr id="54" name="AutoShape 1">
          <a:extLst>
            <a:ext uri="{FF2B5EF4-FFF2-40B4-BE49-F238E27FC236}">
              <a16:creationId xmlns="" xmlns:a16="http://schemas.microsoft.com/office/drawing/2014/main" id="{00000000-0008-0000-04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68361179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238</xdr:row>
      <xdr:rowOff>0</xdr:rowOff>
    </xdr:from>
    <xdr:ext cx="1209071" cy="196903"/>
    <xdr:sp macro="" textlink="">
      <xdr:nvSpPr>
        <xdr:cNvPr id="55" name="AutoShape 1">
          <a:extLst>
            <a:ext uri="{FF2B5EF4-FFF2-40B4-BE49-F238E27FC236}">
              <a16:creationId xmlns="" xmlns:a16="http://schemas.microsoft.com/office/drawing/2014/main" id="{00000000-0008-0000-04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68361179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238</xdr:row>
      <xdr:rowOff>0</xdr:rowOff>
    </xdr:from>
    <xdr:ext cx="1209071" cy="196903"/>
    <xdr:sp macro="" textlink="">
      <xdr:nvSpPr>
        <xdr:cNvPr id="56" name="AutoShape 1">
          <a:extLst>
            <a:ext uri="{FF2B5EF4-FFF2-40B4-BE49-F238E27FC236}">
              <a16:creationId xmlns="" xmlns:a16="http://schemas.microsoft.com/office/drawing/2014/main" id="{00000000-0008-0000-04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68361179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238</xdr:row>
      <xdr:rowOff>0</xdr:rowOff>
    </xdr:from>
    <xdr:ext cx="1209071" cy="196903"/>
    <xdr:sp macro="" textlink="">
      <xdr:nvSpPr>
        <xdr:cNvPr id="57" name="AutoShape 1">
          <a:extLst>
            <a:ext uri="{FF2B5EF4-FFF2-40B4-BE49-F238E27FC236}">
              <a16:creationId xmlns="" xmlns:a16="http://schemas.microsoft.com/office/drawing/2014/main" id="{00000000-0008-0000-04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68361179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238</xdr:row>
      <xdr:rowOff>0</xdr:rowOff>
    </xdr:from>
    <xdr:ext cx="1209071" cy="196904"/>
    <xdr:sp macro="" textlink="">
      <xdr:nvSpPr>
        <xdr:cNvPr id="58" name="AutoShape 1">
          <a:extLst>
            <a:ext uri="{FF2B5EF4-FFF2-40B4-BE49-F238E27FC236}">
              <a16:creationId xmlns="" xmlns:a16="http://schemas.microsoft.com/office/drawing/2014/main" id="{00000000-0008-0000-04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68361179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238</xdr:row>
      <xdr:rowOff>0</xdr:rowOff>
    </xdr:from>
    <xdr:ext cx="1209071" cy="196904"/>
    <xdr:sp macro="" textlink="">
      <xdr:nvSpPr>
        <xdr:cNvPr id="59" name="AutoShape 1">
          <a:extLst>
            <a:ext uri="{FF2B5EF4-FFF2-40B4-BE49-F238E27FC236}">
              <a16:creationId xmlns="" xmlns:a16="http://schemas.microsoft.com/office/drawing/2014/main" id="{00000000-0008-0000-0400-00003B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68361179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238</xdr:row>
      <xdr:rowOff>0</xdr:rowOff>
    </xdr:from>
    <xdr:ext cx="1209071" cy="196904"/>
    <xdr:sp macro="" textlink="">
      <xdr:nvSpPr>
        <xdr:cNvPr id="60" name="AutoShape 1">
          <a:extLst>
            <a:ext uri="{FF2B5EF4-FFF2-40B4-BE49-F238E27FC236}">
              <a16:creationId xmlns="" xmlns:a16="http://schemas.microsoft.com/office/drawing/2014/main" id="{00000000-0008-0000-04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68361179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238</xdr:row>
      <xdr:rowOff>0</xdr:rowOff>
    </xdr:from>
    <xdr:ext cx="1209071" cy="196904"/>
    <xdr:sp macro="" textlink="">
      <xdr:nvSpPr>
        <xdr:cNvPr id="61" name="AutoShape 1">
          <a:extLst>
            <a:ext uri="{FF2B5EF4-FFF2-40B4-BE49-F238E27FC236}">
              <a16:creationId xmlns="" xmlns:a16="http://schemas.microsoft.com/office/drawing/2014/main" id="{00000000-0008-0000-04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68361179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238</xdr:row>
      <xdr:rowOff>0</xdr:rowOff>
    </xdr:from>
    <xdr:ext cx="1209071" cy="196903"/>
    <xdr:sp macro="" textlink="">
      <xdr:nvSpPr>
        <xdr:cNvPr id="62" name="AutoShape 1">
          <a:extLst>
            <a:ext uri="{FF2B5EF4-FFF2-40B4-BE49-F238E27FC236}">
              <a16:creationId xmlns="" xmlns:a16="http://schemas.microsoft.com/office/drawing/2014/main" id="{00000000-0008-0000-04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68361179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238</xdr:row>
      <xdr:rowOff>0</xdr:rowOff>
    </xdr:from>
    <xdr:ext cx="1209071" cy="196903"/>
    <xdr:sp macro="" textlink="">
      <xdr:nvSpPr>
        <xdr:cNvPr id="63" name="AutoShape 1">
          <a:extLst>
            <a:ext uri="{FF2B5EF4-FFF2-40B4-BE49-F238E27FC236}">
              <a16:creationId xmlns="" xmlns:a16="http://schemas.microsoft.com/office/drawing/2014/main" id="{00000000-0008-0000-04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68361179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238</xdr:row>
      <xdr:rowOff>0</xdr:rowOff>
    </xdr:from>
    <xdr:ext cx="1209071" cy="196903"/>
    <xdr:sp macro="" textlink="">
      <xdr:nvSpPr>
        <xdr:cNvPr id="64" name="AutoShape 1">
          <a:extLst>
            <a:ext uri="{FF2B5EF4-FFF2-40B4-BE49-F238E27FC236}">
              <a16:creationId xmlns="" xmlns:a16="http://schemas.microsoft.com/office/drawing/2014/main" id="{00000000-0008-0000-0400-000040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68361179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238</xdr:row>
      <xdr:rowOff>0</xdr:rowOff>
    </xdr:from>
    <xdr:ext cx="1209071" cy="196903"/>
    <xdr:sp macro="" textlink="">
      <xdr:nvSpPr>
        <xdr:cNvPr id="65" name="AutoShape 1">
          <a:extLst>
            <a:ext uri="{FF2B5EF4-FFF2-40B4-BE49-F238E27FC236}">
              <a16:creationId xmlns="" xmlns:a16="http://schemas.microsoft.com/office/drawing/2014/main" id="{00000000-0008-0000-04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68361179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238</xdr:row>
      <xdr:rowOff>0</xdr:rowOff>
    </xdr:from>
    <xdr:ext cx="1209071" cy="196904"/>
    <xdr:sp macro="" textlink="">
      <xdr:nvSpPr>
        <xdr:cNvPr id="66" name="AutoShape 1">
          <a:extLst>
            <a:ext uri="{FF2B5EF4-FFF2-40B4-BE49-F238E27FC236}">
              <a16:creationId xmlns="" xmlns:a16="http://schemas.microsoft.com/office/drawing/2014/main" id="{00000000-0008-0000-04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68361179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238</xdr:row>
      <xdr:rowOff>0</xdr:rowOff>
    </xdr:from>
    <xdr:ext cx="1209071" cy="196904"/>
    <xdr:sp macro="" textlink="">
      <xdr:nvSpPr>
        <xdr:cNvPr id="67" name="AutoShape 1">
          <a:extLst>
            <a:ext uri="{FF2B5EF4-FFF2-40B4-BE49-F238E27FC236}">
              <a16:creationId xmlns="" xmlns:a16="http://schemas.microsoft.com/office/drawing/2014/main" id="{00000000-0008-0000-04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68361179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238</xdr:row>
      <xdr:rowOff>0</xdr:rowOff>
    </xdr:from>
    <xdr:ext cx="1209071" cy="196904"/>
    <xdr:sp macro="" textlink="">
      <xdr:nvSpPr>
        <xdr:cNvPr id="68" name="AutoShape 1">
          <a:extLst>
            <a:ext uri="{FF2B5EF4-FFF2-40B4-BE49-F238E27FC236}">
              <a16:creationId xmlns="" xmlns:a16="http://schemas.microsoft.com/office/drawing/2014/main" id="{00000000-0008-0000-04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68361179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238</xdr:row>
      <xdr:rowOff>0</xdr:rowOff>
    </xdr:from>
    <xdr:ext cx="1209071" cy="196904"/>
    <xdr:sp macro="" textlink="">
      <xdr:nvSpPr>
        <xdr:cNvPr id="69" name="AutoShape 1">
          <a:extLst>
            <a:ext uri="{FF2B5EF4-FFF2-40B4-BE49-F238E27FC236}">
              <a16:creationId xmlns="" xmlns:a16="http://schemas.microsoft.com/office/drawing/2014/main" id="{00000000-0008-0000-0400-000045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68361179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229</xdr:row>
      <xdr:rowOff>0</xdr:rowOff>
    </xdr:from>
    <xdr:ext cx="1218142" cy="192367"/>
    <xdr:sp macro="" textlink="">
      <xdr:nvSpPr>
        <xdr:cNvPr id="70" name="AutoShape 1">
          <a:extLst>
            <a:ext uri="{FF2B5EF4-FFF2-40B4-BE49-F238E27FC236}">
              <a16:creationId xmlns="" xmlns:a16="http://schemas.microsoft.com/office/drawing/2014/main" id="{00000000-0008-0000-04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73355000"/>
          <a:ext cx="1218142" cy="192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229</xdr:row>
      <xdr:rowOff>0</xdr:rowOff>
    </xdr:from>
    <xdr:ext cx="1218142" cy="192367"/>
    <xdr:sp macro="" textlink="">
      <xdr:nvSpPr>
        <xdr:cNvPr id="71" name="AutoShape 1">
          <a:extLst>
            <a:ext uri="{FF2B5EF4-FFF2-40B4-BE49-F238E27FC236}">
              <a16:creationId xmlns="" xmlns:a16="http://schemas.microsoft.com/office/drawing/2014/main" id="{00000000-0008-0000-04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73355000"/>
          <a:ext cx="1218142" cy="192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229</xdr:row>
      <xdr:rowOff>0</xdr:rowOff>
    </xdr:from>
    <xdr:ext cx="1218142" cy="192367"/>
    <xdr:sp macro="" textlink="">
      <xdr:nvSpPr>
        <xdr:cNvPr id="72" name="AutoShape 1">
          <a:extLst>
            <a:ext uri="{FF2B5EF4-FFF2-40B4-BE49-F238E27FC236}">
              <a16:creationId xmlns="" xmlns:a16="http://schemas.microsoft.com/office/drawing/2014/main" id="{00000000-0008-0000-04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73355000"/>
          <a:ext cx="1218142" cy="192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229</xdr:row>
      <xdr:rowOff>0</xdr:rowOff>
    </xdr:from>
    <xdr:ext cx="1218142" cy="192367"/>
    <xdr:sp macro="" textlink="">
      <xdr:nvSpPr>
        <xdr:cNvPr id="73" name="AutoShape 1">
          <a:extLst>
            <a:ext uri="{FF2B5EF4-FFF2-40B4-BE49-F238E27FC236}">
              <a16:creationId xmlns="" xmlns:a16="http://schemas.microsoft.com/office/drawing/2014/main" id="{00000000-0008-0000-04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73355000"/>
          <a:ext cx="1218142" cy="192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232</xdr:row>
      <xdr:rowOff>0</xdr:rowOff>
    </xdr:from>
    <xdr:ext cx="1218142" cy="192367"/>
    <xdr:sp macro="" textlink="">
      <xdr:nvSpPr>
        <xdr:cNvPr id="81" name="AutoShape 1">
          <a:extLst>
            <a:ext uri="{FF2B5EF4-FFF2-40B4-BE49-F238E27FC236}">
              <a16:creationId xmlns="" xmlns:a16="http://schemas.microsoft.com/office/drawing/2014/main" id="{00000000-0008-0000-0400-000051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74699083"/>
          <a:ext cx="1218142" cy="192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232</xdr:row>
      <xdr:rowOff>0</xdr:rowOff>
    </xdr:from>
    <xdr:ext cx="1218142" cy="192368"/>
    <xdr:sp macro="" textlink="">
      <xdr:nvSpPr>
        <xdr:cNvPr id="82" name="AutoShape 1">
          <a:extLst>
            <a:ext uri="{FF2B5EF4-FFF2-40B4-BE49-F238E27FC236}">
              <a16:creationId xmlns="" xmlns:a16="http://schemas.microsoft.com/office/drawing/2014/main" id="{00000000-0008-0000-04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74699083"/>
          <a:ext cx="1218142" cy="1923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232</xdr:row>
      <xdr:rowOff>0</xdr:rowOff>
    </xdr:from>
    <xdr:ext cx="1218142" cy="192368"/>
    <xdr:sp macro="" textlink="">
      <xdr:nvSpPr>
        <xdr:cNvPr id="83" name="AutoShape 1">
          <a:extLst>
            <a:ext uri="{FF2B5EF4-FFF2-40B4-BE49-F238E27FC236}">
              <a16:creationId xmlns="" xmlns:a16="http://schemas.microsoft.com/office/drawing/2014/main" id="{00000000-0008-0000-04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74699083"/>
          <a:ext cx="1218142" cy="1923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232</xdr:row>
      <xdr:rowOff>0</xdr:rowOff>
    </xdr:from>
    <xdr:ext cx="1218142" cy="192368"/>
    <xdr:sp macro="" textlink="">
      <xdr:nvSpPr>
        <xdr:cNvPr id="84" name="AutoShape 1">
          <a:extLst>
            <a:ext uri="{FF2B5EF4-FFF2-40B4-BE49-F238E27FC236}">
              <a16:creationId xmlns="" xmlns:a16="http://schemas.microsoft.com/office/drawing/2014/main" id="{00000000-0008-0000-04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74699083"/>
          <a:ext cx="1218142" cy="1923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232</xdr:row>
      <xdr:rowOff>0</xdr:rowOff>
    </xdr:from>
    <xdr:ext cx="1218142" cy="192368"/>
    <xdr:sp macro="" textlink="">
      <xdr:nvSpPr>
        <xdr:cNvPr id="85" name="AutoShape 1">
          <a:extLst>
            <a:ext uri="{FF2B5EF4-FFF2-40B4-BE49-F238E27FC236}">
              <a16:creationId xmlns="" xmlns:a16="http://schemas.microsoft.com/office/drawing/2014/main" id="{00000000-0008-0000-04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74699083"/>
          <a:ext cx="1218142" cy="1923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0</xdr:col>
      <xdr:colOff>428625</xdr:colOff>
      <xdr:row>229</xdr:row>
      <xdr:rowOff>0</xdr:rowOff>
    </xdr:from>
    <xdr:to>
      <xdr:col>2</xdr:col>
      <xdr:colOff>535517</xdr:colOff>
      <xdr:row>230</xdr:row>
      <xdr:rowOff>33620</xdr:rowOff>
    </xdr:to>
    <xdr:sp macro="" textlink="">
      <xdr:nvSpPr>
        <xdr:cNvPr id="74" name="AutoShape 1">
          <a:extLst>
            <a:ext uri="{FF2B5EF4-FFF2-40B4-BE49-F238E27FC236}">
              <a16:creationId xmlns="" xmlns:a16="http://schemas.microsoft.com/office/drawing/2014/main" id="{00000000-0008-0000-04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79298600"/>
          <a:ext cx="1211792" cy="195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229</xdr:row>
      <xdr:rowOff>0</xdr:rowOff>
    </xdr:from>
    <xdr:to>
      <xdr:col>2</xdr:col>
      <xdr:colOff>535517</xdr:colOff>
      <xdr:row>230</xdr:row>
      <xdr:rowOff>33620</xdr:rowOff>
    </xdr:to>
    <xdr:sp macro="" textlink="">
      <xdr:nvSpPr>
        <xdr:cNvPr id="75" name="AutoShape 1">
          <a:extLst>
            <a:ext uri="{FF2B5EF4-FFF2-40B4-BE49-F238E27FC236}">
              <a16:creationId xmlns="" xmlns:a16="http://schemas.microsoft.com/office/drawing/2014/main" id="{00000000-0008-0000-04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79298600"/>
          <a:ext cx="1211792" cy="195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229</xdr:row>
      <xdr:rowOff>0</xdr:rowOff>
    </xdr:from>
    <xdr:to>
      <xdr:col>2</xdr:col>
      <xdr:colOff>535517</xdr:colOff>
      <xdr:row>230</xdr:row>
      <xdr:rowOff>33620</xdr:rowOff>
    </xdr:to>
    <xdr:sp macro="" textlink="">
      <xdr:nvSpPr>
        <xdr:cNvPr id="76" name="AutoShape 1">
          <a:extLst>
            <a:ext uri="{FF2B5EF4-FFF2-40B4-BE49-F238E27FC236}">
              <a16:creationId xmlns="" xmlns:a16="http://schemas.microsoft.com/office/drawing/2014/main" id="{00000000-0008-0000-04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79298600"/>
          <a:ext cx="1211792" cy="195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232</xdr:row>
      <xdr:rowOff>0</xdr:rowOff>
    </xdr:from>
    <xdr:to>
      <xdr:col>2</xdr:col>
      <xdr:colOff>535517</xdr:colOff>
      <xdr:row>233</xdr:row>
      <xdr:rowOff>33618</xdr:rowOff>
    </xdr:to>
    <xdr:sp macro="" textlink="">
      <xdr:nvSpPr>
        <xdr:cNvPr id="78" name="AutoShape 1">
          <a:extLst>
            <a:ext uri="{FF2B5EF4-FFF2-40B4-BE49-F238E27FC236}">
              <a16:creationId xmlns="" xmlns:a16="http://schemas.microsoft.com/office/drawing/2014/main" id="{00000000-0008-0000-04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84223025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232</xdr:row>
      <xdr:rowOff>0</xdr:rowOff>
    </xdr:from>
    <xdr:to>
      <xdr:col>2</xdr:col>
      <xdr:colOff>535517</xdr:colOff>
      <xdr:row>233</xdr:row>
      <xdr:rowOff>33618</xdr:rowOff>
    </xdr:to>
    <xdr:sp macro="" textlink="">
      <xdr:nvSpPr>
        <xdr:cNvPr id="79" name="AutoShape 1">
          <a:extLst>
            <a:ext uri="{FF2B5EF4-FFF2-40B4-BE49-F238E27FC236}">
              <a16:creationId xmlns="" xmlns:a16="http://schemas.microsoft.com/office/drawing/2014/main" id="{00000000-0008-0000-0400-00004F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84223025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232</xdr:row>
      <xdr:rowOff>0</xdr:rowOff>
    </xdr:from>
    <xdr:to>
      <xdr:col>2</xdr:col>
      <xdr:colOff>535517</xdr:colOff>
      <xdr:row>233</xdr:row>
      <xdr:rowOff>33618</xdr:rowOff>
    </xdr:to>
    <xdr:sp macro="" textlink="">
      <xdr:nvSpPr>
        <xdr:cNvPr id="80" name="AutoShape 1">
          <a:extLst>
            <a:ext uri="{FF2B5EF4-FFF2-40B4-BE49-F238E27FC236}">
              <a16:creationId xmlns="" xmlns:a16="http://schemas.microsoft.com/office/drawing/2014/main" id="{00000000-0008-0000-0400-000050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84223025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232</xdr:row>
      <xdr:rowOff>0</xdr:rowOff>
    </xdr:from>
    <xdr:to>
      <xdr:col>2</xdr:col>
      <xdr:colOff>535517</xdr:colOff>
      <xdr:row>233</xdr:row>
      <xdr:rowOff>33618</xdr:rowOff>
    </xdr:to>
    <xdr:sp macro="" textlink="">
      <xdr:nvSpPr>
        <xdr:cNvPr id="86" name="AutoShape 1">
          <a:extLst>
            <a:ext uri="{FF2B5EF4-FFF2-40B4-BE49-F238E27FC236}">
              <a16:creationId xmlns="" xmlns:a16="http://schemas.microsoft.com/office/drawing/2014/main" id="{00000000-0008-0000-04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84223025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232</xdr:row>
      <xdr:rowOff>0</xdr:rowOff>
    </xdr:from>
    <xdr:to>
      <xdr:col>2</xdr:col>
      <xdr:colOff>535517</xdr:colOff>
      <xdr:row>233</xdr:row>
      <xdr:rowOff>33617</xdr:rowOff>
    </xdr:to>
    <xdr:sp macro="" textlink="">
      <xdr:nvSpPr>
        <xdr:cNvPr id="87" name="AutoShape 1">
          <a:extLst>
            <a:ext uri="{FF2B5EF4-FFF2-40B4-BE49-F238E27FC236}">
              <a16:creationId xmlns="" xmlns:a16="http://schemas.microsoft.com/office/drawing/2014/main" id="{00000000-0008-0000-04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84223025"/>
          <a:ext cx="1211792" cy="195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232</xdr:row>
      <xdr:rowOff>0</xdr:rowOff>
    </xdr:from>
    <xdr:to>
      <xdr:col>2</xdr:col>
      <xdr:colOff>535517</xdr:colOff>
      <xdr:row>233</xdr:row>
      <xdr:rowOff>33617</xdr:rowOff>
    </xdr:to>
    <xdr:sp macro="" textlink="">
      <xdr:nvSpPr>
        <xdr:cNvPr id="88" name="AutoShape 1">
          <a:extLst>
            <a:ext uri="{FF2B5EF4-FFF2-40B4-BE49-F238E27FC236}">
              <a16:creationId xmlns="" xmlns:a16="http://schemas.microsoft.com/office/drawing/2014/main" id="{00000000-0008-0000-04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84223025"/>
          <a:ext cx="1211792" cy="195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232</xdr:row>
      <xdr:rowOff>0</xdr:rowOff>
    </xdr:from>
    <xdr:to>
      <xdr:col>2</xdr:col>
      <xdr:colOff>535517</xdr:colOff>
      <xdr:row>233</xdr:row>
      <xdr:rowOff>33617</xdr:rowOff>
    </xdr:to>
    <xdr:sp macro="" textlink="">
      <xdr:nvSpPr>
        <xdr:cNvPr id="89" name="AutoShape 1">
          <a:extLst>
            <a:ext uri="{FF2B5EF4-FFF2-40B4-BE49-F238E27FC236}">
              <a16:creationId xmlns="" xmlns:a16="http://schemas.microsoft.com/office/drawing/2014/main" id="{00000000-0008-0000-0400-000059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84223025"/>
          <a:ext cx="1211792" cy="195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232</xdr:row>
      <xdr:rowOff>0</xdr:rowOff>
    </xdr:from>
    <xdr:to>
      <xdr:col>2</xdr:col>
      <xdr:colOff>535517</xdr:colOff>
      <xdr:row>233</xdr:row>
      <xdr:rowOff>33617</xdr:rowOff>
    </xdr:to>
    <xdr:sp macro="" textlink="">
      <xdr:nvSpPr>
        <xdr:cNvPr id="90" name="AutoShape 1">
          <a:extLst>
            <a:ext uri="{FF2B5EF4-FFF2-40B4-BE49-F238E27FC236}">
              <a16:creationId xmlns="" xmlns:a16="http://schemas.microsoft.com/office/drawing/2014/main" id="{00000000-0008-0000-0400-00005A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84223025"/>
          <a:ext cx="1211792" cy="195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232</xdr:row>
      <xdr:rowOff>0</xdr:rowOff>
    </xdr:from>
    <xdr:to>
      <xdr:col>2</xdr:col>
      <xdr:colOff>535517</xdr:colOff>
      <xdr:row>233</xdr:row>
      <xdr:rowOff>33618</xdr:rowOff>
    </xdr:to>
    <xdr:sp macro="" textlink="">
      <xdr:nvSpPr>
        <xdr:cNvPr id="91" name="AutoShape 1">
          <a:extLst>
            <a:ext uri="{FF2B5EF4-FFF2-40B4-BE49-F238E27FC236}">
              <a16:creationId xmlns="" xmlns:a16="http://schemas.microsoft.com/office/drawing/2014/main" id="{00000000-0008-0000-0400-00005B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84223025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232</xdr:row>
      <xdr:rowOff>0</xdr:rowOff>
    </xdr:from>
    <xdr:to>
      <xdr:col>2</xdr:col>
      <xdr:colOff>535517</xdr:colOff>
      <xdr:row>233</xdr:row>
      <xdr:rowOff>33618</xdr:rowOff>
    </xdr:to>
    <xdr:sp macro="" textlink="">
      <xdr:nvSpPr>
        <xdr:cNvPr id="92" name="AutoShape 1">
          <a:extLst>
            <a:ext uri="{FF2B5EF4-FFF2-40B4-BE49-F238E27FC236}">
              <a16:creationId xmlns="" xmlns:a16="http://schemas.microsoft.com/office/drawing/2014/main" id="{00000000-0008-0000-0400-00005C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84223025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232</xdr:row>
      <xdr:rowOff>0</xdr:rowOff>
    </xdr:from>
    <xdr:to>
      <xdr:col>2</xdr:col>
      <xdr:colOff>535517</xdr:colOff>
      <xdr:row>233</xdr:row>
      <xdr:rowOff>33618</xdr:rowOff>
    </xdr:to>
    <xdr:sp macro="" textlink="">
      <xdr:nvSpPr>
        <xdr:cNvPr id="93" name="AutoShape 1">
          <a:extLst>
            <a:ext uri="{FF2B5EF4-FFF2-40B4-BE49-F238E27FC236}">
              <a16:creationId xmlns="" xmlns:a16="http://schemas.microsoft.com/office/drawing/2014/main" id="{00000000-0008-0000-0400-00005D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84223025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232</xdr:row>
      <xdr:rowOff>0</xdr:rowOff>
    </xdr:from>
    <xdr:to>
      <xdr:col>2</xdr:col>
      <xdr:colOff>535517</xdr:colOff>
      <xdr:row>233</xdr:row>
      <xdr:rowOff>33618</xdr:rowOff>
    </xdr:to>
    <xdr:sp macro="" textlink="">
      <xdr:nvSpPr>
        <xdr:cNvPr id="94" name="AutoShape 1">
          <a:extLst>
            <a:ext uri="{FF2B5EF4-FFF2-40B4-BE49-F238E27FC236}">
              <a16:creationId xmlns="" xmlns:a16="http://schemas.microsoft.com/office/drawing/2014/main" id="{00000000-0008-0000-0400-00005E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84223025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238</xdr:row>
      <xdr:rowOff>0</xdr:rowOff>
    </xdr:from>
    <xdr:to>
      <xdr:col>2</xdr:col>
      <xdr:colOff>535517</xdr:colOff>
      <xdr:row>239</xdr:row>
      <xdr:rowOff>33617</xdr:rowOff>
    </xdr:to>
    <xdr:sp macro="" textlink="">
      <xdr:nvSpPr>
        <xdr:cNvPr id="95" name="AutoShape 1">
          <a:extLst>
            <a:ext uri="{FF2B5EF4-FFF2-40B4-BE49-F238E27FC236}">
              <a16:creationId xmlns="" xmlns:a16="http://schemas.microsoft.com/office/drawing/2014/main" id="{00000000-0008-0000-0400-00005F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89499875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238</xdr:row>
      <xdr:rowOff>0</xdr:rowOff>
    </xdr:from>
    <xdr:to>
      <xdr:col>2</xdr:col>
      <xdr:colOff>535517</xdr:colOff>
      <xdr:row>239</xdr:row>
      <xdr:rowOff>33617</xdr:rowOff>
    </xdr:to>
    <xdr:sp macro="" textlink="">
      <xdr:nvSpPr>
        <xdr:cNvPr id="96" name="AutoShape 1">
          <a:extLst>
            <a:ext uri="{FF2B5EF4-FFF2-40B4-BE49-F238E27FC236}">
              <a16:creationId xmlns="" xmlns:a16="http://schemas.microsoft.com/office/drawing/2014/main" id="{00000000-0008-0000-0400-000060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89499875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238</xdr:row>
      <xdr:rowOff>0</xdr:rowOff>
    </xdr:from>
    <xdr:to>
      <xdr:col>2</xdr:col>
      <xdr:colOff>535517</xdr:colOff>
      <xdr:row>239</xdr:row>
      <xdr:rowOff>33617</xdr:rowOff>
    </xdr:to>
    <xdr:sp macro="" textlink="">
      <xdr:nvSpPr>
        <xdr:cNvPr id="97" name="AutoShape 1">
          <a:extLst>
            <a:ext uri="{FF2B5EF4-FFF2-40B4-BE49-F238E27FC236}">
              <a16:creationId xmlns="" xmlns:a16="http://schemas.microsoft.com/office/drawing/2014/main" id="{00000000-0008-0000-0400-000061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89499875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238</xdr:row>
      <xdr:rowOff>0</xdr:rowOff>
    </xdr:from>
    <xdr:to>
      <xdr:col>2</xdr:col>
      <xdr:colOff>535517</xdr:colOff>
      <xdr:row>239</xdr:row>
      <xdr:rowOff>33617</xdr:rowOff>
    </xdr:to>
    <xdr:sp macro="" textlink="">
      <xdr:nvSpPr>
        <xdr:cNvPr id="98" name="AutoShape 1">
          <a:extLst>
            <a:ext uri="{FF2B5EF4-FFF2-40B4-BE49-F238E27FC236}">
              <a16:creationId xmlns="" xmlns:a16="http://schemas.microsoft.com/office/drawing/2014/main" id="{00000000-0008-0000-0400-000062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89499875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238</xdr:row>
      <xdr:rowOff>0</xdr:rowOff>
    </xdr:from>
    <xdr:to>
      <xdr:col>2</xdr:col>
      <xdr:colOff>535517</xdr:colOff>
      <xdr:row>239</xdr:row>
      <xdr:rowOff>33616</xdr:rowOff>
    </xdr:to>
    <xdr:sp macro="" textlink="">
      <xdr:nvSpPr>
        <xdr:cNvPr id="99" name="AutoShape 1">
          <a:extLst>
            <a:ext uri="{FF2B5EF4-FFF2-40B4-BE49-F238E27FC236}">
              <a16:creationId xmlns="" xmlns:a16="http://schemas.microsoft.com/office/drawing/2014/main" id="{00000000-0008-0000-0400-000063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89499875"/>
          <a:ext cx="1211792" cy="195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238</xdr:row>
      <xdr:rowOff>0</xdr:rowOff>
    </xdr:from>
    <xdr:to>
      <xdr:col>2</xdr:col>
      <xdr:colOff>535517</xdr:colOff>
      <xdr:row>239</xdr:row>
      <xdr:rowOff>33616</xdr:rowOff>
    </xdr:to>
    <xdr:sp macro="" textlink="">
      <xdr:nvSpPr>
        <xdr:cNvPr id="100" name="AutoShape 1">
          <a:extLst>
            <a:ext uri="{FF2B5EF4-FFF2-40B4-BE49-F238E27FC236}">
              <a16:creationId xmlns="" xmlns:a16="http://schemas.microsoft.com/office/drawing/2014/main" id="{00000000-0008-0000-0400-000064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89499875"/>
          <a:ext cx="1211792" cy="195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238</xdr:row>
      <xdr:rowOff>0</xdr:rowOff>
    </xdr:from>
    <xdr:to>
      <xdr:col>2</xdr:col>
      <xdr:colOff>535517</xdr:colOff>
      <xdr:row>239</xdr:row>
      <xdr:rowOff>33616</xdr:rowOff>
    </xdr:to>
    <xdr:sp macro="" textlink="">
      <xdr:nvSpPr>
        <xdr:cNvPr id="101" name="AutoShape 1">
          <a:extLst>
            <a:ext uri="{FF2B5EF4-FFF2-40B4-BE49-F238E27FC236}">
              <a16:creationId xmlns="" xmlns:a16="http://schemas.microsoft.com/office/drawing/2014/main" id="{00000000-0008-0000-0400-000065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89499875"/>
          <a:ext cx="1211792" cy="195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238</xdr:row>
      <xdr:rowOff>0</xdr:rowOff>
    </xdr:from>
    <xdr:to>
      <xdr:col>2</xdr:col>
      <xdr:colOff>535517</xdr:colOff>
      <xdr:row>239</xdr:row>
      <xdr:rowOff>33616</xdr:rowOff>
    </xdr:to>
    <xdr:sp macro="" textlink="">
      <xdr:nvSpPr>
        <xdr:cNvPr id="102" name="AutoShape 1">
          <a:extLst>
            <a:ext uri="{FF2B5EF4-FFF2-40B4-BE49-F238E27FC236}">
              <a16:creationId xmlns="" xmlns:a16="http://schemas.microsoft.com/office/drawing/2014/main" id="{00000000-0008-0000-0400-000066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89499875"/>
          <a:ext cx="1211792" cy="195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428625</xdr:colOff>
      <xdr:row>238</xdr:row>
      <xdr:rowOff>0</xdr:rowOff>
    </xdr:from>
    <xdr:ext cx="1209071" cy="196904"/>
    <xdr:sp macro="" textlink="">
      <xdr:nvSpPr>
        <xdr:cNvPr id="103" name="AutoShape 1">
          <a:extLst>
            <a:ext uri="{FF2B5EF4-FFF2-40B4-BE49-F238E27FC236}">
              <a16:creationId xmlns="" xmlns:a16="http://schemas.microsoft.com/office/drawing/2014/main" id="{00000000-0008-0000-0400-000067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8949987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238</xdr:row>
      <xdr:rowOff>0</xdr:rowOff>
    </xdr:from>
    <xdr:ext cx="1209071" cy="196904"/>
    <xdr:sp macro="" textlink="">
      <xdr:nvSpPr>
        <xdr:cNvPr id="104" name="AutoShape 1">
          <a:extLst>
            <a:ext uri="{FF2B5EF4-FFF2-40B4-BE49-F238E27FC236}">
              <a16:creationId xmlns="" xmlns:a16="http://schemas.microsoft.com/office/drawing/2014/main" id="{00000000-0008-0000-0400-000068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8949987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238</xdr:row>
      <xdr:rowOff>0</xdr:rowOff>
    </xdr:from>
    <xdr:ext cx="1209071" cy="196904"/>
    <xdr:sp macro="" textlink="">
      <xdr:nvSpPr>
        <xdr:cNvPr id="105" name="AutoShape 1">
          <a:extLst>
            <a:ext uri="{FF2B5EF4-FFF2-40B4-BE49-F238E27FC236}">
              <a16:creationId xmlns="" xmlns:a16="http://schemas.microsoft.com/office/drawing/2014/main" id="{00000000-0008-0000-0400-000069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8949987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238</xdr:row>
      <xdr:rowOff>0</xdr:rowOff>
    </xdr:from>
    <xdr:ext cx="1209071" cy="196904"/>
    <xdr:sp macro="" textlink="">
      <xdr:nvSpPr>
        <xdr:cNvPr id="106" name="AutoShape 1">
          <a:extLst>
            <a:ext uri="{FF2B5EF4-FFF2-40B4-BE49-F238E27FC236}">
              <a16:creationId xmlns="" xmlns:a16="http://schemas.microsoft.com/office/drawing/2014/main" id="{00000000-0008-0000-0400-00006A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8949987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238</xdr:row>
      <xdr:rowOff>0</xdr:rowOff>
    </xdr:from>
    <xdr:ext cx="1209071" cy="196903"/>
    <xdr:sp macro="" textlink="">
      <xdr:nvSpPr>
        <xdr:cNvPr id="107" name="AutoShape 1">
          <a:extLst>
            <a:ext uri="{FF2B5EF4-FFF2-40B4-BE49-F238E27FC236}">
              <a16:creationId xmlns="" xmlns:a16="http://schemas.microsoft.com/office/drawing/2014/main" id="{00000000-0008-0000-0400-00006B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89499875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238</xdr:row>
      <xdr:rowOff>0</xdr:rowOff>
    </xdr:from>
    <xdr:ext cx="1209071" cy="196903"/>
    <xdr:sp macro="" textlink="">
      <xdr:nvSpPr>
        <xdr:cNvPr id="108" name="AutoShape 1">
          <a:extLst>
            <a:ext uri="{FF2B5EF4-FFF2-40B4-BE49-F238E27FC236}">
              <a16:creationId xmlns="" xmlns:a16="http://schemas.microsoft.com/office/drawing/2014/main" id="{00000000-0008-0000-04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89499875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238</xdr:row>
      <xdr:rowOff>0</xdr:rowOff>
    </xdr:from>
    <xdr:ext cx="1209071" cy="196903"/>
    <xdr:sp macro="" textlink="">
      <xdr:nvSpPr>
        <xdr:cNvPr id="109" name="AutoShape 1">
          <a:extLst>
            <a:ext uri="{FF2B5EF4-FFF2-40B4-BE49-F238E27FC236}">
              <a16:creationId xmlns="" xmlns:a16="http://schemas.microsoft.com/office/drawing/2014/main" id="{00000000-0008-0000-04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89499875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238</xdr:row>
      <xdr:rowOff>0</xdr:rowOff>
    </xdr:from>
    <xdr:ext cx="1209071" cy="196903"/>
    <xdr:sp macro="" textlink="">
      <xdr:nvSpPr>
        <xdr:cNvPr id="110" name="AutoShape 1">
          <a:extLst>
            <a:ext uri="{FF2B5EF4-FFF2-40B4-BE49-F238E27FC236}">
              <a16:creationId xmlns="" xmlns:a16="http://schemas.microsoft.com/office/drawing/2014/main" id="{00000000-0008-0000-0400-00006E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89499875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238</xdr:row>
      <xdr:rowOff>0</xdr:rowOff>
    </xdr:from>
    <xdr:ext cx="1209071" cy="196904"/>
    <xdr:sp macro="" textlink="">
      <xdr:nvSpPr>
        <xdr:cNvPr id="111" name="AutoShape 1">
          <a:extLst>
            <a:ext uri="{FF2B5EF4-FFF2-40B4-BE49-F238E27FC236}">
              <a16:creationId xmlns="" xmlns:a16="http://schemas.microsoft.com/office/drawing/2014/main" id="{00000000-0008-0000-0400-00006F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8949987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238</xdr:row>
      <xdr:rowOff>0</xdr:rowOff>
    </xdr:from>
    <xdr:ext cx="1209071" cy="196904"/>
    <xdr:sp macro="" textlink="">
      <xdr:nvSpPr>
        <xdr:cNvPr id="112" name="AutoShape 1">
          <a:extLst>
            <a:ext uri="{FF2B5EF4-FFF2-40B4-BE49-F238E27FC236}">
              <a16:creationId xmlns="" xmlns:a16="http://schemas.microsoft.com/office/drawing/2014/main" id="{00000000-0008-0000-0400-000070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8949987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238</xdr:row>
      <xdr:rowOff>0</xdr:rowOff>
    </xdr:from>
    <xdr:ext cx="1209071" cy="196904"/>
    <xdr:sp macro="" textlink="">
      <xdr:nvSpPr>
        <xdr:cNvPr id="113" name="AutoShape 1">
          <a:extLst>
            <a:ext uri="{FF2B5EF4-FFF2-40B4-BE49-F238E27FC236}">
              <a16:creationId xmlns="" xmlns:a16="http://schemas.microsoft.com/office/drawing/2014/main" id="{00000000-0008-0000-0400-000071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8949987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238</xdr:row>
      <xdr:rowOff>0</xdr:rowOff>
    </xdr:from>
    <xdr:ext cx="1209071" cy="196904"/>
    <xdr:sp macro="" textlink="">
      <xdr:nvSpPr>
        <xdr:cNvPr id="114" name="AutoShape 1">
          <a:extLst>
            <a:ext uri="{FF2B5EF4-FFF2-40B4-BE49-F238E27FC236}">
              <a16:creationId xmlns="" xmlns:a16="http://schemas.microsoft.com/office/drawing/2014/main" id="{00000000-0008-0000-0400-000072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8949987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238</xdr:row>
      <xdr:rowOff>0</xdr:rowOff>
    </xdr:from>
    <xdr:ext cx="1209071" cy="196904"/>
    <xdr:sp macro="" textlink="">
      <xdr:nvSpPr>
        <xdr:cNvPr id="115" name="AutoShape 1">
          <a:extLst>
            <a:ext uri="{FF2B5EF4-FFF2-40B4-BE49-F238E27FC236}">
              <a16:creationId xmlns="" xmlns:a16="http://schemas.microsoft.com/office/drawing/2014/main" id="{00000000-0008-0000-0400-000073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9056667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238</xdr:row>
      <xdr:rowOff>0</xdr:rowOff>
    </xdr:from>
    <xdr:ext cx="1209071" cy="196904"/>
    <xdr:sp macro="" textlink="">
      <xdr:nvSpPr>
        <xdr:cNvPr id="116" name="AutoShape 1">
          <a:extLst>
            <a:ext uri="{FF2B5EF4-FFF2-40B4-BE49-F238E27FC236}">
              <a16:creationId xmlns="" xmlns:a16="http://schemas.microsoft.com/office/drawing/2014/main" id="{00000000-0008-0000-0400-000074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9056667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238</xdr:row>
      <xdr:rowOff>0</xdr:rowOff>
    </xdr:from>
    <xdr:ext cx="1209071" cy="196904"/>
    <xdr:sp macro="" textlink="">
      <xdr:nvSpPr>
        <xdr:cNvPr id="117" name="AutoShape 1">
          <a:extLst>
            <a:ext uri="{FF2B5EF4-FFF2-40B4-BE49-F238E27FC236}">
              <a16:creationId xmlns="" xmlns:a16="http://schemas.microsoft.com/office/drawing/2014/main" id="{00000000-0008-0000-0400-000075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9056667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238</xdr:row>
      <xdr:rowOff>0</xdr:rowOff>
    </xdr:from>
    <xdr:ext cx="1209071" cy="196904"/>
    <xdr:sp macro="" textlink="">
      <xdr:nvSpPr>
        <xdr:cNvPr id="118" name="AutoShape 1">
          <a:extLst>
            <a:ext uri="{FF2B5EF4-FFF2-40B4-BE49-F238E27FC236}">
              <a16:creationId xmlns="" xmlns:a16="http://schemas.microsoft.com/office/drawing/2014/main" id="{00000000-0008-0000-0400-000076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9056667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238</xdr:row>
      <xdr:rowOff>0</xdr:rowOff>
    </xdr:from>
    <xdr:ext cx="1209071" cy="196903"/>
    <xdr:sp macro="" textlink="">
      <xdr:nvSpPr>
        <xdr:cNvPr id="119" name="AutoShape 1">
          <a:extLst>
            <a:ext uri="{FF2B5EF4-FFF2-40B4-BE49-F238E27FC236}">
              <a16:creationId xmlns="" xmlns:a16="http://schemas.microsoft.com/office/drawing/2014/main" id="{00000000-0008-0000-0400-000077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90566675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238</xdr:row>
      <xdr:rowOff>0</xdr:rowOff>
    </xdr:from>
    <xdr:ext cx="1209071" cy="196903"/>
    <xdr:sp macro="" textlink="">
      <xdr:nvSpPr>
        <xdr:cNvPr id="120" name="AutoShape 1">
          <a:extLst>
            <a:ext uri="{FF2B5EF4-FFF2-40B4-BE49-F238E27FC236}">
              <a16:creationId xmlns="" xmlns:a16="http://schemas.microsoft.com/office/drawing/2014/main" id="{00000000-0008-0000-0400-000078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90566675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238</xdr:row>
      <xdr:rowOff>0</xdr:rowOff>
    </xdr:from>
    <xdr:ext cx="1209071" cy="196903"/>
    <xdr:sp macro="" textlink="">
      <xdr:nvSpPr>
        <xdr:cNvPr id="121" name="AutoShape 1">
          <a:extLst>
            <a:ext uri="{FF2B5EF4-FFF2-40B4-BE49-F238E27FC236}">
              <a16:creationId xmlns="" xmlns:a16="http://schemas.microsoft.com/office/drawing/2014/main" id="{00000000-0008-0000-0400-000079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90566675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238</xdr:row>
      <xdr:rowOff>0</xdr:rowOff>
    </xdr:from>
    <xdr:ext cx="1209071" cy="196903"/>
    <xdr:sp macro="" textlink="">
      <xdr:nvSpPr>
        <xdr:cNvPr id="122" name="AutoShape 1">
          <a:extLst>
            <a:ext uri="{FF2B5EF4-FFF2-40B4-BE49-F238E27FC236}">
              <a16:creationId xmlns="" xmlns:a16="http://schemas.microsoft.com/office/drawing/2014/main" id="{00000000-0008-0000-0400-00007A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90566675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238</xdr:row>
      <xdr:rowOff>0</xdr:rowOff>
    </xdr:from>
    <xdr:ext cx="1209071" cy="196904"/>
    <xdr:sp macro="" textlink="">
      <xdr:nvSpPr>
        <xdr:cNvPr id="123" name="AutoShape 1">
          <a:extLst>
            <a:ext uri="{FF2B5EF4-FFF2-40B4-BE49-F238E27FC236}">
              <a16:creationId xmlns="" xmlns:a16="http://schemas.microsoft.com/office/drawing/2014/main" id="{00000000-0008-0000-0400-00007B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9056667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238</xdr:row>
      <xdr:rowOff>0</xdr:rowOff>
    </xdr:from>
    <xdr:ext cx="1209071" cy="196904"/>
    <xdr:sp macro="" textlink="">
      <xdr:nvSpPr>
        <xdr:cNvPr id="124" name="AutoShape 1">
          <a:extLst>
            <a:ext uri="{FF2B5EF4-FFF2-40B4-BE49-F238E27FC236}">
              <a16:creationId xmlns="" xmlns:a16="http://schemas.microsoft.com/office/drawing/2014/main" id="{00000000-0008-0000-0400-00007C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9056667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238</xdr:row>
      <xdr:rowOff>0</xdr:rowOff>
    </xdr:from>
    <xdr:ext cx="1209071" cy="196904"/>
    <xdr:sp macro="" textlink="">
      <xdr:nvSpPr>
        <xdr:cNvPr id="125" name="AutoShape 1">
          <a:extLst>
            <a:ext uri="{FF2B5EF4-FFF2-40B4-BE49-F238E27FC236}">
              <a16:creationId xmlns="" xmlns:a16="http://schemas.microsoft.com/office/drawing/2014/main" id="{00000000-0008-0000-0400-00007D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9056667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238</xdr:row>
      <xdr:rowOff>0</xdr:rowOff>
    </xdr:from>
    <xdr:ext cx="1209071" cy="196904"/>
    <xdr:sp macro="" textlink="">
      <xdr:nvSpPr>
        <xdr:cNvPr id="126" name="AutoShape 1">
          <a:extLst>
            <a:ext uri="{FF2B5EF4-FFF2-40B4-BE49-F238E27FC236}">
              <a16:creationId xmlns="" xmlns:a16="http://schemas.microsoft.com/office/drawing/2014/main" id="{00000000-0008-0000-0400-00007E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9056667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238</xdr:row>
      <xdr:rowOff>0</xdr:rowOff>
    </xdr:from>
    <xdr:ext cx="1209071" cy="196903"/>
    <xdr:sp macro="" textlink="">
      <xdr:nvSpPr>
        <xdr:cNvPr id="127" name="AutoShape 1">
          <a:extLst>
            <a:ext uri="{FF2B5EF4-FFF2-40B4-BE49-F238E27FC236}">
              <a16:creationId xmlns="" xmlns:a16="http://schemas.microsoft.com/office/drawing/2014/main" id="{00000000-0008-0000-0400-00007F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90566675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238</xdr:row>
      <xdr:rowOff>0</xdr:rowOff>
    </xdr:from>
    <xdr:ext cx="1209071" cy="196903"/>
    <xdr:sp macro="" textlink="">
      <xdr:nvSpPr>
        <xdr:cNvPr id="128" name="AutoShape 1">
          <a:extLst>
            <a:ext uri="{FF2B5EF4-FFF2-40B4-BE49-F238E27FC236}">
              <a16:creationId xmlns="" xmlns:a16="http://schemas.microsoft.com/office/drawing/2014/main" id="{00000000-0008-0000-0400-000080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90566675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238</xdr:row>
      <xdr:rowOff>0</xdr:rowOff>
    </xdr:from>
    <xdr:ext cx="1209071" cy="196903"/>
    <xdr:sp macro="" textlink="">
      <xdr:nvSpPr>
        <xdr:cNvPr id="129" name="AutoShape 1">
          <a:extLst>
            <a:ext uri="{FF2B5EF4-FFF2-40B4-BE49-F238E27FC236}">
              <a16:creationId xmlns="" xmlns:a16="http://schemas.microsoft.com/office/drawing/2014/main" id="{00000000-0008-0000-0400-000081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90566675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238</xdr:row>
      <xdr:rowOff>0</xdr:rowOff>
    </xdr:from>
    <xdr:ext cx="1209071" cy="196903"/>
    <xdr:sp macro="" textlink="">
      <xdr:nvSpPr>
        <xdr:cNvPr id="130" name="AutoShape 1">
          <a:extLst>
            <a:ext uri="{FF2B5EF4-FFF2-40B4-BE49-F238E27FC236}">
              <a16:creationId xmlns="" xmlns:a16="http://schemas.microsoft.com/office/drawing/2014/main" id="{00000000-0008-0000-0400-000082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90566675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238</xdr:row>
      <xdr:rowOff>0</xdr:rowOff>
    </xdr:from>
    <xdr:ext cx="1209071" cy="196904"/>
    <xdr:sp macro="" textlink="">
      <xdr:nvSpPr>
        <xdr:cNvPr id="131" name="AutoShape 1">
          <a:extLst>
            <a:ext uri="{FF2B5EF4-FFF2-40B4-BE49-F238E27FC236}">
              <a16:creationId xmlns="" xmlns:a16="http://schemas.microsoft.com/office/drawing/2014/main" id="{00000000-0008-0000-0400-000083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9056667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238</xdr:row>
      <xdr:rowOff>0</xdr:rowOff>
    </xdr:from>
    <xdr:ext cx="1209071" cy="196904"/>
    <xdr:sp macro="" textlink="">
      <xdr:nvSpPr>
        <xdr:cNvPr id="132" name="AutoShape 1">
          <a:extLst>
            <a:ext uri="{FF2B5EF4-FFF2-40B4-BE49-F238E27FC236}">
              <a16:creationId xmlns="" xmlns:a16="http://schemas.microsoft.com/office/drawing/2014/main" id="{00000000-0008-0000-0400-000084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9056667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238</xdr:row>
      <xdr:rowOff>0</xdr:rowOff>
    </xdr:from>
    <xdr:ext cx="1209071" cy="196904"/>
    <xdr:sp macro="" textlink="">
      <xdr:nvSpPr>
        <xdr:cNvPr id="133" name="AutoShape 1">
          <a:extLst>
            <a:ext uri="{FF2B5EF4-FFF2-40B4-BE49-F238E27FC236}">
              <a16:creationId xmlns="" xmlns:a16="http://schemas.microsoft.com/office/drawing/2014/main" id="{00000000-0008-0000-0400-000085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90566675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229</xdr:row>
      <xdr:rowOff>0</xdr:rowOff>
    </xdr:from>
    <xdr:ext cx="1218142" cy="192367"/>
    <xdr:sp macro="" textlink="">
      <xdr:nvSpPr>
        <xdr:cNvPr id="135" name="AutoShape 1">
          <a:extLst>
            <a:ext uri="{FF2B5EF4-FFF2-40B4-BE49-F238E27FC236}">
              <a16:creationId xmlns="" xmlns:a16="http://schemas.microsoft.com/office/drawing/2014/main" id="{00000000-0008-0000-0400-000087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79460525"/>
          <a:ext cx="1218142" cy="192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229</xdr:row>
      <xdr:rowOff>0</xdr:rowOff>
    </xdr:from>
    <xdr:ext cx="1218142" cy="192367"/>
    <xdr:sp macro="" textlink="">
      <xdr:nvSpPr>
        <xdr:cNvPr id="136" name="AutoShape 1">
          <a:extLst>
            <a:ext uri="{FF2B5EF4-FFF2-40B4-BE49-F238E27FC236}">
              <a16:creationId xmlns="" xmlns:a16="http://schemas.microsoft.com/office/drawing/2014/main" id="{00000000-0008-0000-0400-000088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79460525"/>
          <a:ext cx="1218142" cy="192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229</xdr:row>
      <xdr:rowOff>0</xdr:rowOff>
    </xdr:from>
    <xdr:ext cx="1218142" cy="192367"/>
    <xdr:sp macro="" textlink="">
      <xdr:nvSpPr>
        <xdr:cNvPr id="137" name="AutoShape 1">
          <a:extLst>
            <a:ext uri="{FF2B5EF4-FFF2-40B4-BE49-F238E27FC236}">
              <a16:creationId xmlns="" xmlns:a16="http://schemas.microsoft.com/office/drawing/2014/main" id="{00000000-0008-0000-0400-000089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79460525"/>
          <a:ext cx="1218142" cy="192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232</xdr:row>
      <xdr:rowOff>0</xdr:rowOff>
    </xdr:from>
    <xdr:ext cx="1218142" cy="192367"/>
    <xdr:sp macro="" textlink="">
      <xdr:nvSpPr>
        <xdr:cNvPr id="139" name="AutoShape 1">
          <a:extLst>
            <a:ext uri="{FF2B5EF4-FFF2-40B4-BE49-F238E27FC236}">
              <a16:creationId xmlns="" xmlns:a16="http://schemas.microsoft.com/office/drawing/2014/main" id="{00000000-0008-0000-0400-00008B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82927625"/>
          <a:ext cx="1218142" cy="192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232</xdr:row>
      <xdr:rowOff>0</xdr:rowOff>
    </xdr:from>
    <xdr:ext cx="1218142" cy="192368"/>
    <xdr:sp macro="" textlink="">
      <xdr:nvSpPr>
        <xdr:cNvPr id="140" name="AutoShape 1">
          <a:extLst>
            <a:ext uri="{FF2B5EF4-FFF2-40B4-BE49-F238E27FC236}">
              <a16:creationId xmlns="" xmlns:a16="http://schemas.microsoft.com/office/drawing/2014/main" id="{00000000-0008-0000-04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82927625"/>
          <a:ext cx="1218142" cy="1923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232</xdr:row>
      <xdr:rowOff>0</xdr:rowOff>
    </xdr:from>
    <xdr:ext cx="1218142" cy="192368"/>
    <xdr:sp macro="" textlink="">
      <xdr:nvSpPr>
        <xdr:cNvPr id="141" name="AutoShape 1">
          <a:extLst>
            <a:ext uri="{FF2B5EF4-FFF2-40B4-BE49-F238E27FC236}">
              <a16:creationId xmlns="" xmlns:a16="http://schemas.microsoft.com/office/drawing/2014/main" id="{00000000-0008-0000-0400-00008D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82927625"/>
          <a:ext cx="1218142" cy="1923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534</xdr:row>
      <xdr:rowOff>0</xdr:rowOff>
    </xdr:from>
    <xdr:ext cx="1218142" cy="192367"/>
    <xdr:sp macro="" textlink="">
      <xdr:nvSpPr>
        <xdr:cNvPr id="204" name="AutoShape 1">
          <a:extLst>
            <a:ext uri="{FF2B5EF4-FFF2-40B4-BE49-F238E27FC236}">
              <a16:creationId xmlns="" xmlns:a16="http://schemas.microsoft.com/office/drawing/2014/main" id="{00000000-0008-0000-0400-0000CC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256241550"/>
          <a:ext cx="1218142" cy="192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534</xdr:row>
      <xdr:rowOff>0</xdr:rowOff>
    </xdr:from>
    <xdr:ext cx="1218142" cy="192367"/>
    <xdr:sp macro="" textlink="">
      <xdr:nvSpPr>
        <xdr:cNvPr id="205" name="AutoShape 1">
          <a:extLst>
            <a:ext uri="{FF2B5EF4-FFF2-40B4-BE49-F238E27FC236}">
              <a16:creationId xmlns="" xmlns:a16="http://schemas.microsoft.com/office/drawing/2014/main" id="{00000000-0008-0000-0400-0000CD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256241550"/>
          <a:ext cx="1218142" cy="192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534</xdr:row>
      <xdr:rowOff>0</xdr:rowOff>
    </xdr:from>
    <xdr:ext cx="1218142" cy="192367"/>
    <xdr:sp macro="" textlink="">
      <xdr:nvSpPr>
        <xdr:cNvPr id="206" name="AutoShape 1">
          <a:extLst>
            <a:ext uri="{FF2B5EF4-FFF2-40B4-BE49-F238E27FC236}">
              <a16:creationId xmlns="" xmlns:a16="http://schemas.microsoft.com/office/drawing/2014/main" id="{00000000-0008-0000-0400-0000CE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256241550"/>
          <a:ext cx="1218142" cy="192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534</xdr:row>
      <xdr:rowOff>0</xdr:rowOff>
    </xdr:from>
    <xdr:ext cx="1218142" cy="192367"/>
    <xdr:sp macro="" textlink="">
      <xdr:nvSpPr>
        <xdr:cNvPr id="207" name="AutoShape 1">
          <a:extLst>
            <a:ext uri="{FF2B5EF4-FFF2-40B4-BE49-F238E27FC236}">
              <a16:creationId xmlns="" xmlns:a16="http://schemas.microsoft.com/office/drawing/2014/main" id="{00000000-0008-0000-0400-0000CF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256241550"/>
          <a:ext cx="1218142" cy="192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534</xdr:row>
      <xdr:rowOff>0</xdr:rowOff>
    </xdr:from>
    <xdr:ext cx="1218142" cy="192367"/>
    <xdr:sp macro="" textlink="">
      <xdr:nvSpPr>
        <xdr:cNvPr id="208" name="AutoShape 1">
          <a:extLst>
            <a:ext uri="{FF2B5EF4-FFF2-40B4-BE49-F238E27FC236}">
              <a16:creationId xmlns="" xmlns:a16="http://schemas.microsoft.com/office/drawing/2014/main" id="{00000000-0008-0000-0400-0000D0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264823575"/>
          <a:ext cx="1218142" cy="192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534</xdr:row>
      <xdr:rowOff>0</xdr:rowOff>
    </xdr:from>
    <xdr:ext cx="1218142" cy="192368"/>
    <xdr:sp macro="" textlink="">
      <xdr:nvSpPr>
        <xdr:cNvPr id="209" name="AutoShape 1">
          <a:extLst>
            <a:ext uri="{FF2B5EF4-FFF2-40B4-BE49-F238E27FC236}">
              <a16:creationId xmlns="" xmlns:a16="http://schemas.microsoft.com/office/drawing/2014/main" id="{00000000-0008-0000-0400-0000D1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264823575"/>
          <a:ext cx="1218142" cy="1923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534</xdr:row>
      <xdr:rowOff>0</xdr:rowOff>
    </xdr:from>
    <xdr:ext cx="1218142" cy="192368"/>
    <xdr:sp macro="" textlink="">
      <xdr:nvSpPr>
        <xdr:cNvPr id="210" name="AutoShape 1">
          <a:extLst>
            <a:ext uri="{FF2B5EF4-FFF2-40B4-BE49-F238E27FC236}">
              <a16:creationId xmlns="" xmlns:a16="http://schemas.microsoft.com/office/drawing/2014/main" id="{00000000-0008-0000-0400-0000D2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264823575"/>
          <a:ext cx="1218142" cy="1923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534</xdr:row>
      <xdr:rowOff>0</xdr:rowOff>
    </xdr:from>
    <xdr:ext cx="1218142" cy="192368"/>
    <xdr:sp macro="" textlink="">
      <xdr:nvSpPr>
        <xdr:cNvPr id="211" name="AutoShape 1">
          <a:extLst>
            <a:ext uri="{FF2B5EF4-FFF2-40B4-BE49-F238E27FC236}">
              <a16:creationId xmlns="" xmlns:a16="http://schemas.microsoft.com/office/drawing/2014/main" id="{00000000-0008-0000-04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264823575"/>
          <a:ext cx="1218142" cy="1923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534</xdr:row>
      <xdr:rowOff>0</xdr:rowOff>
    </xdr:from>
    <xdr:ext cx="1218142" cy="192368"/>
    <xdr:sp macro="" textlink="">
      <xdr:nvSpPr>
        <xdr:cNvPr id="212" name="AutoShape 1">
          <a:extLst>
            <a:ext uri="{FF2B5EF4-FFF2-40B4-BE49-F238E27FC236}">
              <a16:creationId xmlns="" xmlns:a16="http://schemas.microsoft.com/office/drawing/2014/main" id="{00000000-0008-0000-0400-0000D4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264823575"/>
          <a:ext cx="1218142" cy="1923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0</xdr:col>
      <xdr:colOff>428625</xdr:colOff>
      <xdr:row>534</xdr:row>
      <xdr:rowOff>0</xdr:rowOff>
    </xdr:from>
    <xdr:to>
      <xdr:col>2</xdr:col>
      <xdr:colOff>535517</xdr:colOff>
      <xdr:row>535</xdr:row>
      <xdr:rowOff>33622</xdr:rowOff>
    </xdr:to>
    <xdr:sp macro="" textlink="">
      <xdr:nvSpPr>
        <xdr:cNvPr id="213" name="AutoShape 1">
          <a:extLst>
            <a:ext uri="{FF2B5EF4-FFF2-40B4-BE49-F238E27FC236}">
              <a16:creationId xmlns="" xmlns:a16="http://schemas.microsoft.com/office/drawing/2014/main" id="{00000000-0008-0000-0400-0000D5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264823575"/>
          <a:ext cx="1211792" cy="195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534</xdr:row>
      <xdr:rowOff>0</xdr:rowOff>
    </xdr:from>
    <xdr:to>
      <xdr:col>2</xdr:col>
      <xdr:colOff>535517</xdr:colOff>
      <xdr:row>535</xdr:row>
      <xdr:rowOff>33622</xdr:rowOff>
    </xdr:to>
    <xdr:sp macro="" textlink="">
      <xdr:nvSpPr>
        <xdr:cNvPr id="214" name="AutoShape 1">
          <a:extLst>
            <a:ext uri="{FF2B5EF4-FFF2-40B4-BE49-F238E27FC236}">
              <a16:creationId xmlns="" xmlns:a16="http://schemas.microsoft.com/office/drawing/2014/main" id="{00000000-0008-0000-04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264823575"/>
          <a:ext cx="1211792" cy="195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534</xdr:row>
      <xdr:rowOff>0</xdr:rowOff>
    </xdr:from>
    <xdr:to>
      <xdr:col>2</xdr:col>
      <xdr:colOff>535517</xdr:colOff>
      <xdr:row>535</xdr:row>
      <xdr:rowOff>33622</xdr:rowOff>
    </xdr:to>
    <xdr:sp macro="" textlink="">
      <xdr:nvSpPr>
        <xdr:cNvPr id="215" name="AutoShape 1">
          <a:extLst>
            <a:ext uri="{FF2B5EF4-FFF2-40B4-BE49-F238E27FC236}">
              <a16:creationId xmlns="" xmlns:a16="http://schemas.microsoft.com/office/drawing/2014/main" id="{00000000-0008-0000-0400-0000D7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264823575"/>
          <a:ext cx="1211792" cy="195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534</xdr:row>
      <xdr:rowOff>0</xdr:rowOff>
    </xdr:from>
    <xdr:to>
      <xdr:col>2</xdr:col>
      <xdr:colOff>535517</xdr:colOff>
      <xdr:row>535</xdr:row>
      <xdr:rowOff>33622</xdr:rowOff>
    </xdr:to>
    <xdr:sp macro="" textlink="">
      <xdr:nvSpPr>
        <xdr:cNvPr id="216" name="AutoShape 1">
          <a:extLst>
            <a:ext uri="{FF2B5EF4-FFF2-40B4-BE49-F238E27FC236}">
              <a16:creationId xmlns="" xmlns:a16="http://schemas.microsoft.com/office/drawing/2014/main" id="{00000000-0008-0000-04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264823575"/>
          <a:ext cx="1211792" cy="195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534</xdr:row>
      <xdr:rowOff>0</xdr:rowOff>
    </xdr:from>
    <xdr:to>
      <xdr:col>2</xdr:col>
      <xdr:colOff>535517</xdr:colOff>
      <xdr:row>535</xdr:row>
      <xdr:rowOff>33619</xdr:rowOff>
    </xdr:to>
    <xdr:sp macro="" textlink="">
      <xdr:nvSpPr>
        <xdr:cNvPr id="217" name="AutoShape 1">
          <a:extLst>
            <a:ext uri="{FF2B5EF4-FFF2-40B4-BE49-F238E27FC236}">
              <a16:creationId xmlns="" xmlns:a16="http://schemas.microsoft.com/office/drawing/2014/main" id="{00000000-0008-0000-0400-0000D9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272176875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534</xdr:row>
      <xdr:rowOff>0</xdr:rowOff>
    </xdr:from>
    <xdr:to>
      <xdr:col>2</xdr:col>
      <xdr:colOff>535517</xdr:colOff>
      <xdr:row>535</xdr:row>
      <xdr:rowOff>33619</xdr:rowOff>
    </xdr:to>
    <xdr:sp macro="" textlink="">
      <xdr:nvSpPr>
        <xdr:cNvPr id="218" name="AutoShape 1">
          <a:extLst>
            <a:ext uri="{FF2B5EF4-FFF2-40B4-BE49-F238E27FC236}">
              <a16:creationId xmlns="" xmlns:a16="http://schemas.microsoft.com/office/drawing/2014/main" id="{00000000-0008-0000-0400-0000DA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272176875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534</xdr:row>
      <xdr:rowOff>0</xdr:rowOff>
    </xdr:from>
    <xdr:to>
      <xdr:col>2</xdr:col>
      <xdr:colOff>535517</xdr:colOff>
      <xdr:row>535</xdr:row>
      <xdr:rowOff>33619</xdr:rowOff>
    </xdr:to>
    <xdr:sp macro="" textlink="">
      <xdr:nvSpPr>
        <xdr:cNvPr id="219" name="AutoShape 1">
          <a:extLst>
            <a:ext uri="{FF2B5EF4-FFF2-40B4-BE49-F238E27FC236}">
              <a16:creationId xmlns="" xmlns:a16="http://schemas.microsoft.com/office/drawing/2014/main" id="{00000000-0008-0000-0400-0000DB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272176875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534</xdr:row>
      <xdr:rowOff>0</xdr:rowOff>
    </xdr:from>
    <xdr:to>
      <xdr:col>2</xdr:col>
      <xdr:colOff>535517</xdr:colOff>
      <xdr:row>535</xdr:row>
      <xdr:rowOff>33619</xdr:rowOff>
    </xdr:to>
    <xdr:sp macro="" textlink="">
      <xdr:nvSpPr>
        <xdr:cNvPr id="220" name="AutoShape 1">
          <a:extLst>
            <a:ext uri="{FF2B5EF4-FFF2-40B4-BE49-F238E27FC236}">
              <a16:creationId xmlns="" xmlns:a16="http://schemas.microsoft.com/office/drawing/2014/main" id="{00000000-0008-0000-0400-0000DC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272176875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534</xdr:row>
      <xdr:rowOff>0</xdr:rowOff>
    </xdr:from>
    <xdr:to>
      <xdr:col>2</xdr:col>
      <xdr:colOff>535517</xdr:colOff>
      <xdr:row>535</xdr:row>
      <xdr:rowOff>33618</xdr:rowOff>
    </xdr:to>
    <xdr:sp macro="" textlink="">
      <xdr:nvSpPr>
        <xdr:cNvPr id="221" name="AutoShape 1">
          <a:extLst>
            <a:ext uri="{FF2B5EF4-FFF2-40B4-BE49-F238E27FC236}">
              <a16:creationId xmlns="" xmlns:a16="http://schemas.microsoft.com/office/drawing/2014/main" id="{00000000-0008-0000-0400-0000DD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272176875"/>
          <a:ext cx="1211792" cy="195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534</xdr:row>
      <xdr:rowOff>0</xdr:rowOff>
    </xdr:from>
    <xdr:to>
      <xdr:col>2</xdr:col>
      <xdr:colOff>535517</xdr:colOff>
      <xdr:row>535</xdr:row>
      <xdr:rowOff>33618</xdr:rowOff>
    </xdr:to>
    <xdr:sp macro="" textlink="">
      <xdr:nvSpPr>
        <xdr:cNvPr id="222" name="AutoShape 1">
          <a:extLst>
            <a:ext uri="{FF2B5EF4-FFF2-40B4-BE49-F238E27FC236}">
              <a16:creationId xmlns="" xmlns:a16="http://schemas.microsoft.com/office/drawing/2014/main" id="{00000000-0008-0000-0400-0000DE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272176875"/>
          <a:ext cx="1211792" cy="195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534</xdr:row>
      <xdr:rowOff>0</xdr:rowOff>
    </xdr:from>
    <xdr:to>
      <xdr:col>2</xdr:col>
      <xdr:colOff>535517</xdr:colOff>
      <xdr:row>535</xdr:row>
      <xdr:rowOff>33618</xdr:rowOff>
    </xdr:to>
    <xdr:sp macro="" textlink="">
      <xdr:nvSpPr>
        <xdr:cNvPr id="223" name="AutoShape 1">
          <a:extLst>
            <a:ext uri="{FF2B5EF4-FFF2-40B4-BE49-F238E27FC236}">
              <a16:creationId xmlns="" xmlns:a16="http://schemas.microsoft.com/office/drawing/2014/main" id="{00000000-0008-0000-0400-0000DF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272176875"/>
          <a:ext cx="1211792" cy="195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534</xdr:row>
      <xdr:rowOff>0</xdr:rowOff>
    </xdr:from>
    <xdr:to>
      <xdr:col>2</xdr:col>
      <xdr:colOff>535517</xdr:colOff>
      <xdr:row>535</xdr:row>
      <xdr:rowOff>33618</xdr:rowOff>
    </xdr:to>
    <xdr:sp macro="" textlink="">
      <xdr:nvSpPr>
        <xdr:cNvPr id="224" name="AutoShape 1">
          <a:extLst>
            <a:ext uri="{FF2B5EF4-FFF2-40B4-BE49-F238E27FC236}">
              <a16:creationId xmlns="" xmlns:a16="http://schemas.microsoft.com/office/drawing/2014/main" id="{00000000-0008-0000-0400-0000E0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272176875"/>
          <a:ext cx="1211792" cy="195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534</xdr:row>
      <xdr:rowOff>0</xdr:rowOff>
    </xdr:from>
    <xdr:to>
      <xdr:col>2</xdr:col>
      <xdr:colOff>535517</xdr:colOff>
      <xdr:row>535</xdr:row>
      <xdr:rowOff>33619</xdr:rowOff>
    </xdr:to>
    <xdr:sp macro="" textlink="">
      <xdr:nvSpPr>
        <xdr:cNvPr id="225" name="AutoShape 1">
          <a:extLst>
            <a:ext uri="{FF2B5EF4-FFF2-40B4-BE49-F238E27FC236}">
              <a16:creationId xmlns="" xmlns:a16="http://schemas.microsoft.com/office/drawing/2014/main" id="{00000000-0008-0000-0400-0000E1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272176875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534</xdr:row>
      <xdr:rowOff>0</xdr:rowOff>
    </xdr:from>
    <xdr:to>
      <xdr:col>2</xdr:col>
      <xdr:colOff>535517</xdr:colOff>
      <xdr:row>535</xdr:row>
      <xdr:rowOff>33619</xdr:rowOff>
    </xdr:to>
    <xdr:sp macro="" textlink="">
      <xdr:nvSpPr>
        <xdr:cNvPr id="226" name="AutoShape 1">
          <a:extLst>
            <a:ext uri="{FF2B5EF4-FFF2-40B4-BE49-F238E27FC236}">
              <a16:creationId xmlns="" xmlns:a16="http://schemas.microsoft.com/office/drawing/2014/main" id="{00000000-0008-0000-0400-0000E2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272176875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534</xdr:row>
      <xdr:rowOff>0</xdr:rowOff>
    </xdr:from>
    <xdr:to>
      <xdr:col>2</xdr:col>
      <xdr:colOff>535517</xdr:colOff>
      <xdr:row>535</xdr:row>
      <xdr:rowOff>33619</xdr:rowOff>
    </xdr:to>
    <xdr:sp macro="" textlink="">
      <xdr:nvSpPr>
        <xdr:cNvPr id="227" name="AutoShape 1">
          <a:extLst>
            <a:ext uri="{FF2B5EF4-FFF2-40B4-BE49-F238E27FC236}">
              <a16:creationId xmlns="" xmlns:a16="http://schemas.microsoft.com/office/drawing/2014/main" id="{00000000-0008-0000-0400-0000E3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272176875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534</xdr:row>
      <xdr:rowOff>0</xdr:rowOff>
    </xdr:from>
    <xdr:to>
      <xdr:col>2</xdr:col>
      <xdr:colOff>535517</xdr:colOff>
      <xdr:row>535</xdr:row>
      <xdr:rowOff>33619</xdr:rowOff>
    </xdr:to>
    <xdr:sp macro="" textlink="">
      <xdr:nvSpPr>
        <xdr:cNvPr id="228" name="AutoShape 1">
          <a:extLst>
            <a:ext uri="{FF2B5EF4-FFF2-40B4-BE49-F238E27FC236}">
              <a16:creationId xmlns="" xmlns:a16="http://schemas.microsoft.com/office/drawing/2014/main" id="{00000000-0008-0000-0400-0000E400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272176875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534</xdr:row>
      <xdr:rowOff>0</xdr:rowOff>
    </xdr:from>
    <xdr:to>
      <xdr:col>2</xdr:col>
      <xdr:colOff>535517</xdr:colOff>
      <xdr:row>535</xdr:row>
      <xdr:rowOff>33622</xdr:rowOff>
    </xdr:to>
    <xdr:sp macro="" textlink="">
      <xdr:nvSpPr>
        <xdr:cNvPr id="278" name="AutoShape 1">
          <a:extLst>
            <a:ext uri="{FF2B5EF4-FFF2-40B4-BE49-F238E27FC236}">
              <a16:creationId xmlns="" xmlns:a16="http://schemas.microsoft.com/office/drawing/2014/main" id="{00000000-0008-0000-0400-00001601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264823575"/>
          <a:ext cx="1211792" cy="195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534</xdr:row>
      <xdr:rowOff>0</xdr:rowOff>
    </xdr:from>
    <xdr:to>
      <xdr:col>2</xdr:col>
      <xdr:colOff>535517</xdr:colOff>
      <xdr:row>535</xdr:row>
      <xdr:rowOff>33622</xdr:rowOff>
    </xdr:to>
    <xdr:sp macro="" textlink="">
      <xdr:nvSpPr>
        <xdr:cNvPr id="279" name="AutoShape 1">
          <a:extLst>
            <a:ext uri="{FF2B5EF4-FFF2-40B4-BE49-F238E27FC236}">
              <a16:creationId xmlns="" xmlns:a16="http://schemas.microsoft.com/office/drawing/2014/main" id="{00000000-0008-0000-0400-00001701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264823575"/>
          <a:ext cx="1211792" cy="195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534</xdr:row>
      <xdr:rowOff>0</xdr:rowOff>
    </xdr:from>
    <xdr:to>
      <xdr:col>2</xdr:col>
      <xdr:colOff>535517</xdr:colOff>
      <xdr:row>535</xdr:row>
      <xdr:rowOff>33622</xdr:rowOff>
    </xdr:to>
    <xdr:sp macro="" textlink="">
      <xdr:nvSpPr>
        <xdr:cNvPr id="280" name="AutoShape 1">
          <a:extLst>
            <a:ext uri="{FF2B5EF4-FFF2-40B4-BE49-F238E27FC236}">
              <a16:creationId xmlns="" xmlns:a16="http://schemas.microsoft.com/office/drawing/2014/main" id="{00000000-0008-0000-04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264823575"/>
          <a:ext cx="1211792" cy="195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534</xdr:row>
      <xdr:rowOff>0</xdr:rowOff>
    </xdr:from>
    <xdr:to>
      <xdr:col>2</xdr:col>
      <xdr:colOff>535517</xdr:colOff>
      <xdr:row>535</xdr:row>
      <xdr:rowOff>33622</xdr:rowOff>
    </xdr:to>
    <xdr:sp macro="" textlink="">
      <xdr:nvSpPr>
        <xdr:cNvPr id="281" name="AutoShape 1">
          <a:extLst>
            <a:ext uri="{FF2B5EF4-FFF2-40B4-BE49-F238E27FC236}">
              <a16:creationId xmlns="" xmlns:a16="http://schemas.microsoft.com/office/drawing/2014/main" id="{00000000-0008-0000-04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264823575"/>
          <a:ext cx="1211792" cy="195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534</xdr:row>
      <xdr:rowOff>0</xdr:rowOff>
    </xdr:from>
    <xdr:to>
      <xdr:col>2</xdr:col>
      <xdr:colOff>535517</xdr:colOff>
      <xdr:row>535</xdr:row>
      <xdr:rowOff>33619</xdr:rowOff>
    </xdr:to>
    <xdr:sp macro="" textlink="">
      <xdr:nvSpPr>
        <xdr:cNvPr id="282" name="AutoShape 1">
          <a:extLst>
            <a:ext uri="{FF2B5EF4-FFF2-40B4-BE49-F238E27FC236}">
              <a16:creationId xmlns="" xmlns:a16="http://schemas.microsoft.com/office/drawing/2014/main" id="{00000000-0008-0000-04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272176875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534</xdr:row>
      <xdr:rowOff>0</xdr:rowOff>
    </xdr:from>
    <xdr:to>
      <xdr:col>2</xdr:col>
      <xdr:colOff>535517</xdr:colOff>
      <xdr:row>535</xdr:row>
      <xdr:rowOff>33619</xdr:rowOff>
    </xdr:to>
    <xdr:sp macro="" textlink="">
      <xdr:nvSpPr>
        <xdr:cNvPr id="283" name="AutoShape 1">
          <a:extLst>
            <a:ext uri="{FF2B5EF4-FFF2-40B4-BE49-F238E27FC236}">
              <a16:creationId xmlns="" xmlns:a16="http://schemas.microsoft.com/office/drawing/2014/main" id="{00000000-0008-0000-04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272176875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534</xdr:row>
      <xdr:rowOff>0</xdr:rowOff>
    </xdr:from>
    <xdr:to>
      <xdr:col>2</xdr:col>
      <xdr:colOff>535517</xdr:colOff>
      <xdr:row>535</xdr:row>
      <xdr:rowOff>33619</xdr:rowOff>
    </xdr:to>
    <xdr:sp macro="" textlink="">
      <xdr:nvSpPr>
        <xdr:cNvPr id="284" name="AutoShape 1">
          <a:extLst>
            <a:ext uri="{FF2B5EF4-FFF2-40B4-BE49-F238E27FC236}">
              <a16:creationId xmlns="" xmlns:a16="http://schemas.microsoft.com/office/drawing/2014/main" id="{00000000-0008-0000-04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272176875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534</xdr:row>
      <xdr:rowOff>0</xdr:rowOff>
    </xdr:from>
    <xdr:to>
      <xdr:col>2</xdr:col>
      <xdr:colOff>535517</xdr:colOff>
      <xdr:row>535</xdr:row>
      <xdr:rowOff>33619</xdr:rowOff>
    </xdr:to>
    <xdr:sp macro="" textlink="">
      <xdr:nvSpPr>
        <xdr:cNvPr id="285" name="AutoShape 1">
          <a:extLst>
            <a:ext uri="{FF2B5EF4-FFF2-40B4-BE49-F238E27FC236}">
              <a16:creationId xmlns="" xmlns:a16="http://schemas.microsoft.com/office/drawing/2014/main" id="{00000000-0008-0000-04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272176875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534</xdr:row>
      <xdr:rowOff>0</xdr:rowOff>
    </xdr:from>
    <xdr:to>
      <xdr:col>2</xdr:col>
      <xdr:colOff>535517</xdr:colOff>
      <xdr:row>535</xdr:row>
      <xdr:rowOff>33618</xdr:rowOff>
    </xdr:to>
    <xdr:sp macro="" textlink="">
      <xdr:nvSpPr>
        <xdr:cNvPr id="286" name="AutoShape 1">
          <a:extLst>
            <a:ext uri="{FF2B5EF4-FFF2-40B4-BE49-F238E27FC236}">
              <a16:creationId xmlns="" xmlns:a16="http://schemas.microsoft.com/office/drawing/2014/main" id="{00000000-0008-0000-04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272176875"/>
          <a:ext cx="1211792" cy="195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534</xdr:row>
      <xdr:rowOff>0</xdr:rowOff>
    </xdr:from>
    <xdr:to>
      <xdr:col>2</xdr:col>
      <xdr:colOff>535517</xdr:colOff>
      <xdr:row>535</xdr:row>
      <xdr:rowOff>33618</xdr:rowOff>
    </xdr:to>
    <xdr:sp macro="" textlink="">
      <xdr:nvSpPr>
        <xdr:cNvPr id="287" name="AutoShape 1">
          <a:extLst>
            <a:ext uri="{FF2B5EF4-FFF2-40B4-BE49-F238E27FC236}">
              <a16:creationId xmlns="" xmlns:a16="http://schemas.microsoft.com/office/drawing/2014/main" id="{00000000-0008-0000-04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272176875"/>
          <a:ext cx="1211792" cy="195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534</xdr:row>
      <xdr:rowOff>0</xdr:rowOff>
    </xdr:from>
    <xdr:to>
      <xdr:col>2</xdr:col>
      <xdr:colOff>535517</xdr:colOff>
      <xdr:row>535</xdr:row>
      <xdr:rowOff>33618</xdr:rowOff>
    </xdr:to>
    <xdr:sp macro="" textlink="">
      <xdr:nvSpPr>
        <xdr:cNvPr id="288" name="AutoShape 1">
          <a:extLst>
            <a:ext uri="{FF2B5EF4-FFF2-40B4-BE49-F238E27FC236}">
              <a16:creationId xmlns="" xmlns:a16="http://schemas.microsoft.com/office/drawing/2014/main" id="{00000000-0008-0000-0400-00002001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272176875"/>
          <a:ext cx="1211792" cy="195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534</xdr:row>
      <xdr:rowOff>0</xdr:rowOff>
    </xdr:from>
    <xdr:to>
      <xdr:col>2</xdr:col>
      <xdr:colOff>535517</xdr:colOff>
      <xdr:row>535</xdr:row>
      <xdr:rowOff>33618</xdr:rowOff>
    </xdr:to>
    <xdr:sp macro="" textlink="">
      <xdr:nvSpPr>
        <xdr:cNvPr id="289" name="AutoShape 1">
          <a:extLst>
            <a:ext uri="{FF2B5EF4-FFF2-40B4-BE49-F238E27FC236}">
              <a16:creationId xmlns="" xmlns:a16="http://schemas.microsoft.com/office/drawing/2014/main" id="{00000000-0008-0000-0400-00002101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272176875"/>
          <a:ext cx="1211792" cy="195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534</xdr:row>
      <xdr:rowOff>0</xdr:rowOff>
    </xdr:from>
    <xdr:to>
      <xdr:col>2</xdr:col>
      <xdr:colOff>535517</xdr:colOff>
      <xdr:row>535</xdr:row>
      <xdr:rowOff>33619</xdr:rowOff>
    </xdr:to>
    <xdr:sp macro="" textlink="">
      <xdr:nvSpPr>
        <xdr:cNvPr id="290" name="AutoShape 1">
          <a:extLst>
            <a:ext uri="{FF2B5EF4-FFF2-40B4-BE49-F238E27FC236}">
              <a16:creationId xmlns="" xmlns:a16="http://schemas.microsoft.com/office/drawing/2014/main" id="{00000000-0008-0000-0400-00002201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272176875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534</xdr:row>
      <xdr:rowOff>0</xdr:rowOff>
    </xdr:from>
    <xdr:to>
      <xdr:col>2</xdr:col>
      <xdr:colOff>535517</xdr:colOff>
      <xdr:row>535</xdr:row>
      <xdr:rowOff>33619</xdr:rowOff>
    </xdr:to>
    <xdr:sp macro="" textlink="">
      <xdr:nvSpPr>
        <xdr:cNvPr id="291" name="AutoShape 1">
          <a:extLst>
            <a:ext uri="{FF2B5EF4-FFF2-40B4-BE49-F238E27FC236}">
              <a16:creationId xmlns="" xmlns:a16="http://schemas.microsoft.com/office/drawing/2014/main" id="{00000000-0008-0000-0400-00002301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272176875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534</xdr:row>
      <xdr:rowOff>0</xdr:rowOff>
    </xdr:from>
    <xdr:to>
      <xdr:col>2</xdr:col>
      <xdr:colOff>535517</xdr:colOff>
      <xdr:row>535</xdr:row>
      <xdr:rowOff>33619</xdr:rowOff>
    </xdr:to>
    <xdr:sp macro="" textlink="">
      <xdr:nvSpPr>
        <xdr:cNvPr id="292" name="AutoShape 1">
          <a:extLst>
            <a:ext uri="{FF2B5EF4-FFF2-40B4-BE49-F238E27FC236}">
              <a16:creationId xmlns="" xmlns:a16="http://schemas.microsoft.com/office/drawing/2014/main" id="{00000000-0008-0000-0400-00002401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272176875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428625</xdr:colOff>
      <xdr:row>534</xdr:row>
      <xdr:rowOff>0</xdr:rowOff>
    </xdr:from>
    <xdr:to>
      <xdr:col>2</xdr:col>
      <xdr:colOff>535517</xdr:colOff>
      <xdr:row>535</xdr:row>
      <xdr:rowOff>33619</xdr:rowOff>
    </xdr:to>
    <xdr:sp macro="" textlink="">
      <xdr:nvSpPr>
        <xdr:cNvPr id="293" name="AutoShape 1">
          <a:extLst>
            <a:ext uri="{FF2B5EF4-FFF2-40B4-BE49-F238E27FC236}">
              <a16:creationId xmlns="" xmlns:a16="http://schemas.microsoft.com/office/drawing/2014/main" id="{00000000-0008-0000-0400-000025010000}"/>
            </a:ext>
          </a:extLst>
        </xdr:cNvPr>
        <xdr:cNvSpPr>
          <a:spLocks noChangeAspect="1" noChangeArrowheads="1"/>
        </xdr:cNvSpPr>
      </xdr:nvSpPr>
      <xdr:spPr bwMode="auto">
        <a:xfrm>
          <a:off x="428625" y="272176875"/>
          <a:ext cx="1211792" cy="195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428625</xdr:colOff>
      <xdr:row>530</xdr:row>
      <xdr:rowOff>0</xdr:rowOff>
    </xdr:from>
    <xdr:ext cx="1206597" cy="198141"/>
    <xdr:sp macro="" textlink="">
      <xdr:nvSpPr>
        <xdr:cNvPr id="353" name="AutoShape 1">
          <a:extLst>
            <a:ext uri="{FF2B5EF4-FFF2-40B4-BE49-F238E27FC236}">
              <a16:creationId xmlns="" xmlns:a16="http://schemas.microsoft.com/office/drawing/2014/main" id="{38BD7074-3C1B-4B71-87BB-5B7F1E65C0BC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6597" cy="1981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6597" cy="198141"/>
    <xdr:sp macro="" textlink="">
      <xdr:nvSpPr>
        <xdr:cNvPr id="354" name="AutoShape 1">
          <a:extLst>
            <a:ext uri="{FF2B5EF4-FFF2-40B4-BE49-F238E27FC236}">
              <a16:creationId xmlns="" xmlns:a16="http://schemas.microsoft.com/office/drawing/2014/main" id="{30654561-F27C-4221-AE16-0416EE341CB1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6597" cy="1981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6597" cy="198141"/>
    <xdr:sp macro="" textlink="">
      <xdr:nvSpPr>
        <xdr:cNvPr id="355" name="AutoShape 1">
          <a:extLst>
            <a:ext uri="{FF2B5EF4-FFF2-40B4-BE49-F238E27FC236}">
              <a16:creationId xmlns="" xmlns:a16="http://schemas.microsoft.com/office/drawing/2014/main" id="{1E1EF881-16C2-4062-970A-C04875E943BB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6597" cy="1981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6597" cy="198141"/>
    <xdr:sp macro="" textlink="">
      <xdr:nvSpPr>
        <xdr:cNvPr id="356" name="AutoShape 1">
          <a:extLst>
            <a:ext uri="{FF2B5EF4-FFF2-40B4-BE49-F238E27FC236}">
              <a16:creationId xmlns="" xmlns:a16="http://schemas.microsoft.com/office/drawing/2014/main" id="{1B898CBE-574B-4782-8230-6BD7A6E6DB78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6597" cy="1981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6597" cy="198140"/>
    <xdr:sp macro="" textlink="">
      <xdr:nvSpPr>
        <xdr:cNvPr id="357" name="AutoShape 1">
          <a:extLst>
            <a:ext uri="{FF2B5EF4-FFF2-40B4-BE49-F238E27FC236}">
              <a16:creationId xmlns="" xmlns:a16="http://schemas.microsoft.com/office/drawing/2014/main" id="{1334DA6F-28A3-452A-9357-7518964FF91E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6597" cy="198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6597" cy="198140"/>
    <xdr:sp macro="" textlink="">
      <xdr:nvSpPr>
        <xdr:cNvPr id="358" name="AutoShape 1">
          <a:extLst>
            <a:ext uri="{FF2B5EF4-FFF2-40B4-BE49-F238E27FC236}">
              <a16:creationId xmlns="" xmlns:a16="http://schemas.microsoft.com/office/drawing/2014/main" id="{DEDFA7EA-CF44-4188-8B93-AA1B87F00BF4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6597" cy="198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6597" cy="198140"/>
    <xdr:sp macro="" textlink="">
      <xdr:nvSpPr>
        <xdr:cNvPr id="359" name="AutoShape 1">
          <a:extLst>
            <a:ext uri="{FF2B5EF4-FFF2-40B4-BE49-F238E27FC236}">
              <a16:creationId xmlns="" xmlns:a16="http://schemas.microsoft.com/office/drawing/2014/main" id="{E15FF0CD-41C9-410C-9316-B2712A14BFC4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6597" cy="198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6597" cy="198140"/>
    <xdr:sp macro="" textlink="">
      <xdr:nvSpPr>
        <xdr:cNvPr id="360" name="AutoShape 1">
          <a:extLst>
            <a:ext uri="{FF2B5EF4-FFF2-40B4-BE49-F238E27FC236}">
              <a16:creationId xmlns="" xmlns:a16="http://schemas.microsoft.com/office/drawing/2014/main" id="{F71A5A64-4298-40DF-AC27-CFA159CAAB26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6597" cy="198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9071" cy="196904"/>
    <xdr:sp macro="" textlink="">
      <xdr:nvSpPr>
        <xdr:cNvPr id="361" name="AutoShape 1">
          <a:extLst>
            <a:ext uri="{FF2B5EF4-FFF2-40B4-BE49-F238E27FC236}">
              <a16:creationId xmlns="" xmlns:a16="http://schemas.microsoft.com/office/drawing/2014/main" id="{DF940F72-E1AB-4D43-9E42-CAE76B001714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9071" cy="196904"/>
    <xdr:sp macro="" textlink="">
      <xdr:nvSpPr>
        <xdr:cNvPr id="362" name="AutoShape 1">
          <a:extLst>
            <a:ext uri="{FF2B5EF4-FFF2-40B4-BE49-F238E27FC236}">
              <a16:creationId xmlns="" xmlns:a16="http://schemas.microsoft.com/office/drawing/2014/main" id="{2E1FCC9C-C090-441D-B408-3F772777FBC6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9071" cy="196904"/>
    <xdr:sp macro="" textlink="">
      <xdr:nvSpPr>
        <xdr:cNvPr id="363" name="AutoShape 1">
          <a:extLst>
            <a:ext uri="{FF2B5EF4-FFF2-40B4-BE49-F238E27FC236}">
              <a16:creationId xmlns="" xmlns:a16="http://schemas.microsoft.com/office/drawing/2014/main" id="{E4B4210F-FF6E-407B-B63B-07169575995C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9071" cy="196904"/>
    <xdr:sp macro="" textlink="">
      <xdr:nvSpPr>
        <xdr:cNvPr id="364" name="AutoShape 1">
          <a:extLst>
            <a:ext uri="{FF2B5EF4-FFF2-40B4-BE49-F238E27FC236}">
              <a16:creationId xmlns="" xmlns:a16="http://schemas.microsoft.com/office/drawing/2014/main" id="{BBA91373-B685-4E9F-831E-529CEEE77E97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9071" cy="196903"/>
    <xdr:sp macro="" textlink="">
      <xdr:nvSpPr>
        <xdr:cNvPr id="365" name="AutoShape 1">
          <a:extLst>
            <a:ext uri="{FF2B5EF4-FFF2-40B4-BE49-F238E27FC236}">
              <a16:creationId xmlns="" xmlns:a16="http://schemas.microsoft.com/office/drawing/2014/main" id="{ED12FF45-100E-4703-8D27-D8FE7C4DEA87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9071" cy="196903"/>
    <xdr:sp macro="" textlink="">
      <xdr:nvSpPr>
        <xdr:cNvPr id="366" name="AutoShape 1">
          <a:extLst>
            <a:ext uri="{FF2B5EF4-FFF2-40B4-BE49-F238E27FC236}">
              <a16:creationId xmlns="" xmlns:a16="http://schemas.microsoft.com/office/drawing/2014/main" id="{D163A83E-46CA-4B71-AD4B-9DC1EE1C86FF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9071" cy="196903"/>
    <xdr:sp macro="" textlink="">
      <xdr:nvSpPr>
        <xdr:cNvPr id="367" name="AutoShape 1">
          <a:extLst>
            <a:ext uri="{FF2B5EF4-FFF2-40B4-BE49-F238E27FC236}">
              <a16:creationId xmlns="" xmlns:a16="http://schemas.microsoft.com/office/drawing/2014/main" id="{E919D30F-3DA6-4538-906F-EC13F567A503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9071" cy="196903"/>
    <xdr:sp macro="" textlink="">
      <xdr:nvSpPr>
        <xdr:cNvPr id="368" name="AutoShape 1">
          <a:extLst>
            <a:ext uri="{FF2B5EF4-FFF2-40B4-BE49-F238E27FC236}">
              <a16:creationId xmlns="" xmlns:a16="http://schemas.microsoft.com/office/drawing/2014/main" id="{EAA0D6FF-1D0E-4655-84FE-90F82F5D48DC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9071" cy="196904"/>
    <xdr:sp macro="" textlink="">
      <xdr:nvSpPr>
        <xdr:cNvPr id="369" name="AutoShape 1">
          <a:extLst>
            <a:ext uri="{FF2B5EF4-FFF2-40B4-BE49-F238E27FC236}">
              <a16:creationId xmlns="" xmlns:a16="http://schemas.microsoft.com/office/drawing/2014/main" id="{76091DBE-1C4C-4C7C-AA6A-5008681409D5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9071" cy="196904"/>
    <xdr:sp macro="" textlink="">
      <xdr:nvSpPr>
        <xdr:cNvPr id="370" name="AutoShape 1">
          <a:extLst>
            <a:ext uri="{FF2B5EF4-FFF2-40B4-BE49-F238E27FC236}">
              <a16:creationId xmlns="" xmlns:a16="http://schemas.microsoft.com/office/drawing/2014/main" id="{19F1BB24-C96D-4F5A-BB5D-713D5388E44B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9071" cy="196904"/>
    <xdr:sp macro="" textlink="">
      <xdr:nvSpPr>
        <xdr:cNvPr id="371" name="AutoShape 1">
          <a:extLst>
            <a:ext uri="{FF2B5EF4-FFF2-40B4-BE49-F238E27FC236}">
              <a16:creationId xmlns="" xmlns:a16="http://schemas.microsoft.com/office/drawing/2014/main" id="{65CBC8AF-775A-4F1A-A63A-574F1EA0DAF5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9071" cy="196904"/>
    <xdr:sp macro="" textlink="">
      <xdr:nvSpPr>
        <xdr:cNvPr id="372" name="AutoShape 1">
          <a:extLst>
            <a:ext uri="{FF2B5EF4-FFF2-40B4-BE49-F238E27FC236}">
              <a16:creationId xmlns="" xmlns:a16="http://schemas.microsoft.com/office/drawing/2014/main" id="{88B97FCA-DAA1-42A7-BB01-80B2EEA3BA06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9071" cy="196904"/>
    <xdr:sp macro="" textlink="">
      <xdr:nvSpPr>
        <xdr:cNvPr id="373" name="AutoShape 1">
          <a:extLst>
            <a:ext uri="{FF2B5EF4-FFF2-40B4-BE49-F238E27FC236}">
              <a16:creationId xmlns="" xmlns:a16="http://schemas.microsoft.com/office/drawing/2014/main" id="{F57F8153-D97D-4C9A-B059-3FE30A7CDF66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9071" cy="196904"/>
    <xdr:sp macro="" textlink="">
      <xdr:nvSpPr>
        <xdr:cNvPr id="374" name="AutoShape 1">
          <a:extLst>
            <a:ext uri="{FF2B5EF4-FFF2-40B4-BE49-F238E27FC236}">
              <a16:creationId xmlns="" xmlns:a16="http://schemas.microsoft.com/office/drawing/2014/main" id="{3573C66F-A982-426F-829D-570A3C21C3C1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9071" cy="196904"/>
    <xdr:sp macro="" textlink="">
      <xdr:nvSpPr>
        <xdr:cNvPr id="375" name="AutoShape 1">
          <a:extLst>
            <a:ext uri="{FF2B5EF4-FFF2-40B4-BE49-F238E27FC236}">
              <a16:creationId xmlns="" xmlns:a16="http://schemas.microsoft.com/office/drawing/2014/main" id="{4717D1C0-BABA-40D9-8ACD-FAA2B837DE0C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9071" cy="196904"/>
    <xdr:sp macro="" textlink="">
      <xdr:nvSpPr>
        <xdr:cNvPr id="376" name="AutoShape 1">
          <a:extLst>
            <a:ext uri="{FF2B5EF4-FFF2-40B4-BE49-F238E27FC236}">
              <a16:creationId xmlns="" xmlns:a16="http://schemas.microsoft.com/office/drawing/2014/main" id="{AF12D94B-21E6-44C0-93AB-F522BFEB61AC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9071" cy="196903"/>
    <xdr:sp macro="" textlink="">
      <xdr:nvSpPr>
        <xdr:cNvPr id="377" name="AutoShape 1">
          <a:extLst>
            <a:ext uri="{FF2B5EF4-FFF2-40B4-BE49-F238E27FC236}">
              <a16:creationId xmlns="" xmlns:a16="http://schemas.microsoft.com/office/drawing/2014/main" id="{DDD1E62B-0CA6-46FB-BBB0-6B4379A8D791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9071" cy="196903"/>
    <xdr:sp macro="" textlink="">
      <xdr:nvSpPr>
        <xdr:cNvPr id="378" name="AutoShape 1">
          <a:extLst>
            <a:ext uri="{FF2B5EF4-FFF2-40B4-BE49-F238E27FC236}">
              <a16:creationId xmlns="" xmlns:a16="http://schemas.microsoft.com/office/drawing/2014/main" id="{69C9C774-8792-4DF9-806E-651D0F98AB64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9071" cy="196903"/>
    <xdr:sp macro="" textlink="">
      <xdr:nvSpPr>
        <xdr:cNvPr id="379" name="AutoShape 1">
          <a:extLst>
            <a:ext uri="{FF2B5EF4-FFF2-40B4-BE49-F238E27FC236}">
              <a16:creationId xmlns="" xmlns:a16="http://schemas.microsoft.com/office/drawing/2014/main" id="{2D6192B2-91A3-400E-9353-8A99F1C45E47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9071" cy="196903"/>
    <xdr:sp macro="" textlink="">
      <xdr:nvSpPr>
        <xdr:cNvPr id="380" name="AutoShape 1">
          <a:extLst>
            <a:ext uri="{FF2B5EF4-FFF2-40B4-BE49-F238E27FC236}">
              <a16:creationId xmlns="" xmlns:a16="http://schemas.microsoft.com/office/drawing/2014/main" id="{F24C0178-F457-4101-A0A0-6C109BFEFAFC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9071" cy="196904"/>
    <xdr:sp macro="" textlink="">
      <xdr:nvSpPr>
        <xdr:cNvPr id="381" name="AutoShape 1">
          <a:extLst>
            <a:ext uri="{FF2B5EF4-FFF2-40B4-BE49-F238E27FC236}">
              <a16:creationId xmlns="" xmlns:a16="http://schemas.microsoft.com/office/drawing/2014/main" id="{761B5A75-0115-442C-9662-D03F2189346D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9071" cy="196904"/>
    <xdr:sp macro="" textlink="">
      <xdr:nvSpPr>
        <xdr:cNvPr id="382" name="AutoShape 1">
          <a:extLst>
            <a:ext uri="{FF2B5EF4-FFF2-40B4-BE49-F238E27FC236}">
              <a16:creationId xmlns="" xmlns:a16="http://schemas.microsoft.com/office/drawing/2014/main" id="{9826B4D7-C682-485A-97DB-04A67926A226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9071" cy="196904"/>
    <xdr:sp macro="" textlink="">
      <xdr:nvSpPr>
        <xdr:cNvPr id="383" name="AutoShape 1">
          <a:extLst>
            <a:ext uri="{FF2B5EF4-FFF2-40B4-BE49-F238E27FC236}">
              <a16:creationId xmlns="" xmlns:a16="http://schemas.microsoft.com/office/drawing/2014/main" id="{5B07620A-5A49-498A-A19F-7965457503C9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9071" cy="196904"/>
    <xdr:sp macro="" textlink="">
      <xdr:nvSpPr>
        <xdr:cNvPr id="384" name="AutoShape 1">
          <a:extLst>
            <a:ext uri="{FF2B5EF4-FFF2-40B4-BE49-F238E27FC236}">
              <a16:creationId xmlns="" xmlns:a16="http://schemas.microsoft.com/office/drawing/2014/main" id="{9E8C21AA-62E9-48BF-B359-667D66245446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9071" cy="196903"/>
    <xdr:sp macro="" textlink="">
      <xdr:nvSpPr>
        <xdr:cNvPr id="385" name="AutoShape 1">
          <a:extLst>
            <a:ext uri="{FF2B5EF4-FFF2-40B4-BE49-F238E27FC236}">
              <a16:creationId xmlns="" xmlns:a16="http://schemas.microsoft.com/office/drawing/2014/main" id="{A6F05FF3-53C1-4026-BCC7-23CC8F1CAB76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9071" cy="196903"/>
    <xdr:sp macro="" textlink="">
      <xdr:nvSpPr>
        <xdr:cNvPr id="386" name="AutoShape 1">
          <a:extLst>
            <a:ext uri="{FF2B5EF4-FFF2-40B4-BE49-F238E27FC236}">
              <a16:creationId xmlns="" xmlns:a16="http://schemas.microsoft.com/office/drawing/2014/main" id="{18C8334C-35FE-4FD5-A60F-1E3CBD86373E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9071" cy="196903"/>
    <xdr:sp macro="" textlink="">
      <xdr:nvSpPr>
        <xdr:cNvPr id="387" name="AutoShape 1">
          <a:extLst>
            <a:ext uri="{FF2B5EF4-FFF2-40B4-BE49-F238E27FC236}">
              <a16:creationId xmlns="" xmlns:a16="http://schemas.microsoft.com/office/drawing/2014/main" id="{59E42DAF-8E87-4082-9FE8-771D604ACB37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9071" cy="196903"/>
    <xdr:sp macro="" textlink="">
      <xdr:nvSpPr>
        <xdr:cNvPr id="388" name="AutoShape 1">
          <a:extLst>
            <a:ext uri="{FF2B5EF4-FFF2-40B4-BE49-F238E27FC236}">
              <a16:creationId xmlns="" xmlns:a16="http://schemas.microsoft.com/office/drawing/2014/main" id="{7CC01402-5C92-4F5F-99CB-7AC6C83D912A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9071" cy="196904"/>
    <xdr:sp macro="" textlink="">
      <xdr:nvSpPr>
        <xdr:cNvPr id="389" name="AutoShape 1">
          <a:extLst>
            <a:ext uri="{FF2B5EF4-FFF2-40B4-BE49-F238E27FC236}">
              <a16:creationId xmlns="" xmlns:a16="http://schemas.microsoft.com/office/drawing/2014/main" id="{79A71A12-CBB5-49E7-86D1-247F62246FB8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9071" cy="196904"/>
    <xdr:sp macro="" textlink="">
      <xdr:nvSpPr>
        <xdr:cNvPr id="390" name="AutoShape 1">
          <a:extLst>
            <a:ext uri="{FF2B5EF4-FFF2-40B4-BE49-F238E27FC236}">
              <a16:creationId xmlns="" xmlns:a16="http://schemas.microsoft.com/office/drawing/2014/main" id="{D7FA1325-AB3C-4A08-8A7D-B7F11811872D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9071" cy="196904"/>
    <xdr:sp macro="" textlink="">
      <xdr:nvSpPr>
        <xdr:cNvPr id="391" name="AutoShape 1">
          <a:extLst>
            <a:ext uri="{FF2B5EF4-FFF2-40B4-BE49-F238E27FC236}">
              <a16:creationId xmlns="" xmlns:a16="http://schemas.microsoft.com/office/drawing/2014/main" id="{9C899334-6575-4B8C-B65B-69409987A80A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9071" cy="196904"/>
    <xdr:sp macro="" textlink="">
      <xdr:nvSpPr>
        <xdr:cNvPr id="392" name="AutoShape 1">
          <a:extLst>
            <a:ext uri="{FF2B5EF4-FFF2-40B4-BE49-F238E27FC236}">
              <a16:creationId xmlns="" xmlns:a16="http://schemas.microsoft.com/office/drawing/2014/main" id="{5659F979-2E4C-48D5-86AE-F24E1DE9667E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6597" cy="157442"/>
    <xdr:sp macro="" textlink="">
      <xdr:nvSpPr>
        <xdr:cNvPr id="418" name="AutoShape 1">
          <a:extLst>
            <a:ext uri="{FF2B5EF4-FFF2-40B4-BE49-F238E27FC236}">
              <a16:creationId xmlns="" xmlns:a16="http://schemas.microsoft.com/office/drawing/2014/main" id="{08A09D7F-486F-4130-B5E0-A34315920893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6597" cy="1574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6597" cy="157442"/>
    <xdr:sp macro="" textlink="">
      <xdr:nvSpPr>
        <xdr:cNvPr id="419" name="AutoShape 1">
          <a:extLst>
            <a:ext uri="{FF2B5EF4-FFF2-40B4-BE49-F238E27FC236}">
              <a16:creationId xmlns="" xmlns:a16="http://schemas.microsoft.com/office/drawing/2014/main" id="{7F3D2275-AB29-45AF-A9ED-CEC06CA7373B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6597" cy="1574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6597" cy="157442"/>
    <xdr:sp macro="" textlink="">
      <xdr:nvSpPr>
        <xdr:cNvPr id="420" name="AutoShape 1">
          <a:extLst>
            <a:ext uri="{FF2B5EF4-FFF2-40B4-BE49-F238E27FC236}">
              <a16:creationId xmlns="" xmlns:a16="http://schemas.microsoft.com/office/drawing/2014/main" id="{CA6298C0-364F-453E-8EAF-F443C289AD6B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6597" cy="1574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6597" cy="157442"/>
    <xdr:sp macro="" textlink="">
      <xdr:nvSpPr>
        <xdr:cNvPr id="421" name="AutoShape 1">
          <a:extLst>
            <a:ext uri="{FF2B5EF4-FFF2-40B4-BE49-F238E27FC236}">
              <a16:creationId xmlns="" xmlns:a16="http://schemas.microsoft.com/office/drawing/2014/main" id="{E4B6FC89-7E3D-4378-A269-C75D69FC228E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6597" cy="1574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6597" cy="157441"/>
    <xdr:sp macro="" textlink="">
      <xdr:nvSpPr>
        <xdr:cNvPr id="422" name="AutoShape 1">
          <a:extLst>
            <a:ext uri="{FF2B5EF4-FFF2-40B4-BE49-F238E27FC236}">
              <a16:creationId xmlns="" xmlns:a16="http://schemas.microsoft.com/office/drawing/2014/main" id="{398F503A-3A0D-49B0-B2D5-5F249CDA4346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6597" cy="15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6597" cy="157441"/>
    <xdr:sp macro="" textlink="">
      <xdr:nvSpPr>
        <xdr:cNvPr id="423" name="AutoShape 1">
          <a:extLst>
            <a:ext uri="{FF2B5EF4-FFF2-40B4-BE49-F238E27FC236}">
              <a16:creationId xmlns="" xmlns:a16="http://schemas.microsoft.com/office/drawing/2014/main" id="{AAA6FA7F-12CA-4289-898A-8CFADA1591A6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6597" cy="15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6597" cy="157441"/>
    <xdr:sp macro="" textlink="">
      <xdr:nvSpPr>
        <xdr:cNvPr id="424" name="AutoShape 1">
          <a:extLst>
            <a:ext uri="{FF2B5EF4-FFF2-40B4-BE49-F238E27FC236}">
              <a16:creationId xmlns="" xmlns:a16="http://schemas.microsoft.com/office/drawing/2014/main" id="{8F786730-45A6-43DF-BDD6-FEA5F6B71EC4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6597" cy="15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6597" cy="157441"/>
    <xdr:sp macro="" textlink="">
      <xdr:nvSpPr>
        <xdr:cNvPr id="425" name="AutoShape 1">
          <a:extLst>
            <a:ext uri="{FF2B5EF4-FFF2-40B4-BE49-F238E27FC236}">
              <a16:creationId xmlns="" xmlns:a16="http://schemas.microsoft.com/office/drawing/2014/main" id="{EF700946-830A-4BC4-B349-FFF36FECA922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6597" cy="15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9071" cy="196904"/>
    <xdr:sp macro="" textlink="">
      <xdr:nvSpPr>
        <xdr:cNvPr id="426" name="AutoShape 1">
          <a:extLst>
            <a:ext uri="{FF2B5EF4-FFF2-40B4-BE49-F238E27FC236}">
              <a16:creationId xmlns="" xmlns:a16="http://schemas.microsoft.com/office/drawing/2014/main" id="{8A631D1B-E9FD-47E1-ADFB-1F593B4E6AAD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9071" cy="196904"/>
    <xdr:sp macro="" textlink="">
      <xdr:nvSpPr>
        <xdr:cNvPr id="427" name="AutoShape 1">
          <a:extLst>
            <a:ext uri="{FF2B5EF4-FFF2-40B4-BE49-F238E27FC236}">
              <a16:creationId xmlns="" xmlns:a16="http://schemas.microsoft.com/office/drawing/2014/main" id="{539D479C-641E-4BC0-89F0-13115CAFA84C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9071" cy="196904"/>
    <xdr:sp macro="" textlink="">
      <xdr:nvSpPr>
        <xdr:cNvPr id="428" name="AutoShape 1">
          <a:extLst>
            <a:ext uri="{FF2B5EF4-FFF2-40B4-BE49-F238E27FC236}">
              <a16:creationId xmlns="" xmlns:a16="http://schemas.microsoft.com/office/drawing/2014/main" id="{BA631A1A-2CFF-4AC5-85AB-C1A5DD67BCE8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9071" cy="196904"/>
    <xdr:sp macro="" textlink="">
      <xdr:nvSpPr>
        <xdr:cNvPr id="429" name="AutoShape 1">
          <a:extLst>
            <a:ext uri="{FF2B5EF4-FFF2-40B4-BE49-F238E27FC236}">
              <a16:creationId xmlns="" xmlns:a16="http://schemas.microsoft.com/office/drawing/2014/main" id="{C56F7D48-C6DE-4B6E-97F2-29631CFF3D2E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9071" cy="196903"/>
    <xdr:sp macro="" textlink="">
      <xdr:nvSpPr>
        <xdr:cNvPr id="430" name="AutoShape 1">
          <a:extLst>
            <a:ext uri="{FF2B5EF4-FFF2-40B4-BE49-F238E27FC236}">
              <a16:creationId xmlns="" xmlns:a16="http://schemas.microsoft.com/office/drawing/2014/main" id="{31DCEDEA-C3C8-44FB-AD67-CEC06B9F18EA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9071" cy="196903"/>
    <xdr:sp macro="" textlink="">
      <xdr:nvSpPr>
        <xdr:cNvPr id="431" name="AutoShape 1">
          <a:extLst>
            <a:ext uri="{FF2B5EF4-FFF2-40B4-BE49-F238E27FC236}">
              <a16:creationId xmlns="" xmlns:a16="http://schemas.microsoft.com/office/drawing/2014/main" id="{7DDAA508-EBB8-4758-B760-7E4401C556B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9071" cy="196903"/>
    <xdr:sp macro="" textlink="">
      <xdr:nvSpPr>
        <xdr:cNvPr id="432" name="AutoShape 1">
          <a:extLst>
            <a:ext uri="{FF2B5EF4-FFF2-40B4-BE49-F238E27FC236}">
              <a16:creationId xmlns="" xmlns:a16="http://schemas.microsoft.com/office/drawing/2014/main" id="{5D573978-47F8-4966-8130-14FED2C2102E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9071" cy="196903"/>
    <xdr:sp macro="" textlink="">
      <xdr:nvSpPr>
        <xdr:cNvPr id="433" name="AutoShape 1">
          <a:extLst>
            <a:ext uri="{FF2B5EF4-FFF2-40B4-BE49-F238E27FC236}">
              <a16:creationId xmlns="" xmlns:a16="http://schemas.microsoft.com/office/drawing/2014/main" id="{280408FC-7AE4-4BE7-8E05-5C3C984FC611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9071" cy="196904"/>
    <xdr:sp macro="" textlink="">
      <xdr:nvSpPr>
        <xdr:cNvPr id="434" name="AutoShape 1">
          <a:extLst>
            <a:ext uri="{FF2B5EF4-FFF2-40B4-BE49-F238E27FC236}">
              <a16:creationId xmlns="" xmlns:a16="http://schemas.microsoft.com/office/drawing/2014/main" id="{DCF55412-9773-49C6-89BA-27B20133F4CD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9071" cy="196904"/>
    <xdr:sp macro="" textlink="">
      <xdr:nvSpPr>
        <xdr:cNvPr id="435" name="AutoShape 1">
          <a:extLst>
            <a:ext uri="{FF2B5EF4-FFF2-40B4-BE49-F238E27FC236}">
              <a16:creationId xmlns="" xmlns:a16="http://schemas.microsoft.com/office/drawing/2014/main" id="{7EEF973A-65C4-49E7-958F-179C5E1FDD89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9071" cy="196904"/>
    <xdr:sp macro="" textlink="">
      <xdr:nvSpPr>
        <xdr:cNvPr id="436" name="AutoShape 1">
          <a:extLst>
            <a:ext uri="{FF2B5EF4-FFF2-40B4-BE49-F238E27FC236}">
              <a16:creationId xmlns="" xmlns:a16="http://schemas.microsoft.com/office/drawing/2014/main" id="{914687B3-FE74-4FCD-BB5B-83AB143780AB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9071" cy="196904"/>
    <xdr:sp macro="" textlink="">
      <xdr:nvSpPr>
        <xdr:cNvPr id="437" name="AutoShape 1">
          <a:extLst>
            <a:ext uri="{FF2B5EF4-FFF2-40B4-BE49-F238E27FC236}">
              <a16:creationId xmlns="" xmlns:a16="http://schemas.microsoft.com/office/drawing/2014/main" id="{93B064B4-EF2B-4748-A3B4-821FDC8B4255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6597" cy="196779"/>
    <xdr:sp macro="" textlink="">
      <xdr:nvSpPr>
        <xdr:cNvPr id="483" name="AutoShape 1">
          <a:extLst>
            <a:ext uri="{FF2B5EF4-FFF2-40B4-BE49-F238E27FC236}">
              <a16:creationId xmlns="" xmlns:a16="http://schemas.microsoft.com/office/drawing/2014/main" id="{F8B5FD2E-4CA2-4205-BB0F-259FF3650804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6597" cy="196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6597" cy="157442"/>
    <xdr:sp macro="" textlink="">
      <xdr:nvSpPr>
        <xdr:cNvPr id="484" name="AutoShape 1">
          <a:extLst>
            <a:ext uri="{FF2B5EF4-FFF2-40B4-BE49-F238E27FC236}">
              <a16:creationId xmlns="" xmlns:a16="http://schemas.microsoft.com/office/drawing/2014/main" id="{28F08105-C040-4F8E-866F-3130D7DE62D6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6597" cy="1574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6597" cy="157442"/>
    <xdr:sp macro="" textlink="">
      <xdr:nvSpPr>
        <xdr:cNvPr id="485" name="AutoShape 1">
          <a:extLst>
            <a:ext uri="{FF2B5EF4-FFF2-40B4-BE49-F238E27FC236}">
              <a16:creationId xmlns="" xmlns:a16="http://schemas.microsoft.com/office/drawing/2014/main" id="{A009B573-F341-480B-95BD-130F5FE82385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6597" cy="1574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6597" cy="157442"/>
    <xdr:sp macro="" textlink="">
      <xdr:nvSpPr>
        <xdr:cNvPr id="486" name="AutoShape 1">
          <a:extLst>
            <a:ext uri="{FF2B5EF4-FFF2-40B4-BE49-F238E27FC236}">
              <a16:creationId xmlns="" xmlns:a16="http://schemas.microsoft.com/office/drawing/2014/main" id="{08376105-F818-4DD2-89F8-35485C3097D7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6597" cy="1574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6597" cy="157441"/>
    <xdr:sp macro="" textlink="">
      <xdr:nvSpPr>
        <xdr:cNvPr id="487" name="AutoShape 1">
          <a:extLst>
            <a:ext uri="{FF2B5EF4-FFF2-40B4-BE49-F238E27FC236}">
              <a16:creationId xmlns="" xmlns:a16="http://schemas.microsoft.com/office/drawing/2014/main" id="{8C985B69-C737-4EFC-B63C-09B32F7E854B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6597" cy="15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6597" cy="157441"/>
    <xdr:sp macro="" textlink="">
      <xdr:nvSpPr>
        <xdr:cNvPr id="488" name="AutoShape 1">
          <a:extLst>
            <a:ext uri="{FF2B5EF4-FFF2-40B4-BE49-F238E27FC236}">
              <a16:creationId xmlns="" xmlns:a16="http://schemas.microsoft.com/office/drawing/2014/main" id="{0B4B048E-B324-4245-83A6-75AEA8D790E2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6597" cy="15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6597" cy="157441"/>
    <xdr:sp macro="" textlink="">
      <xdr:nvSpPr>
        <xdr:cNvPr id="489" name="AutoShape 1">
          <a:extLst>
            <a:ext uri="{FF2B5EF4-FFF2-40B4-BE49-F238E27FC236}">
              <a16:creationId xmlns="" xmlns:a16="http://schemas.microsoft.com/office/drawing/2014/main" id="{0C63225E-3B7F-4E9E-838E-AFDF907310BB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6597" cy="15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6597" cy="157441"/>
    <xdr:sp macro="" textlink="">
      <xdr:nvSpPr>
        <xdr:cNvPr id="490" name="AutoShape 1">
          <a:extLst>
            <a:ext uri="{FF2B5EF4-FFF2-40B4-BE49-F238E27FC236}">
              <a16:creationId xmlns="" xmlns:a16="http://schemas.microsoft.com/office/drawing/2014/main" id="{B72C8D0E-EC8C-4D39-B0EF-A71E1E3CD321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6597" cy="15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9071" cy="196904"/>
    <xdr:sp macro="" textlink="">
      <xdr:nvSpPr>
        <xdr:cNvPr id="491" name="AutoShape 1">
          <a:extLst>
            <a:ext uri="{FF2B5EF4-FFF2-40B4-BE49-F238E27FC236}">
              <a16:creationId xmlns="" xmlns:a16="http://schemas.microsoft.com/office/drawing/2014/main" id="{026F3F06-F3D9-497D-AA52-10A3F552977F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9071" cy="196904"/>
    <xdr:sp macro="" textlink="">
      <xdr:nvSpPr>
        <xdr:cNvPr id="492" name="AutoShape 1">
          <a:extLst>
            <a:ext uri="{FF2B5EF4-FFF2-40B4-BE49-F238E27FC236}">
              <a16:creationId xmlns="" xmlns:a16="http://schemas.microsoft.com/office/drawing/2014/main" id="{2EA0188E-4C32-4765-95FF-BA55FCAED0F0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9071" cy="196904"/>
    <xdr:sp macro="" textlink="">
      <xdr:nvSpPr>
        <xdr:cNvPr id="493" name="AutoShape 1">
          <a:extLst>
            <a:ext uri="{FF2B5EF4-FFF2-40B4-BE49-F238E27FC236}">
              <a16:creationId xmlns="" xmlns:a16="http://schemas.microsoft.com/office/drawing/2014/main" id="{E515E9E5-58B3-4EAD-A594-597C96BE3921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9071" cy="196904"/>
    <xdr:sp macro="" textlink="">
      <xdr:nvSpPr>
        <xdr:cNvPr id="494" name="AutoShape 1">
          <a:extLst>
            <a:ext uri="{FF2B5EF4-FFF2-40B4-BE49-F238E27FC236}">
              <a16:creationId xmlns="" xmlns:a16="http://schemas.microsoft.com/office/drawing/2014/main" id="{33820841-E282-4537-82EF-E6C1E13CFB71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9071" cy="196903"/>
    <xdr:sp macro="" textlink="">
      <xdr:nvSpPr>
        <xdr:cNvPr id="495" name="AutoShape 1">
          <a:extLst>
            <a:ext uri="{FF2B5EF4-FFF2-40B4-BE49-F238E27FC236}">
              <a16:creationId xmlns="" xmlns:a16="http://schemas.microsoft.com/office/drawing/2014/main" id="{FBE9827E-43B1-497C-936D-9C13330DC5D4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9071" cy="196903"/>
    <xdr:sp macro="" textlink="">
      <xdr:nvSpPr>
        <xdr:cNvPr id="496" name="AutoShape 1">
          <a:extLst>
            <a:ext uri="{FF2B5EF4-FFF2-40B4-BE49-F238E27FC236}">
              <a16:creationId xmlns="" xmlns:a16="http://schemas.microsoft.com/office/drawing/2014/main" id="{3DFB87AA-D354-461D-A1FF-EEF08E97C1E2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9071" cy="196903"/>
    <xdr:sp macro="" textlink="">
      <xdr:nvSpPr>
        <xdr:cNvPr id="497" name="AutoShape 1">
          <a:extLst>
            <a:ext uri="{FF2B5EF4-FFF2-40B4-BE49-F238E27FC236}">
              <a16:creationId xmlns="" xmlns:a16="http://schemas.microsoft.com/office/drawing/2014/main" id="{D6911BFF-C907-49FB-A471-8C950C8035BF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9071" cy="196903"/>
    <xdr:sp macro="" textlink="">
      <xdr:nvSpPr>
        <xdr:cNvPr id="498" name="AutoShape 1">
          <a:extLst>
            <a:ext uri="{FF2B5EF4-FFF2-40B4-BE49-F238E27FC236}">
              <a16:creationId xmlns="" xmlns:a16="http://schemas.microsoft.com/office/drawing/2014/main" id="{04A7F7E9-5373-4D41-A521-CD118120ADD5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9071" cy="196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9071" cy="196904"/>
    <xdr:sp macro="" textlink="">
      <xdr:nvSpPr>
        <xdr:cNvPr id="499" name="AutoShape 1">
          <a:extLst>
            <a:ext uri="{FF2B5EF4-FFF2-40B4-BE49-F238E27FC236}">
              <a16:creationId xmlns="" xmlns:a16="http://schemas.microsoft.com/office/drawing/2014/main" id="{F62061DC-664F-4CC4-AB69-1067C0D81D57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9071" cy="196904"/>
    <xdr:sp macro="" textlink="">
      <xdr:nvSpPr>
        <xdr:cNvPr id="500" name="AutoShape 1">
          <a:extLst>
            <a:ext uri="{FF2B5EF4-FFF2-40B4-BE49-F238E27FC236}">
              <a16:creationId xmlns="" xmlns:a16="http://schemas.microsoft.com/office/drawing/2014/main" id="{ADEE0BD7-77EF-4E05-A8A2-FED0EAF449F9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9071" cy="196904"/>
    <xdr:sp macro="" textlink="">
      <xdr:nvSpPr>
        <xdr:cNvPr id="501" name="AutoShape 1">
          <a:extLst>
            <a:ext uri="{FF2B5EF4-FFF2-40B4-BE49-F238E27FC236}">
              <a16:creationId xmlns="" xmlns:a16="http://schemas.microsoft.com/office/drawing/2014/main" id="{4B31D9BF-04DB-4BD2-A521-A6225EE81EE1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428625</xdr:colOff>
      <xdr:row>530</xdr:row>
      <xdr:rowOff>0</xdr:rowOff>
    </xdr:from>
    <xdr:ext cx="1209071" cy="196904"/>
    <xdr:sp macro="" textlink="">
      <xdr:nvSpPr>
        <xdr:cNvPr id="502" name="AutoShape 1">
          <a:extLst>
            <a:ext uri="{FF2B5EF4-FFF2-40B4-BE49-F238E27FC236}">
              <a16:creationId xmlns="" xmlns:a16="http://schemas.microsoft.com/office/drawing/2014/main" id="{12EA496D-AF43-4673-BFDA-793EDDBF2C7F}"/>
            </a:ext>
          </a:extLst>
        </xdr:cNvPr>
        <xdr:cNvSpPr>
          <a:spLocks noChangeAspect="1" noChangeArrowheads="1"/>
        </xdr:cNvSpPr>
      </xdr:nvSpPr>
      <xdr:spPr bwMode="auto">
        <a:xfrm>
          <a:off x="428625" y="116101091"/>
          <a:ext cx="1209071" cy="196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53</xdr:row>
      <xdr:rowOff>0</xdr:rowOff>
    </xdr:from>
    <xdr:to>
      <xdr:col>2</xdr:col>
      <xdr:colOff>604631</xdr:colOff>
      <xdr:row>53</xdr:row>
      <xdr:rowOff>0</xdr:rowOff>
    </xdr:to>
    <xdr:sp macro="" textlink="">
      <xdr:nvSpPr>
        <xdr:cNvPr id="2" name="Shape 2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SpPr/>
      </xdr:nvSpPr>
      <xdr:spPr>
        <a:xfrm>
          <a:off x="0" y="12172950"/>
          <a:ext cx="8249284" cy="0"/>
        </a:xfrm>
        <a:custGeom>
          <a:avLst/>
          <a:gdLst/>
          <a:ahLst/>
          <a:cxnLst/>
          <a:rect l="0" t="0" r="0" b="0"/>
          <a:pathLst>
            <a:path w="6642100">
              <a:moveTo>
                <a:pt x="6642100" y="0"/>
              </a:moveTo>
              <a:lnTo>
                <a:pt x="0" y="0"/>
              </a:lnTo>
            </a:path>
          </a:pathLst>
        </a:custGeom>
        <a:ln w="3175">
          <a:solidFill>
            <a:srgbClr val="000000"/>
          </a:solidFill>
        </a:ln>
      </xdr:spPr>
    </xdr:sp>
    <xdr:clientData/>
  </xdr:twoCellAnchor>
  <xdr:oneCellAnchor>
    <xdr:from>
      <xdr:col>0</xdr:col>
      <xdr:colOff>0</xdr:colOff>
      <xdr:row>1305</xdr:row>
      <xdr:rowOff>0</xdr:rowOff>
    </xdr:from>
    <xdr:ext cx="8306434" cy="0"/>
    <xdr:sp macro="" textlink="">
      <xdr:nvSpPr>
        <xdr:cNvPr id="3" name="Shape 28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SpPr/>
      </xdr:nvSpPr>
      <xdr:spPr>
        <a:xfrm>
          <a:off x="0" y="305285775"/>
          <a:ext cx="8306434" cy="0"/>
        </a:xfrm>
        <a:custGeom>
          <a:avLst/>
          <a:gdLst/>
          <a:ahLst/>
          <a:cxnLst/>
          <a:rect l="0" t="0" r="0" b="0"/>
          <a:pathLst>
            <a:path w="6642100">
              <a:moveTo>
                <a:pt x="6642100" y="0"/>
              </a:moveTo>
              <a:lnTo>
                <a:pt x="0" y="0"/>
              </a:lnTo>
            </a:path>
          </a:pathLst>
        </a:custGeom>
        <a:ln w="3175">
          <a:solidFill>
            <a:srgbClr val="000000"/>
          </a:solidFill>
        </a:ln>
      </xdr:spPr>
      <xdr:txBody>
        <a:bodyPr/>
        <a:lstStyle/>
        <a:p>
          <a:endParaRPr lang="pt-BR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76200</xdr:colOff>
      <xdr:row>6</xdr:row>
      <xdr:rowOff>85725</xdr:rowOff>
    </xdr:from>
    <xdr:to>
      <xdr:col>12</xdr:col>
      <xdr:colOff>371475</xdr:colOff>
      <xdr:row>28</xdr:row>
      <xdr:rowOff>123825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00000000-0008-0000-1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228725"/>
          <a:ext cx="7153275" cy="401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333375</xdr:colOff>
      <xdr:row>17</xdr:row>
      <xdr:rowOff>152400</xdr:rowOff>
    </xdr:from>
    <xdr:to>
      <xdr:col>8</xdr:col>
      <xdr:colOff>447675</xdr:colOff>
      <xdr:row>18</xdr:row>
      <xdr:rowOff>76200</xdr:rowOff>
    </xdr:to>
    <xdr:sp macro="" textlink="">
      <xdr:nvSpPr>
        <xdr:cNvPr id="3" name="Elipse 2">
          <a:extLst>
            <a:ext uri="{FF2B5EF4-FFF2-40B4-BE49-F238E27FC236}">
              <a16:creationId xmlns="" xmlns:a16="http://schemas.microsoft.com/office/drawing/2014/main" id="{00000000-0008-0000-1700-000003000000}"/>
            </a:ext>
          </a:extLst>
        </xdr:cNvPr>
        <xdr:cNvSpPr/>
      </xdr:nvSpPr>
      <xdr:spPr>
        <a:xfrm>
          <a:off x="5210175" y="3390900"/>
          <a:ext cx="114300" cy="114300"/>
        </a:xfrm>
        <a:prstGeom prst="ellipse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2</xdr:col>
      <xdr:colOff>85725</xdr:colOff>
      <xdr:row>21</xdr:row>
      <xdr:rowOff>171450</xdr:rowOff>
    </xdr:from>
    <xdr:to>
      <xdr:col>12</xdr:col>
      <xdr:colOff>361950</xdr:colOff>
      <xdr:row>38</xdr:row>
      <xdr:rowOff>56128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151" b="13786"/>
        <a:stretch/>
      </xdr:blipFill>
      <xdr:spPr>
        <a:xfrm>
          <a:off x="1301132" y="4153848"/>
          <a:ext cx="7113365" cy="2947461"/>
        </a:xfrm>
        <a:prstGeom prst="rect">
          <a:avLst/>
        </a:prstGeom>
      </xdr:spPr>
    </xdr:pic>
    <xdr:clientData/>
  </xdr:twoCellAnchor>
  <xdr:twoCellAnchor>
    <xdr:from>
      <xdr:col>7</xdr:col>
      <xdr:colOff>28575</xdr:colOff>
      <xdr:row>29</xdr:row>
      <xdr:rowOff>104775</xdr:rowOff>
    </xdr:from>
    <xdr:to>
      <xdr:col>9</xdr:col>
      <xdr:colOff>381000</xdr:colOff>
      <xdr:row>30</xdr:row>
      <xdr:rowOff>87700</xdr:rowOff>
    </xdr:to>
    <xdr:sp macro="" textlink="">
      <xdr:nvSpPr>
        <xdr:cNvPr id="5" name="Forma livre 4">
          <a:extLst>
            <a:ext uri="{FF2B5EF4-FFF2-40B4-BE49-F238E27FC236}">
              <a16:creationId xmlns="" xmlns:a16="http://schemas.microsoft.com/office/drawing/2014/main" id="{00000000-0008-0000-1700-000005000000}"/>
            </a:ext>
          </a:extLst>
        </xdr:cNvPr>
        <xdr:cNvSpPr/>
      </xdr:nvSpPr>
      <xdr:spPr>
        <a:xfrm>
          <a:off x="4295775" y="5629275"/>
          <a:ext cx="1571625" cy="173425"/>
        </a:xfrm>
        <a:custGeom>
          <a:avLst/>
          <a:gdLst>
            <a:gd name="connsiteX0" fmla="*/ 1571625 w 1571625"/>
            <a:gd name="connsiteY0" fmla="*/ 123825 h 173425"/>
            <a:gd name="connsiteX1" fmla="*/ 1295400 w 1571625"/>
            <a:gd name="connsiteY1" fmla="*/ 123825 h 173425"/>
            <a:gd name="connsiteX2" fmla="*/ 723900 w 1571625"/>
            <a:gd name="connsiteY2" fmla="*/ 123825 h 173425"/>
            <a:gd name="connsiteX3" fmla="*/ 285750 w 1571625"/>
            <a:gd name="connsiteY3" fmla="*/ 171450 h 173425"/>
            <a:gd name="connsiteX4" fmla="*/ 76200 w 1571625"/>
            <a:gd name="connsiteY4" fmla="*/ 47625 h 173425"/>
            <a:gd name="connsiteX5" fmla="*/ 0 w 1571625"/>
            <a:gd name="connsiteY5" fmla="*/ 0 h 17342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571625" h="173425">
              <a:moveTo>
                <a:pt x="1571625" y="123825"/>
              </a:moveTo>
              <a:lnTo>
                <a:pt x="1295400" y="123825"/>
              </a:lnTo>
              <a:cubicBezTo>
                <a:pt x="1154113" y="123825"/>
                <a:pt x="892175" y="115888"/>
                <a:pt x="723900" y="123825"/>
              </a:cubicBezTo>
              <a:cubicBezTo>
                <a:pt x="555625" y="131762"/>
                <a:pt x="393700" y="184150"/>
                <a:pt x="285750" y="171450"/>
              </a:cubicBezTo>
              <a:cubicBezTo>
                <a:pt x="177800" y="158750"/>
                <a:pt x="123825" y="76200"/>
                <a:pt x="76200" y="47625"/>
              </a:cubicBezTo>
              <a:cubicBezTo>
                <a:pt x="28575" y="19050"/>
                <a:pt x="12700" y="0"/>
                <a:pt x="0" y="0"/>
              </a:cubicBezTo>
            </a:path>
          </a:pathLst>
        </a:custGeom>
        <a:ln w="57150">
          <a:solidFill>
            <a:srgbClr val="FFFF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6</xdr:col>
      <xdr:colOff>555984</xdr:colOff>
      <xdr:row>30</xdr:row>
      <xdr:rowOff>24657</xdr:rowOff>
    </xdr:from>
    <xdr:to>
      <xdr:col>7</xdr:col>
      <xdr:colOff>581844</xdr:colOff>
      <xdr:row>30</xdr:row>
      <xdr:rowOff>155159</xdr:rowOff>
    </xdr:to>
    <xdr:sp macro="" textlink="">
      <xdr:nvSpPr>
        <xdr:cNvPr id="6" name="Forma livre 5">
          <a:extLst>
            <a:ext uri="{FF2B5EF4-FFF2-40B4-BE49-F238E27FC236}">
              <a16:creationId xmlns="" xmlns:a16="http://schemas.microsoft.com/office/drawing/2014/main" id="{00000000-0008-0000-1700-000006000000}"/>
            </a:ext>
          </a:extLst>
        </xdr:cNvPr>
        <xdr:cNvSpPr/>
      </xdr:nvSpPr>
      <xdr:spPr>
        <a:xfrm>
          <a:off x="4202206" y="5713797"/>
          <a:ext cx="633563" cy="130502"/>
        </a:xfrm>
        <a:custGeom>
          <a:avLst/>
          <a:gdLst>
            <a:gd name="connsiteX0" fmla="*/ 0 w 633563"/>
            <a:gd name="connsiteY0" fmla="*/ 14133 h 130502"/>
            <a:gd name="connsiteX1" fmla="*/ 181018 w 633563"/>
            <a:gd name="connsiteY1" fmla="*/ 5513 h 130502"/>
            <a:gd name="connsiteX2" fmla="*/ 418065 w 633563"/>
            <a:gd name="connsiteY2" fmla="*/ 87402 h 130502"/>
            <a:gd name="connsiteX3" fmla="*/ 633563 w 633563"/>
            <a:gd name="connsiteY3" fmla="*/ 130502 h 13050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633563" h="130502">
              <a:moveTo>
                <a:pt x="0" y="14133"/>
              </a:moveTo>
              <a:cubicBezTo>
                <a:pt x="55670" y="3717"/>
                <a:pt x="111341" y="-6699"/>
                <a:pt x="181018" y="5513"/>
              </a:cubicBezTo>
              <a:cubicBezTo>
                <a:pt x="250696" y="17725"/>
                <a:pt x="342641" y="66570"/>
                <a:pt x="418065" y="87402"/>
              </a:cubicBezTo>
              <a:cubicBezTo>
                <a:pt x="493489" y="108234"/>
                <a:pt x="611295" y="115417"/>
                <a:pt x="633563" y="130502"/>
              </a:cubicBezTo>
            </a:path>
          </a:pathLst>
        </a:custGeom>
        <a:ln w="38100">
          <a:solidFill>
            <a:srgbClr val="FFFF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7</xdr:col>
      <xdr:colOff>34480</xdr:colOff>
      <xdr:row>30</xdr:row>
      <xdr:rowOff>43100</xdr:rowOff>
    </xdr:from>
    <xdr:to>
      <xdr:col>7</xdr:col>
      <xdr:colOff>146539</xdr:colOff>
      <xdr:row>31</xdr:row>
      <xdr:rowOff>163778</xdr:rowOff>
    </xdr:to>
    <xdr:cxnSp macro="">
      <xdr:nvCxnSpPr>
        <xdr:cNvPr id="8" name="Conector reto 7">
          <a:extLst>
            <a:ext uri="{FF2B5EF4-FFF2-40B4-BE49-F238E27FC236}">
              <a16:creationId xmlns="" xmlns:a16="http://schemas.microsoft.com/office/drawing/2014/main" id="{00000000-0008-0000-1700-000008000000}"/>
            </a:ext>
          </a:extLst>
        </xdr:cNvPr>
        <xdr:cNvCxnSpPr/>
      </xdr:nvCxnSpPr>
      <xdr:spPr>
        <a:xfrm>
          <a:off x="4288405" y="5732240"/>
          <a:ext cx="112059" cy="310316"/>
        </a:xfrm>
        <a:prstGeom prst="line">
          <a:avLst/>
        </a:prstGeom>
        <a:ln w="38100">
          <a:solidFill>
            <a:srgbClr val="FFFF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512884</xdr:colOff>
      <xdr:row>31</xdr:row>
      <xdr:rowOff>112059</xdr:rowOff>
    </xdr:from>
    <xdr:to>
      <xdr:col>7</xdr:col>
      <xdr:colOff>357727</xdr:colOff>
      <xdr:row>32</xdr:row>
      <xdr:rowOff>47410</xdr:rowOff>
    </xdr:to>
    <xdr:cxnSp macro="">
      <xdr:nvCxnSpPr>
        <xdr:cNvPr id="10" name="Conector reto 9">
          <a:extLst>
            <a:ext uri="{FF2B5EF4-FFF2-40B4-BE49-F238E27FC236}">
              <a16:creationId xmlns="" xmlns:a16="http://schemas.microsoft.com/office/drawing/2014/main" id="{00000000-0008-0000-1700-00000A000000}"/>
            </a:ext>
          </a:extLst>
        </xdr:cNvPr>
        <xdr:cNvCxnSpPr/>
      </xdr:nvCxnSpPr>
      <xdr:spPr>
        <a:xfrm flipV="1">
          <a:off x="4159106" y="5990837"/>
          <a:ext cx="452546" cy="124989"/>
        </a:xfrm>
        <a:prstGeom prst="line">
          <a:avLst/>
        </a:prstGeom>
        <a:ln w="38100">
          <a:solidFill>
            <a:srgbClr val="FFFF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51721</xdr:colOff>
      <xdr:row>29</xdr:row>
      <xdr:rowOff>185328</xdr:rowOff>
    </xdr:from>
    <xdr:to>
      <xdr:col>10</xdr:col>
      <xdr:colOff>512885</xdr:colOff>
      <xdr:row>31</xdr:row>
      <xdr:rowOff>30170</xdr:rowOff>
    </xdr:to>
    <xdr:sp macro="" textlink="">
      <xdr:nvSpPr>
        <xdr:cNvPr id="11" name="CaixaDeTexto 10">
          <a:extLst>
            <a:ext uri="{FF2B5EF4-FFF2-40B4-BE49-F238E27FC236}">
              <a16:creationId xmlns="" xmlns:a16="http://schemas.microsoft.com/office/drawing/2014/main" id="{00000000-0008-0000-1700-00000B000000}"/>
            </a:ext>
          </a:extLst>
        </xdr:cNvPr>
        <xdr:cNvSpPr txBox="1"/>
      </xdr:nvSpPr>
      <xdr:spPr>
        <a:xfrm>
          <a:off x="6128757" y="5684830"/>
          <a:ext cx="461164" cy="22411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IFES</a:t>
          </a:r>
        </a:p>
      </xdr:txBody>
    </xdr:sp>
    <xdr:clientData/>
  </xdr:twoCellAnchor>
  <xdr:twoCellAnchor>
    <xdr:from>
      <xdr:col>11</xdr:col>
      <xdr:colOff>27412</xdr:colOff>
      <xdr:row>35</xdr:row>
      <xdr:rowOff>117921</xdr:rowOff>
    </xdr:from>
    <xdr:to>
      <xdr:col>12</xdr:col>
      <xdr:colOff>543054</xdr:colOff>
      <xdr:row>36</xdr:row>
      <xdr:rowOff>172399</xdr:rowOff>
    </xdr:to>
    <xdr:sp macro="" textlink="">
      <xdr:nvSpPr>
        <xdr:cNvPr id="13" name="CaixaDeTexto 12">
          <a:extLst>
            <a:ext uri="{FF2B5EF4-FFF2-40B4-BE49-F238E27FC236}">
              <a16:creationId xmlns="" xmlns:a16="http://schemas.microsoft.com/office/drawing/2014/main" id="{00000000-0008-0000-1700-00000D000000}"/>
            </a:ext>
          </a:extLst>
        </xdr:cNvPr>
        <xdr:cNvSpPr txBox="1"/>
      </xdr:nvSpPr>
      <xdr:spPr>
        <a:xfrm>
          <a:off x="6712152" y="6755251"/>
          <a:ext cx="1123345" cy="24411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/>
            <a:t>TERM. ITACIBÁ</a:t>
          </a:r>
        </a:p>
      </xdr:txBody>
    </xdr:sp>
    <xdr:clientData/>
  </xdr:twoCellAnchor>
  <xdr:twoCellAnchor>
    <xdr:from>
      <xdr:col>8</xdr:col>
      <xdr:colOff>499955</xdr:colOff>
      <xdr:row>18</xdr:row>
      <xdr:rowOff>30170</xdr:rowOff>
    </xdr:from>
    <xdr:to>
      <xdr:col>9</xdr:col>
      <xdr:colOff>499954</xdr:colOff>
      <xdr:row>28</xdr:row>
      <xdr:rowOff>38790</xdr:rowOff>
    </xdr:to>
    <xdr:sp macro="" textlink="">
      <xdr:nvSpPr>
        <xdr:cNvPr id="15" name="Seta em curva para a esquerda 14">
          <a:extLst>
            <a:ext uri="{FF2B5EF4-FFF2-40B4-BE49-F238E27FC236}">
              <a16:creationId xmlns="" xmlns:a16="http://schemas.microsoft.com/office/drawing/2014/main" id="{00000000-0008-0000-1700-00000F000000}"/>
            </a:ext>
          </a:extLst>
        </xdr:cNvPr>
        <xdr:cNvSpPr/>
      </xdr:nvSpPr>
      <xdr:spPr>
        <a:xfrm>
          <a:off x="5361584" y="3443654"/>
          <a:ext cx="607703" cy="1905000"/>
        </a:xfrm>
        <a:prstGeom prst="curvedLeft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  <xdr:twoCellAnchor>
    <xdr:from>
      <xdr:col>10</xdr:col>
      <xdr:colOff>9525</xdr:colOff>
      <xdr:row>22</xdr:row>
      <xdr:rowOff>47625</xdr:rowOff>
    </xdr:from>
    <xdr:to>
      <xdr:col>10</xdr:col>
      <xdr:colOff>47625</xdr:colOff>
      <xdr:row>25</xdr:row>
      <xdr:rowOff>38100</xdr:rowOff>
    </xdr:to>
    <xdr:cxnSp macro="">
      <xdr:nvCxnSpPr>
        <xdr:cNvPr id="17" name="Conector reto 16">
          <a:extLst>
            <a:ext uri="{FF2B5EF4-FFF2-40B4-BE49-F238E27FC236}">
              <a16:creationId xmlns="" xmlns:a16="http://schemas.microsoft.com/office/drawing/2014/main" id="{00000000-0008-0000-1700-000011000000}"/>
            </a:ext>
          </a:extLst>
        </xdr:cNvPr>
        <xdr:cNvCxnSpPr/>
      </xdr:nvCxnSpPr>
      <xdr:spPr>
        <a:xfrm flipV="1">
          <a:off x="6105525" y="4238625"/>
          <a:ext cx="38100" cy="561975"/>
        </a:xfrm>
        <a:prstGeom prst="line">
          <a:avLst/>
        </a:prstGeom>
        <a:ln w="38100">
          <a:solidFill>
            <a:srgbClr val="FFFF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Projetos-2015\Presidente%20Kennedy\Trecho%2003\---%20IMPRESS&#195;O%20FINAL\10%20-%20Textos\Volume%2004\Composi&#231;&#245;es%20SEM%20desonera&#231;&#227;o%20-%2003a%20-%20junho%2020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ojetos-2015\Presidente%20Kennedy\Volume%20Anexo\05%20-%20Janeiro%202018\Trecho%201\Planilha,%20Mem&#243;ria%20e%20composi&#231;&#245;es%20-%2001%20-%20jan%20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Projetos-2015\Presidente%20Kennedy\Trecho%2003\---%20IMPRESS&#195;O%20FINAL\10%20-%20Textos\Volume%2004\Planilha,%20Mem&#243;ria%20e%20composi&#231;&#245;es%20-%2003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lugare\lugare\Projetos-2015\Presidente%20Kennedy\Trecho%2004\Impress&#227;o%20Final\Textos\Volume%2004\Planilha,%20Mem&#243;ria%20e%20composi&#231;&#245;es%20-%2004%20-%20Vers&#227;o%20Fina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ojetos-2015\Presidente%20Kennedy\Trecho%2003\---%20IMPRESS&#195;O%20FINAL\10%20-%20Textos\Volume%2004\Composi&#231;&#245;es%20SEM%20desonera&#231;&#227;o%20-%2003a%20-%20junho%202016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lanilha,%20Mem&#243;ria%20e%20composi&#231;&#245;es%20-%2005a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Projetos-2015\Presidente%20Kennedy\Trecho%2004\Impress&#227;o%20Final\Textos\Volume%2004\Planilha,%20Mem&#243;ria%20e%20composi&#231;&#245;es%20-%2004%20-%20Vers&#227;o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ntidades"/>
      <sheetName val="Cronograma Físico"/>
      <sheetName val="Resumo"/>
      <sheetName val="Planilha"/>
      <sheetName val="Memória"/>
      <sheetName val="DER 06-16"/>
      <sheetName val="equip."/>
      <sheetName val="m.o."/>
      <sheetName val="mat."/>
      <sheetName val="tranp."/>
      <sheetName val="Ocor."/>
      <sheetName val="43069"/>
      <sheetName val="42981"/>
      <sheetName val="42714"/>
      <sheetName val="ST01"/>
      <sheetName val="ST02"/>
      <sheetName val="42779"/>
      <sheetName val="42783"/>
      <sheetName val="40514"/>
      <sheetName val="40515"/>
      <sheetName val="003"/>
      <sheetName val="005"/>
      <sheetName val="006"/>
      <sheetName val="Mapa"/>
      <sheetName val="CX"/>
      <sheetName val="42611"/>
      <sheetName val="40313"/>
      <sheetName val="40351"/>
      <sheetName val="40358"/>
      <sheetName val="Dist"/>
      <sheetName val="Compos DER"/>
      <sheetName val="Compos lug"/>
      <sheetName val="Plan1"/>
      <sheetName val="P - COMPARATIVO"/>
      <sheetName val="Quantidades a3"/>
      <sheetName val="Plan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Tabela Referencial Junho 2016 sem desoneração</v>
          </cell>
          <cell r="B1">
            <v>0</v>
          </cell>
          <cell r="C1">
            <v>0</v>
          </cell>
          <cell r="D1">
            <v>0</v>
          </cell>
          <cell r="E1" t="str">
            <v>DataBase:Junho/2016</v>
          </cell>
          <cell r="F1" t="str">
            <v>Preço com transporte</v>
          </cell>
        </row>
        <row r="2">
          <cell r="A2" t="str">
            <v>Valores com BDI de 23.32%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</row>
        <row r="3">
          <cell r="A3" t="str">
            <v xml:space="preserve">Código </v>
          </cell>
          <cell r="B3" t="str">
            <v>Serviço</v>
          </cell>
          <cell r="C3" t="str">
            <v>Unidade</v>
          </cell>
          <cell r="D3" t="str">
            <v>Preço Unitário</v>
          </cell>
          <cell r="E3" t="str">
            <v>Transporte</v>
          </cell>
          <cell r="F3" t="str">
            <v>Preço Unitário</v>
          </cell>
        </row>
        <row r="4">
          <cell r="A4" t="str">
            <v>Grupo de Serviço: 1 - TERRAPLENAGEM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</row>
        <row r="5">
          <cell r="A5">
            <v>43339</v>
          </cell>
          <cell r="B5" t="str">
            <v>Capina manual inclusive limpeza</v>
          </cell>
          <cell r="C5" t="str">
            <v>m²</v>
          </cell>
          <cell r="D5">
            <v>0.62</v>
          </cell>
          <cell r="E5">
            <v>0</v>
          </cell>
          <cell r="F5" t="e">
            <v>#N/A</v>
          </cell>
          <cell r="G5" t="e">
            <v>#N/A</v>
          </cell>
        </row>
        <row r="6">
          <cell r="A6">
            <v>41099</v>
          </cell>
          <cell r="B6" t="str">
            <v>Carga de escoria de aciaria de vagão ferroviário supervisionado</v>
          </cell>
          <cell r="C6" t="str">
            <v>m³</v>
          </cell>
          <cell r="D6">
            <v>4.6100000000000003</v>
          </cell>
          <cell r="E6">
            <v>0</v>
          </cell>
          <cell r="F6" t="e">
            <v>#N/A</v>
          </cell>
          <cell r="G6" t="e">
            <v>#N/A</v>
          </cell>
        </row>
        <row r="7">
          <cell r="A7">
            <v>40224</v>
          </cell>
          <cell r="B7" t="str">
            <v>Carga de material de 1ª categoria</v>
          </cell>
          <cell r="C7" t="str">
            <v>m³</v>
          </cell>
          <cell r="D7">
            <v>2.39</v>
          </cell>
          <cell r="E7">
            <v>0</v>
          </cell>
          <cell r="F7" t="e">
            <v>#N/A</v>
          </cell>
          <cell r="G7" t="e">
            <v>#N/A</v>
          </cell>
        </row>
        <row r="8">
          <cell r="A8">
            <v>40225</v>
          </cell>
          <cell r="B8" t="str">
            <v>Carga de material de 2ª categoria (solo, areia, brita, excl. rocha escavada)</v>
          </cell>
          <cell r="C8" t="str">
            <v>m³</v>
          </cell>
          <cell r="D8">
            <v>3.08</v>
          </cell>
          <cell r="E8">
            <v>0</v>
          </cell>
          <cell r="F8" t="e">
            <v>#N/A</v>
          </cell>
          <cell r="G8" t="e">
            <v>#N/A</v>
          </cell>
        </row>
        <row r="9">
          <cell r="A9">
            <v>40226</v>
          </cell>
          <cell r="B9" t="str">
            <v>Carga de material de 3ª categoria (rocha)</v>
          </cell>
          <cell r="C9" t="str">
            <v>m³</v>
          </cell>
          <cell r="D9">
            <v>4.6100000000000003</v>
          </cell>
          <cell r="E9">
            <v>0</v>
          </cell>
          <cell r="F9" t="e">
            <v>#N/A</v>
          </cell>
          <cell r="G9" t="e">
            <v>#N/A</v>
          </cell>
        </row>
        <row r="10">
          <cell r="A10">
            <v>40996</v>
          </cell>
          <cell r="B10" t="str">
            <v>Carga, transporte e espalhamento de material decapado para ser usado como manutenção do Caminho de Serviço(DMT=0,500KM)</v>
          </cell>
          <cell r="C10" t="str">
            <v>m³</v>
          </cell>
          <cell r="D10">
            <v>4.37</v>
          </cell>
          <cell r="E10">
            <v>0</v>
          </cell>
          <cell r="F10" t="e">
            <v>#N/A</v>
          </cell>
          <cell r="G10" t="e">
            <v>#N/A</v>
          </cell>
        </row>
        <row r="11">
          <cell r="A11">
            <v>40229</v>
          </cell>
          <cell r="B11" t="str">
            <v>Compactação de aterros em rocha</v>
          </cell>
          <cell r="C11" t="str">
            <v>m³</v>
          </cell>
          <cell r="D11">
            <v>4.96</v>
          </cell>
          <cell r="E11">
            <v>0</v>
          </cell>
          <cell r="F11" t="e">
            <v>#N/A</v>
          </cell>
          <cell r="G11" t="e">
            <v>#N/A</v>
          </cell>
        </row>
        <row r="12">
          <cell r="A12">
            <v>43340</v>
          </cell>
          <cell r="B12" t="str">
            <v>Compactação de aterros 100% P.I.</v>
          </cell>
          <cell r="C12" t="str">
            <v>m³</v>
          </cell>
          <cell r="D12">
            <v>4.99</v>
          </cell>
          <cell r="E12">
            <v>0</v>
          </cell>
          <cell r="F12">
            <v>4.99</v>
          </cell>
          <cell r="G12">
            <v>1</v>
          </cell>
        </row>
        <row r="13">
          <cell r="A13">
            <v>40228</v>
          </cell>
          <cell r="B13" t="str">
            <v>Compactação de aterros 100% PN</v>
          </cell>
          <cell r="C13" t="str">
            <v>m³</v>
          </cell>
          <cell r="D13">
            <v>3.87</v>
          </cell>
          <cell r="E13">
            <v>0</v>
          </cell>
          <cell r="F13">
            <v>3.87</v>
          </cell>
          <cell r="G13">
            <v>1</v>
          </cell>
        </row>
        <row r="14">
          <cell r="A14">
            <v>42227</v>
          </cell>
          <cell r="B14" t="str">
            <v>Decapagem de pedreira, 1ª categoria, com escavadeira</v>
          </cell>
          <cell r="C14" t="str">
            <v>m³</v>
          </cell>
          <cell r="D14">
            <v>3.68</v>
          </cell>
          <cell r="E14">
            <v>0</v>
          </cell>
          <cell r="F14" t="e">
            <v>#N/A</v>
          </cell>
          <cell r="G14" t="e">
            <v>#N/A</v>
          </cell>
        </row>
        <row r="15">
          <cell r="A15">
            <v>40994</v>
          </cell>
          <cell r="B15" t="str">
            <v>Decapagem de pedreira, 1ª categoria, com trator de esteiras</v>
          </cell>
          <cell r="C15" t="str">
            <v>m³</v>
          </cell>
          <cell r="D15">
            <v>4.29</v>
          </cell>
          <cell r="E15">
            <v>0</v>
          </cell>
          <cell r="F15" t="e">
            <v>#N/A</v>
          </cell>
          <cell r="G15" t="e">
            <v>#N/A</v>
          </cell>
        </row>
        <row r="16">
          <cell r="A16">
            <v>42940</v>
          </cell>
          <cell r="B16" t="str">
            <v>Demolição de material de 3ª categoria com fio diamantado</v>
          </cell>
          <cell r="C16" t="str">
            <v>m³</v>
          </cell>
          <cell r="D16">
            <v>191.86</v>
          </cell>
          <cell r="E16">
            <v>0</v>
          </cell>
          <cell r="F16" t="e">
            <v>#N/A</v>
          </cell>
          <cell r="G16" t="e">
            <v>#N/A</v>
          </cell>
        </row>
        <row r="17">
          <cell r="A17">
            <v>41047</v>
          </cell>
          <cell r="B17" t="str">
            <v>Demolição de rocha a frio, até altura de 3,0m, com argamassa expansiva, inclusive remoção com escavadeira</v>
          </cell>
          <cell r="C17" t="str">
            <v>m³</v>
          </cell>
          <cell r="D17">
            <v>354.01</v>
          </cell>
          <cell r="E17">
            <v>0</v>
          </cell>
          <cell r="F17" t="e">
            <v>#N/A</v>
          </cell>
          <cell r="G17" t="e">
            <v>#N/A</v>
          </cell>
        </row>
        <row r="18">
          <cell r="A18">
            <v>41048</v>
          </cell>
          <cell r="B18" t="str">
            <v>Demolição de rocha a frio até 3 metros com utilização de argamassa expansiva, inclusive remoção com trator de esteiras</v>
          </cell>
          <cell r="C18" t="str">
            <v>m³</v>
          </cell>
          <cell r="D18">
            <v>318.77999999999997</v>
          </cell>
          <cell r="E18">
            <v>0</v>
          </cell>
          <cell r="F18" t="e">
            <v>#N/A</v>
          </cell>
          <cell r="G18" t="e">
            <v>#N/A</v>
          </cell>
        </row>
        <row r="19">
          <cell r="A19">
            <v>40217</v>
          </cell>
          <cell r="B19" t="str">
            <v>Desmonte de rocha</v>
          </cell>
          <cell r="C19" t="str">
            <v>m³</v>
          </cell>
          <cell r="D19">
            <v>34.71</v>
          </cell>
          <cell r="E19">
            <v>0</v>
          </cell>
          <cell r="F19" t="e">
            <v>#N/A</v>
          </cell>
          <cell r="G19" t="e">
            <v>#N/A</v>
          </cell>
        </row>
        <row r="20">
          <cell r="A20">
            <v>40172</v>
          </cell>
          <cell r="B20" t="str">
            <v>Destocamento de árvores com diâmetro &gt; 30 cm, com trator de esteira</v>
          </cell>
          <cell r="C20" t="str">
            <v>un</v>
          </cell>
          <cell r="D20">
            <v>19.899999999999999</v>
          </cell>
          <cell r="E20">
            <v>0</v>
          </cell>
          <cell r="F20" t="e">
            <v>#N/A</v>
          </cell>
          <cell r="G20" t="e">
            <v>#N/A</v>
          </cell>
        </row>
        <row r="21">
          <cell r="A21">
            <v>40171</v>
          </cell>
          <cell r="B21" t="str">
            <v>Destocamento de árvores com diâmetro de 15 a 30 cm, com trator de esteira</v>
          </cell>
          <cell r="C21" t="str">
            <v>un</v>
          </cell>
          <cell r="D21">
            <v>9.9499999999999993</v>
          </cell>
          <cell r="E21">
            <v>0</v>
          </cell>
          <cell r="F21">
            <v>9.9499999999999993</v>
          </cell>
          <cell r="G21">
            <v>1</v>
          </cell>
        </row>
        <row r="22">
          <cell r="A22">
            <v>42225</v>
          </cell>
          <cell r="B22" t="str">
            <v>Escalonamento de taludes com escavadeira</v>
          </cell>
          <cell r="C22" t="str">
            <v>m³</v>
          </cell>
          <cell r="D22">
            <v>6.11</v>
          </cell>
          <cell r="E22">
            <v>0</v>
          </cell>
          <cell r="F22" t="e">
            <v>#N/A</v>
          </cell>
          <cell r="G22" t="e">
            <v>#N/A</v>
          </cell>
        </row>
        <row r="23">
          <cell r="A23">
            <v>40178</v>
          </cell>
          <cell r="B23" t="str">
            <v>Escalonamento de taludes, com trator de esteiras</v>
          </cell>
          <cell r="C23" t="str">
            <v>m³</v>
          </cell>
          <cell r="D23">
            <v>6.7</v>
          </cell>
          <cell r="E23">
            <v>0</v>
          </cell>
          <cell r="F23" t="e">
            <v>#N/A</v>
          </cell>
          <cell r="G23" t="e">
            <v>#N/A</v>
          </cell>
        </row>
        <row r="24">
          <cell r="A24">
            <v>40179</v>
          </cell>
          <cell r="B24" t="str">
            <v>Escavação, carga e transporte de material de 1ª cat. até 200 m com moto-escavo- transportador</v>
          </cell>
          <cell r="C24" t="str">
            <v>m³</v>
          </cell>
          <cell r="D24">
            <v>9.76</v>
          </cell>
          <cell r="E24">
            <v>0</v>
          </cell>
          <cell r="F24" t="e">
            <v>#N/A</v>
          </cell>
          <cell r="G24" t="e">
            <v>#N/A</v>
          </cell>
        </row>
        <row r="25">
          <cell r="A25">
            <v>40184</v>
          </cell>
          <cell r="B25" t="str">
            <v>Escavação, carga e transporte de material de 1ª cat. 1000 a 1200 m com moto-escavo- transportador</v>
          </cell>
          <cell r="C25" t="str">
            <v>m³</v>
          </cell>
          <cell r="D25">
            <v>16.88</v>
          </cell>
          <cell r="E25">
            <v>0</v>
          </cell>
          <cell r="F25" t="e">
            <v>#N/A</v>
          </cell>
          <cell r="G25" t="e">
            <v>#N/A</v>
          </cell>
        </row>
        <row r="26">
          <cell r="A26">
            <v>40180</v>
          </cell>
          <cell r="B26" t="str">
            <v>Escavação, carga e transporte de material de 1ª cat. 200 a 400 m com moto-escavo- transportador</v>
          </cell>
          <cell r="C26" t="str">
            <v>m³</v>
          </cell>
          <cell r="D26">
            <v>11.2</v>
          </cell>
          <cell r="E26">
            <v>0</v>
          </cell>
          <cell r="F26" t="e">
            <v>#N/A</v>
          </cell>
          <cell r="G26" t="e">
            <v>#N/A</v>
          </cell>
        </row>
        <row r="27">
          <cell r="A27">
            <v>40181</v>
          </cell>
          <cell r="B27" t="str">
            <v>Escavação, carga e transporte de material de 1ª cat. 400 a 600 m com moto-escavo- transportador</v>
          </cell>
          <cell r="C27" t="str">
            <v>m³</v>
          </cell>
          <cell r="D27">
            <v>12.56</v>
          </cell>
          <cell r="E27">
            <v>0</v>
          </cell>
          <cell r="F27" t="e">
            <v>#N/A</v>
          </cell>
          <cell r="G27" t="e">
            <v>#N/A</v>
          </cell>
        </row>
        <row r="28">
          <cell r="A28">
            <v>40182</v>
          </cell>
          <cell r="B28" t="str">
            <v>Escavação, carga e transporte de material de 1ª cat. 600 a 800 m com moto-escavo- transportador</v>
          </cell>
          <cell r="C28" t="str">
            <v>m³</v>
          </cell>
          <cell r="D28">
            <v>14.39</v>
          </cell>
          <cell r="E28">
            <v>0</v>
          </cell>
          <cell r="F28" t="e">
            <v>#N/A</v>
          </cell>
          <cell r="G28" t="e">
            <v>#N/A</v>
          </cell>
        </row>
        <row r="29">
          <cell r="A29">
            <v>40183</v>
          </cell>
          <cell r="B29" t="str">
            <v>Escavação, carga e transporte de material de 1ª cat. 800 a 1000 m com moto-escavo- transportador</v>
          </cell>
          <cell r="C29" t="str">
            <v>m³</v>
          </cell>
          <cell r="D29">
            <v>15.18</v>
          </cell>
          <cell r="E29">
            <v>0</v>
          </cell>
          <cell r="F29" t="e">
            <v>#N/A</v>
          </cell>
          <cell r="G29" t="e">
            <v>#N/A</v>
          </cell>
        </row>
        <row r="30">
          <cell r="A30">
            <v>40191</v>
          </cell>
          <cell r="B30" t="str">
            <v>Escavação, carga e transporte de material de 2ª cat. até 200 m com moto-escavo- transportador</v>
          </cell>
          <cell r="C30" t="str">
            <v>m³</v>
          </cell>
          <cell r="D30">
            <v>14.92</v>
          </cell>
          <cell r="E30">
            <v>0</v>
          </cell>
          <cell r="F30" t="e">
            <v>#N/A</v>
          </cell>
          <cell r="G30" t="e">
            <v>#N/A</v>
          </cell>
        </row>
        <row r="31">
          <cell r="A31">
            <v>40196</v>
          </cell>
          <cell r="B31" t="str">
            <v>Escavação, carga e transporte de material de 2ª cat. 1000 a 1200 m com moto-escavo- transportador</v>
          </cell>
          <cell r="C31" t="str">
            <v>m³</v>
          </cell>
          <cell r="D31">
            <v>23.36</v>
          </cell>
          <cell r="E31">
            <v>0</v>
          </cell>
          <cell r="F31" t="e">
            <v>#N/A</v>
          </cell>
          <cell r="G31" t="e">
            <v>#N/A</v>
          </cell>
        </row>
        <row r="32">
          <cell r="A32">
            <v>40192</v>
          </cell>
          <cell r="B32" t="str">
            <v>Escavação, carga e transporte de material de 2ª cat. 200 a 400 m com moto-escavo- transportador</v>
          </cell>
          <cell r="C32" t="str">
            <v>m³</v>
          </cell>
          <cell r="D32">
            <v>16.11</v>
          </cell>
          <cell r="E32">
            <v>0</v>
          </cell>
          <cell r="F32" t="e">
            <v>#N/A</v>
          </cell>
          <cell r="G32" t="e">
            <v>#N/A</v>
          </cell>
        </row>
        <row r="33">
          <cell r="A33">
            <v>40193</v>
          </cell>
          <cell r="B33" t="str">
            <v>Escavação, carga e transporte de material de 2ª cat. 400 a 600 m com moto-escavo- transportador</v>
          </cell>
          <cell r="C33" t="str">
            <v>m³</v>
          </cell>
          <cell r="D33">
            <v>17.57</v>
          </cell>
          <cell r="E33">
            <v>0</v>
          </cell>
          <cell r="F33" t="e">
            <v>#N/A</v>
          </cell>
          <cell r="G33" t="e">
            <v>#N/A</v>
          </cell>
        </row>
        <row r="34">
          <cell r="A34">
            <v>40194</v>
          </cell>
          <cell r="B34" t="str">
            <v>Escavação, carga e transporte de material de 2ª cat. 600 a 800 m com moto-escavo- transportador</v>
          </cell>
          <cell r="C34" t="str">
            <v>m³</v>
          </cell>
          <cell r="D34">
            <v>20.079999999999998</v>
          </cell>
          <cell r="E34">
            <v>0</v>
          </cell>
          <cell r="F34" t="e">
            <v>#N/A</v>
          </cell>
          <cell r="G34" t="e">
            <v>#N/A</v>
          </cell>
        </row>
        <row r="35">
          <cell r="A35">
            <v>40195</v>
          </cell>
          <cell r="B35" t="str">
            <v>Escavação, carga e transporte de material de 2ª cat. 800 a 1000 m com moto-escavo- transportador</v>
          </cell>
          <cell r="C35" t="str">
            <v>m³</v>
          </cell>
          <cell r="D35">
            <v>21.42</v>
          </cell>
          <cell r="E35">
            <v>0</v>
          </cell>
          <cell r="F35" t="e">
            <v>#N/A</v>
          </cell>
          <cell r="G35" t="e">
            <v>#N/A</v>
          </cell>
        </row>
        <row r="36">
          <cell r="A36">
            <v>40220</v>
          </cell>
          <cell r="B36" t="str">
            <v>Escavação e carga de material de barreira (remoção)</v>
          </cell>
          <cell r="C36" t="str">
            <v>m³</v>
          </cell>
          <cell r="D36">
            <v>7.71</v>
          </cell>
          <cell r="E36">
            <v>0</v>
          </cell>
          <cell r="F36" t="e">
            <v>#N/A</v>
          </cell>
          <cell r="G36" t="e">
            <v>#N/A</v>
          </cell>
        </row>
        <row r="37">
          <cell r="A37">
            <v>40230</v>
          </cell>
          <cell r="B37" t="str">
            <v>Escavação e carga de material de 1ª categoria com escavadeira</v>
          </cell>
          <cell r="C37" t="str">
            <v>m³</v>
          </cell>
          <cell r="D37">
            <v>2.62</v>
          </cell>
          <cell r="E37">
            <v>0</v>
          </cell>
          <cell r="F37">
            <v>2.63</v>
          </cell>
          <cell r="G37">
            <v>1.0038167938931299</v>
          </cell>
        </row>
        <row r="38">
          <cell r="A38">
            <v>40221</v>
          </cell>
          <cell r="B38" t="str">
            <v>Escavação e carga de material de 1ª categoria, com trator de esteira e pá carregadeira</v>
          </cell>
          <cell r="C38" t="str">
            <v>m³</v>
          </cell>
          <cell r="D38">
            <v>6.16</v>
          </cell>
          <cell r="E38">
            <v>0</v>
          </cell>
          <cell r="F38">
            <v>6.17</v>
          </cell>
          <cell r="G38">
            <v>1.00162337662338</v>
          </cell>
        </row>
        <row r="39">
          <cell r="A39">
            <v>40231</v>
          </cell>
          <cell r="B39" t="str">
            <v>Escavação e carga de material de 2ª categoria com escavadeira</v>
          </cell>
          <cell r="C39" t="str">
            <v>m³</v>
          </cell>
          <cell r="D39">
            <v>3.87</v>
          </cell>
          <cell r="E39">
            <v>0</v>
          </cell>
          <cell r="F39" t="e">
            <v>#N/A</v>
          </cell>
          <cell r="G39" t="e">
            <v>#N/A</v>
          </cell>
        </row>
        <row r="40">
          <cell r="A40">
            <v>40222</v>
          </cell>
          <cell r="B40" t="str">
            <v>Escavação e carga de material de 2ª categoria, com trator de esteira e pá carregadeira</v>
          </cell>
          <cell r="C40" t="str">
            <v>m³</v>
          </cell>
          <cell r="D40">
            <v>9.19</v>
          </cell>
          <cell r="E40">
            <v>0</v>
          </cell>
          <cell r="F40" t="e">
            <v>#N/A</v>
          </cell>
          <cell r="G40" t="e">
            <v>#N/A</v>
          </cell>
        </row>
        <row r="41">
          <cell r="A41">
            <v>40216</v>
          </cell>
          <cell r="B41" t="str">
            <v>Escavação e carga de material de 3ª categoria (fogo controlado)</v>
          </cell>
          <cell r="C41" t="str">
            <v>m³</v>
          </cell>
          <cell r="D41">
            <v>82.85</v>
          </cell>
          <cell r="E41">
            <v>0</v>
          </cell>
          <cell r="F41" t="e">
            <v>#N/A</v>
          </cell>
          <cell r="G41" t="e">
            <v>#N/A</v>
          </cell>
        </row>
        <row r="42">
          <cell r="A42">
            <v>40223</v>
          </cell>
          <cell r="B42" t="str">
            <v>Escavação e carga de material de 3ª categoria (H bancada &gt;1,0 m)</v>
          </cell>
          <cell r="C42" t="str">
            <v>m³</v>
          </cell>
          <cell r="D42">
            <v>34.04</v>
          </cell>
          <cell r="E42">
            <v>0</v>
          </cell>
          <cell r="F42" t="e">
            <v>#N/A</v>
          </cell>
          <cell r="G42" t="e">
            <v>#N/A</v>
          </cell>
        </row>
        <row r="43">
          <cell r="A43">
            <v>43335</v>
          </cell>
          <cell r="B43" t="str">
            <v>Espalhamento / regularização / compactação de material em bota-fora</v>
          </cell>
          <cell r="C43" t="str">
            <v>m³</v>
          </cell>
          <cell r="D43">
            <v>2.12</v>
          </cell>
          <cell r="E43">
            <v>0</v>
          </cell>
          <cell r="F43" t="e">
            <v>#N/A</v>
          </cell>
          <cell r="G43" t="e">
            <v>#N/A</v>
          </cell>
        </row>
        <row r="44">
          <cell r="A44">
            <v>42547</v>
          </cell>
          <cell r="B44" t="str">
            <v>Espalhamento de material de 1ª categoria com motoniveladora</v>
          </cell>
          <cell r="C44" t="str">
            <v>m³</v>
          </cell>
          <cell r="D44">
            <v>1.35</v>
          </cell>
          <cell r="E44">
            <v>0</v>
          </cell>
          <cell r="F44" t="e">
            <v>#N/A</v>
          </cell>
          <cell r="G44" t="e">
            <v>#N/A</v>
          </cell>
        </row>
        <row r="45">
          <cell r="A45">
            <v>40177</v>
          </cell>
          <cell r="B45" t="str">
            <v>Espalhamento de material de 1ª categoria com trator de esteiras</v>
          </cell>
          <cell r="C45" t="str">
            <v>m³</v>
          </cell>
          <cell r="D45">
            <v>3.57</v>
          </cell>
          <cell r="E45">
            <v>0</v>
          </cell>
          <cell r="F45">
            <v>3.58</v>
          </cell>
          <cell r="G45">
            <v>1.0028011204481799</v>
          </cell>
        </row>
        <row r="46">
          <cell r="A46">
            <v>41056</v>
          </cell>
          <cell r="B46" t="str">
            <v>Forro de regularização sobre plataforma de enrocamento para tráfego de caminhões, inclusive fornecimento do pó de pedra e da pedra demão</v>
          </cell>
          <cell r="C46" t="str">
            <v>m³</v>
          </cell>
          <cell r="D46">
            <v>74.94</v>
          </cell>
          <cell r="E46">
            <v>0</v>
          </cell>
          <cell r="F46" t="e">
            <v>#N/A</v>
          </cell>
          <cell r="G46" t="e">
            <v>#N/A</v>
          </cell>
        </row>
        <row r="47">
          <cell r="A47">
            <v>40218</v>
          </cell>
          <cell r="B47" t="str">
            <v>Fragmentação de rocha (fogacheamento)</v>
          </cell>
          <cell r="C47" t="str">
            <v>m³</v>
          </cell>
          <cell r="D47">
            <v>54.76</v>
          </cell>
          <cell r="E47">
            <v>0</v>
          </cell>
          <cell r="F47" t="e">
            <v>#N/A</v>
          </cell>
          <cell r="G47" t="e">
            <v>#N/A</v>
          </cell>
        </row>
        <row r="48">
          <cell r="A48">
            <v>40170</v>
          </cell>
          <cell r="B48" t="str">
            <v>Limpeza de acostamento</v>
          </cell>
          <cell r="C48" t="str">
            <v>m²</v>
          </cell>
          <cell r="D48">
            <v>0.53</v>
          </cell>
          <cell r="E48">
            <v>0</v>
          </cell>
          <cell r="F48" t="e">
            <v>#N/A</v>
          </cell>
          <cell r="G48" t="e">
            <v>#N/A</v>
          </cell>
        </row>
        <row r="49">
          <cell r="A49">
            <v>40167</v>
          </cell>
          <cell r="B49" t="str">
            <v>Limpeza, desmatamento e destocamento de árvores com diâmetro até 15 cm, com trator de esteira</v>
          </cell>
          <cell r="C49" t="str">
            <v>m²</v>
          </cell>
          <cell r="D49">
            <v>0.38</v>
          </cell>
          <cell r="E49">
            <v>0</v>
          </cell>
          <cell r="F49">
            <v>0.38</v>
          </cell>
          <cell r="G49">
            <v>1</v>
          </cell>
        </row>
        <row r="50">
          <cell r="A50">
            <v>40168</v>
          </cell>
          <cell r="B50" t="str">
            <v>Limpeza, desmatamento e destocamento de jazida com remoçao 15 cm solo orgânico</v>
          </cell>
          <cell r="C50" t="str">
            <v>m²</v>
          </cell>
          <cell r="D50">
            <v>1.83</v>
          </cell>
          <cell r="E50">
            <v>0</v>
          </cell>
          <cell r="F50" t="e">
            <v>#N/A</v>
          </cell>
          <cell r="G50" t="e">
            <v>#N/A</v>
          </cell>
        </row>
        <row r="51">
          <cell r="A51">
            <v>40169</v>
          </cell>
          <cell r="B51" t="str">
            <v>Limpeza e desmatamento em área alagada (pântano) com ferramentas manuais, inclusive moto serra</v>
          </cell>
          <cell r="C51" t="str">
            <v>m²</v>
          </cell>
          <cell r="D51">
            <v>7.81</v>
          </cell>
          <cell r="E51">
            <v>0</v>
          </cell>
          <cell r="F51" t="e">
            <v>#N/A</v>
          </cell>
          <cell r="G51" t="e">
            <v>#N/A</v>
          </cell>
        </row>
        <row r="52">
          <cell r="A52">
            <v>40219</v>
          </cell>
          <cell r="B52" t="str">
            <v>Pré-fissuramento de taludes de rocha</v>
          </cell>
          <cell r="C52" t="str">
            <v>m²</v>
          </cell>
          <cell r="D52">
            <v>28.21</v>
          </cell>
          <cell r="E52">
            <v>0</v>
          </cell>
          <cell r="F52" t="e">
            <v>#N/A</v>
          </cell>
          <cell r="G52" t="e">
            <v>#N/A</v>
          </cell>
        </row>
        <row r="53">
          <cell r="A53">
            <v>41095</v>
          </cell>
          <cell r="B53" t="str">
            <v>Remoção de solos moles, incluindo carregamento mecânico com escavadeira hidráulica</v>
          </cell>
          <cell r="C53" t="str">
            <v>m³</v>
          </cell>
          <cell r="D53">
            <v>19.260000000000002</v>
          </cell>
          <cell r="E53">
            <v>0</v>
          </cell>
          <cell r="F53" t="e">
            <v>#N/A</v>
          </cell>
          <cell r="G53" t="e">
            <v>#N/A</v>
          </cell>
        </row>
        <row r="54">
          <cell r="A54">
            <v>43352</v>
          </cell>
          <cell r="B54" t="str">
            <v>Roçada manual com roçadeira costal, ferramentas manuais, inclusive limpeza e remoção com retroescavadeira</v>
          </cell>
          <cell r="C54" t="str">
            <v>m²</v>
          </cell>
          <cell r="D54">
            <v>0.49</v>
          </cell>
          <cell r="E54">
            <v>0</v>
          </cell>
          <cell r="F54" t="e">
            <v>#N/A</v>
          </cell>
          <cell r="G54" t="e">
            <v>#N/A</v>
          </cell>
        </row>
        <row r="55">
          <cell r="A55">
            <v>43338</v>
          </cell>
          <cell r="B55" t="str">
            <v>Roçada manual com roçadeira costal, ferramentas manuais, inclusive limpeza manual</v>
          </cell>
          <cell r="C55" t="str">
            <v>m²</v>
          </cell>
          <cell r="D55">
            <v>0.41</v>
          </cell>
          <cell r="E55">
            <v>0</v>
          </cell>
          <cell r="F55" t="e">
            <v>#N/A</v>
          </cell>
          <cell r="G55" t="e">
            <v>#N/A</v>
          </cell>
        </row>
        <row r="56">
          <cell r="A56">
            <v>40166</v>
          </cell>
          <cell r="B56" t="str">
            <v>Roçada mecânica</v>
          </cell>
          <cell r="C56" t="str">
            <v>m²</v>
          </cell>
          <cell r="D56">
            <v>0.14000000000000001</v>
          </cell>
          <cell r="E56">
            <v>0</v>
          </cell>
          <cell r="F56" t="e">
            <v>#N/A</v>
          </cell>
          <cell r="G56" t="e">
            <v>#N/A</v>
          </cell>
        </row>
        <row r="57">
          <cell r="A57">
            <v>41326</v>
          </cell>
          <cell r="B57" t="str">
            <v>Transporte horizontal com trator de lâmina de material de 1ª cat. DMTaté 50m</v>
          </cell>
          <cell r="C57" t="str">
            <v>m³</v>
          </cell>
          <cell r="D57">
            <v>4.26</v>
          </cell>
          <cell r="E57">
            <v>0</v>
          </cell>
          <cell r="F57" t="e">
            <v>#N/A</v>
          </cell>
          <cell r="G57" t="e">
            <v>#N/A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E58" t="e">
            <v>#N/A</v>
          </cell>
          <cell r="F58" t="e">
            <v>#N/A</v>
          </cell>
          <cell r="G58" t="e">
            <v>#N/A</v>
          </cell>
        </row>
        <row r="59">
          <cell r="A59" t="str">
            <v>Grupo de Serviço: 2 - PAVIMENTAÇÃO</v>
          </cell>
          <cell r="B59">
            <v>0</v>
          </cell>
          <cell r="C59">
            <v>0</v>
          </cell>
          <cell r="E59" t="e">
            <v>#N/A</v>
          </cell>
          <cell r="F59" t="e">
            <v>#N/A</v>
          </cell>
          <cell r="G59" t="e">
            <v>#N/A</v>
          </cell>
        </row>
        <row r="60">
          <cell r="A60">
            <v>40801</v>
          </cell>
          <cell r="B60" t="str">
            <v>Base com mistura de argila, areia e escória de aciaria, 30%,30%,40%, inclusive fornecim. transp.areia e escória, exclusive fornecim. transp. da argila</v>
          </cell>
          <cell r="C60" t="str">
            <v>m³</v>
          </cell>
          <cell r="D60">
            <v>85.59</v>
          </cell>
          <cell r="E60" t="str">
            <v>A incluir</v>
          </cell>
          <cell r="F60" t="e">
            <v>#N/A</v>
          </cell>
          <cell r="G60" t="e">
            <v>#N/A</v>
          </cell>
        </row>
        <row r="61">
          <cell r="A61">
            <v>40799</v>
          </cell>
          <cell r="B61" t="str">
            <v>Base com mistura de argila, areia e escória de aciaria, 50%,20%,30%, inclusive fornecim.e transp. areia e escória, exclusive fornecim. e transp.argila</v>
          </cell>
          <cell r="C61" t="str">
            <v>m³</v>
          </cell>
          <cell r="D61">
            <v>66.400000000000006</v>
          </cell>
          <cell r="E61" t="str">
            <v>A incluir</v>
          </cell>
          <cell r="F61" t="e">
            <v>#N/A</v>
          </cell>
          <cell r="G61" t="e">
            <v>#N/A</v>
          </cell>
        </row>
        <row r="62">
          <cell r="A62">
            <v>40793</v>
          </cell>
          <cell r="B62" t="str">
            <v>Base com mistura de argila 30%, pó de pedra 30% e brita 40%, inclusive fornecimento e transporte do pó de pedra e da brita</v>
          </cell>
          <cell r="C62" t="str">
            <v>m³</v>
          </cell>
          <cell r="D62">
            <v>76.91</v>
          </cell>
          <cell r="E62" t="str">
            <v>A incluir</v>
          </cell>
          <cell r="F62" t="e">
            <v>#N/A</v>
          </cell>
          <cell r="G62" t="e">
            <v>#N/A</v>
          </cell>
        </row>
        <row r="63">
          <cell r="A63">
            <v>40797</v>
          </cell>
          <cell r="B63" t="str">
            <v>Base com mistura de argila 70% e escória de aciaria 30%, inclusive fornecim. e transporte da escória, exclusive fornecimento e transporte da argila</v>
          </cell>
          <cell r="C63" t="str">
            <v>m³</v>
          </cell>
          <cell r="D63">
            <v>39.04</v>
          </cell>
          <cell r="E63" t="str">
            <v>A incluir</v>
          </cell>
          <cell r="F63" t="e">
            <v>#N/A</v>
          </cell>
          <cell r="G63" t="e">
            <v>#N/A</v>
          </cell>
        </row>
        <row r="64">
          <cell r="A64">
            <v>41157</v>
          </cell>
          <cell r="B64" t="str">
            <v>Base com mistura de Saibro, Argila e Brita, 45%, 15% e 40%, exclusive transporte</v>
          </cell>
          <cell r="C64" t="str">
            <v>m³</v>
          </cell>
          <cell r="D64">
            <v>47.18</v>
          </cell>
          <cell r="E64">
            <v>0</v>
          </cell>
          <cell r="F64" t="e">
            <v>#N/A</v>
          </cell>
          <cell r="G64" t="e">
            <v>#N/A</v>
          </cell>
        </row>
        <row r="65">
          <cell r="A65">
            <v>40795</v>
          </cell>
          <cell r="B65" t="str">
            <v>Base com mistura de solo 80% e areia 20%, inclusive transporte da areia</v>
          </cell>
          <cell r="C65" t="str">
            <v>m³</v>
          </cell>
          <cell r="D65">
            <v>39.049999999999997</v>
          </cell>
          <cell r="E65" t="str">
            <v>A incluir</v>
          </cell>
          <cell r="F65" t="e">
            <v>#N/A</v>
          </cell>
          <cell r="G65" t="e">
            <v>#N/A</v>
          </cell>
        </row>
        <row r="66">
          <cell r="A66">
            <v>40787</v>
          </cell>
          <cell r="B66" t="str">
            <v>Base de brita graduada, inclusive fornecimento e transporte da brita</v>
          </cell>
          <cell r="C66" t="str">
            <v>m³</v>
          </cell>
          <cell r="D66">
            <v>105.93</v>
          </cell>
          <cell r="E66" t="str">
            <v>A incluir</v>
          </cell>
          <cell r="F66" t="e">
            <v>#N/A</v>
          </cell>
          <cell r="G66" t="e">
            <v>#N/A</v>
          </cell>
        </row>
        <row r="67">
          <cell r="A67">
            <v>40812</v>
          </cell>
          <cell r="B67" t="str">
            <v>Base de brita graduada, inclusive fornecimento, exclusive transporte da brita</v>
          </cell>
          <cell r="C67" t="str">
            <v>m³</v>
          </cell>
          <cell r="D67">
            <v>105.93</v>
          </cell>
          <cell r="E67">
            <v>0</v>
          </cell>
          <cell r="F67" t="e">
            <v>#N/A</v>
          </cell>
          <cell r="G67" t="e">
            <v>#N/A</v>
          </cell>
        </row>
        <row r="68">
          <cell r="A68">
            <v>42673</v>
          </cell>
          <cell r="B68" t="str">
            <v>Base de brita 1, inclusive fornecimento, exclusive transporte da brita</v>
          </cell>
          <cell r="C68" t="str">
            <v>m³</v>
          </cell>
          <cell r="D68">
            <v>101.27</v>
          </cell>
          <cell r="E68">
            <v>0</v>
          </cell>
          <cell r="F68" t="e">
            <v>#N/A</v>
          </cell>
          <cell r="G68" t="e">
            <v>#N/A</v>
          </cell>
        </row>
        <row r="69">
          <cell r="A69">
            <v>40803</v>
          </cell>
          <cell r="B69" t="str">
            <v>Base de escória de aciaria, inclusive fornecimento e transporte da escória</v>
          </cell>
          <cell r="C69" t="str">
            <v>m³</v>
          </cell>
          <cell r="D69">
            <v>81.760000000000005</v>
          </cell>
          <cell r="E69" t="str">
            <v>A incluir</v>
          </cell>
          <cell r="F69" t="e">
            <v>#N/A</v>
          </cell>
          <cell r="G69" t="e">
            <v>#N/A</v>
          </cell>
        </row>
        <row r="70">
          <cell r="A70">
            <v>41406</v>
          </cell>
          <cell r="B70" t="str">
            <v>Base de escória/argila na proporção 80:20, inclusive aquisição e transporte da escória, exclusive argila</v>
          </cell>
          <cell r="C70" t="str">
            <v>m³</v>
          </cell>
          <cell r="D70">
            <v>70.05</v>
          </cell>
          <cell r="E70" t="str">
            <v>A incluir</v>
          </cell>
          <cell r="F70" t="e">
            <v>#N/A</v>
          </cell>
          <cell r="G70" t="e">
            <v>#N/A</v>
          </cell>
        </row>
        <row r="71">
          <cell r="A71">
            <v>41100</v>
          </cell>
          <cell r="B71" t="str">
            <v>Base de escória/solo na proporção 75:25, inclusive fornecimento da escória, exceto fornecimento do solo e transporte do solo e escória</v>
          </cell>
          <cell r="C71" t="str">
            <v>m³</v>
          </cell>
          <cell r="D71">
            <v>66.959999999999994</v>
          </cell>
          <cell r="E71">
            <v>0</v>
          </cell>
          <cell r="F71" t="e">
            <v>#N/A</v>
          </cell>
          <cell r="G71" t="e">
            <v>#N/A</v>
          </cell>
        </row>
        <row r="72">
          <cell r="A72">
            <v>40979</v>
          </cell>
          <cell r="B72" t="str">
            <v>Base de solo brita, 20% em peso, inclusive fornecim. da brita, exclusive transporte da brita e do solo (100% P.IM)</v>
          </cell>
          <cell r="C72" t="str">
            <v>m³</v>
          </cell>
          <cell r="D72">
            <v>41.92</v>
          </cell>
          <cell r="E72">
            <v>0</v>
          </cell>
          <cell r="F72" t="e">
            <v>#N/A</v>
          </cell>
          <cell r="G72" t="e">
            <v>#N/A</v>
          </cell>
        </row>
        <row r="73">
          <cell r="A73">
            <v>40815</v>
          </cell>
          <cell r="B73" t="str">
            <v>Base de solo brita, 40% em peso, inclusive fornecimento, exclusive transporte da brita</v>
          </cell>
          <cell r="C73" t="str">
            <v>m³</v>
          </cell>
          <cell r="D73">
            <v>56.29</v>
          </cell>
          <cell r="E73">
            <v>0</v>
          </cell>
          <cell r="F73" t="e">
            <v>#N/A</v>
          </cell>
          <cell r="G73" t="e">
            <v>#N/A</v>
          </cell>
        </row>
        <row r="74">
          <cell r="A74">
            <v>40809</v>
          </cell>
          <cell r="B74" t="str">
            <v>Base de solo brita, 50% em peso, inclusive fornecimento, exclusive transporte da brita</v>
          </cell>
          <cell r="C74" t="str">
            <v>m³</v>
          </cell>
          <cell r="D74">
            <v>65.8</v>
          </cell>
          <cell r="E74">
            <v>0</v>
          </cell>
          <cell r="F74" t="e">
            <v>#N/A</v>
          </cell>
          <cell r="G74" t="e">
            <v>#N/A</v>
          </cell>
        </row>
        <row r="75">
          <cell r="A75">
            <v>40810</v>
          </cell>
          <cell r="B75" t="str">
            <v>Base de solo brita, 70% em peso, inclusive fornecimento, exclusive transporte da brita</v>
          </cell>
          <cell r="C75" t="str">
            <v>m³</v>
          </cell>
          <cell r="D75">
            <v>84.9</v>
          </cell>
          <cell r="E75">
            <v>0</v>
          </cell>
          <cell r="F75" t="e">
            <v>#N/A</v>
          </cell>
          <cell r="G75" t="e">
            <v>#N/A</v>
          </cell>
        </row>
        <row r="76">
          <cell r="A76">
            <v>41097</v>
          </cell>
          <cell r="B76" t="str">
            <v>Base de solo brita, 80% em peso, inclusive fornecimento e transporte da brita</v>
          </cell>
          <cell r="C76" t="str">
            <v>m³</v>
          </cell>
          <cell r="D76">
            <v>96.46</v>
          </cell>
          <cell r="E76" t="str">
            <v>A incluir</v>
          </cell>
          <cell r="F76" t="e">
            <v>#N/A</v>
          </cell>
          <cell r="G76" t="e">
            <v>#N/A</v>
          </cell>
        </row>
        <row r="77">
          <cell r="A77">
            <v>41364</v>
          </cell>
          <cell r="B77" t="str">
            <v>Base estabilizada granulométricamente. com mistura de escória de aciaria 80% e argila exceto fornecimento da argila e transporte da argila e escória</v>
          </cell>
          <cell r="C77" t="str">
            <v>m³</v>
          </cell>
          <cell r="D77">
            <v>70.05</v>
          </cell>
          <cell r="E77">
            <v>0</v>
          </cell>
          <cell r="F77" t="e">
            <v>#N/A</v>
          </cell>
          <cell r="G77" t="e">
            <v>#N/A</v>
          </cell>
        </row>
        <row r="78">
          <cell r="A78">
            <v>40777</v>
          </cell>
          <cell r="B78" t="str">
            <v>Base solo brita, 20% em peso, inclusive fornecimento e transporte da brita</v>
          </cell>
          <cell r="C78" t="str">
            <v>m³</v>
          </cell>
          <cell r="D78">
            <v>37.340000000000003</v>
          </cell>
          <cell r="E78" t="str">
            <v>A incluir</v>
          </cell>
          <cell r="F78" t="e">
            <v>#N/A</v>
          </cell>
          <cell r="G78" t="e">
            <v>#N/A</v>
          </cell>
        </row>
        <row r="79">
          <cell r="A79">
            <v>40779</v>
          </cell>
          <cell r="B79" t="str">
            <v>Base solo brita, 30% em peso, inclusive fornecimento e transporte da brita</v>
          </cell>
          <cell r="C79" t="str">
            <v>m³</v>
          </cell>
          <cell r="D79">
            <v>44.85</v>
          </cell>
          <cell r="E79" t="str">
            <v>A incluir</v>
          </cell>
          <cell r="F79" t="e">
            <v>#N/A</v>
          </cell>
          <cell r="G79" t="e">
            <v>#N/A</v>
          </cell>
        </row>
        <row r="80">
          <cell r="A80">
            <v>40781</v>
          </cell>
          <cell r="B80" t="str">
            <v>Base solo brita, 50% em peso, inclusive fornecimento e transporte da brita</v>
          </cell>
          <cell r="C80" t="str">
            <v>m³</v>
          </cell>
          <cell r="D80">
            <v>65.8</v>
          </cell>
          <cell r="E80" t="str">
            <v>A incluir</v>
          </cell>
          <cell r="F80" t="e">
            <v>#N/A</v>
          </cell>
          <cell r="G80" t="e">
            <v>#N/A</v>
          </cell>
        </row>
        <row r="81">
          <cell r="A81">
            <v>40783</v>
          </cell>
          <cell r="B81" t="str">
            <v>Base solo brita, 70% em peso, inclusive fornecimento e transporte da brita</v>
          </cell>
          <cell r="C81" t="str">
            <v>m³</v>
          </cell>
          <cell r="D81">
            <v>84.9</v>
          </cell>
          <cell r="E81" t="str">
            <v>A incluir</v>
          </cell>
          <cell r="F81" t="e">
            <v>#N/A</v>
          </cell>
          <cell r="G81" t="e">
            <v>#N/A</v>
          </cell>
        </row>
        <row r="82">
          <cell r="A82">
            <v>41366</v>
          </cell>
          <cell r="B82" t="str">
            <v>Base solo brita, 80% em peso, inclusive fornecimento, exclusive transporte da brita</v>
          </cell>
          <cell r="C82" t="str">
            <v>m³</v>
          </cell>
          <cell r="D82">
            <v>96.46</v>
          </cell>
          <cell r="E82">
            <v>0</v>
          </cell>
          <cell r="F82" t="e">
            <v>#N/A</v>
          </cell>
          <cell r="G82" t="e">
            <v>#N/A</v>
          </cell>
        </row>
        <row r="83">
          <cell r="A83">
            <v>40834</v>
          </cell>
          <cell r="B83" t="str">
            <v>Capa selante (emulsão e areia) exclusive fornecimento e transporte comercial da emulsão, inclusive transporte da areia</v>
          </cell>
          <cell r="C83" t="str">
            <v>m²</v>
          </cell>
          <cell r="D83">
            <v>1.55</v>
          </cell>
          <cell r="E83" t="str">
            <v>A incluir</v>
          </cell>
          <cell r="F83" t="e">
            <v>#N/A</v>
          </cell>
          <cell r="G83" t="e">
            <v>#N/A</v>
          </cell>
        </row>
        <row r="84">
          <cell r="A84">
            <v>40835</v>
          </cell>
          <cell r="B84" t="str">
            <v>Capa selante (emulsão e areia) inclusive fornecimento e transporte comercial da emulsão</v>
          </cell>
          <cell r="C84" t="str">
            <v>m²</v>
          </cell>
          <cell r="D84">
            <v>2.5</v>
          </cell>
          <cell r="E84" t="str">
            <v>A incluir</v>
          </cell>
          <cell r="F84" t="e">
            <v>#N/A</v>
          </cell>
          <cell r="G84" t="e">
            <v>#N/A</v>
          </cell>
        </row>
        <row r="85">
          <cell r="A85">
            <v>40841</v>
          </cell>
          <cell r="B85" t="str">
            <v>CBUQ (camada pronta - binder) exclusive fornecimento e transportes do CAP e massa, inclusive fornecimento e transporte da brita e pó de pedra</v>
          </cell>
          <cell r="C85" t="str">
            <v>t</v>
          </cell>
          <cell r="D85">
            <v>97.12</v>
          </cell>
          <cell r="E85" t="str">
            <v>A incluir</v>
          </cell>
          <cell r="F85" t="e">
            <v>#N/A</v>
          </cell>
          <cell r="G85" t="e">
            <v>#N/A</v>
          </cell>
        </row>
        <row r="86">
          <cell r="A86">
            <v>40842</v>
          </cell>
          <cell r="B86" t="str">
            <v>CBUQ (camada pronta - binder) inclusive fornecimento e transporte comercial do CAP, exclusive transporte da massa</v>
          </cell>
          <cell r="C86" t="str">
            <v>t</v>
          </cell>
          <cell r="D86">
            <v>249.11</v>
          </cell>
          <cell r="E86" t="str">
            <v>A incluir</v>
          </cell>
          <cell r="F86" t="e">
            <v>#N/A</v>
          </cell>
          <cell r="G86" t="e">
            <v>#N/A</v>
          </cell>
        </row>
        <row r="87">
          <cell r="A87">
            <v>40843</v>
          </cell>
          <cell r="B87" t="str">
            <v>CBUQ (camada pronta - capa) exclusive fornecimento e transportes do CAP e massa</v>
          </cell>
          <cell r="C87" t="str">
            <v>t</v>
          </cell>
          <cell r="D87">
            <v>100.19</v>
          </cell>
          <cell r="E87" t="str">
            <v>A incluir</v>
          </cell>
          <cell r="F87">
            <v>124.58</v>
          </cell>
          <cell r="G87">
            <v>1.24343746880926</v>
          </cell>
        </row>
        <row r="88">
          <cell r="A88">
            <v>40844</v>
          </cell>
          <cell r="B88" t="str">
            <v>CBUQ (camada pronta - capa) inclusive fornecimento e transporte comercial do CAP, exclusive transporte da massa</v>
          </cell>
          <cell r="C88" t="str">
            <v>t</v>
          </cell>
          <cell r="D88">
            <v>264.85000000000002</v>
          </cell>
          <cell r="E88" t="str">
            <v>A incluir</v>
          </cell>
          <cell r="F88" t="e">
            <v>#N/A</v>
          </cell>
          <cell r="G88" t="e">
            <v>#N/A</v>
          </cell>
        </row>
        <row r="89">
          <cell r="A89">
            <v>41112</v>
          </cell>
          <cell r="B89" t="str">
            <v>CBUQ (camada pronta Faixa "B" para revestimento) exclusive fornecimento do CAP e transp. de todos os materiais</v>
          </cell>
          <cell r="C89" t="str">
            <v>t</v>
          </cell>
          <cell r="D89">
            <v>95.26</v>
          </cell>
          <cell r="E89" t="str">
            <v>A incluir</v>
          </cell>
          <cell r="F89" t="e">
            <v>#N/A</v>
          </cell>
          <cell r="G89" t="e">
            <v>#N/A</v>
          </cell>
        </row>
        <row r="90">
          <cell r="A90">
            <v>43342</v>
          </cell>
          <cell r="B90" t="str">
            <v>CBUQ (camada pronta-faixa "C") , exclusive fornecimento do CAP e transporte de todos os materiais (traço padrão areia e brita)</v>
          </cell>
          <cell r="C90" t="str">
            <v>t</v>
          </cell>
          <cell r="D90">
            <v>102.39</v>
          </cell>
          <cell r="E90" t="str">
            <v>A incluir</v>
          </cell>
          <cell r="F90" t="e">
            <v>#N/A</v>
          </cell>
          <cell r="G90" t="e">
            <v>#N/A</v>
          </cell>
        </row>
        <row r="91">
          <cell r="A91">
            <v>40878</v>
          </cell>
          <cell r="B91" t="str">
            <v>CBUQ (camada pronta-faixa"C") exclusive fornecimento.do CAP e transporte de todos os materiais</v>
          </cell>
          <cell r="C91" t="str">
            <v>t</v>
          </cell>
          <cell r="D91">
            <v>100.76</v>
          </cell>
          <cell r="E91" t="str">
            <v>A incluir</v>
          </cell>
          <cell r="F91" t="e">
            <v>#N/A</v>
          </cell>
          <cell r="G91" t="e">
            <v>#N/A</v>
          </cell>
        </row>
        <row r="92">
          <cell r="A92">
            <v>40845</v>
          </cell>
          <cell r="B92" t="str">
            <v>CBUQ (massa asfáltica) exclusive fornecimento e transporte comercial do CAP</v>
          </cell>
          <cell r="C92" t="str">
            <v>t</v>
          </cell>
          <cell r="D92">
            <v>79.959999999999994</v>
          </cell>
          <cell r="E92" t="str">
            <v>A incluir</v>
          </cell>
          <cell r="F92" t="e">
            <v>#N/A</v>
          </cell>
          <cell r="G92" t="e">
            <v>#N/A</v>
          </cell>
        </row>
        <row r="93">
          <cell r="A93">
            <v>40846</v>
          </cell>
          <cell r="B93" t="str">
            <v>CBUQ (massa asfáltica) inclusive fornecimento e transporte comercial do CAP</v>
          </cell>
          <cell r="C93" t="str">
            <v>t</v>
          </cell>
          <cell r="D93">
            <v>244.61</v>
          </cell>
          <cell r="E93" t="str">
            <v>A incluir</v>
          </cell>
          <cell r="F93" t="e">
            <v>#N/A</v>
          </cell>
          <cell r="G93" t="e">
            <v>#N/A</v>
          </cell>
        </row>
        <row r="94">
          <cell r="A94">
            <v>40879</v>
          </cell>
          <cell r="B94" t="str">
            <v>CBUQ (massa asfáltica-faixa"C") exclusive fornecimento CAP e transporte de todos os materiais</v>
          </cell>
          <cell r="C94" t="str">
            <v>t</v>
          </cell>
          <cell r="D94">
            <v>80.52</v>
          </cell>
          <cell r="E94">
            <v>0</v>
          </cell>
          <cell r="F94" t="e">
            <v>#N/A</v>
          </cell>
          <cell r="G94" t="e">
            <v>#N/A</v>
          </cell>
        </row>
        <row r="95">
          <cell r="A95">
            <v>40877</v>
          </cell>
          <cell r="B95" t="str">
            <v>CBUQ (massa fina - faixa"D") exclusive fornecimento do CAP e transp.de todos os materiais</v>
          </cell>
          <cell r="C95" t="str">
            <v>t</v>
          </cell>
          <cell r="D95">
            <v>98.96</v>
          </cell>
          <cell r="E95" t="str">
            <v>A incluir</v>
          </cell>
          <cell r="F95" t="e">
            <v>#N/A</v>
          </cell>
          <cell r="G95" t="e">
            <v>#N/A</v>
          </cell>
        </row>
        <row r="96">
          <cell r="A96">
            <v>43341</v>
          </cell>
          <cell r="B96" t="str">
            <v>CBUQ (massa fina-faixa"D"), exclusive fornecimento do CAP e transporte de todos os materiais (traço padrão areia e brita)</v>
          </cell>
          <cell r="C96" t="str">
            <v>t</v>
          </cell>
          <cell r="D96">
            <v>100.69</v>
          </cell>
          <cell r="E96" t="str">
            <v>A incluir</v>
          </cell>
          <cell r="F96" t="e">
            <v>#N/A</v>
          </cell>
          <cell r="G96" t="e">
            <v>#N/A</v>
          </cell>
        </row>
        <row r="97">
          <cell r="A97">
            <v>40867</v>
          </cell>
          <cell r="B97" t="str">
            <v>Demolição e remoção de pavimento asfáltico</v>
          </cell>
          <cell r="C97" t="str">
            <v>m²</v>
          </cell>
          <cell r="D97">
            <v>2.13</v>
          </cell>
          <cell r="E97">
            <v>0</v>
          </cell>
          <cell r="F97" t="e">
            <v>#N/A</v>
          </cell>
          <cell r="G97" t="e">
            <v>#N/A</v>
          </cell>
        </row>
        <row r="98">
          <cell r="A98">
            <v>40763</v>
          </cell>
          <cell r="B98" t="str">
            <v>Escarificação de base H = 0,10m e capa asfáltica</v>
          </cell>
          <cell r="C98" t="str">
            <v>m²</v>
          </cell>
          <cell r="D98">
            <v>0.69</v>
          </cell>
          <cell r="E98">
            <v>0</v>
          </cell>
          <cell r="F98" t="e">
            <v>#N/A</v>
          </cell>
          <cell r="G98" t="e">
            <v>#N/A</v>
          </cell>
        </row>
        <row r="99">
          <cell r="A99">
            <v>40765</v>
          </cell>
          <cell r="B99" t="str">
            <v>Escarificação e compactação de base (100% P.I.) H=0,20m</v>
          </cell>
          <cell r="C99" t="str">
            <v>m²</v>
          </cell>
          <cell r="D99">
            <v>4.83</v>
          </cell>
          <cell r="E99">
            <v>0</v>
          </cell>
          <cell r="F99" t="e">
            <v>#N/A</v>
          </cell>
          <cell r="G99" t="e">
            <v>#N/A</v>
          </cell>
        </row>
        <row r="100">
          <cell r="A100">
            <v>40757</v>
          </cell>
          <cell r="B100" t="str">
            <v>Estabilização granulométrica de solo s/ mistura 100% P.I.</v>
          </cell>
          <cell r="C100" t="str">
            <v>m³</v>
          </cell>
          <cell r="D100">
            <v>14.84</v>
          </cell>
          <cell r="E100">
            <v>0</v>
          </cell>
          <cell r="F100">
            <v>14.85</v>
          </cell>
          <cell r="G100">
            <v>1.0006738544474401</v>
          </cell>
        </row>
        <row r="101">
          <cell r="A101">
            <v>40758</v>
          </cell>
          <cell r="B101" t="str">
            <v>Estabilização granulométrica de solo s/ mistura 100% P.M.</v>
          </cell>
          <cell r="C101" t="str">
            <v>m³</v>
          </cell>
          <cell r="D101">
            <v>15.99</v>
          </cell>
          <cell r="E101">
            <v>0</v>
          </cell>
          <cell r="F101" t="e">
            <v>#N/A</v>
          </cell>
          <cell r="G101" t="e">
            <v>#N/A</v>
          </cell>
        </row>
        <row r="102">
          <cell r="A102">
            <v>40761</v>
          </cell>
          <cell r="B102" t="str">
            <v>Estabilização granulométrica de solos c/ mistura de areia na pista 100% P.M. (80%, 20%) exclusive transporte</v>
          </cell>
          <cell r="C102" t="str">
            <v>m³</v>
          </cell>
          <cell r="D102">
            <v>39.409999999999997</v>
          </cell>
          <cell r="E102">
            <v>0</v>
          </cell>
          <cell r="F102" t="e">
            <v>#N/A</v>
          </cell>
          <cell r="G102" t="e">
            <v>#N/A</v>
          </cell>
        </row>
        <row r="103">
          <cell r="A103">
            <v>40759</v>
          </cell>
          <cell r="B103" t="str">
            <v>Estabilização granulométrica de solos c/ mistura na pista 100 % P.I.</v>
          </cell>
          <cell r="C103" t="str">
            <v>m³</v>
          </cell>
          <cell r="D103">
            <v>16.3</v>
          </cell>
          <cell r="E103">
            <v>0</v>
          </cell>
          <cell r="F103" t="e">
            <v>#N/A</v>
          </cell>
          <cell r="G103" t="e">
            <v>#N/A</v>
          </cell>
        </row>
        <row r="104">
          <cell r="A104">
            <v>40760</v>
          </cell>
          <cell r="B104" t="str">
            <v>Estabilização granulométrica de solos c/ mistura na pista 100% P.M.</v>
          </cell>
          <cell r="C104" t="str">
            <v>m³</v>
          </cell>
          <cell r="D104">
            <v>16.739999999999998</v>
          </cell>
          <cell r="E104">
            <v>0</v>
          </cell>
          <cell r="F104" t="e">
            <v>#N/A</v>
          </cell>
          <cell r="G104" t="e">
            <v>#N/A</v>
          </cell>
        </row>
        <row r="105">
          <cell r="A105">
            <v>41069</v>
          </cell>
          <cell r="B105" t="str">
            <v>Fresagem de pavimento asfáltico a frio, esp. até 15cm, exclusive transporte de materiais</v>
          </cell>
          <cell r="C105" t="str">
            <v>m²</v>
          </cell>
          <cell r="D105">
            <v>7.81</v>
          </cell>
          <cell r="E105">
            <v>0</v>
          </cell>
          <cell r="F105" t="e">
            <v>#N/A</v>
          </cell>
          <cell r="G105" t="e">
            <v>#N/A</v>
          </cell>
        </row>
        <row r="106">
          <cell r="A106">
            <v>40985</v>
          </cell>
          <cell r="B106" t="str">
            <v>Fresagem de pavimento asfáltico a frio, esp=5cm, exclusive transporte de materiais</v>
          </cell>
          <cell r="C106" t="str">
            <v>m²</v>
          </cell>
          <cell r="D106">
            <v>6.77</v>
          </cell>
          <cell r="E106">
            <v>0</v>
          </cell>
          <cell r="F106" t="e">
            <v>#N/A</v>
          </cell>
          <cell r="G106" t="e">
            <v>#N/A</v>
          </cell>
        </row>
        <row r="107">
          <cell r="A107">
            <v>40868</v>
          </cell>
          <cell r="B107" t="str">
            <v>Fresagem de pavimento asfáltico a frio, esp.=5cm inclusive transporte do material</v>
          </cell>
          <cell r="C107" t="str">
            <v>m²</v>
          </cell>
          <cell r="D107">
            <v>10.61</v>
          </cell>
          <cell r="E107">
            <v>0</v>
          </cell>
          <cell r="F107" t="e">
            <v>#N/A</v>
          </cell>
          <cell r="G107" t="e">
            <v>#N/A</v>
          </cell>
        </row>
        <row r="108">
          <cell r="A108">
            <v>40816</v>
          </cell>
          <cell r="B108" t="str">
            <v>Imprimação exclusive fornecimento e transporte comercial do material betuminoso</v>
          </cell>
          <cell r="C108" t="str">
            <v>m²</v>
          </cell>
          <cell r="D108">
            <v>0.71</v>
          </cell>
          <cell r="E108">
            <v>0</v>
          </cell>
          <cell r="F108">
            <v>0.72</v>
          </cell>
          <cell r="G108">
            <v>1.0140845070422499</v>
          </cell>
        </row>
        <row r="109">
          <cell r="A109">
            <v>40817</v>
          </cell>
          <cell r="B109" t="str">
            <v>Imprimação inclusive fornecimento e transporte comercial do material betuminoso</v>
          </cell>
          <cell r="C109" t="str">
            <v>m²</v>
          </cell>
          <cell r="D109">
            <v>5.42</v>
          </cell>
          <cell r="E109" t="str">
            <v>A incluir</v>
          </cell>
          <cell r="F109" t="e">
            <v>#N/A</v>
          </cell>
          <cell r="G109" t="e">
            <v>#N/A</v>
          </cell>
        </row>
        <row r="110">
          <cell r="A110">
            <v>40850</v>
          </cell>
          <cell r="B110" t="str">
            <v>Lama asfáltica (faixa I - ISSA) exclusive fornecimento e transporte comercial da emulsão</v>
          </cell>
          <cell r="C110" t="str">
            <v>m²</v>
          </cell>
          <cell r="D110">
            <v>1.43</v>
          </cell>
          <cell r="E110" t="str">
            <v>A incluir</v>
          </cell>
          <cell r="F110" t="e">
            <v>#N/A</v>
          </cell>
          <cell r="G110" t="e">
            <v>#N/A</v>
          </cell>
        </row>
        <row r="111">
          <cell r="A111">
            <v>40851</v>
          </cell>
          <cell r="B111" t="str">
            <v>Lama asfáltica (faixa I - ISSA) inclusive fornecimento e transporte comercial da emulsão</v>
          </cell>
          <cell r="C111" t="str">
            <v>m²</v>
          </cell>
          <cell r="D111">
            <v>2.97</v>
          </cell>
          <cell r="E111" t="str">
            <v>A incluir</v>
          </cell>
          <cell r="F111" t="e">
            <v>#N/A</v>
          </cell>
          <cell r="G111" t="e">
            <v>#N/A</v>
          </cell>
        </row>
        <row r="112">
          <cell r="A112">
            <v>40852</v>
          </cell>
          <cell r="B112" t="str">
            <v>Lama asfáltica (faixa II - ISSA) exclusive fornecimento e transporte comercial da emulsão</v>
          </cell>
          <cell r="C112" t="str">
            <v>m²</v>
          </cell>
          <cell r="D112">
            <v>1.56</v>
          </cell>
          <cell r="E112" t="str">
            <v>A incluir</v>
          </cell>
          <cell r="F112" t="e">
            <v>#N/A</v>
          </cell>
          <cell r="G112" t="e">
            <v>#N/A</v>
          </cell>
        </row>
        <row r="113">
          <cell r="A113">
            <v>40853</v>
          </cell>
          <cell r="B113" t="str">
            <v>Lama asfáltica (faixa II - ISSA) inclusive fornecimento e transporte comercial da emulsão</v>
          </cell>
          <cell r="C113" t="str">
            <v>m²</v>
          </cell>
          <cell r="D113">
            <v>3.99</v>
          </cell>
          <cell r="E113" t="str">
            <v>A incluir</v>
          </cell>
          <cell r="F113" t="e">
            <v>#N/A</v>
          </cell>
          <cell r="G113" t="e">
            <v>#N/A</v>
          </cell>
        </row>
        <row r="114">
          <cell r="A114">
            <v>40854</v>
          </cell>
          <cell r="B114" t="str">
            <v>Lama asfáltica (faixa III - ISSA) exclusive fornecimento e transporte comercial da emulsão</v>
          </cell>
          <cell r="C114" t="str">
            <v>m²</v>
          </cell>
          <cell r="D114">
            <v>1.65</v>
          </cell>
          <cell r="E114" t="str">
            <v>A incluir</v>
          </cell>
          <cell r="F114" t="e">
            <v>#N/A</v>
          </cell>
          <cell r="G114" t="e">
            <v>#N/A</v>
          </cell>
        </row>
        <row r="115">
          <cell r="A115">
            <v>40855</v>
          </cell>
          <cell r="B115" t="str">
            <v>Lama asfáltica (faixa III - ISSA) inclusive fornecimento e transporte comercial da emulsão</v>
          </cell>
          <cell r="C115" t="str">
            <v>m²</v>
          </cell>
          <cell r="D115">
            <v>5.17</v>
          </cell>
          <cell r="E115" t="str">
            <v>A incluir</v>
          </cell>
          <cell r="F115" t="e">
            <v>#N/A</v>
          </cell>
          <cell r="G115" t="e">
            <v>#N/A</v>
          </cell>
        </row>
        <row r="116">
          <cell r="A116">
            <v>40856</v>
          </cell>
          <cell r="B116" t="str">
            <v>Lama asfáltica (faixa IV - ISSA) exclusive fornecimento e transporte comercial da emulsão</v>
          </cell>
          <cell r="C116" t="str">
            <v>m²</v>
          </cell>
          <cell r="D116">
            <v>1.99</v>
          </cell>
          <cell r="E116" t="str">
            <v>A incluir</v>
          </cell>
          <cell r="F116" t="e">
            <v>#N/A</v>
          </cell>
          <cell r="G116" t="e">
            <v>#N/A</v>
          </cell>
        </row>
        <row r="117">
          <cell r="A117">
            <v>40857</v>
          </cell>
          <cell r="B117" t="str">
            <v>Lama asfáltica (faixa IV - ISSA) inclusive fornecimento e transporte comercial da emulsão</v>
          </cell>
          <cell r="C117" t="str">
            <v>m²</v>
          </cell>
          <cell r="D117">
            <v>6.85</v>
          </cell>
          <cell r="E117" t="str">
            <v>A incluir</v>
          </cell>
          <cell r="F117" t="e">
            <v>#N/A</v>
          </cell>
          <cell r="G117" t="e">
            <v>#N/A</v>
          </cell>
        </row>
        <row r="118">
          <cell r="A118">
            <v>40894</v>
          </cell>
          <cell r="B118" t="str">
            <v>Meio fio (assentamento), inclusive caiação</v>
          </cell>
          <cell r="C118" t="str">
            <v>m</v>
          </cell>
          <cell r="D118">
            <v>28.04</v>
          </cell>
          <cell r="E118">
            <v>0</v>
          </cell>
          <cell r="F118" t="e">
            <v>#N/A</v>
          </cell>
          <cell r="G118" t="e">
            <v>#N/A</v>
          </cell>
        </row>
        <row r="119">
          <cell r="A119">
            <v>40895</v>
          </cell>
          <cell r="B119" t="str">
            <v>Meio fio (remoção e reassentamento),  inclusive caiação</v>
          </cell>
          <cell r="C119" t="str">
            <v>m</v>
          </cell>
          <cell r="D119">
            <v>49.78</v>
          </cell>
          <cell r="E119">
            <v>0</v>
          </cell>
          <cell r="F119" t="e">
            <v>#N/A</v>
          </cell>
          <cell r="G119" t="e">
            <v>#N/A</v>
          </cell>
        </row>
        <row r="120">
          <cell r="A120">
            <v>40869</v>
          </cell>
          <cell r="B120" t="str">
            <v>Micro revestimento asfáltico à frio exclusive fornecimento e transporte comercial do material betuminoso</v>
          </cell>
          <cell r="C120" t="str">
            <v>m²</v>
          </cell>
          <cell r="D120">
            <v>4.7699999999999996</v>
          </cell>
          <cell r="E120" t="str">
            <v>A incluir</v>
          </cell>
          <cell r="F120" t="e">
            <v>#N/A</v>
          </cell>
          <cell r="G120" t="e">
            <v>#N/A</v>
          </cell>
        </row>
        <row r="121">
          <cell r="A121">
            <v>40881</v>
          </cell>
          <cell r="B121" t="str">
            <v>Micro revestimento asfáltico à frio exclusive fornecimento emulsão e transp. de todos os materiais</v>
          </cell>
          <cell r="C121" t="str">
            <v>m²</v>
          </cell>
          <cell r="D121">
            <v>4.7699999999999996</v>
          </cell>
          <cell r="E121">
            <v>0</v>
          </cell>
          <cell r="F121" t="e">
            <v>#N/A</v>
          </cell>
          <cell r="G121" t="e">
            <v>#N/A</v>
          </cell>
        </row>
        <row r="122">
          <cell r="A122">
            <v>40870</v>
          </cell>
          <cell r="B122" t="str">
            <v>Micro revestimento asfáltico à frio inclusive fornecimento e transporte comercial do material betuminoso</v>
          </cell>
          <cell r="C122" t="str">
            <v>m²</v>
          </cell>
          <cell r="D122">
            <v>11.43</v>
          </cell>
          <cell r="E122" t="str">
            <v>A incluir</v>
          </cell>
          <cell r="F122" t="e">
            <v>#N/A</v>
          </cell>
          <cell r="G122" t="e">
            <v>#N/A</v>
          </cell>
        </row>
        <row r="123">
          <cell r="A123">
            <v>40860</v>
          </cell>
          <cell r="B123" t="str">
            <v>Obturação de buracos c/ CBUQ exclusive fornecimento e transporte comercial dos materiais betuminosos</v>
          </cell>
          <cell r="C123" t="str">
            <v>m²</v>
          </cell>
          <cell r="D123">
            <v>38.96</v>
          </cell>
          <cell r="E123" t="str">
            <v>A incluir</v>
          </cell>
          <cell r="F123" t="e">
            <v>#N/A</v>
          </cell>
          <cell r="G123" t="e">
            <v>#N/A</v>
          </cell>
        </row>
        <row r="124">
          <cell r="A124">
            <v>40864</v>
          </cell>
          <cell r="B124" t="str">
            <v>Obturação de buracos c/ CBUQ exclusive fornecimento e transporte dos materiais betuminosos</v>
          </cell>
          <cell r="C124" t="str">
            <v>t</v>
          </cell>
          <cell r="D124">
            <v>400.53</v>
          </cell>
          <cell r="E124" t="str">
            <v>A incluir</v>
          </cell>
          <cell r="F124" t="e">
            <v>#N/A</v>
          </cell>
          <cell r="G124" t="e">
            <v>#N/A</v>
          </cell>
        </row>
        <row r="125">
          <cell r="A125">
            <v>40861</v>
          </cell>
          <cell r="B125" t="str">
            <v>Obturação de buracos c/ CBUQ inclusive fornecimento e transporte comercial dos materiais betuminosos</v>
          </cell>
          <cell r="C125" t="str">
            <v>m²</v>
          </cell>
          <cell r="D125">
            <v>59.34</v>
          </cell>
          <cell r="E125" t="str">
            <v>A incluir</v>
          </cell>
          <cell r="F125" t="e">
            <v>#N/A</v>
          </cell>
          <cell r="G125" t="e">
            <v>#N/A</v>
          </cell>
        </row>
        <row r="126">
          <cell r="A126">
            <v>40865</v>
          </cell>
          <cell r="B126" t="str">
            <v>Obturação de buracos c/ CBUQ inclusive fornecimento e transporte dos materiais betuminosos</v>
          </cell>
          <cell r="C126" t="str">
            <v>t</v>
          </cell>
          <cell r="D126">
            <v>589.01</v>
          </cell>
          <cell r="E126" t="str">
            <v>A incluir</v>
          </cell>
          <cell r="F126" t="e">
            <v>#N/A</v>
          </cell>
          <cell r="G126" t="e">
            <v>#N/A</v>
          </cell>
        </row>
        <row r="127">
          <cell r="A127">
            <v>40880</v>
          </cell>
          <cell r="B127" t="str">
            <v>Obturação de buracos c/ CBUQ-faixa "C", exclusive forn.do CAP e transporte de todos os materiais</v>
          </cell>
          <cell r="C127" t="str">
            <v>m²</v>
          </cell>
          <cell r="D127">
            <v>42.98</v>
          </cell>
          <cell r="E127">
            <v>0</v>
          </cell>
          <cell r="F127" t="e">
            <v>#N/A</v>
          </cell>
          <cell r="G127" t="e">
            <v>#N/A</v>
          </cell>
        </row>
        <row r="128">
          <cell r="A128">
            <v>40858</v>
          </cell>
          <cell r="B128" t="str">
            <v>Obturação de buracos c/ PMF exclusive fornecimento e transporte comercial da emulsão</v>
          </cell>
          <cell r="C128" t="str">
            <v>m²</v>
          </cell>
          <cell r="D128">
            <v>35.770000000000003</v>
          </cell>
          <cell r="E128" t="str">
            <v>A incluir</v>
          </cell>
          <cell r="F128" t="e">
            <v>#N/A</v>
          </cell>
          <cell r="G128" t="e">
            <v>#N/A</v>
          </cell>
        </row>
        <row r="129">
          <cell r="A129">
            <v>40862</v>
          </cell>
          <cell r="B129" t="str">
            <v>Obturação de buracos c/ PMF exclusive fornecimento e transporte dos materiais betuminosos</v>
          </cell>
          <cell r="C129" t="str">
            <v>t</v>
          </cell>
          <cell r="D129">
            <v>367.24</v>
          </cell>
          <cell r="E129" t="str">
            <v>A incluir</v>
          </cell>
          <cell r="F129" t="e">
            <v>#N/A</v>
          </cell>
          <cell r="G129" t="e">
            <v>#N/A</v>
          </cell>
        </row>
        <row r="130">
          <cell r="A130">
            <v>40859</v>
          </cell>
          <cell r="B130" t="str">
            <v>Obturação de buracos c/ PMF inclusive fornecimento e transporte comercial da emulsão</v>
          </cell>
          <cell r="C130" t="str">
            <v>m²</v>
          </cell>
          <cell r="D130">
            <v>52.97</v>
          </cell>
          <cell r="E130" t="str">
            <v>A incluir</v>
          </cell>
          <cell r="F130" t="e">
            <v>#N/A</v>
          </cell>
          <cell r="G130" t="e">
            <v>#N/A</v>
          </cell>
        </row>
        <row r="131">
          <cell r="A131">
            <v>40863</v>
          </cell>
          <cell r="B131" t="str">
            <v>Obturação de buracos c/ PMF inclusive fornecimento e transporte dos materiais betuminosos</v>
          </cell>
          <cell r="C131" t="str">
            <v>t</v>
          </cell>
          <cell r="D131">
            <v>549.34</v>
          </cell>
          <cell r="E131" t="str">
            <v>A incluir</v>
          </cell>
          <cell r="F131" t="e">
            <v>#N/A</v>
          </cell>
          <cell r="G131" t="e">
            <v>#N/A</v>
          </cell>
        </row>
        <row r="132">
          <cell r="A132">
            <v>40883</v>
          </cell>
          <cell r="B132" t="str">
            <v>Pavimentação com blocos de concreto (35 MPa), esp.= 06 cm, sobre colchão areia esp.= 5 cm, inclusive fornecimento e transporte dos blocos e areia</v>
          </cell>
          <cell r="C132" t="str">
            <v>m²</v>
          </cell>
          <cell r="D132">
            <v>67.77</v>
          </cell>
          <cell r="E132" t="str">
            <v>A incluir</v>
          </cell>
          <cell r="F132" t="e">
            <v>#N/A</v>
          </cell>
          <cell r="G132" t="e">
            <v>#N/A</v>
          </cell>
        </row>
        <row r="133">
          <cell r="A133">
            <v>40885</v>
          </cell>
          <cell r="B133" t="str">
            <v>Pavimentação com blocos de concreto (35 MPa), esp. = 10 cm, sobre colchão areia esp.= 5cm
, inclusive fornecimento e transporte dos blocos e areia</v>
          </cell>
          <cell r="C133" t="str">
            <v>m²</v>
          </cell>
          <cell r="D133">
            <v>89.28</v>
          </cell>
          <cell r="E133" t="str">
            <v>A incluir</v>
          </cell>
          <cell r="F133" t="e">
            <v>#N/A</v>
          </cell>
          <cell r="G133" t="e">
            <v>#N/A</v>
          </cell>
        </row>
        <row r="134">
          <cell r="A134">
            <v>40897</v>
          </cell>
          <cell r="B134" t="str">
            <v>Pavimentação com blocos de concreto (35 MPa), esp.= 06cm, sobre colchão areia esp.=5cm, inclusive fornecim. do bloco e areia, exclus. transp.materiais</v>
          </cell>
          <cell r="C134" t="str">
            <v>m²</v>
          </cell>
          <cell r="D134">
            <v>67.77</v>
          </cell>
          <cell r="E134">
            <v>0</v>
          </cell>
          <cell r="F134" t="e">
            <v>#N/A</v>
          </cell>
          <cell r="G134" t="e">
            <v>#N/A</v>
          </cell>
        </row>
        <row r="135">
          <cell r="A135">
            <v>40884</v>
          </cell>
          <cell r="B135" t="str">
            <v>Pavimentação com blocos de concreto (35 MPa), esp.= 08 cm, colchão areia esp.= 5cm, inclusive fornecimento e transporte dos blocos e areia</v>
          </cell>
          <cell r="C135" t="str">
            <v>m²</v>
          </cell>
          <cell r="D135">
            <v>74.28</v>
          </cell>
          <cell r="E135" t="str">
            <v>A incluir</v>
          </cell>
          <cell r="F135">
            <v>81.55</v>
          </cell>
          <cell r="G135">
            <v>1.0978729133010201</v>
          </cell>
        </row>
        <row r="136">
          <cell r="A136">
            <v>40898</v>
          </cell>
          <cell r="B136" t="str">
            <v>Pavimentação com blocos de concreto (35 MPa) esp.=08 cm,colchão areia esp.=5cm, inclusive fornecim. do bloco e areia, exclusive transp. blocos e areia</v>
          </cell>
          <cell r="C136" t="str">
            <v>m²</v>
          </cell>
          <cell r="D136">
            <v>74.28</v>
          </cell>
          <cell r="E136">
            <v>0</v>
          </cell>
          <cell r="F136" t="e">
            <v>#N/A</v>
          </cell>
          <cell r="G136" t="e">
            <v>#N/A</v>
          </cell>
        </row>
        <row r="137">
          <cell r="A137">
            <v>40896</v>
          </cell>
          <cell r="B137" t="str">
            <v>Pavimentação com blocos de concreto (35MPa), esp.=10 cm, sobre colchão de areia esp.= 5cm, inclusive fornecim. do bloco e areia , exclusive transportes</v>
          </cell>
          <cell r="C137" t="str">
            <v>m²</v>
          </cell>
          <cell r="D137">
            <v>89.28</v>
          </cell>
          <cell r="E137">
            <v>0</v>
          </cell>
          <cell r="F137" t="e">
            <v>#N/A</v>
          </cell>
          <cell r="G137" t="e">
            <v>#N/A</v>
          </cell>
        </row>
        <row r="138">
          <cell r="A138">
            <v>40886</v>
          </cell>
          <cell r="B138" t="str">
            <v>Pavimentação com paralelepípedo, sobre colchão areia esp.= 5cm, inclus. fornecimento e transport. da areia, exclus. fornecim. e transp. paralelepípedo</v>
          </cell>
          <cell r="C138" t="str">
            <v>m²</v>
          </cell>
          <cell r="D138">
            <v>30.89</v>
          </cell>
          <cell r="E138" t="str">
            <v>A incluir</v>
          </cell>
          <cell r="F138" t="e">
            <v>#N/A</v>
          </cell>
          <cell r="G138" t="e">
            <v>#N/A</v>
          </cell>
        </row>
        <row r="139">
          <cell r="A139">
            <v>40887</v>
          </cell>
          <cell r="B139" t="str">
            <v>Pavimentação com paralelepípedo, sobre colchão areia esp.= 5cm, inclusive fornecimento e transporte do paralelepípedo e areia</v>
          </cell>
          <cell r="C139" t="str">
            <v>m²</v>
          </cell>
          <cell r="D139">
            <v>86.38</v>
          </cell>
          <cell r="E139" t="str">
            <v>A incluir</v>
          </cell>
          <cell r="F139" t="e">
            <v>#N/A</v>
          </cell>
          <cell r="G139" t="e">
            <v>#N/A</v>
          </cell>
        </row>
        <row r="140">
          <cell r="A140">
            <v>40888</v>
          </cell>
          <cell r="B140" t="str">
            <v>Pavimentação com paralelepípedo, sobre colchão pó de pedra esp.= 5cm, inclusive fornecimento e transporte do paralelepípedo e pó de pedra</v>
          </cell>
          <cell r="C140" t="str">
            <v>m²</v>
          </cell>
          <cell r="D140">
            <v>84.58</v>
          </cell>
          <cell r="E140" t="str">
            <v>A incluir</v>
          </cell>
          <cell r="F140" t="e">
            <v>#N/A</v>
          </cell>
          <cell r="G140" t="e">
            <v>#N/A</v>
          </cell>
        </row>
        <row r="141">
          <cell r="A141">
            <v>40889</v>
          </cell>
          <cell r="B141" t="str">
            <v>Pavimentação com pedra portuguesa, inclusive fornecimento e transporte da pedra portuguesa, cimento e areia</v>
          </cell>
          <cell r="C141" t="str">
            <v>m²</v>
          </cell>
          <cell r="D141">
            <v>114.74</v>
          </cell>
          <cell r="E141" t="str">
            <v>A incluir</v>
          </cell>
          <cell r="F141" t="e">
            <v>#N/A</v>
          </cell>
          <cell r="G141" t="e">
            <v>#N/A</v>
          </cell>
        </row>
        <row r="142">
          <cell r="A142">
            <v>40818</v>
          </cell>
          <cell r="B142" t="str">
            <v>Pintura de ligação exclusive fornecimento e transporte comercial do material betuminoso</v>
          </cell>
          <cell r="C142" t="str">
            <v>m²</v>
          </cell>
          <cell r="D142">
            <v>0.59</v>
          </cell>
          <cell r="E142">
            <v>0</v>
          </cell>
          <cell r="F142" t="e">
            <v>#N/A</v>
          </cell>
          <cell r="G142" t="e">
            <v>#N/A</v>
          </cell>
        </row>
        <row r="143">
          <cell r="A143">
            <v>40819</v>
          </cell>
          <cell r="B143" t="str">
            <v>Pintura de ligação inclusive fornecimento e transporte comercial do material betuminoso</v>
          </cell>
          <cell r="C143" t="str">
            <v>m²</v>
          </cell>
          <cell r="D143">
            <v>1.77</v>
          </cell>
          <cell r="E143" t="str">
            <v>A incluir</v>
          </cell>
          <cell r="F143" t="e">
            <v>#N/A</v>
          </cell>
          <cell r="G143" t="e">
            <v>#N/A</v>
          </cell>
        </row>
        <row r="144">
          <cell r="A144">
            <v>40872</v>
          </cell>
          <cell r="B144" t="str">
            <v>PMF camada pronta exclusive fornecimento e transporte comercial da emulsão</v>
          </cell>
          <cell r="C144" t="str">
            <v>t</v>
          </cell>
          <cell r="D144">
            <v>64.53</v>
          </cell>
          <cell r="E144" t="str">
            <v>A incluir</v>
          </cell>
          <cell r="F144" t="e">
            <v>#N/A</v>
          </cell>
          <cell r="G144" t="e">
            <v>#N/A</v>
          </cell>
        </row>
        <row r="145">
          <cell r="A145">
            <v>40836</v>
          </cell>
          <cell r="B145" t="str">
            <v>PMF (massa asfáltica) exclusive fornecimento e transporte comercial da emulsão</v>
          </cell>
          <cell r="C145" t="str">
            <v>t</v>
          </cell>
          <cell r="D145">
            <v>46.67</v>
          </cell>
          <cell r="E145" t="str">
            <v>A incluir</v>
          </cell>
          <cell r="F145" t="e">
            <v>#N/A</v>
          </cell>
          <cell r="G145" t="e">
            <v>#N/A</v>
          </cell>
        </row>
        <row r="146">
          <cell r="A146">
            <v>40837</v>
          </cell>
          <cell r="B146" t="str">
            <v>PMF (massa asfáltica) inclusive fornecimento e transporte comercial da emulsão</v>
          </cell>
          <cell r="C146" t="str">
            <v>t</v>
          </cell>
          <cell r="D146">
            <v>204.94</v>
          </cell>
          <cell r="E146" t="str">
            <v>A incluir</v>
          </cell>
          <cell r="F146" t="e">
            <v>#N/A</v>
          </cell>
          <cell r="G146" t="e">
            <v>#N/A</v>
          </cell>
        </row>
        <row r="147">
          <cell r="A147">
            <v>41076</v>
          </cell>
          <cell r="B147" t="str">
            <v>Pó de pedra, fornecimento</v>
          </cell>
          <cell r="C147" t="str">
            <v>m³</v>
          </cell>
          <cell r="D147">
            <v>48.6</v>
          </cell>
          <cell r="E147">
            <v>0</v>
          </cell>
          <cell r="F147" t="e">
            <v>#N/A</v>
          </cell>
          <cell r="G147" t="e">
            <v>#N/A</v>
          </cell>
        </row>
        <row r="148">
          <cell r="A148">
            <v>41556</v>
          </cell>
          <cell r="B148" t="str">
            <v>Pó de pedra, fornecimento e espalhamento</v>
          </cell>
          <cell r="C148" t="str">
            <v>m³</v>
          </cell>
          <cell r="D148">
            <v>52.17</v>
          </cell>
          <cell r="E148" t="str">
            <v>A incluir</v>
          </cell>
          <cell r="F148">
            <v>109</v>
          </cell>
          <cell r="G148">
            <v>2.0893233659191099</v>
          </cell>
        </row>
        <row r="149">
          <cell r="A149">
            <v>43345</v>
          </cell>
          <cell r="B149" t="str">
            <v>Produção de brita no canteiro, exclusive o desmonte e fragmentação de rocha</v>
          </cell>
          <cell r="C149" t="str">
            <v>m³</v>
          </cell>
          <cell r="D149">
            <v>23.89</v>
          </cell>
          <cell r="E149">
            <v>0</v>
          </cell>
          <cell r="F149" t="e">
            <v>#N/A</v>
          </cell>
          <cell r="G149" t="e">
            <v>#N/A</v>
          </cell>
        </row>
        <row r="150">
          <cell r="A150">
            <v>40720</v>
          </cell>
          <cell r="B150" t="str">
            <v>Produção de brita no canteiro, inclusive o desmonte e fragmentação de rocha</v>
          </cell>
          <cell r="C150" t="str">
            <v>m³</v>
          </cell>
          <cell r="D150">
            <v>61.15</v>
          </cell>
          <cell r="E150">
            <v>0</v>
          </cell>
          <cell r="F150" t="e">
            <v>#N/A</v>
          </cell>
          <cell r="G150" t="e">
            <v>#N/A</v>
          </cell>
        </row>
        <row r="151">
          <cell r="A151">
            <v>41070</v>
          </cell>
          <cell r="B151" t="str">
            <v>Reciclagem de pavimento (base) c/ adição de 20% de brita1, 10% de brita 0 e 2% de cimento, inclusive fornecimento e transportes dos materiais</v>
          </cell>
          <cell r="C151" t="str">
            <v>m³</v>
          </cell>
          <cell r="D151">
            <v>86.27</v>
          </cell>
          <cell r="E151" t="str">
            <v>A incluir</v>
          </cell>
          <cell r="F151" t="e">
            <v>#N/A</v>
          </cell>
          <cell r="G151" t="e">
            <v>#N/A</v>
          </cell>
        </row>
        <row r="152">
          <cell r="A152">
            <v>41134</v>
          </cell>
          <cell r="B152" t="str">
            <v>Reciclagem de pavimento (base) c/ adição de 20% de brita1, 10% de brita0 e 2% de cimento, inclusive fornecimento e transportes dos materiais</v>
          </cell>
          <cell r="C152" t="str">
            <v>m³</v>
          </cell>
          <cell r="D152">
            <v>87.84</v>
          </cell>
          <cell r="E152" t="str">
            <v>A incluir</v>
          </cell>
          <cell r="F152" t="e">
            <v>#N/A</v>
          </cell>
          <cell r="G152" t="e">
            <v>#N/A</v>
          </cell>
        </row>
        <row r="153">
          <cell r="A153">
            <v>40984</v>
          </cell>
          <cell r="B153" t="str">
            <v>Reciclagem de pavimento (Base existente + CBUQ) sem adição de materiais</v>
          </cell>
          <cell r="C153" t="str">
            <v>m³</v>
          </cell>
          <cell r="D153">
            <v>39.06</v>
          </cell>
          <cell r="E153">
            <v>0</v>
          </cell>
          <cell r="F153" t="e">
            <v>#N/A</v>
          </cell>
          <cell r="G153" t="e">
            <v>#N/A</v>
          </cell>
        </row>
        <row r="154">
          <cell r="A154">
            <v>41330</v>
          </cell>
          <cell r="B154" t="str">
            <v>Reciclagem de pavimento (base existente + T.S.D.) c/ adição de 3% de cimento e 15% de brita
, inclusive fornecimento e transporte dos materiais</v>
          </cell>
          <cell r="C154" t="str">
            <v>m³</v>
          </cell>
          <cell r="D154">
            <v>73.099999999999994</v>
          </cell>
          <cell r="E154" t="str">
            <v>A incluir</v>
          </cell>
          <cell r="F154" t="e">
            <v>#N/A</v>
          </cell>
          <cell r="G154" t="e">
            <v>#N/A</v>
          </cell>
        </row>
        <row r="155">
          <cell r="A155">
            <v>41356</v>
          </cell>
          <cell r="B155" t="str">
            <v>Reciclagem de pavimento (Base existente + T.S.D.) c/ adição de 30% de brita, inclusive fornecimento e transporte da brita</v>
          </cell>
          <cell r="C155" t="str">
            <v>m³</v>
          </cell>
          <cell r="D155">
            <v>85.71</v>
          </cell>
          <cell r="E155" t="str">
            <v>A incluir</v>
          </cell>
          <cell r="F155" t="e">
            <v>#N/A</v>
          </cell>
          <cell r="G155" t="e">
            <v>#N/A</v>
          </cell>
        </row>
        <row r="156">
          <cell r="A156">
            <v>40774</v>
          </cell>
          <cell r="B156" t="str">
            <v>Reciclagem de pavimento (Base existente + T.S.D.) c/ adição de 30% de brita, inclusive fornecimento, exclusive transporte da brita</v>
          </cell>
          <cell r="C156" t="str">
            <v>m³</v>
          </cell>
          <cell r="D156">
            <v>85.71</v>
          </cell>
          <cell r="E156">
            <v>0</v>
          </cell>
          <cell r="F156" t="e">
            <v>#N/A</v>
          </cell>
          <cell r="G156" t="e">
            <v>#N/A</v>
          </cell>
        </row>
        <row r="157">
          <cell r="A157">
            <v>40768</v>
          </cell>
          <cell r="B157" t="str">
            <v>Reciclagem de pavimento (Base existente + T.S.D.) com adição de 20% de brita, inclusive fornecimento e transporte da brita.</v>
          </cell>
          <cell r="C157" t="str">
            <v>m³</v>
          </cell>
          <cell r="D157">
            <v>76.209999999999994</v>
          </cell>
          <cell r="E157" t="str">
            <v>A incluir</v>
          </cell>
          <cell r="F157" t="e">
            <v>#N/A</v>
          </cell>
          <cell r="G157" t="e">
            <v>#N/A</v>
          </cell>
        </row>
        <row r="158">
          <cell r="A158">
            <v>40767</v>
          </cell>
          <cell r="B158" t="str">
            <v>Reciclagem de pavimento (Base existente + T.S.D.) com adição de 3% de cimento, inclusive fornecimento e tarnsporte do cimento</v>
          </cell>
          <cell r="C158" t="str">
            <v>m³</v>
          </cell>
          <cell r="D158">
            <v>77.650000000000006</v>
          </cell>
          <cell r="E158" t="str">
            <v>A incluir</v>
          </cell>
          <cell r="F158" t="e">
            <v>#N/A</v>
          </cell>
          <cell r="G158" t="e">
            <v>#N/A</v>
          </cell>
        </row>
        <row r="159">
          <cell r="A159">
            <v>40769</v>
          </cell>
          <cell r="B159" t="str">
            <v>Reciclagem de pavimento (Base existente + T.S.D.) com adição de 40% de brita, inclusive fornecimento e transporte da brita.</v>
          </cell>
          <cell r="C159" t="str">
            <v>m³</v>
          </cell>
          <cell r="D159">
            <v>95.24</v>
          </cell>
          <cell r="E159" t="str">
            <v>A incluir</v>
          </cell>
          <cell r="F159" t="e">
            <v>#N/A</v>
          </cell>
          <cell r="G159" t="e">
            <v>#N/A</v>
          </cell>
        </row>
        <row r="160">
          <cell r="A160">
            <v>40766</v>
          </cell>
          <cell r="B160" t="str">
            <v>Reciclagem de pavimento (Base existente + T.S.D.) sem adição de materiais</v>
          </cell>
          <cell r="C160" t="str">
            <v>m³</v>
          </cell>
          <cell r="D160">
            <v>42.61</v>
          </cell>
          <cell r="E160">
            <v>0</v>
          </cell>
          <cell r="F160" t="e">
            <v>#N/A</v>
          </cell>
          <cell r="G160" t="e">
            <v>#N/A</v>
          </cell>
        </row>
        <row r="161">
          <cell r="A161">
            <v>40771</v>
          </cell>
          <cell r="B161" t="str">
            <v>Reciclagem de pavimento (Base existente+TSD) com adição de Ligante Betuminoso, inclusive fornecimento e transporte da emulsão</v>
          </cell>
          <cell r="C161" t="str">
            <v>m³</v>
          </cell>
          <cell r="D161">
            <v>172.86</v>
          </cell>
          <cell r="E161" t="str">
            <v>A incluir</v>
          </cell>
          <cell r="F161" t="e">
            <v>#N/A</v>
          </cell>
          <cell r="G161" t="e">
            <v>#N/A</v>
          </cell>
        </row>
        <row r="162">
          <cell r="A162">
            <v>40773</v>
          </cell>
          <cell r="B162" t="str">
            <v>Reciclagem de pavimento com adição de 2% de cimento, inclusive fornecimento e transporte do cimento</v>
          </cell>
          <cell r="C162" t="str">
            <v>m³</v>
          </cell>
          <cell r="D162">
            <v>65.81</v>
          </cell>
          <cell r="E162" t="str">
            <v>A incluir</v>
          </cell>
          <cell r="F162" t="e">
            <v>#N/A</v>
          </cell>
          <cell r="G162" t="e">
            <v>#N/A</v>
          </cell>
        </row>
        <row r="163">
          <cell r="A163">
            <v>40775</v>
          </cell>
          <cell r="B163" t="str">
            <v>Reciclagem de pavimento(Base existente + T.S.D.) com adição de 40% de brita, inclusive fornecimento, exclusive transporte da brita</v>
          </cell>
          <cell r="C163" t="str">
            <v>m³</v>
          </cell>
          <cell r="D163">
            <v>95.24</v>
          </cell>
          <cell r="E163">
            <v>0</v>
          </cell>
          <cell r="F163" t="e">
            <v>#N/A</v>
          </cell>
          <cell r="G163" t="e">
            <v>#N/A</v>
          </cell>
        </row>
        <row r="164">
          <cell r="A164">
            <v>40762</v>
          </cell>
          <cell r="B164" t="str">
            <v>Recuperação de base de acostamento exclusive transporte do material (solo)</v>
          </cell>
          <cell r="C164" t="str">
            <v>m²</v>
          </cell>
          <cell r="D164">
            <v>5</v>
          </cell>
          <cell r="E164">
            <v>0</v>
          </cell>
          <cell r="F164" t="e">
            <v>#N/A</v>
          </cell>
          <cell r="G164" t="e">
            <v>#N/A</v>
          </cell>
        </row>
        <row r="165">
          <cell r="A165">
            <v>40804</v>
          </cell>
          <cell r="B165" t="str">
            <v>Recuperação de base de acostamentos, inclusive fornecimento e transporte da brita</v>
          </cell>
          <cell r="C165" t="str">
            <v>m²</v>
          </cell>
          <cell r="D165">
            <v>8.74</v>
          </cell>
          <cell r="E165" t="str">
            <v>A incluir</v>
          </cell>
          <cell r="F165" t="e">
            <v>#N/A</v>
          </cell>
          <cell r="G165" t="e">
            <v>#N/A</v>
          </cell>
        </row>
        <row r="166">
          <cell r="A166">
            <v>40811</v>
          </cell>
          <cell r="B166" t="str">
            <v>Reestabilização da base com adição de 50% de brita, inclusive fonecimento, exclusive transporte da brita</v>
          </cell>
          <cell r="C166" t="str">
            <v>m³</v>
          </cell>
          <cell r="D166">
            <v>62.65</v>
          </cell>
          <cell r="E166">
            <v>0</v>
          </cell>
          <cell r="F166" t="e">
            <v>#N/A</v>
          </cell>
          <cell r="G166" t="e">
            <v>#N/A</v>
          </cell>
        </row>
        <row r="167">
          <cell r="A167">
            <v>42211</v>
          </cell>
          <cell r="B167" t="str">
            <v>Reestabilização de base com adição de 50% de brita, inclusive fornecimento e transporte da brita</v>
          </cell>
          <cell r="C167" t="str">
            <v>m³</v>
          </cell>
          <cell r="D167">
            <v>62.65</v>
          </cell>
          <cell r="E167" t="str">
            <v>A incluir</v>
          </cell>
          <cell r="F167" t="e">
            <v>#N/A</v>
          </cell>
          <cell r="G167" t="e">
            <v>#N/A</v>
          </cell>
        </row>
        <row r="168">
          <cell r="A168">
            <v>40756</v>
          </cell>
          <cell r="B168" t="str">
            <v>Reforço do sub leito 100% P.I.</v>
          </cell>
          <cell r="C168" t="str">
            <v>m³</v>
          </cell>
          <cell r="D168">
            <v>13.25</v>
          </cell>
          <cell r="E168">
            <v>0</v>
          </cell>
          <cell r="F168" t="e">
            <v>#N/A</v>
          </cell>
          <cell r="G168" t="e">
            <v>#N/A</v>
          </cell>
        </row>
        <row r="169">
          <cell r="A169">
            <v>40753</v>
          </cell>
          <cell r="B169" t="str">
            <v>Regularização e compactação do sub-leito (100% P.I.) H = 0,15 m</v>
          </cell>
          <cell r="C169" t="str">
            <v>m²</v>
          </cell>
          <cell r="D169">
            <v>2.95</v>
          </cell>
          <cell r="E169">
            <v>0</v>
          </cell>
          <cell r="F169">
            <v>2.96</v>
          </cell>
          <cell r="G169">
            <v>1.0033898305084701</v>
          </cell>
        </row>
        <row r="170">
          <cell r="A170">
            <v>40754</v>
          </cell>
          <cell r="B170" t="str">
            <v>Regularização e compactação do sub-leito (100% P.I.) H = 0,20 m</v>
          </cell>
          <cell r="C170" t="str">
            <v>m²</v>
          </cell>
          <cell r="D170">
            <v>3.95</v>
          </cell>
          <cell r="E170">
            <v>0</v>
          </cell>
          <cell r="F170" t="e">
            <v>#N/A</v>
          </cell>
          <cell r="G170" t="e">
            <v>#N/A</v>
          </cell>
        </row>
        <row r="171">
          <cell r="A171">
            <v>40751</v>
          </cell>
          <cell r="B171" t="str">
            <v>Regularização e compactação do sub-leito (100% P.N.) H = 0,15m</v>
          </cell>
          <cell r="C171" t="str">
            <v>m²</v>
          </cell>
          <cell r="D171">
            <v>2.66</v>
          </cell>
          <cell r="E171">
            <v>0</v>
          </cell>
          <cell r="F171" t="e">
            <v>#N/A</v>
          </cell>
          <cell r="G171" t="e">
            <v>#N/A</v>
          </cell>
        </row>
        <row r="172">
          <cell r="A172">
            <v>40752</v>
          </cell>
          <cell r="B172" t="str">
            <v>Regularização e compactação do sub-leito (100% P.N.) H = 0,20 m</v>
          </cell>
          <cell r="C172" t="str">
            <v>m²</v>
          </cell>
          <cell r="D172">
            <v>3.56</v>
          </cell>
          <cell r="E172">
            <v>0</v>
          </cell>
          <cell r="F172" t="e">
            <v>#N/A</v>
          </cell>
          <cell r="G172" t="e">
            <v>#N/A</v>
          </cell>
        </row>
        <row r="173">
          <cell r="A173">
            <v>40866</v>
          </cell>
          <cell r="B173" t="str">
            <v>Remoção de capa asfáltica em TSS, TSD, ou TST exclusive transporte</v>
          </cell>
          <cell r="C173" t="str">
            <v>m²</v>
          </cell>
          <cell r="D173">
            <v>0.69</v>
          </cell>
          <cell r="E173">
            <v>0</v>
          </cell>
          <cell r="F173" t="e">
            <v>#N/A</v>
          </cell>
          <cell r="G173" t="e">
            <v>#N/A</v>
          </cell>
        </row>
        <row r="174">
          <cell r="A174">
            <v>40893</v>
          </cell>
          <cell r="B174" t="str">
            <v>Remoção de meio fio</v>
          </cell>
          <cell r="C174" t="str">
            <v>m</v>
          </cell>
          <cell r="D174">
            <v>21.71</v>
          </cell>
          <cell r="E174">
            <v>0</v>
          </cell>
          <cell r="F174" t="e">
            <v>#N/A</v>
          </cell>
          <cell r="G174" t="e">
            <v>#N/A</v>
          </cell>
        </row>
        <row r="175">
          <cell r="A175">
            <v>40891</v>
          </cell>
          <cell r="B175" t="str">
            <v>Remoção de pavimentação poliédrica</v>
          </cell>
          <cell r="C175" t="str">
            <v>m²</v>
          </cell>
          <cell r="D175">
            <v>17.62</v>
          </cell>
          <cell r="E175">
            <v>0</v>
          </cell>
          <cell r="F175" t="e">
            <v>#N/A</v>
          </cell>
          <cell r="G175" t="e">
            <v>#N/A</v>
          </cell>
        </row>
        <row r="176">
          <cell r="A176">
            <v>40890</v>
          </cell>
          <cell r="B176" t="str">
            <v>Remoção e reassentamento de blocos de concreto, inclusive perdas</v>
          </cell>
          <cell r="C176" t="str">
            <v>m²</v>
          </cell>
          <cell r="D176">
            <v>59</v>
          </cell>
          <cell r="E176" t="str">
            <v>A incluir</v>
          </cell>
          <cell r="F176" t="e">
            <v>#N/A</v>
          </cell>
          <cell r="G176" t="e">
            <v>#N/A</v>
          </cell>
        </row>
        <row r="177">
          <cell r="A177">
            <v>40892</v>
          </cell>
          <cell r="B177" t="str">
            <v>Remoção e reassentamento de paralelepípedos, inclusive perdas, colchão de areia e transportes de areia e paralelepípedo</v>
          </cell>
          <cell r="C177" t="str">
            <v>m²</v>
          </cell>
          <cell r="D177">
            <v>58.72</v>
          </cell>
          <cell r="E177" t="str">
            <v>A incluir</v>
          </cell>
          <cell r="F177" t="e">
            <v>#N/A</v>
          </cell>
          <cell r="G177" t="e">
            <v>#N/A</v>
          </cell>
        </row>
        <row r="178">
          <cell r="A178">
            <v>40749</v>
          </cell>
          <cell r="B178" t="str">
            <v>Revestimento em estradas vicinais (saibro)</v>
          </cell>
          <cell r="C178" t="str">
            <v>m²</v>
          </cell>
          <cell r="D178">
            <v>0.14000000000000001</v>
          </cell>
          <cell r="E178">
            <v>0</v>
          </cell>
          <cell r="F178" t="e">
            <v>#N/A</v>
          </cell>
          <cell r="G178" t="e">
            <v>#N/A</v>
          </cell>
        </row>
        <row r="179">
          <cell r="A179">
            <v>40750</v>
          </cell>
          <cell r="B179" t="str">
            <v>Revestimento primário, espalhamento e compactação (espessura até 0,15m)</v>
          </cell>
          <cell r="C179" t="str">
            <v>m²</v>
          </cell>
          <cell r="D179">
            <v>0.64</v>
          </cell>
          <cell r="E179">
            <v>0</v>
          </cell>
          <cell r="F179" t="e">
            <v>#N/A</v>
          </cell>
          <cell r="G179" t="e">
            <v>#N/A</v>
          </cell>
        </row>
        <row r="180">
          <cell r="A180">
            <v>40792</v>
          </cell>
          <cell r="B180" t="str">
            <v>Sub-base c/ mistura de argila 30%, pó de pedra 30% e brita 40%, inclusive fornecimento e transporte do pó de pedra e da brita</v>
          </cell>
          <cell r="C180" t="str">
            <v>m³</v>
          </cell>
          <cell r="D180">
            <v>76.91</v>
          </cell>
          <cell r="E180" t="str">
            <v>A incluir</v>
          </cell>
          <cell r="F180" t="e">
            <v>#N/A</v>
          </cell>
          <cell r="G180" t="e">
            <v>#N/A</v>
          </cell>
        </row>
        <row r="181">
          <cell r="A181">
            <v>40794</v>
          </cell>
          <cell r="B181" t="str">
            <v>Sub-base c/ mistura de solo 80% e areia 20%, inclusive transporte da areia</v>
          </cell>
          <cell r="C181" t="str">
            <v>m³</v>
          </cell>
          <cell r="D181">
            <v>39.049999999999997</v>
          </cell>
          <cell r="E181" t="str">
            <v>A incluir</v>
          </cell>
          <cell r="F181" t="e">
            <v>#N/A</v>
          </cell>
          <cell r="G181" t="e">
            <v>#N/A</v>
          </cell>
        </row>
        <row r="182">
          <cell r="A182">
            <v>40796</v>
          </cell>
          <cell r="B182" t="str">
            <v>Sub-base com mistura de argila 70% e escória de aciaria 30%, inclusive fornecim. e transporte da escória, exceto fornecimento e transporte da argila</v>
          </cell>
          <cell r="C182" t="str">
            <v>m³</v>
          </cell>
          <cell r="D182">
            <v>39.04</v>
          </cell>
          <cell r="E182" t="str">
            <v>A incluir</v>
          </cell>
          <cell r="F182" t="e">
            <v>#N/A</v>
          </cell>
          <cell r="G182" t="e">
            <v>#N/A</v>
          </cell>
        </row>
        <row r="183">
          <cell r="A183">
            <v>41098</v>
          </cell>
          <cell r="B183" t="str">
            <v>Sub-base com solo/escória na proporção 70:30, inclusive fornecimento da escória, exceto fornecimento do solo e transporte do solo e escória</v>
          </cell>
          <cell r="C183" t="str">
            <v>m³</v>
          </cell>
          <cell r="D183">
            <v>39.04</v>
          </cell>
          <cell r="E183">
            <v>0</v>
          </cell>
          <cell r="F183" t="e">
            <v>#N/A</v>
          </cell>
          <cell r="G183" t="e">
            <v>#N/A</v>
          </cell>
        </row>
        <row r="184">
          <cell r="A184">
            <v>40786</v>
          </cell>
          <cell r="B184" t="str">
            <v>Sub-base de brita graduada, inclusive fornecimento e transporte da brita</v>
          </cell>
          <cell r="C184" t="str">
            <v>m³</v>
          </cell>
          <cell r="D184">
            <v>105.93</v>
          </cell>
          <cell r="E184" t="str">
            <v>A incluir</v>
          </cell>
          <cell r="F184" t="e">
            <v>#N/A</v>
          </cell>
          <cell r="G184" t="e">
            <v>#N/A</v>
          </cell>
        </row>
        <row r="185">
          <cell r="A185">
            <v>43327</v>
          </cell>
          <cell r="B185" t="str">
            <v>Sub-base de brita graduada, inclusive fornecimento, exclusive transporte da brita</v>
          </cell>
          <cell r="C185" t="str">
            <v>m³</v>
          </cell>
          <cell r="D185">
            <v>105.93</v>
          </cell>
          <cell r="E185">
            <v>0</v>
          </cell>
          <cell r="F185" t="e">
            <v>#N/A</v>
          </cell>
          <cell r="G185" t="e">
            <v>#N/A</v>
          </cell>
        </row>
        <row r="186">
          <cell r="A186">
            <v>42675</v>
          </cell>
          <cell r="B186" t="str">
            <v>Sub-base de brita 1, inclusive fornecimento, exclusive transporte da brita</v>
          </cell>
          <cell r="C186" t="str">
            <v>m³</v>
          </cell>
          <cell r="D186">
            <v>101.27</v>
          </cell>
          <cell r="E186">
            <v>0</v>
          </cell>
          <cell r="F186" t="e">
            <v>#N/A</v>
          </cell>
          <cell r="G186" t="e">
            <v>#N/A</v>
          </cell>
        </row>
        <row r="187">
          <cell r="A187">
            <v>40802</v>
          </cell>
          <cell r="B187" t="str">
            <v>Sub-base de escória de aciaria, inclusive fornecimento e transporte da escória</v>
          </cell>
          <cell r="C187" t="str">
            <v>m³</v>
          </cell>
          <cell r="D187">
            <v>81.760000000000005</v>
          </cell>
          <cell r="E187" t="str">
            <v>A incluir</v>
          </cell>
          <cell r="F187" t="e">
            <v>#N/A</v>
          </cell>
          <cell r="G187" t="e">
            <v>#N/A</v>
          </cell>
        </row>
        <row r="188">
          <cell r="A188">
            <v>41074</v>
          </cell>
          <cell r="B188" t="str">
            <v>Sub-base de solo brita, 50% em peso, inclusive fornecimento, exclusive transporte da brita</v>
          </cell>
          <cell r="C188" t="str">
            <v>m³</v>
          </cell>
          <cell r="D188">
            <v>63.58</v>
          </cell>
          <cell r="E188">
            <v>0</v>
          </cell>
          <cell r="F188" t="e">
            <v>#N/A</v>
          </cell>
          <cell r="G188" t="e">
            <v>#N/A</v>
          </cell>
        </row>
        <row r="189">
          <cell r="A189">
            <v>40776</v>
          </cell>
          <cell r="B189" t="str">
            <v>Sub-base solo brita, 20% em peso, inclusive fornecimento e transporte da brita.</v>
          </cell>
          <cell r="C189" t="str">
            <v>m³</v>
          </cell>
          <cell r="D189">
            <v>37.340000000000003</v>
          </cell>
          <cell r="E189" t="str">
            <v>A incluir</v>
          </cell>
          <cell r="F189" t="e">
            <v>#N/A</v>
          </cell>
          <cell r="G189" t="e">
            <v>#N/A</v>
          </cell>
        </row>
        <row r="190">
          <cell r="A190">
            <v>40778</v>
          </cell>
          <cell r="B190" t="str">
            <v>Sub-base solo brita, 30% em peso, inclusive fornecimento e transporte da brita</v>
          </cell>
          <cell r="C190" t="str">
            <v>m³</v>
          </cell>
          <cell r="D190">
            <v>44.85</v>
          </cell>
          <cell r="E190" t="str">
            <v>A incluir</v>
          </cell>
          <cell r="F190" t="e">
            <v>#N/A</v>
          </cell>
          <cell r="G190" t="e">
            <v>#N/A</v>
          </cell>
        </row>
        <row r="191">
          <cell r="A191">
            <v>40780</v>
          </cell>
          <cell r="B191" t="str">
            <v>Sub-base solo brita, 50% em peso, inclusive fornecimento e transporte da brita</v>
          </cell>
          <cell r="C191" t="str">
            <v>m³</v>
          </cell>
          <cell r="D191">
            <v>65.8</v>
          </cell>
          <cell r="E191" t="str">
            <v>A incluir</v>
          </cell>
          <cell r="F191" t="e">
            <v>#N/A</v>
          </cell>
          <cell r="G191" t="e">
            <v>#N/A</v>
          </cell>
        </row>
        <row r="192">
          <cell r="A192">
            <v>40782</v>
          </cell>
          <cell r="B192" t="str">
            <v>Sub-base solo brita, 70% em peso, inclusive fornecimento e transporte da brita</v>
          </cell>
          <cell r="C192" t="str">
            <v>m³</v>
          </cell>
          <cell r="D192">
            <v>84.9</v>
          </cell>
          <cell r="E192" t="str">
            <v>A incluir</v>
          </cell>
          <cell r="F192" t="e">
            <v>#N/A</v>
          </cell>
          <cell r="G192" t="e">
            <v>#N/A</v>
          </cell>
        </row>
        <row r="193">
          <cell r="A193">
            <v>40830</v>
          </cell>
          <cell r="B193" t="str">
            <v>T.S.B.D. com capa selante exclusive fornecimento e transporte comercial da emulsão, inclusive lavagem da brita e transporte da areia e brita</v>
          </cell>
          <cell r="C193" t="str">
            <v>m²</v>
          </cell>
          <cell r="D193">
            <v>6.58</v>
          </cell>
          <cell r="E193" t="str">
            <v>A incluir</v>
          </cell>
          <cell r="F193" t="e">
            <v>#N/A</v>
          </cell>
          <cell r="G193" t="e">
            <v>#N/A</v>
          </cell>
        </row>
        <row r="194">
          <cell r="A194">
            <v>40873</v>
          </cell>
          <cell r="B194" t="str">
            <v>T.S.B.D. com capa selante, executado c/ Multidistribuidor exclus. forn. e transp. com. da emulsão, inclus. lavagem brita e transp. comerc.areia, brita</v>
          </cell>
          <cell r="C194" t="str">
            <v>m²</v>
          </cell>
          <cell r="D194">
            <v>5.36</v>
          </cell>
          <cell r="E194" t="str">
            <v>A incluir</v>
          </cell>
          <cell r="F194" t="e">
            <v>#N/A</v>
          </cell>
          <cell r="G194" t="e">
            <v>#N/A</v>
          </cell>
        </row>
        <row r="195">
          <cell r="A195">
            <v>40876</v>
          </cell>
          <cell r="B195" t="str">
            <v>T.S.B.D. com capa selante executado c/ Multidistribuidor,inclus.fornec.areia/brita e lavagem brita, excl.fornec.da emulsão e trnasp.todos os materiais</v>
          </cell>
          <cell r="C195" t="str">
            <v>m²</v>
          </cell>
          <cell r="D195">
            <v>5.77</v>
          </cell>
          <cell r="E195">
            <v>0</v>
          </cell>
          <cell r="F195" t="e">
            <v>#N/A</v>
          </cell>
          <cell r="G195" t="e">
            <v>#N/A</v>
          </cell>
        </row>
        <row r="196">
          <cell r="A196">
            <v>41363</v>
          </cell>
          <cell r="B196" t="str">
            <v>T.S.B.D. com capa selante, executado com Multidistribuidor inclusive fornecimento, transporte comercial dos materiais e lavagem da brita</v>
          </cell>
          <cell r="C196" t="str">
            <v>m²</v>
          </cell>
          <cell r="D196">
            <v>9.16</v>
          </cell>
          <cell r="E196" t="str">
            <v>A incluir</v>
          </cell>
          <cell r="F196" t="e">
            <v>#N/A</v>
          </cell>
          <cell r="G196" t="e">
            <v>#N/A</v>
          </cell>
        </row>
        <row r="197">
          <cell r="A197">
            <v>40831</v>
          </cell>
          <cell r="B197" t="str">
            <v>T.S.B.D. com capa selante inclusive fornecimento e transporte comercial dos materiais e lavagem da brita</v>
          </cell>
          <cell r="C197" t="str">
            <v>m²</v>
          </cell>
          <cell r="D197">
            <v>13.81</v>
          </cell>
          <cell r="E197" t="str">
            <v>A incluir</v>
          </cell>
          <cell r="F197" t="e">
            <v>#N/A</v>
          </cell>
          <cell r="G197" t="e">
            <v>#N/A</v>
          </cell>
        </row>
        <row r="198">
          <cell r="A198">
            <v>40827</v>
          </cell>
          <cell r="B198" t="str">
            <v>T.S.B.D. sem capa selante, inclusive fornecimento e transporte comercial dos materiais e lavagem de brita</v>
          </cell>
          <cell r="C198" t="str">
            <v>m²</v>
          </cell>
          <cell r="D198">
            <v>8.52</v>
          </cell>
          <cell r="E198" t="str">
            <v>A incluir</v>
          </cell>
          <cell r="F198" t="e">
            <v>#N/A</v>
          </cell>
          <cell r="G198" t="e">
            <v>#N/A</v>
          </cell>
        </row>
        <row r="199">
          <cell r="A199">
            <v>40828</v>
          </cell>
          <cell r="B199" t="str">
            <v>T.S.B.D. sem capa selante exclusive fornecimento e transporte comercial da emulsão, inclusive lavagem e transporte comercial da brita</v>
          </cell>
          <cell r="C199" t="str">
            <v>m²</v>
          </cell>
          <cell r="D199">
            <v>5.95</v>
          </cell>
          <cell r="E199" t="str">
            <v>A incluir</v>
          </cell>
          <cell r="F199" t="e">
            <v>#N/A</v>
          </cell>
          <cell r="G199" t="e">
            <v>#N/A</v>
          </cell>
        </row>
        <row r="200">
          <cell r="A200">
            <v>40874</v>
          </cell>
          <cell r="B200" t="str">
            <v>T.S.B.D. sem capa selante, executado c/ Multidistribuidor exclusive fornec.e transp. comercial da emulsão, inclusive lavagem e transp. comerc.da brita</v>
          </cell>
          <cell r="C200" t="str">
            <v>m²</v>
          </cell>
          <cell r="D200">
            <v>5.87</v>
          </cell>
          <cell r="E200" t="str">
            <v>A incluir</v>
          </cell>
          <cell r="F200" t="e">
            <v>#N/A</v>
          </cell>
          <cell r="G200" t="e">
            <v>#N/A</v>
          </cell>
        </row>
        <row r="201">
          <cell r="A201">
            <v>40875</v>
          </cell>
          <cell r="B201" t="str">
            <v>T.S.B.D. sem capa selante executado com Multidistribuidor excl. forn. da emulsão e transp. comerciais da emulsão e da brita, inclus. lavagem da brita</v>
          </cell>
          <cell r="C201" t="str">
            <v>m²</v>
          </cell>
          <cell r="D201">
            <v>5.59</v>
          </cell>
          <cell r="E201">
            <v>0</v>
          </cell>
          <cell r="F201" t="e">
            <v>#N/A</v>
          </cell>
          <cell r="G201" t="e">
            <v>#N/A</v>
          </cell>
        </row>
        <row r="202">
          <cell r="A202">
            <v>40829</v>
          </cell>
          <cell r="B202" t="str">
            <v>T.S.B.D. sem capa selante inclusive fornecimento e transporte comercial dos materiais e lavagem da brita</v>
          </cell>
          <cell r="C202" t="str">
            <v>m²</v>
          </cell>
          <cell r="D202">
            <v>12.61</v>
          </cell>
          <cell r="E202" t="str">
            <v>A incluir</v>
          </cell>
          <cell r="F202" t="e">
            <v>#N/A</v>
          </cell>
          <cell r="G202" t="e">
            <v>#N/A</v>
          </cell>
        </row>
        <row r="203">
          <cell r="A203">
            <v>40824</v>
          </cell>
          <cell r="B203" t="str">
            <v>T.S.B.S. com capa selante exclusive fornecimento e transporte comercial da emulsão, inclusive lavagem e transporte comercial da brita</v>
          </cell>
          <cell r="C203" t="str">
            <v>m²</v>
          </cell>
          <cell r="D203">
            <v>3.78</v>
          </cell>
          <cell r="E203" t="str">
            <v>A incluir</v>
          </cell>
          <cell r="F203" t="e">
            <v>#N/A</v>
          </cell>
          <cell r="G203" t="e">
            <v>#N/A</v>
          </cell>
        </row>
        <row r="204">
          <cell r="A204">
            <v>40825</v>
          </cell>
          <cell r="B204" t="str">
            <v>T.S.B.S. com capa selante inclusive fornecimento e transporte comercial dos materiais e lavagem da brita</v>
          </cell>
          <cell r="C204" t="str">
            <v>m²</v>
          </cell>
          <cell r="D204">
            <v>6.35</v>
          </cell>
          <cell r="E204" t="str">
            <v>A incluir</v>
          </cell>
          <cell r="F204" t="e">
            <v>#N/A</v>
          </cell>
          <cell r="G204" t="e">
            <v>#N/A</v>
          </cell>
        </row>
        <row r="205">
          <cell r="A205">
            <v>40820</v>
          </cell>
          <cell r="B205" t="str">
            <v>T.S.B.S. exclusive fornecimento e transporte comercial do material betuminoso, inclusive fornecimento, transporte e lavagem da brita</v>
          </cell>
          <cell r="C205" t="str">
            <v>m²</v>
          </cell>
          <cell r="D205">
            <v>3.42</v>
          </cell>
          <cell r="E205" t="str">
            <v>A incluir</v>
          </cell>
          <cell r="F205" t="e">
            <v>#N/A</v>
          </cell>
          <cell r="G205" t="e">
            <v>#N/A</v>
          </cell>
        </row>
        <row r="206">
          <cell r="A206">
            <v>40821</v>
          </cell>
          <cell r="B206" t="str">
            <v>T.S.B.S. inclusive fornecimento e transporte comercial dos materiais e lavagem da brita</v>
          </cell>
          <cell r="C206" t="str">
            <v>m²</v>
          </cell>
          <cell r="D206">
            <v>5.99</v>
          </cell>
          <cell r="E206" t="str">
            <v>A incluir</v>
          </cell>
          <cell r="F206" t="e">
            <v>#N/A</v>
          </cell>
          <cell r="G206" t="e">
            <v>#N/A</v>
          </cell>
        </row>
        <row r="207">
          <cell r="A207">
            <v>40840</v>
          </cell>
          <cell r="B207" t="str">
            <v>Usinagem de concreto betuminoso usinado a quente (CBUQ), inclusive transporte comercial do oleo combustível</v>
          </cell>
          <cell r="C207" t="str">
            <v>t</v>
          </cell>
          <cell r="D207">
            <v>38.14</v>
          </cell>
          <cell r="E207" t="str">
            <v>A incluir</v>
          </cell>
          <cell r="F207">
            <v>39.83</v>
          </cell>
          <cell r="G207">
            <v>1.0443104352385899</v>
          </cell>
        </row>
        <row r="208">
          <cell r="A208">
            <v>43331</v>
          </cell>
          <cell r="B208" t="str">
            <v>Usinagem de mistura de solo brita</v>
          </cell>
          <cell r="C208" t="str">
            <v>m³</v>
          </cell>
          <cell r="D208">
            <v>5.38</v>
          </cell>
          <cell r="E208">
            <v>0</v>
          </cell>
          <cell r="F208" t="e">
            <v>#N/A</v>
          </cell>
          <cell r="G208" t="e">
            <v>#N/A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 t="e">
            <v>#N/A</v>
          </cell>
          <cell r="F209" t="e">
            <v>#N/A</v>
          </cell>
          <cell r="G209" t="e">
            <v>#N/A</v>
          </cell>
        </row>
        <row r="210">
          <cell r="A210" t="str">
            <v>Grupo de Serviço: 3 - OBRAS DE ARTE CORRENTES E DRENAGEM</v>
          </cell>
          <cell r="B210">
            <v>0</v>
          </cell>
          <cell r="C210">
            <v>0</v>
          </cell>
          <cell r="D210">
            <v>0</v>
          </cell>
          <cell r="E210" t="e">
            <v>#N/A</v>
          </cell>
          <cell r="F210" t="e">
            <v>#N/A</v>
          </cell>
          <cell r="G210" t="e">
            <v>#N/A</v>
          </cell>
        </row>
        <row r="211">
          <cell r="A211">
            <v>100394</v>
          </cell>
          <cell r="B211" t="str">
            <v>Aço CA-25, fornecimento, dobragem e colocação nas formas</v>
          </cell>
          <cell r="C211" t="str">
            <v>kg</v>
          </cell>
          <cell r="D211">
            <v>8.43</v>
          </cell>
          <cell r="E211">
            <v>0</v>
          </cell>
          <cell r="F211" t="e">
            <v>#N/A</v>
          </cell>
          <cell r="G211" t="e">
            <v>#N/A</v>
          </cell>
        </row>
        <row r="212">
          <cell r="A212">
            <v>40376</v>
          </cell>
          <cell r="B212" t="str">
            <v>Aço CA-50, fornecimento, dobragem e colocação nas formas (preço médio das bitolas)</v>
          </cell>
          <cell r="C212" t="str">
            <v>kg</v>
          </cell>
          <cell r="D212">
            <v>8.39</v>
          </cell>
          <cell r="E212">
            <v>0</v>
          </cell>
          <cell r="F212">
            <v>8.4</v>
          </cell>
          <cell r="G212">
            <v>1.0011918951132299</v>
          </cell>
        </row>
        <row r="213">
          <cell r="A213">
            <v>43351</v>
          </cell>
          <cell r="B213" t="str">
            <v>Aço CA-50 grossa, diâmetro de 12.5 a 25 mm, fornecimento, dobragem e colocação nas formas</v>
          </cell>
          <cell r="C213" t="str">
            <v>kg</v>
          </cell>
          <cell r="D213">
            <v>8.6300000000000008</v>
          </cell>
          <cell r="E213">
            <v>0</v>
          </cell>
          <cell r="F213" t="e">
            <v>#N/A</v>
          </cell>
          <cell r="G213" t="e">
            <v>#N/A</v>
          </cell>
        </row>
        <row r="214">
          <cell r="A214">
            <v>43350</v>
          </cell>
          <cell r="B214" t="str">
            <v>Aço CA-50 média, diâmetro de 6.3 a 10 mm, fornecimento, dobragem e colocação nas formas</v>
          </cell>
          <cell r="C214" t="str">
            <v>kg</v>
          </cell>
          <cell r="D214">
            <v>8.1</v>
          </cell>
          <cell r="E214">
            <v>0</v>
          </cell>
          <cell r="F214" t="e">
            <v>#N/A</v>
          </cell>
          <cell r="G214" t="e">
            <v>#N/A</v>
          </cell>
        </row>
        <row r="215">
          <cell r="A215">
            <v>41261</v>
          </cell>
          <cell r="B215" t="str">
            <v>Aço CA-60 fina, diâmetro de 4.2 a 5.0 mm, fornecimento, dobragem e colocação nas formas</v>
          </cell>
          <cell r="C215" t="str">
            <v>kg</v>
          </cell>
          <cell r="D215">
            <v>8.1199999999999992</v>
          </cell>
          <cell r="E215">
            <v>0</v>
          </cell>
          <cell r="F215" t="e">
            <v>#N/A</v>
          </cell>
          <cell r="G215" t="e">
            <v>#N/A</v>
          </cell>
        </row>
        <row r="216">
          <cell r="A216">
            <v>41023</v>
          </cell>
          <cell r="B216" t="str">
            <v>Aluguel mensal de escoramento tubular com tubos metálicos com até 10 metros de altura</v>
          </cell>
          <cell r="C216" t="str">
            <v>m</v>
          </cell>
          <cell r="D216">
            <v>121.13</v>
          </cell>
          <cell r="E216">
            <v>0</v>
          </cell>
          <cell r="F216" t="e">
            <v>#N/A</v>
          </cell>
          <cell r="G216" t="e">
            <v>#N/A</v>
          </cell>
        </row>
        <row r="217">
          <cell r="A217">
            <v>41575</v>
          </cell>
          <cell r="B217" t="str">
            <v>Alvenaria de bloco (39 x 19 x 09) cm espessura 09 cm, inclusive transporte da areia, cimento e bloco</v>
          </cell>
          <cell r="C217" t="str">
            <v>m²</v>
          </cell>
          <cell r="D217">
            <v>48.13</v>
          </cell>
          <cell r="E217" t="str">
            <v>A incluir</v>
          </cell>
          <cell r="F217" t="e">
            <v>#N/A</v>
          </cell>
          <cell r="G217" t="e">
            <v>#N/A</v>
          </cell>
        </row>
        <row r="218">
          <cell r="A218">
            <v>40346</v>
          </cell>
          <cell r="B218" t="str">
            <v>Alvenaria de bloco (39 x 19 x 19) cm espessura 19 cm, inclusive fornecimento e transporte do bloco, areia e cimento</v>
          </cell>
          <cell r="C218" t="str">
            <v>m²</v>
          </cell>
          <cell r="D218">
            <v>80.290000000000006</v>
          </cell>
          <cell r="E218" t="str">
            <v>A incluir</v>
          </cell>
          <cell r="F218">
            <v>87.63</v>
          </cell>
          <cell r="G218">
            <v>1.09141860754764</v>
          </cell>
        </row>
        <row r="219">
          <cell r="A219">
            <v>40345</v>
          </cell>
          <cell r="B219" t="str">
            <v>Alvenaria de lajota (20 x 20 x 10) cm espessura 10 cm, inclusive transporte de areia, lajota e cimento</v>
          </cell>
          <cell r="C219" t="str">
            <v>m²</v>
          </cell>
          <cell r="D219">
            <v>57.49</v>
          </cell>
          <cell r="E219" t="str">
            <v>A incluir</v>
          </cell>
          <cell r="F219">
            <v>65.569999999999993</v>
          </cell>
          <cell r="G219">
            <v>1.14054618194469</v>
          </cell>
        </row>
        <row r="220">
          <cell r="A220">
            <v>40343</v>
          </cell>
          <cell r="B220" t="str">
            <v>Alvenaria de pedra de mão argamassada (argamassa cimento areia 1:4), inclusive transporte da pedra</v>
          </cell>
          <cell r="C220" t="str">
            <v>m³</v>
          </cell>
          <cell r="D220">
            <v>338.61</v>
          </cell>
          <cell r="E220" t="str">
            <v>A incluir</v>
          </cell>
          <cell r="F220">
            <v>394.3</v>
          </cell>
          <cell r="G220">
            <v>1.16446649537816</v>
          </cell>
        </row>
        <row r="221">
          <cell r="A221">
            <v>40344</v>
          </cell>
          <cell r="B221" t="str">
            <v>Alvenaria de pedra de mão (junta seca), inclusive transporte da pedra</v>
          </cell>
          <cell r="C221" t="str">
            <v>m³</v>
          </cell>
          <cell r="D221">
            <v>232.71</v>
          </cell>
          <cell r="E221" t="str">
            <v>A incluir</v>
          </cell>
          <cell r="F221" t="e">
            <v>#N/A</v>
          </cell>
          <cell r="G221" t="e">
            <v>#N/A</v>
          </cell>
        </row>
        <row r="222">
          <cell r="A222">
            <v>41027</v>
          </cell>
          <cell r="B222" t="str">
            <v>Andaime de madeira para altura até 7 m, compreendendo montagem e desmontagem</v>
          </cell>
          <cell r="C222" t="str">
            <v>m³</v>
          </cell>
          <cell r="D222">
            <v>19.68</v>
          </cell>
          <cell r="E222">
            <v>0</v>
          </cell>
          <cell r="F222" t="e">
            <v>#N/A</v>
          </cell>
          <cell r="G222" t="e">
            <v>#N/A</v>
          </cell>
        </row>
        <row r="223">
          <cell r="A223">
            <v>40337</v>
          </cell>
          <cell r="B223" t="str">
            <v>Andaime suspenso em madeira, inclusive montagem e desmontagem</v>
          </cell>
          <cell r="C223" t="str">
            <v>m²</v>
          </cell>
          <cell r="D223">
            <v>108.16</v>
          </cell>
          <cell r="E223">
            <v>0</v>
          </cell>
          <cell r="F223" t="e">
            <v>#N/A</v>
          </cell>
          <cell r="G223" t="e">
            <v>#N/A</v>
          </cell>
        </row>
        <row r="224">
          <cell r="A224">
            <v>40395</v>
          </cell>
          <cell r="B224" t="str">
            <v>Apicoamento manual de superfície de concreto</v>
          </cell>
          <cell r="C224" t="str">
            <v>m²</v>
          </cell>
          <cell r="D224">
            <v>21.79</v>
          </cell>
          <cell r="E224">
            <v>0</v>
          </cell>
          <cell r="F224" t="e">
            <v>#N/A</v>
          </cell>
          <cell r="G224" t="e">
            <v>#N/A</v>
          </cell>
        </row>
        <row r="225">
          <cell r="A225">
            <v>40300</v>
          </cell>
          <cell r="B225" t="str">
            <v>Apiloamento manual</v>
          </cell>
          <cell r="C225" t="str">
            <v>m³</v>
          </cell>
          <cell r="D225">
            <v>46.52</v>
          </cell>
          <cell r="E225">
            <v>0</v>
          </cell>
          <cell r="F225">
            <v>46.53</v>
          </cell>
          <cell r="G225">
            <v>1.00021496130696</v>
          </cell>
        </row>
        <row r="226">
          <cell r="A226">
            <v>40348</v>
          </cell>
          <cell r="B226" t="str">
            <v>Argamassa cimento e areia traço 1:4, tudo incluído</v>
          </cell>
          <cell r="C226" t="str">
            <v>m³</v>
          </cell>
          <cell r="D226">
            <v>485.32</v>
          </cell>
          <cell r="E226" t="str">
            <v>A incluir</v>
          </cell>
          <cell r="F226">
            <v>554.34</v>
          </cell>
          <cell r="G226">
            <v>1.1422154454792699</v>
          </cell>
        </row>
        <row r="227">
          <cell r="A227">
            <v>40347</v>
          </cell>
          <cell r="B227" t="str">
            <v>Argamassa cimento (nata), inclusive transporte de cimento</v>
          </cell>
          <cell r="C227" t="str">
            <v>m³</v>
          </cell>
          <cell r="D227">
            <v>934.97</v>
          </cell>
          <cell r="E227" t="str">
            <v>A incluir</v>
          </cell>
          <cell r="F227" t="e">
            <v>#N/A</v>
          </cell>
          <cell r="G227" t="e">
            <v>#N/A</v>
          </cell>
        </row>
        <row r="228">
          <cell r="A228">
            <v>41415</v>
          </cell>
          <cell r="B228" t="str">
            <v>Argamassa de cimento e areia, traço 1:4, consumo de cimento 400 kg/m³</v>
          </cell>
          <cell r="C228" t="str">
            <v>m³</v>
          </cell>
          <cell r="D228">
            <v>504.56</v>
          </cell>
          <cell r="E228" t="str">
            <v>A incluir</v>
          </cell>
          <cell r="F228" t="e">
            <v>#N/A</v>
          </cell>
          <cell r="G228" t="e">
            <v>#N/A</v>
          </cell>
        </row>
        <row r="229">
          <cell r="A229">
            <v>42257</v>
          </cell>
          <cell r="B229" t="str">
            <v>Aterro com areia, exceto fornecimento da areia</v>
          </cell>
          <cell r="C229" t="str">
            <v>m³</v>
          </cell>
          <cell r="D229">
            <v>5.99</v>
          </cell>
          <cell r="E229">
            <v>0</v>
          </cell>
          <cell r="F229" t="e">
            <v>#N/A</v>
          </cell>
          <cell r="G229" t="e">
            <v>#N/A</v>
          </cell>
        </row>
        <row r="230">
          <cell r="A230">
            <v>40519</v>
          </cell>
          <cell r="B230" t="str">
            <v>Berço de concreto ciclópico para BDTC diâmetro 0,60 m</v>
          </cell>
          <cell r="C230" t="str">
            <v>m</v>
          </cell>
          <cell r="D230">
            <v>254.52</v>
          </cell>
          <cell r="E230" t="str">
            <v>A incluir</v>
          </cell>
          <cell r="F230" t="e">
            <v>#N/A</v>
          </cell>
          <cell r="G230" t="e">
            <v>#N/A</v>
          </cell>
        </row>
        <row r="231">
          <cell r="A231">
            <v>40520</v>
          </cell>
          <cell r="B231" t="str">
            <v>Berço de concreto ciclópico para BDTC diâmetro 0,80 m</v>
          </cell>
          <cell r="C231" t="str">
            <v>m</v>
          </cell>
          <cell r="D231">
            <v>398.57</v>
          </cell>
          <cell r="E231" t="str">
            <v>A incluir</v>
          </cell>
          <cell r="F231" t="e">
            <v>#N/A</v>
          </cell>
          <cell r="G231" t="e">
            <v>#N/A</v>
          </cell>
        </row>
        <row r="232">
          <cell r="A232">
            <v>40521</v>
          </cell>
          <cell r="B232" t="str">
            <v>Berço de concreto ciclópico para BDTC diâmetro 1,00 m</v>
          </cell>
          <cell r="C232" t="str">
            <v>m</v>
          </cell>
          <cell r="D232">
            <v>574.36</v>
          </cell>
          <cell r="E232" t="str">
            <v>A incluir</v>
          </cell>
          <cell r="F232" t="e">
            <v>#N/A</v>
          </cell>
          <cell r="G232" t="e">
            <v>#N/A</v>
          </cell>
        </row>
        <row r="233">
          <cell r="A233">
            <v>40522</v>
          </cell>
          <cell r="B233" t="str">
            <v>Berço de concreto ciclópico para BDTC diâmetro 1,20 m</v>
          </cell>
          <cell r="C233" t="str">
            <v>m</v>
          </cell>
          <cell r="D233">
            <v>776.22</v>
          </cell>
          <cell r="E233" t="str">
            <v>A incluir</v>
          </cell>
          <cell r="F233">
            <v>895.88</v>
          </cell>
          <cell r="G233">
            <v>1.15415732653114</v>
          </cell>
        </row>
        <row r="234">
          <cell r="A234">
            <v>40523</v>
          </cell>
          <cell r="B234" t="str">
            <v>Berço de concreto ciclópico para BDTC diâmetro 1,50 m</v>
          </cell>
          <cell r="C234" t="str">
            <v>m</v>
          </cell>
          <cell r="D234">
            <v>1121.99</v>
          </cell>
          <cell r="E234" t="str">
            <v>A incluir</v>
          </cell>
          <cell r="F234" t="e">
            <v>#N/A</v>
          </cell>
          <cell r="G234" t="e">
            <v>#N/A</v>
          </cell>
        </row>
        <row r="235">
          <cell r="A235">
            <v>40513</v>
          </cell>
          <cell r="B235" t="str">
            <v>Berço de concreto ciclópico para BSTC diâmetro 0,40 m</v>
          </cell>
          <cell r="C235" t="str">
            <v>m</v>
          </cell>
          <cell r="D235">
            <v>89.76</v>
          </cell>
          <cell r="E235" t="str">
            <v>A incluir</v>
          </cell>
          <cell r="F235" t="e">
            <v>#N/A</v>
          </cell>
          <cell r="G235" t="e">
            <v>#N/A</v>
          </cell>
        </row>
        <row r="236">
          <cell r="A236">
            <v>40514</v>
          </cell>
          <cell r="B236" t="str">
            <v>Berço de concreto ciclópico para BSTC diâmetro 0,60 m</v>
          </cell>
          <cell r="C236" t="str">
            <v>m</v>
          </cell>
          <cell r="D236">
            <v>151.07</v>
          </cell>
          <cell r="E236" t="str">
            <v>A incluir</v>
          </cell>
          <cell r="F236">
            <v>169.39</v>
          </cell>
          <cell r="G236">
            <v>1.1212682862249299</v>
          </cell>
        </row>
        <row r="237">
          <cell r="A237">
            <v>40515</v>
          </cell>
          <cell r="B237" t="str">
            <v>Berço de concreto ciclópico para BSTC diâmetro 0,80 m</v>
          </cell>
          <cell r="C237" t="str">
            <v>m</v>
          </cell>
          <cell r="D237">
            <v>230.81</v>
          </cell>
          <cell r="E237" t="str">
            <v>A incluir</v>
          </cell>
          <cell r="F237">
            <v>260.44</v>
          </cell>
          <cell r="G237">
            <v>1.12837398726225</v>
          </cell>
        </row>
        <row r="238">
          <cell r="A238">
            <v>40516</v>
          </cell>
          <cell r="B238" t="str">
            <v>Berço de concreto ciclópico para BSTC diâmetro 1,00 m</v>
          </cell>
          <cell r="C238" t="str">
            <v>m</v>
          </cell>
          <cell r="D238">
            <v>326.19</v>
          </cell>
          <cell r="E238" t="str">
            <v>A incluir</v>
          </cell>
          <cell r="F238" t="e">
            <v>#N/A</v>
          </cell>
          <cell r="G238" t="e">
            <v>#N/A</v>
          </cell>
        </row>
        <row r="239">
          <cell r="A239">
            <v>40517</v>
          </cell>
          <cell r="B239" t="str">
            <v>Berço de concreto ciclópico para BSTC diâmetro 1,20 m</v>
          </cell>
          <cell r="C239" t="str">
            <v>m</v>
          </cell>
          <cell r="D239">
            <v>435.06</v>
          </cell>
          <cell r="E239" t="str">
            <v>A incluir</v>
          </cell>
          <cell r="F239" t="e">
            <v>#N/A</v>
          </cell>
          <cell r="G239" t="e">
            <v>#N/A</v>
          </cell>
        </row>
        <row r="240">
          <cell r="A240">
            <v>40518</v>
          </cell>
          <cell r="B240" t="str">
            <v>Berço de concreto ciclópico para BSTC diâmetro 1,50 m</v>
          </cell>
          <cell r="C240" t="str">
            <v>m</v>
          </cell>
          <cell r="D240">
            <v>619.15</v>
          </cell>
          <cell r="E240" t="str">
            <v>A incluir</v>
          </cell>
          <cell r="F240" t="e">
            <v>#N/A</v>
          </cell>
          <cell r="G240" t="e">
            <v>#N/A</v>
          </cell>
        </row>
        <row r="241">
          <cell r="A241">
            <v>40524</v>
          </cell>
          <cell r="B241" t="str">
            <v>Berço de concreto ciclópico para BTTC diâmetro 0,60 m</v>
          </cell>
          <cell r="C241" t="str">
            <v>m</v>
          </cell>
          <cell r="D241">
            <v>356.2</v>
          </cell>
          <cell r="E241" t="str">
            <v>A incluir</v>
          </cell>
          <cell r="F241" t="e">
            <v>#N/A</v>
          </cell>
          <cell r="G241" t="e">
            <v>#N/A</v>
          </cell>
        </row>
        <row r="242">
          <cell r="A242">
            <v>40525</v>
          </cell>
          <cell r="B242" t="str">
            <v>Berço de concreto ciclópico para BTTC diâmetro 0,80 m</v>
          </cell>
          <cell r="C242" t="str">
            <v>m</v>
          </cell>
          <cell r="D242">
            <v>567.19000000000005</v>
          </cell>
          <cell r="E242" t="str">
            <v>A incluir</v>
          </cell>
          <cell r="F242" t="e">
            <v>#N/A</v>
          </cell>
          <cell r="G242" t="e">
            <v>#N/A</v>
          </cell>
        </row>
        <row r="243">
          <cell r="A243">
            <v>40526</v>
          </cell>
          <cell r="B243" t="str">
            <v>Berço de concreto ciclópico para BTTC diâmetro 1,00 m</v>
          </cell>
          <cell r="C243" t="str">
            <v>m</v>
          </cell>
          <cell r="D243">
            <v>822.08</v>
          </cell>
          <cell r="E243" t="str">
            <v>A incluir</v>
          </cell>
          <cell r="F243" t="e">
            <v>#N/A</v>
          </cell>
          <cell r="G243" t="e">
            <v>#N/A</v>
          </cell>
        </row>
        <row r="244">
          <cell r="A244">
            <v>40527</v>
          </cell>
          <cell r="B244" t="str">
            <v>Berço de concreto ciclópico para BTTC diâmetro 1,20 m</v>
          </cell>
          <cell r="C244" t="str">
            <v>m</v>
          </cell>
          <cell r="D244">
            <v>1117.3900000000001</v>
          </cell>
          <cell r="E244" t="str">
            <v>A incluir</v>
          </cell>
          <cell r="F244" t="e">
            <v>#N/A</v>
          </cell>
          <cell r="G244" t="e">
            <v>#N/A</v>
          </cell>
        </row>
        <row r="245">
          <cell r="A245">
            <v>40528</v>
          </cell>
          <cell r="B245" t="str">
            <v>Berço de concreto ciclópico para BTTC diâmetro 1,50 m</v>
          </cell>
          <cell r="C245" t="str">
            <v>m</v>
          </cell>
          <cell r="D245">
            <v>1624.82</v>
          </cell>
          <cell r="E245" t="str">
            <v>A incluir</v>
          </cell>
          <cell r="F245" t="e">
            <v>#N/A</v>
          </cell>
          <cell r="G245" t="e">
            <v>#N/A</v>
          </cell>
        </row>
        <row r="246">
          <cell r="A246">
            <v>41177</v>
          </cell>
          <cell r="B246" t="str">
            <v>Berço em brita para BSTC diâm. = 1,00 m</v>
          </cell>
          <cell r="C246" t="str">
            <v>m</v>
          </cell>
          <cell r="D246">
            <v>36.89</v>
          </cell>
          <cell r="E246" t="str">
            <v>A incluir</v>
          </cell>
          <cell r="F246" t="e">
            <v>#N/A</v>
          </cell>
          <cell r="G246" t="e">
            <v>#N/A</v>
          </cell>
        </row>
        <row r="247">
          <cell r="A247">
            <v>100391</v>
          </cell>
          <cell r="B247" t="str">
            <v>Berço em brita para BSTC diâm.=1,20 m</v>
          </cell>
          <cell r="C247" t="str">
            <v>m</v>
          </cell>
          <cell r="D247">
            <v>41.05</v>
          </cell>
          <cell r="E247" t="str">
            <v>A incluir</v>
          </cell>
          <cell r="F247" t="e">
            <v>#N/A</v>
          </cell>
          <cell r="G247" t="e">
            <v>#N/A</v>
          </cell>
        </row>
        <row r="248">
          <cell r="A248">
            <v>41172</v>
          </cell>
          <cell r="B248" t="str">
            <v>Berço em concreto ciclópico para BSTC diâm. = 0,30m</v>
          </cell>
          <cell r="C248" t="str">
            <v>m</v>
          </cell>
          <cell r="D248">
            <v>78.83</v>
          </cell>
          <cell r="E248" t="str">
            <v>A incluir</v>
          </cell>
          <cell r="F248" t="e">
            <v>#N/A</v>
          </cell>
          <cell r="G248" t="e">
            <v>#N/A</v>
          </cell>
        </row>
        <row r="249">
          <cell r="A249">
            <v>40620</v>
          </cell>
          <cell r="B249" t="str">
            <v>Boca de BDCC 1,50 x 1,50 m projeto DNIT</v>
          </cell>
          <cell r="C249" t="str">
            <v>un</v>
          </cell>
          <cell r="D249">
            <v>13304.27</v>
          </cell>
          <cell r="E249">
            <v>0</v>
          </cell>
          <cell r="F249" t="e">
            <v>#N/A</v>
          </cell>
          <cell r="G249" t="e">
            <v>#N/A</v>
          </cell>
        </row>
        <row r="250">
          <cell r="A250">
            <v>40626</v>
          </cell>
          <cell r="B250" t="str">
            <v>Boca de BDCC 2,00 x 1,20 m conforme projeto</v>
          </cell>
          <cell r="C250" t="str">
            <v>un</v>
          </cell>
          <cell r="D250">
            <v>12890.86</v>
          </cell>
          <cell r="E250">
            <v>0</v>
          </cell>
          <cell r="F250" t="e">
            <v>#N/A</v>
          </cell>
          <cell r="G250" t="e">
            <v>#N/A</v>
          </cell>
        </row>
        <row r="251">
          <cell r="A251">
            <v>40621</v>
          </cell>
          <cell r="B251" t="str">
            <v>Boca de BDCC 2,00 x 2,00 m projeto DNIT</v>
          </cell>
          <cell r="C251" t="str">
            <v>un</v>
          </cell>
          <cell r="D251">
            <v>20300.32</v>
          </cell>
          <cell r="E251">
            <v>0</v>
          </cell>
          <cell r="F251" t="e">
            <v>#N/A</v>
          </cell>
          <cell r="G251" t="e">
            <v>#N/A</v>
          </cell>
        </row>
        <row r="252">
          <cell r="A252">
            <v>40622</v>
          </cell>
          <cell r="B252" t="str">
            <v>Boca de BDCC 2,00 x 3,00 m projeto DNIT</v>
          </cell>
          <cell r="C252" t="str">
            <v>un</v>
          </cell>
          <cell r="D252">
            <v>31371.360000000001</v>
          </cell>
          <cell r="E252">
            <v>0</v>
          </cell>
          <cell r="F252" t="e">
            <v>#N/A</v>
          </cell>
          <cell r="G252" t="e">
            <v>#N/A</v>
          </cell>
        </row>
        <row r="253">
          <cell r="A253">
            <v>40627</v>
          </cell>
          <cell r="B253" t="str">
            <v>Boca de BDCC 2,50 x 2,00 m conforme projeto</v>
          </cell>
          <cell r="C253" t="str">
            <v>un</v>
          </cell>
          <cell r="D253">
            <v>23736.97</v>
          </cell>
          <cell r="E253">
            <v>0</v>
          </cell>
          <cell r="F253" t="e">
            <v>#N/A</v>
          </cell>
          <cell r="G253" t="e">
            <v>#N/A</v>
          </cell>
        </row>
        <row r="254">
          <cell r="A254">
            <v>40623</v>
          </cell>
          <cell r="B254" t="str">
            <v>Boca de BDCC 2,50 x 2,50 m projeto DNIT</v>
          </cell>
          <cell r="C254" t="str">
            <v>un</v>
          </cell>
          <cell r="D254">
            <v>28191.67</v>
          </cell>
          <cell r="E254">
            <v>0</v>
          </cell>
          <cell r="F254" t="e">
            <v>#N/A</v>
          </cell>
          <cell r="G254" t="e">
            <v>#N/A</v>
          </cell>
        </row>
        <row r="255">
          <cell r="A255">
            <v>40624</v>
          </cell>
          <cell r="B255" t="str">
            <v>Boca de BDCC 2,50 x 3,00 m projeto DNIT</v>
          </cell>
          <cell r="C255" t="str">
            <v>un</v>
          </cell>
          <cell r="D255">
            <v>35548.050000000003</v>
          </cell>
          <cell r="E255">
            <v>0</v>
          </cell>
          <cell r="F255" t="e">
            <v>#N/A</v>
          </cell>
          <cell r="G255" t="e">
            <v>#N/A</v>
          </cell>
        </row>
        <row r="256">
          <cell r="A256">
            <v>40625</v>
          </cell>
          <cell r="B256" t="str">
            <v>Boca de BDCC 3,00 x 3,00 m projeto DNIT</v>
          </cell>
          <cell r="C256" t="str">
            <v>un</v>
          </cell>
          <cell r="D256">
            <v>40027.82</v>
          </cell>
          <cell r="E256">
            <v>0</v>
          </cell>
          <cell r="F256" t="e">
            <v>#N/A</v>
          </cell>
          <cell r="G256" t="e">
            <v>#N/A</v>
          </cell>
        </row>
        <row r="257">
          <cell r="A257">
            <v>40613</v>
          </cell>
          <cell r="B257" t="str">
            <v>Boca de BSCC 1,50 x 1,50 m projeto DNIT</v>
          </cell>
          <cell r="C257" t="str">
            <v>un</v>
          </cell>
          <cell r="D257">
            <v>11658.04</v>
          </cell>
          <cell r="E257">
            <v>0</v>
          </cell>
          <cell r="F257" t="e">
            <v>#N/A</v>
          </cell>
          <cell r="G257" t="e">
            <v>#N/A</v>
          </cell>
        </row>
        <row r="258">
          <cell r="A258">
            <v>40614</v>
          </cell>
          <cell r="B258" t="str">
            <v>Boca de BSCC 2,00 x 2,00 m projeto DNIT</v>
          </cell>
          <cell r="C258" t="str">
            <v>un</v>
          </cell>
          <cell r="D258">
            <v>17846.68</v>
          </cell>
          <cell r="E258">
            <v>0</v>
          </cell>
          <cell r="F258" t="e">
            <v>#N/A</v>
          </cell>
          <cell r="G258" t="e">
            <v>#N/A</v>
          </cell>
        </row>
        <row r="259">
          <cell r="A259">
            <v>40615</v>
          </cell>
          <cell r="B259" t="str">
            <v>Boca de BSCC 2,00 x 3,00 m projeto DNIT</v>
          </cell>
          <cell r="C259" t="str">
            <v>un</v>
          </cell>
          <cell r="D259">
            <v>26653.96</v>
          </cell>
          <cell r="E259">
            <v>0</v>
          </cell>
          <cell r="F259" t="e">
            <v>#N/A</v>
          </cell>
          <cell r="G259" t="e">
            <v>#N/A</v>
          </cell>
        </row>
        <row r="260">
          <cell r="A260">
            <v>40616</v>
          </cell>
          <cell r="B260" t="str">
            <v>Boca de BSCC 2,50 x 2,50 m projeto DNIT</v>
          </cell>
          <cell r="C260" t="str">
            <v>un</v>
          </cell>
          <cell r="D260">
            <v>23516.12</v>
          </cell>
          <cell r="E260">
            <v>0</v>
          </cell>
          <cell r="F260" t="e">
            <v>#N/A</v>
          </cell>
          <cell r="G260" t="e">
            <v>#N/A</v>
          </cell>
        </row>
        <row r="261">
          <cell r="A261">
            <v>40617</v>
          </cell>
          <cell r="B261" t="str">
            <v>Boca de BSCC 2,50 x 3,00 m projeto DNIT</v>
          </cell>
          <cell r="C261" t="str">
            <v>un</v>
          </cell>
          <cell r="D261">
            <v>29783.4</v>
          </cell>
          <cell r="E261">
            <v>0</v>
          </cell>
          <cell r="F261" t="e">
            <v>#N/A</v>
          </cell>
          <cell r="G261" t="e">
            <v>#N/A</v>
          </cell>
        </row>
        <row r="262">
          <cell r="A262">
            <v>40618</v>
          </cell>
          <cell r="B262" t="str">
            <v>Boca de BSCC 3,00 x 3,00 m projeto DNIT</v>
          </cell>
          <cell r="C262" t="str">
            <v>un</v>
          </cell>
          <cell r="D262">
            <v>33474.93</v>
          </cell>
          <cell r="E262">
            <v>0</v>
          </cell>
          <cell r="F262" t="e">
            <v>#N/A</v>
          </cell>
          <cell r="G262" t="e">
            <v>#N/A</v>
          </cell>
        </row>
        <row r="263">
          <cell r="A263">
            <v>40629</v>
          </cell>
          <cell r="B263" t="str">
            <v>Boca de BTCC 1,50 x 1,50 m projeto DNIT</v>
          </cell>
          <cell r="C263" t="str">
            <v>un</v>
          </cell>
          <cell r="D263">
            <v>16459.599999999999</v>
          </cell>
          <cell r="E263">
            <v>0</v>
          </cell>
          <cell r="F263" t="e">
            <v>#N/A</v>
          </cell>
          <cell r="G263" t="e">
            <v>#N/A</v>
          </cell>
        </row>
        <row r="264">
          <cell r="A264">
            <v>40630</v>
          </cell>
          <cell r="B264" t="str">
            <v>Boca de BTCC 2,00 x 2,00 m projeto DNIT</v>
          </cell>
          <cell r="C264" t="str">
            <v>un</v>
          </cell>
          <cell r="D264">
            <v>24790.89</v>
          </cell>
          <cell r="E264">
            <v>0</v>
          </cell>
          <cell r="F264" t="e">
            <v>#N/A</v>
          </cell>
          <cell r="G264" t="e">
            <v>#N/A</v>
          </cell>
        </row>
        <row r="265">
          <cell r="A265">
            <v>40631</v>
          </cell>
          <cell r="B265" t="str">
            <v>Boca de BTCC 2,00 x 3,00 m projeto DNIT</v>
          </cell>
          <cell r="C265" t="str">
            <v>un</v>
          </cell>
          <cell r="D265">
            <v>37252.33</v>
          </cell>
          <cell r="E265">
            <v>0</v>
          </cell>
          <cell r="F265" t="e">
            <v>#N/A</v>
          </cell>
          <cell r="G265" t="e">
            <v>#N/A</v>
          </cell>
        </row>
        <row r="266">
          <cell r="A266">
            <v>40632</v>
          </cell>
          <cell r="B266" t="str">
            <v>Boca de BTCC 2,50 x 2,50 m projeto DNIT</v>
          </cell>
          <cell r="C266" t="str">
            <v>un</v>
          </cell>
          <cell r="D266">
            <v>34408.629999999997</v>
          </cell>
          <cell r="E266">
            <v>0</v>
          </cell>
          <cell r="F266" t="e">
            <v>#N/A</v>
          </cell>
          <cell r="G266" t="e">
            <v>#N/A</v>
          </cell>
        </row>
        <row r="267">
          <cell r="A267">
            <v>40633</v>
          </cell>
          <cell r="B267" t="str">
            <v>Boca de BTCC 2,50 x 3,00 m projeto DNIT</v>
          </cell>
          <cell r="C267" t="str">
            <v>un</v>
          </cell>
          <cell r="D267">
            <v>42337.440000000002</v>
          </cell>
          <cell r="E267">
            <v>0</v>
          </cell>
          <cell r="F267" t="e">
            <v>#N/A</v>
          </cell>
          <cell r="G267" t="e">
            <v>#N/A</v>
          </cell>
        </row>
        <row r="268">
          <cell r="A268">
            <v>40634</v>
          </cell>
          <cell r="B268" t="str">
            <v>Boca de BTCC 3,00 x 3,00 m projeto DNIT</v>
          </cell>
          <cell r="C268" t="str">
            <v>un</v>
          </cell>
          <cell r="D268">
            <v>48049.5</v>
          </cell>
          <cell r="E268">
            <v>0</v>
          </cell>
          <cell r="F268" t="e">
            <v>#N/A</v>
          </cell>
          <cell r="G268" t="e">
            <v>#N/A</v>
          </cell>
        </row>
        <row r="269">
          <cell r="A269">
            <v>40535</v>
          </cell>
          <cell r="B269" t="str">
            <v>Boca de concreto ciclópico para BDTC diâmetro 0,60 m</v>
          </cell>
          <cell r="C269" t="str">
            <v>un</v>
          </cell>
          <cell r="D269">
            <v>1293.76</v>
          </cell>
          <cell r="E269" t="str">
            <v>A incluir</v>
          </cell>
          <cell r="F269" t="e">
            <v>#N/A</v>
          </cell>
          <cell r="G269" t="e">
            <v>#N/A</v>
          </cell>
        </row>
        <row r="270">
          <cell r="A270">
            <v>40536</v>
          </cell>
          <cell r="B270" t="str">
            <v>Boca de concreto ciclópico para BDTC diâmetro 0,80 m</v>
          </cell>
          <cell r="C270" t="str">
            <v>un</v>
          </cell>
          <cell r="D270">
            <v>2144.75</v>
          </cell>
          <cell r="E270" t="str">
            <v>A incluir</v>
          </cell>
          <cell r="F270" t="e">
            <v>#N/A</v>
          </cell>
          <cell r="G270" t="e">
            <v>#N/A</v>
          </cell>
        </row>
        <row r="271">
          <cell r="A271">
            <v>40537</v>
          </cell>
          <cell r="B271" t="str">
            <v>Boca de concreto ciclópico para BDTC diâmetro 1,00 m</v>
          </cell>
          <cell r="C271" t="str">
            <v>un</v>
          </cell>
          <cell r="D271">
            <v>3962.87</v>
          </cell>
          <cell r="E271" t="str">
            <v>A incluir</v>
          </cell>
          <cell r="F271">
            <v>4360.32</v>
          </cell>
          <cell r="G271">
            <v>1.10029347417402</v>
          </cell>
        </row>
        <row r="272">
          <cell r="A272">
            <v>40538</v>
          </cell>
          <cell r="B272" t="str">
            <v>Boca de concreto ciclópico para BDTC diâmetro 1,20 m</v>
          </cell>
          <cell r="C272" t="str">
            <v>un</v>
          </cell>
          <cell r="D272">
            <v>5724.15</v>
          </cell>
          <cell r="E272" t="str">
            <v>A incluir</v>
          </cell>
          <cell r="F272">
            <v>6335.95</v>
          </cell>
          <cell r="G272">
            <v>1.1068804975411199</v>
          </cell>
        </row>
        <row r="273">
          <cell r="A273">
            <v>40539</v>
          </cell>
          <cell r="B273" t="str">
            <v>Boca de concreto ciclópico para BDTC diâmetro 1,50 m</v>
          </cell>
          <cell r="C273" t="str">
            <v>un</v>
          </cell>
          <cell r="D273">
            <v>10064.98</v>
          </cell>
          <cell r="E273" t="str">
            <v>A incluir</v>
          </cell>
          <cell r="F273" t="e">
            <v>#N/A</v>
          </cell>
          <cell r="G273" t="e">
            <v>#N/A</v>
          </cell>
        </row>
        <row r="274">
          <cell r="A274">
            <v>40529</v>
          </cell>
          <cell r="B274" t="str">
            <v>Boca de concreto ciclópico para BSTC diâmetro 0,40 m</v>
          </cell>
          <cell r="C274" t="str">
            <v>un</v>
          </cell>
          <cell r="D274">
            <v>370.82</v>
          </cell>
          <cell r="E274" t="str">
            <v>A incluir</v>
          </cell>
          <cell r="F274" t="e">
            <v>#N/A</v>
          </cell>
          <cell r="G274" t="e">
            <v>#N/A</v>
          </cell>
        </row>
        <row r="275">
          <cell r="A275">
            <v>40530</v>
          </cell>
          <cell r="B275" t="str">
            <v>Boca de concreto ciclópico para BSTC diâmetro 0,60 m</v>
          </cell>
          <cell r="C275" t="str">
            <v>un</v>
          </cell>
          <cell r="D275">
            <v>1117.3699999999999</v>
          </cell>
          <cell r="E275" t="str">
            <v>A incluir</v>
          </cell>
          <cell r="F275">
            <v>1208.3800000000001</v>
          </cell>
          <cell r="G275">
            <v>1.08145019107368</v>
          </cell>
        </row>
        <row r="276">
          <cell r="A276">
            <v>40531</v>
          </cell>
          <cell r="B276" t="str">
            <v>Boca de concreto ciclópico para BSTC diâmetro 0,80 m</v>
          </cell>
          <cell r="C276" t="str">
            <v>un</v>
          </cell>
          <cell r="D276">
            <v>1854.05</v>
          </cell>
          <cell r="E276" t="str">
            <v>A incluir</v>
          </cell>
          <cell r="F276">
            <v>2021.72</v>
          </cell>
          <cell r="G276">
            <v>1.09043445430274</v>
          </cell>
        </row>
        <row r="277">
          <cell r="A277">
            <v>40532</v>
          </cell>
          <cell r="B277" t="str">
            <v>Boca de concreto ciclópico para BSTC diâmetro 1,00 m</v>
          </cell>
          <cell r="C277" t="str">
            <v>un</v>
          </cell>
          <cell r="D277">
            <v>2847.32</v>
          </cell>
          <cell r="E277" t="str">
            <v>A incluir</v>
          </cell>
          <cell r="F277" t="e">
            <v>#N/A</v>
          </cell>
          <cell r="G277" t="e">
            <v>#N/A</v>
          </cell>
        </row>
        <row r="278">
          <cell r="A278">
            <v>40533</v>
          </cell>
          <cell r="B278" t="str">
            <v>Boca de concreto ciclópico para BSTC diâmetro 1,20 m</v>
          </cell>
          <cell r="C278" t="str">
            <v>un</v>
          </cell>
          <cell r="D278">
            <v>4101.1499999999996</v>
          </cell>
          <cell r="E278" t="str">
            <v>A incluir</v>
          </cell>
          <cell r="F278" t="e">
            <v>#N/A</v>
          </cell>
          <cell r="G278" t="e">
            <v>#N/A</v>
          </cell>
        </row>
        <row r="279">
          <cell r="A279">
            <v>40534</v>
          </cell>
          <cell r="B279" t="str">
            <v>Boca de concreto ciclópico para BSTC diâmetro 1,50 m</v>
          </cell>
          <cell r="C279" t="str">
            <v>un</v>
          </cell>
          <cell r="D279">
            <v>7389.87</v>
          </cell>
          <cell r="E279" t="str">
            <v>A incluir</v>
          </cell>
          <cell r="F279" t="e">
            <v>#N/A</v>
          </cell>
          <cell r="G279" t="e">
            <v>#N/A</v>
          </cell>
        </row>
        <row r="280">
          <cell r="A280">
            <v>40540</v>
          </cell>
          <cell r="B280" t="str">
            <v>Boca de concreto ciclópico para BTTC diâmetro 0,60 m</v>
          </cell>
          <cell r="C280" t="str">
            <v>un</v>
          </cell>
          <cell r="D280">
            <v>1615.06</v>
          </cell>
          <cell r="E280" t="str">
            <v>A incluir</v>
          </cell>
          <cell r="F280" t="e">
            <v>#N/A</v>
          </cell>
          <cell r="G280" t="e">
            <v>#N/A</v>
          </cell>
        </row>
        <row r="281">
          <cell r="A281">
            <v>40541</v>
          </cell>
          <cell r="B281" t="str">
            <v>Boca de concreto ciclópico para BTTC diâmetro 0,80 m</v>
          </cell>
          <cell r="C281" t="str">
            <v>un</v>
          </cell>
          <cell r="D281">
            <v>2633.63</v>
          </cell>
          <cell r="E281" t="str">
            <v>A incluir</v>
          </cell>
          <cell r="F281" t="e">
            <v>#N/A</v>
          </cell>
          <cell r="G281" t="e">
            <v>#N/A</v>
          </cell>
        </row>
        <row r="282">
          <cell r="A282">
            <v>40542</v>
          </cell>
          <cell r="B282" t="str">
            <v>Boca de concreto ciclópico para BTTC diâmetro 1,00 m</v>
          </cell>
          <cell r="C282" t="str">
            <v>un</v>
          </cell>
          <cell r="D282">
            <v>5078.4399999999996</v>
          </cell>
          <cell r="E282" t="str">
            <v>A incluir</v>
          </cell>
          <cell r="F282" t="e">
            <v>#N/A</v>
          </cell>
          <cell r="G282" t="e">
            <v>#N/A</v>
          </cell>
        </row>
        <row r="283">
          <cell r="A283">
            <v>40543</v>
          </cell>
          <cell r="B283" t="str">
            <v>Boca de concreto ciclópico para BTTC diâmetro 1,20 m</v>
          </cell>
          <cell r="C283" t="str">
            <v>un</v>
          </cell>
          <cell r="D283">
            <v>7346.3</v>
          </cell>
          <cell r="E283" t="str">
            <v>A incluir</v>
          </cell>
          <cell r="F283" t="e">
            <v>#N/A</v>
          </cell>
          <cell r="G283" t="e">
            <v>#N/A</v>
          </cell>
        </row>
        <row r="284">
          <cell r="A284">
            <v>40544</v>
          </cell>
          <cell r="B284" t="str">
            <v>Boca de concreto ciclópico para BTTC diâmetro 1,50 m</v>
          </cell>
          <cell r="C284" t="str">
            <v>un</v>
          </cell>
          <cell r="D284">
            <v>12789.11</v>
          </cell>
          <cell r="E284" t="str">
            <v>A incluir</v>
          </cell>
          <cell r="F284" t="e">
            <v>#N/A</v>
          </cell>
          <cell r="G284" t="e">
            <v>#N/A</v>
          </cell>
        </row>
        <row r="285">
          <cell r="A285">
            <v>40565</v>
          </cell>
          <cell r="B285" t="str">
            <v>Boca de lobo simples</v>
          </cell>
          <cell r="C285" t="str">
            <v>un</v>
          </cell>
          <cell r="D285">
            <v>2984.28</v>
          </cell>
          <cell r="E285">
            <v>0</v>
          </cell>
          <cell r="F285" t="e">
            <v>#N/A</v>
          </cell>
          <cell r="G285" t="e">
            <v>#N/A</v>
          </cell>
        </row>
        <row r="286">
          <cell r="A286">
            <v>40656</v>
          </cell>
          <cell r="B286" t="str">
            <v>Boca de saída de dreno profundo BSD-01</v>
          </cell>
          <cell r="C286" t="str">
            <v>un</v>
          </cell>
          <cell r="D286">
            <v>235.43</v>
          </cell>
          <cell r="E286" t="str">
            <v>A incluir</v>
          </cell>
          <cell r="F286" t="e">
            <v>#N/A</v>
          </cell>
          <cell r="G286" t="e">
            <v>#N/A</v>
          </cell>
        </row>
        <row r="287">
          <cell r="A287">
            <v>41102</v>
          </cell>
          <cell r="B287" t="str">
            <v>BSCC (pré-moldado) 1,50 x 1,50 x 1,00m CL 45t, inclusive transporte do Anel de Bueiro Celular Pré-moldado</v>
          </cell>
          <cell r="C287" t="str">
            <v>m</v>
          </cell>
          <cell r="D287">
            <v>3923.29</v>
          </cell>
          <cell r="E287" t="str">
            <v>A incluir</v>
          </cell>
          <cell r="F287" t="e">
            <v>#N/A</v>
          </cell>
          <cell r="G287" t="e">
            <v>#N/A</v>
          </cell>
        </row>
        <row r="288">
          <cell r="A288">
            <v>41103</v>
          </cell>
          <cell r="B288" t="str">
            <v>BSCC (pré-moldado) 2,00 x 2,00 x 1,00m CL 45t, inclusive transporte de Anel de Bueiro Celular Pré-moldado</v>
          </cell>
          <cell r="C288" t="str">
            <v>m</v>
          </cell>
          <cell r="D288">
            <v>5050.6099999999997</v>
          </cell>
          <cell r="E288" t="str">
            <v>A incluir</v>
          </cell>
          <cell r="F288" t="e">
            <v>#N/A</v>
          </cell>
          <cell r="G288" t="e">
            <v>#N/A</v>
          </cell>
        </row>
        <row r="289">
          <cell r="A289">
            <v>41104</v>
          </cell>
          <cell r="B289" t="str">
            <v>BSCC (pré-moldado) 2,50 x 2,50 x 1,00m CL 45t, inclusive transporte de Anel de Bueiro Celular Pré-moldado</v>
          </cell>
          <cell r="C289" t="str">
            <v>m</v>
          </cell>
          <cell r="D289">
            <v>5837.7</v>
          </cell>
          <cell r="E289" t="str">
            <v>A incluir</v>
          </cell>
          <cell r="F289" t="e">
            <v>#N/A</v>
          </cell>
          <cell r="G289" t="e">
            <v>#N/A</v>
          </cell>
        </row>
        <row r="290">
          <cell r="A290">
            <v>41155</v>
          </cell>
          <cell r="B290" t="str">
            <v>BSCC (pré-moldado) 3,00 x 3,00 x 1,00m CL 45t, inclusive transporte de Anel de Bueiro Celular Pré-moldado</v>
          </cell>
          <cell r="C290" t="str">
            <v>m</v>
          </cell>
          <cell r="D290">
            <v>8023.12</v>
          </cell>
          <cell r="E290" t="str">
            <v>A incluir</v>
          </cell>
          <cell r="F290" t="e">
            <v>#N/A</v>
          </cell>
          <cell r="G290" t="e">
            <v>#N/A</v>
          </cell>
        </row>
        <row r="291">
          <cell r="A291">
            <v>40635</v>
          </cell>
          <cell r="B291" t="str">
            <v>Bueiro Metálico BSTM - D = 3,00 m - T.L. com tratamento epóxi e = 2,7 mm - método não destrutivo</v>
          </cell>
          <cell r="C291" t="str">
            <v>m</v>
          </cell>
          <cell r="D291">
            <v>9486.57</v>
          </cell>
          <cell r="E291" t="str">
            <v>A incluir</v>
          </cell>
          <cell r="F291" t="e">
            <v>#N/A</v>
          </cell>
          <cell r="G291" t="e">
            <v>#N/A</v>
          </cell>
        </row>
        <row r="292">
          <cell r="A292">
            <v>42230</v>
          </cell>
          <cell r="B292" t="str">
            <v>Bueiro Metálico BSTM - D=3,05m - MP-152 com tratamento epóxi e=2,7mm - método destrutivo, inclusive lastro de brita</v>
          </cell>
          <cell r="C292" t="str">
            <v>m</v>
          </cell>
          <cell r="D292">
            <v>6937.63</v>
          </cell>
          <cell r="E292" t="str">
            <v>A incluir</v>
          </cell>
          <cell r="F292" t="e">
            <v>#N/A</v>
          </cell>
          <cell r="G292" t="e">
            <v>#N/A</v>
          </cell>
        </row>
        <row r="293">
          <cell r="A293">
            <v>40658</v>
          </cell>
          <cell r="B293" t="str">
            <v>Caiação de meio fios, sarjetas, etc</v>
          </cell>
          <cell r="C293" t="str">
            <v>m²</v>
          </cell>
          <cell r="D293">
            <v>5.03</v>
          </cell>
          <cell r="E293">
            <v>0</v>
          </cell>
          <cell r="F293">
            <v>5.03</v>
          </cell>
          <cell r="G293">
            <v>1</v>
          </cell>
        </row>
        <row r="294">
          <cell r="A294">
            <v>41161</v>
          </cell>
          <cell r="B294" t="str">
            <v>Caixa Boca de Lobo em bloco pré-moldado 1,20 x 1,20m</v>
          </cell>
          <cell r="C294" t="str">
            <v>un</v>
          </cell>
          <cell r="D294">
            <v>4102.46</v>
          </cell>
          <cell r="E294">
            <v>0</v>
          </cell>
          <cell r="F294" t="e">
            <v>#N/A</v>
          </cell>
          <cell r="G294" t="e">
            <v>#N/A</v>
          </cell>
        </row>
        <row r="295">
          <cell r="A295">
            <v>40563</v>
          </cell>
          <cell r="B295" t="str">
            <v>Caixa coletora concreto armado H= 2,00 m, inclusive escavação</v>
          </cell>
          <cell r="C295" t="str">
            <v>un</v>
          </cell>
          <cell r="D295">
            <v>4324.83</v>
          </cell>
          <cell r="E295">
            <v>0</v>
          </cell>
          <cell r="F295" t="e">
            <v>#N/A</v>
          </cell>
          <cell r="G295" t="e">
            <v>#N/A</v>
          </cell>
        </row>
        <row r="296">
          <cell r="A296">
            <v>40564</v>
          </cell>
          <cell r="B296" t="str">
            <v>Caixa coletora concreto armado H= 2,50 m, inclusive escavação</v>
          </cell>
          <cell r="C296" t="str">
            <v>un</v>
          </cell>
          <cell r="D296">
            <v>5310.67</v>
          </cell>
          <cell r="E296">
            <v>0</v>
          </cell>
          <cell r="F296" t="e">
            <v>#N/A</v>
          </cell>
          <cell r="G296" t="e">
            <v>#N/A</v>
          </cell>
        </row>
        <row r="297">
          <cell r="A297">
            <v>41333</v>
          </cell>
          <cell r="B297" t="str">
            <v>Caixa coletora em bloco pré-moldado para d=0,60m (1,00 x 1,00m)</v>
          </cell>
          <cell r="C297" t="str">
            <v>un</v>
          </cell>
          <cell r="D297">
            <v>2082.67</v>
          </cell>
          <cell r="E297" t="str">
            <v>A incluir</v>
          </cell>
          <cell r="F297" t="e">
            <v>#N/A</v>
          </cell>
          <cell r="G297" t="e">
            <v>#N/A</v>
          </cell>
        </row>
        <row r="298">
          <cell r="A298">
            <v>40545</v>
          </cell>
          <cell r="B298" t="str">
            <v>Caixa de concreto para BSTC diâmetro 0,40 m H=1,60 m</v>
          </cell>
          <cell r="C298" t="str">
            <v>un</v>
          </cell>
          <cell r="D298">
            <v>1996.79</v>
          </cell>
          <cell r="E298" t="str">
            <v>A incluir</v>
          </cell>
          <cell r="F298" t="e">
            <v>#N/A</v>
          </cell>
          <cell r="G298" t="e">
            <v>#N/A</v>
          </cell>
        </row>
        <row r="299">
          <cell r="A299">
            <v>40546</v>
          </cell>
          <cell r="B299" t="str">
            <v>Caixa de concreto para BSTC diâmetro 0,60 m H=2,00 m</v>
          </cell>
          <cell r="C299" t="str">
            <v>un</v>
          </cell>
          <cell r="D299">
            <v>3098</v>
          </cell>
          <cell r="E299" t="str">
            <v>A incluir</v>
          </cell>
          <cell r="F299" t="e">
            <v>#N/A</v>
          </cell>
          <cell r="G299" t="e">
            <v>#N/A</v>
          </cell>
        </row>
        <row r="300">
          <cell r="A300">
            <v>40547</v>
          </cell>
          <cell r="B300" t="str">
            <v>Caixa de concreto para BSTC diâmetro 0,80 m H=2,50 m</v>
          </cell>
          <cell r="C300" t="str">
            <v>un</v>
          </cell>
          <cell r="D300">
            <v>3842.61</v>
          </cell>
          <cell r="E300" t="str">
            <v>A incluir</v>
          </cell>
          <cell r="F300">
            <v>4060.06</v>
          </cell>
          <cell r="G300">
            <v>1.0565891412347299</v>
          </cell>
        </row>
        <row r="301">
          <cell r="A301">
            <v>40548</v>
          </cell>
          <cell r="B301" t="str">
            <v>Caixa de concreto para BSTC diâmetro 1,00 m H=3,00 m</v>
          </cell>
          <cell r="C301" t="str">
            <v>un</v>
          </cell>
          <cell r="D301">
            <v>4562.84</v>
          </cell>
          <cell r="E301" t="str">
            <v>A incluir</v>
          </cell>
          <cell r="F301" t="e">
            <v>#N/A</v>
          </cell>
          <cell r="G301" t="e">
            <v>#N/A</v>
          </cell>
        </row>
        <row r="302">
          <cell r="A302">
            <v>40549</v>
          </cell>
          <cell r="B302" t="str">
            <v>Caixa de passagem para tubos de D=0,40 m H=1,10 m</v>
          </cell>
          <cell r="C302" t="str">
            <v>un</v>
          </cell>
          <cell r="D302">
            <v>1335.29</v>
          </cell>
          <cell r="E302">
            <v>0</v>
          </cell>
          <cell r="F302" t="e">
            <v>#N/A</v>
          </cell>
          <cell r="G302" t="e">
            <v>#N/A</v>
          </cell>
        </row>
        <row r="303">
          <cell r="A303">
            <v>40550</v>
          </cell>
          <cell r="B303" t="str">
            <v>Caixa de passagem para tubos de D=0,60 m H=1,30 m</v>
          </cell>
          <cell r="C303" t="str">
            <v>un</v>
          </cell>
          <cell r="D303">
            <v>1685.69</v>
          </cell>
          <cell r="E303">
            <v>0</v>
          </cell>
          <cell r="F303" t="e">
            <v>#N/A</v>
          </cell>
          <cell r="G303" t="e">
            <v>#N/A</v>
          </cell>
        </row>
        <row r="304">
          <cell r="A304">
            <v>40551</v>
          </cell>
          <cell r="B304" t="str">
            <v>Caixa de passagem para tubos de D=0,80 m H=1,50 m</v>
          </cell>
          <cell r="C304" t="str">
            <v>un</v>
          </cell>
          <cell r="D304">
            <v>2121.73</v>
          </cell>
          <cell r="E304">
            <v>0</v>
          </cell>
          <cell r="F304" t="e">
            <v>#N/A</v>
          </cell>
          <cell r="G304" t="e">
            <v>#N/A</v>
          </cell>
        </row>
        <row r="305">
          <cell r="A305">
            <v>40552</v>
          </cell>
          <cell r="B305" t="str">
            <v>Caixa de passagem para tubos de D=1,00 m H=1,80 m</v>
          </cell>
          <cell r="C305" t="str">
            <v>un</v>
          </cell>
          <cell r="D305">
            <v>3376.29</v>
          </cell>
          <cell r="E305">
            <v>0</v>
          </cell>
          <cell r="F305" t="e">
            <v>#N/A</v>
          </cell>
          <cell r="G305" t="e">
            <v>#N/A</v>
          </cell>
        </row>
        <row r="306">
          <cell r="A306">
            <v>41320</v>
          </cell>
          <cell r="B306" t="str">
            <v>Caixa de passagem (2,50 x 2,50m)</v>
          </cell>
          <cell r="C306" t="str">
            <v>un</v>
          </cell>
          <cell r="D306">
            <v>7334.16</v>
          </cell>
          <cell r="E306" t="str">
            <v>A incluir</v>
          </cell>
          <cell r="F306" t="e">
            <v>#N/A</v>
          </cell>
          <cell r="G306" t="e">
            <v>#N/A</v>
          </cell>
        </row>
        <row r="307">
          <cell r="A307">
            <v>41184</v>
          </cell>
          <cell r="B307" t="str">
            <v>Caixa para rede de dutos, dimensões 100 x 100 x 100 cm</v>
          </cell>
          <cell r="C307" t="str">
            <v>m</v>
          </cell>
          <cell r="D307">
            <v>1211.55</v>
          </cell>
          <cell r="E307">
            <v>0</v>
          </cell>
          <cell r="F307" t="e">
            <v>#N/A</v>
          </cell>
          <cell r="G307" t="e">
            <v>#N/A</v>
          </cell>
        </row>
        <row r="308">
          <cell r="A308">
            <v>41338</v>
          </cell>
          <cell r="B308" t="str">
            <v>Caixa para rede de dutos, dimensões 60 x 60 x 60 cm</v>
          </cell>
          <cell r="C308" t="str">
            <v>un</v>
          </cell>
          <cell r="D308">
            <v>557.07000000000005</v>
          </cell>
          <cell r="E308">
            <v>0</v>
          </cell>
          <cell r="F308" t="e">
            <v>#N/A</v>
          </cell>
          <cell r="G308" t="e">
            <v>#N/A</v>
          </cell>
        </row>
        <row r="309">
          <cell r="A309">
            <v>40561</v>
          </cell>
          <cell r="B309" t="str">
            <v>Caixa ralo de elementos pré-moldados em concreto (tudo incluído)</v>
          </cell>
          <cell r="C309" t="str">
            <v>un</v>
          </cell>
          <cell r="D309">
            <v>727.1</v>
          </cell>
          <cell r="E309" t="str">
            <v>A incluir</v>
          </cell>
          <cell r="F309" t="e">
            <v>#N/A</v>
          </cell>
          <cell r="G309" t="e">
            <v>#N/A</v>
          </cell>
        </row>
        <row r="310">
          <cell r="A310">
            <v>40672</v>
          </cell>
          <cell r="B310" t="str">
            <v>Canaleta com grelha DP-1, inclusive transporte da grelha</v>
          </cell>
          <cell r="C310" t="str">
            <v>m</v>
          </cell>
          <cell r="D310">
            <v>630.47</v>
          </cell>
          <cell r="E310" t="str">
            <v>A incluir</v>
          </cell>
          <cell r="F310" t="e">
            <v>#N/A</v>
          </cell>
          <cell r="G310" t="e">
            <v>#N/A</v>
          </cell>
        </row>
        <row r="311">
          <cell r="A311">
            <v>40703</v>
          </cell>
          <cell r="B311" t="str">
            <v>Canaleta de concreto, com forma retangular inclusive caiação - parede 12 cm</v>
          </cell>
          <cell r="C311" t="str">
            <v>m</v>
          </cell>
          <cell r="D311">
            <v>198.64</v>
          </cell>
          <cell r="E311">
            <v>0</v>
          </cell>
          <cell r="F311" t="e">
            <v>#N/A</v>
          </cell>
          <cell r="G311" t="e">
            <v>#N/A</v>
          </cell>
        </row>
        <row r="312">
          <cell r="A312">
            <v>40671</v>
          </cell>
          <cell r="B312" t="str">
            <v>Canaleta de concreto retangular (0,130m³/m) inclusive caiação</v>
          </cell>
          <cell r="C312" t="str">
            <v>m</v>
          </cell>
          <cell r="D312">
            <v>245.64</v>
          </cell>
          <cell r="E312">
            <v>0</v>
          </cell>
          <cell r="F312" t="e">
            <v>#N/A</v>
          </cell>
          <cell r="G312" t="e">
            <v>#N/A</v>
          </cell>
        </row>
        <row r="313">
          <cell r="A313">
            <v>41016</v>
          </cell>
          <cell r="B313" t="str">
            <v>Canaleta de concreto (0,130m³/m) forma trapezoidal inclusive caiação</v>
          </cell>
          <cell r="C313" t="str">
            <v>m</v>
          </cell>
          <cell r="D313">
            <v>180.88</v>
          </cell>
          <cell r="E313" t="str">
            <v>A incluir</v>
          </cell>
          <cell r="F313" t="e">
            <v>#N/A</v>
          </cell>
          <cell r="G313" t="e">
            <v>#N/A</v>
          </cell>
        </row>
        <row r="314">
          <cell r="A314">
            <v>40952</v>
          </cell>
          <cell r="B314" t="str">
            <v>Cerca de tela de arame galvanizado h = 1,20 m</v>
          </cell>
          <cell r="C314" t="str">
            <v>m²</v>
          </cell>
          <cell r="D314">
            <v>28.84</v>
          </cell>
          <cell r="E314">
            <v>0</v>
          </cell>
          <cell r="F314" t="e">
            <v>#N/A</v>
          </cell>
          <cell r="G314" t="e">
            <v>#N/A</v>
          </cell>
        </row>
        <row r="315">
          <cell r="A315">
            <v>40953</v>
          </cell>
          <cell r="B315" t="str">
            <v>Cerca de tela galvanizada fio 12 malha 3"x3", com altura de 1,80 m</v>
          </cell>
          <cell r="C315" t="str">
            <v>m</v>
          </cell>
          <cell r="D315">
            <v>69.66</v>
          </cell>
          <cell r="E315" t="str">
            <v>A incluir</v>
          </cell>
          <cell r="F315" t="e">
            <v>#N/A</v>
          </cell>
          <cell r="G315" t="e">
            <v>#N/A</v>
          </cell>
        </row>
        <row r="316">
          <cell r="A316">
            <v>40708</v>
          </cell>
          <cell r="B316" t="str">
            <v>Cerca em tela revestida em PVC com mourões de concreto, 10 x 10 x 2,40 m, fornecimento e execução</v>
          </cell>
          <cell r="C316" t="str">
            <v>m²</v>
          </cell>
          <cell r="D316">
            <v>72.11</v>
          </cell>
          <cell r="E316">
            <v>0</v>
          </cell>
          <cell r="F316" t="e">
            <v>#N/A</v>
          </cell>
          <cell r="G316" t="e">
            <v>#N/A</v>
          </cell>
        </row>
        <row r="317">
          <cell r="A317">
            <v>40377</v>
          </cell>
          <cell r="B317" t="str">
            <v>Chapisco com argamassa de cimento e areia no traço 1:3</v>
          </cell>
          <cell r="C317" t="str">
            <v>m²</v>
          </cell>
          <cell r="D317">
            <v>5.58</v>
          </cell>
          <cell r="E317">
            <v>0</v>
          </cell>
          <cell r="F317" t="e">
            <v>#N/A</v>
          </cell>
          <cell r="G317" t="e">
            <v>#N/A</v>
          </cell>
        </row>
        <row r="318">
          <cell r="A318">
            <v>40378</v>
          </cell>
          <cell r="B318" t="str">
            <v>Chapisco com argamassa de cimento e pedrisco no traço 1:4</v>
          </cell>
          <cell r="C318" t="str">
            <v>m²</v>
          </cell>
          <cell r="D318">
            <v>8.6999999999999993</v>
          </cell>
          <cell r="E318">
            <v>0</v>
          </cell>
          <cell r="F318" t="e">
            <v>#N/A</v>
          </cell>
          <cell r="G318" t="e">
            <v>#N/A</v>
          </cell>
        </row>
        <row r="319">
          <cell r="A319">
            <v>41389</v>
          </cell>
          <cell r="B319" t="str">
            <v>Colchão drenante de areia para fundação de aterros, exclusive o fornecimento de areia</v>
          </cell>
          <cell r="C319" t="str">
            <v>m³</v>
          </cell>
          <cell r="D319">
            <v>4.04</v>
          </cell>
          <cell r="E319">
            <v>0</v>
          </cell>
          <cell r="F319" t="e">
            <v>#N/A</v>
          </cell>
          <cell r="G319" t="e">
            <v>#N/A</v>
          </cell>
        </row>
        <row r="320">
          <cell r="A320">
            <v>40715</v>
          </cell>
          <cell r="B320" t="str">
            <v>Colchão drenante de areia para fundação de aterros, inclusive fornecimento e transporte da areia</v>
          </cell>
          <cell r="C320" t="str">
            <v>m³</v>
          </cell>
          <cell r="D320">
            <v>88.82</v>
          </cell>
          <cell r="E320" t="str">
            <v>A incluir</v>
          </cell>
          <cell r="F320" t="e">
            <v>#N/A</v>
          </cell>
          <cell r="G320" t="e">
            <v>#N/A</v>
          </cell>
        </row>
        <row r="321">
          <cell r="A321">
            <v>40716</v>
          </cell>
          <cell r="B321" t="str">
            <v>Colchão drenante de brita 1 inclusive fornecimento, espalhamento, compactação e transporte da brita</v>
          </cell>
          <cell r="C321" t="str">
            <v>m³</v>
          </cell>
          <cell r="D321">
            <v>95.19</v>
          </cell>
          <cell r="E321" t="str">
            <v>A incluir</v>
          </cell>
          <cell r="F321" t="e">
            <v>#N/A</v>
          </cell>
          <cell r="G321" t="e">
            <v>#N/A</v>
          </cell>
        </row>
        <row r="322">
          <cell r="A322">
            <v>40717</v>
          </cell>
          <cell r="B322" t="str">
            <v>Colchão drenante de brita 2 inclusive fornecimento, espalhamento, compactação e transporte da brita</v>
          </cell>
          <cell r="C322" t="str">
            <v>m³</v>
          </cell>
          <cell r="D322">
            <v>93.11</v>
          </cell>
          <cell r="E322" t="str">
            <v>A incluir</v>
          </cell>
          <cell r="F322" t="e">
            <v>#N/A</v>
          </cell>
          <cell r="G322" t="e">
            <v>#N/A</v>
          </cell>
        </row>
        <row r="323">
          <cell r="A323">
            <v>40718</v>
          </cell>
          <cell r="B323" t="str">
            <v>Colchão drenante de brita 3 inclusive fornecimento, espalhamento, compactação e transporte da brita</v>
          </cell>
          <cell r="C323" t="str">
            <v>m³</v>
          </cell>
          <cell r="D323">
            <v>100.23</v>
          </cell>
          <cell r="E323" t="str">
            <v>A incluir</v>
          </cell>
          <cell r="F323" t="e">
            <v>#N/A</v>
          </cell>
          <cell r="G323" t="e">
            <v>#N/A</v>
          </cell>
        </row>
        <row r="324">
          <cell r="A324">
            <v>40652</v>
          </cell>
          <cell r="B324" t="str">
            <v>Coleta drenante (1,00x1,00) m c/ geotêxtil não tecido RT 16kn/m, inclusive transporte da brita</v>
          </cell>
          <cell r="C324" t="str">
            <v>m</v>
          </cell>
          <cell r="D324">
            <v>304.33999999999997</v>
          </cell>
          <cell r="E324" t="str">
            <v>A incluir</v>
          </cell>
          <cell r="F324" t="e">
            <v>#N/A</v>
          </cell>
          <cell r="G324" t="e">
            <v>#N/A</v>
          </cell>
        </row>
        <row r="325">
          <cell r="A325">
            <v>41090</v>
          </cell>
          <cell r="B325" t="str">
            <v>Concreto armado, dosado para resist. 20 Mpa,  incluindo 60kg aço CA-50A, mão de obra p/ corte, dobragem e montagem, exclusive forma</v>
          </cell>
          <cell r="C325" t="str">
            <v>m³</v>
          </cell>
          <cell r="D325">
            <v>797.02</v>
          </cell>
          <cell r="E325">
            <v>0</v>
          </cell>
          <cell r="F325" t="e">
            <v>#N/A</v>
          </cell>
          <cell r="G325" t="e">
            <v>#N/A</v>
          </cell>
        </row>
        <row r="326">
          <cell r="A326">
            <v>40350</v>
          </cell>
          <cell r="B326" t="str">
            <v>Concreto ciclópico com 70% concreto 10,0 MPa e 30% de pedra de mão, tudo incluído</v>
          </cell>
          <cell r="C326" t="str">
            <v>m³</v>
          </cell>
          <cell r="D326">
            <v>398.42</v>
          </cell>
          <cell r="E326" t="str">
            <v>A incluir</v>
          </cell>
          <cell r="F326" t="e">
            <v>#N/A</v>
          </cell>
          <cell r="G326" t="e">
            <v>#N/A</v>
          </cell>
        </row>
        <row r="327">
          <cell r="A327">
            <v>40351</v>
          </cell>
          <cell r="B327" t="str">
            <v>Concreto ciclópico com 70% concreto 15,0 MPa e 30% de pedra de mão, tudo incluído</v>
          </cell>
          <cell r="C327" t="str">
            <v>m³</v>
          </cell>
          <cell r="D327">
            <v>434.6</v>
          </cell>
          <cell r="E327" t="str">
            <v>A incluir</v>
          </cell>
          <cell r="F327">
            <v>510.51</v>
          </cell>
          <cell r="G327">
            <v>1.17466635987115</v>
          </cell>
        </row>
        <row r="328">
          <cell r="A328">
            <v>40353</v>
          </cell>
          <cell r="B328" t="str">
            <v>Concreto ciclópico com 70% concreto 20,0 MPa e 30% de pedra de mão, tudo incluído</v>
          </cell>
          <cell r="C328" t="str">
            <v>m³</v>
          </cell>
          <cell r="D328">
            <v>452.62</v>
          </cell>
          <cell r="E328" t="str">
            <v>A incluir</v>
          </cell>
          <cell r="F328" t="e">
            <v>#N/A</v>
          </cell>
          <cell r="G328" t="e">
            <v>#N/A</v>
          </cell>
        </row>
        <row r="329">
          <cell r="A329">
            <v>40383</v>
          </cell>
          <cell r="B329" t="str">
            <v>Concreto de Cim.Port. com equip peq.porte (custo SICRO/DNIT)</v>
          </cell>
          <cell r="C329" t="str">
            <v>m³</v>
          </cell>
          <cell r="D329">
            <v>463</v>
          </cell>
          <cell r="E329">
            <v>0</v>
          </cell>
          <cell r="F329" t="e">
            <v>#N/A</v>
          </cell>
          <cell r="G329" t="e">
            <v>#N/A</v>
          </cell>
        </row>
        <row r="330">
          <cell r="A330">
            <v>40349</v>
          </cell>
          <cell r="B330" t="str">
            <v>Concreto de regularização, tudo incluído</v>
          </cell>
          <cell r="C330" t="str">
            <v>m³</v>
          </cell>
          <cell r="D330">
            <v>430.16</v>
          </cell>
          <cell r="E330" t="str">
            <v>A incluir</v>
          </cell>
          <cell r="F330">
            <v>484.57</v>
          </cell>
          <cell r="G330">
            <v>1.12648781848614</v>
          </cell>
        </row>
        <row r="331">
          <cell r="A331">
            <v>40358</v>
          </cell>
          <cell r="B331" t="str">
            <v>Concreto estrutural fck = 15,0 MPa, tudo incluído</v>
          </cell>
          <cell r="C331" t="str">
            <v>m³</v>
          </cell>
          <cell r="D331">
            <v>575.95000000000005</v>
          </cell>
          <cell r="E331" t="str">
            <v>A incluir</v>
          </cell>
          <cell r="F331">
            <v>662.45</v>
          </cell>
          <cell r="G331">
            <v>1.1501866481465399</v>
          </cell>
        </row>
        <row r="332">
          <cell r="A332">
            <v>40361</v>
          </cell>
          <cell r="B332" t="str">
            <v>Concreto estrutural fck = 20,0 MPa com plastificante, tudo incluído</v>
          </cell>
          <cell r="C332" t="str">
            <v>m³</v>
          </cell>
          <cell r="D332">
            <v>604.62</v>
          </cell>
          <cell r="E332" t="str">
            <v>A incluir</v>
          </cell>
          <cell r="F332" t="e">
            <v>#N/A</v>
          </cell>
          <cell r="G332" t="e">
            <v>#N/A</v>
          </cell>
        </row>
        <row r="333">
          <cell r="A333">
            <v>40360</v>
          </cell>
          <cell r="B333" t="str">
            <v>Concreto estrutural fck = 20,0 MPa, tudo incluído</v>
          </cell>
          <cell r="C333" t="str">
            <v>m³</v>
          </cell>
          <cell r="D333">
            <v>601.69000000000005</v>
          </cell>
          <cell r="E333" t="str">
            <v>A incluir</v>
          </cell>
          <cell r="F333">
            <v>688.27</v>
          </cell>
          <cell r="G333">
            <v>1.14389469660456</v>
          </cell>
        </row>
        <row r="334">
          <cell r="A334">
            <v>40363</v>
          </cell>
          <cell r="B334" t="str">
            <v>Concreto estrutural fck = 25,0 MPa com plastificante, tudo incluído</v>
          </cell>
          <cell r="C334" t="str">
            <v>m³</v>
          </cell>
          <cell r="D334">
            <v>632.33000000000004</v>
          </cell>
          <cell r="E334" t="str">
            <v>A incluir</v>
          </cell>
          <cell r="F334" t="e">
            <v>#N/A</v>
          </cell>
          <cell r="G334" t="e">
            <v>#N/A</v>
          </cell>
        </row>
        <row r="335">
          <cell r="A335">
            <v>40362</v>
          </cell>
          <cell r="B335" t="str">
            <v>Concreto estrutural fck = 25,0 MPa, inclusive fornecimento e transporte do cimento, areia e pedra britada</v>
          </cell>
          <cell r="C335" t="str">
            <v>m³</v>
          </cell>
          <cell r="D335">
            <v>629.04</v>
          </cell>
          <cell r="E335" t="str">
            <v>A incluir</v>
          </cell>
          <cell r="F335" t="e">
            <v>#N/A</v>
          </cell>
          <cell r="G335" t="e">
            <v>#N/A</v>
          </cell>
        </row>
        <row r="336">
          <cell r="A336">
            <v>40368</v>
          </cell>
          <cell r="B336" t="str">
            <v>Concreto estrutural fck = 30,0 MPa com micro-silica e Sikacrete BR ou equivalente</v>
          </cell>
          <cell r="C336" t="str">
            <v>m³</v>
          </cell>
          <cell r="D336">
            <v>803.72</v>
          </cell>
          <cell r="E336" t="str">
            <v>A incluir</v>
          </cell>
          <cell r="F336" t="e">
            <v>#N/A</v>
          </cell>
          <cell r="G336" t="e">
            <v>#N/A</v>
          </cell>
        </row>
        <row r="337">
          <cell r="A337">
            <v>40365</v>
          </cell>
          <cell r="B337" t="str">
            <v>Concreto estrutural fck = 30,0 MPa com plastificante</v>
          </cell>
          <cell r="C337" t="str">
            <v>m³</v>
          </cell>
          <cell r="D337">
            <v>657.86</v>
          </cell>
          <cell r="E337" t="str">
            <v>A incluir</v>
          </cell>
          <cell r="F337" t="e">
            <v>#N/A</v>
          </cell>
          <cell r="G337" t="e">
            <v>#N/A</v>
          </cell>
        </row>
        <row r="338">
          <cell r="A338">
            <v>40364</v>
          </cell>
          <cell r="B338" t="str">
            <v>Concreto estrutural fck = 30,0 MPa, tudo incluído</v>
          </cell>
          <cell r="C338" t="str">
            <v>m³</v>
          </cell>
          <cell r="D338">
            <v>654.23</v>
          </cell>
          <cell r="E338" t="str">
            <v>A incluir</v>
          </cell>
          <cell r="F338" t="e">
            <v>#N/A</v>
          </cell>
          <cell r="G338" t="e">
            <v>#N/A</v>
          </cell>
        </row>
        <row r="339">
          <cell r="A339">
            <v>40369</v>
          </cell>
          <cell r="B339" t="str">
            <v>Concreto estrutural fck = 35,0 MPa com micro-silica e Sikacrete BR ou equivalente</v>
          </cell>
          <cell r="C339" t="str">
            <v>m³</v>
          </cell>
          <cell r="D339">
            <v>843.43</v>
          </cell>
          <cell r="E339" t="str">
            <v>A incluir</v>
          </cell>
          <cell r="F339" t="e">
            <v>#N/A</v>
          </cell>
          <cell r="G339" t="e">
            <v>#N/A</v>
          </cell>
        </row>
        <row r="340">
          <cell r="A340">
            <v>40371</v>
          </cell>
          <cell r="B340" t="str">
            <v>Concreto submerso fck = 20,0 MPa, tudo incluído</v>
          </cell>
          <cell r="C340" t="str">
            <v>m³</v>
          </cell>
          <cell r="D340">
            <v>1132.5999999999999</v>
          </cell>
          <cell r="E340" t="str">
            <v>A incluir</v>
          </cell>
          <cell r="F340" t="e">
            <v>#N/A</v>
          </cell>
          <cell r="G340" t="e">
            <v>#N/A</v>
          </cell>
        </row>
        <row r="341">
          <cell r="A341">
            <v>41205</v>
          </cell>
          <cell r="B341" t="str">
            <v>Conjunto Moto-bomba submersível de 15CV, fornecimento e assentamento</v>
          </cell>
          <cell r="C341" t="str">
            <v>un</v>
          </cell>
          <cell r="D341">
            <v>32593.360000000001</v>
          </cell>
          <cell r="E341">
            <v>0</v>
          </cell>
          <cell r="F341" t="e">
            <v>#N/A</v>
          </cell>
          <cell r="G341" t="e">
            <v>#N/A</v>
          </cell>
        </row>
        <row r="342">
          <cell r="A342">
            <v>40467</v>
          </cell>
          <cell r="B342" t="str">
            <v>Corpo BDTC (grota) diâmetro 0,60 m CA-1 MF exclusive escavação e reaterro, inclusive transporte do tubo</v>
          </cell>
          <cell r="C342" t="str">
            <v>m</v>
          </cell>
          <cell r="D342">
            <v>301.83</v>
          </cell>
          <cell r="E342" t="str">
            <v>A incluir</v>
          </cell>
          <cell r="F342" t="e">
            <v>#N/A</v>
          </cell>
          <cell r="G342" t="e">
            <v>#N/A</v>
          </cell>
        </row>
        <row r="343">
          <cell r="A343">
            <v>40468</v>
          </cell>
          <cell r="B343" t="str">
            <v>Corpo BDTC (grota) diâmetro 0,60 m CA-1 PB exclusive escavação e reaterro, inclusive transporte do tubo</v>
          </cell>
          <cell r="C343" t="str">
            <v>m</v>
          </cell>
          <cell r="D343">
            <v>305.58</v>
          </cell>
          <cell r="E343" t="str">
            <v>A incluir</v>
          </cell>
          <cell r="F343" t="e">
            <v>#N/A</v>
          </cell>
          <cell r="G343" t="e">
            <v>#N/A</v>
          </cell>
        </row>
        <row r="344">
          <cell r="A344">
            <v>40469</v>
          </cell>
          <cell r="B344" t="str">
            <v>Corpo BDTC (grota) diâmetro 0,60 m CA-2 MF exclusive escavação e reaterro, inclusive transporte do tubo</v>
          </cell>
          <cell r="C344" t="str">
            <v>m</v>
          </cell>
          <cell r="D344">
            <v>289.43</v>
          </cell>
          <cell r="E344" t="str">
            <v>A incluir</v>
          </cell>
          <cell r="F344" t="e">
            <v>#N/A</v>
          </cell>
          <cell r="G344" t="e">
            <v>#N/A</v>
          </cell>
        </row>
        <row r="345">
          <cell r="A345">
            <v>40470</v>
          </cell>
          <cell r="B345" t="str">
            <v>Corpo BDTC (grota) diâmetro 0,60 m CA-2 PB exclusive escavação e reaterro, inclusive transporte do tubo</v>
          </cell>
          <cell r="C345" t="str">
            <v>m</v>
          </cell>
          <cell r="D345">
            <v>296.08999999999997</v>
          </cell>
          <cell r="E345" t="str">
            <v>A incluir</v>
          </cell>
          <cell r="F345" t="e">
            <v>#N/A</v>
          </cell>
          <cell r="G345" t="e">
            <v>#N/A</v>
          </cell>
        </row>
        <row r="346">
          <cell r="A346">
            <v>40471</v>
          </cell>
          <cell r="B346" t="str">
            <v>Corpo BDTC (grota) diâmetro 0,80 m CA-1 MF exclusive escavação e reaterro, inclusive transporte do tubo</v>
          </cell>
          <cell r="C346" t="str">
            <v>m</v>
          </cell>
          <cell r="D346">
            <v>612.78</v>
          </cell>
          <cell r="E346" t="str">
            <v>A incluir</v>
          </cell>
          <cell r="F346" t="e">
            <v>#N/A</v>
          </cell>
          <cell r="G346" t="e">
            <v>#N/A</v>
          </cell>
        </row>
        <row r="347">
          <cell r="A347">
            <v>40472</v>
          </cell>
          <cell r="B347" t="str">
            <v>Corpo BDTC (grota) diâmetro 0,80 m CA-1 PB exclusive escavação e reaterro, inclusive transporte do tubo</v>
          </cell>
          <cell r="C347" t="str">
            <v>m</v>
          </cell>
          <cell r="D347">
            <v>617.29999999999995</v>
          </cell>
          <cell r="E347" t="str">
            <v>A incluir</v>
          </cell>
          <cell r="F347" t="e">
            <v>#N/A</v>
          </cell>
          <cell r="G347" t="e">
            <v>#N/A</v>
          </cell>
        </row>
        <row r="348">
          <cell r="A348">
            <v>40473</v>
          </cell>
          <cell r="B348" t="str">
            <v>Corpo BDTC (grota) diâmetro 0,80 m CA-2 MF exclusive escavação e reaterro, inclusive transporte do tubo</v>
          </cell>
          <cell r="C348" t="str">
            <v>m</v>
          </cell>
          <cell r="D348">
            <v>600.21</v>
          </cell>
          <cell r="E348" t="str">
            <v>A incluir</v>
          </cell>
          <cell r="F348" t="e">
            <v>#N/A</v>
          </cell>
          <cell r="G348" t="e">
            <v>#N/A</v>
          </cell>
        </row>
        <row r="349">
          <cell r="A349">
            <v>40474</v>
          </cell>
          <cell r="B349" t="str">
            <v>Corpo BDTC (grota) diâmetro 0,80 m CA-2 PB exclusive escavação e reaterro, inclusive transporte do tubo</v>
          </cell>
          <cell r="C349" t="str">
            <v>m</v>
          </cell>
          <cell r="D349">
            <v>640.30999999999995</v>
          </cell>
          <cell r="E349" t="str">
            <v>A incluir</v>
          </cell>
          <cell r="F349" t="e">
            <v>#N/A</v>
          </cell>
          <cell r="G349" t="e">
            <v>#N/A</v>
          </cell>
        </row>
        <row r="350">
          <cell r="A350">
            <v>40475</v>
          </cell>
          <cell r="B350" t="str">
            <v>Corpo BDTC (grota) diâmetro 1,00 m CA-1 MF exclusive escavação e reaterro, inclusive transporte do tubo</v>
          </cell>
          <cell r="C350" t="str">
            <v>m</v>
          </cell>
          <cell r="D350">
            <v>772</v>
          </cell>
          <cell r="E350" t="str">
            <v>A incluir</v>
          </cell>
          <cell r="F350" t="e">
            <v>#N/A</v>
          </cell>
          <cell r="G350" t="e">
            <v>#N/A</v>
          </cell>
        </row>
        <row r="351">
          <cell r="A351">
            <v>40476</v>
          </cell>
          <cell r="B351" t="str">
            <v>Corpo BDTC (grota) diâmetro 1,00 m CA-1 PB exclusive escavação e reaterro, inclusive transporte do tubo</v>
          </cell>
          <cell r="C351" t="str">
            <v>m</v>
          </cell>
          <cell r="D351">
            <v>769.61</v>
          </cell>
          <cell r="E351" t="str">
            <v>A incluir</v>
          </cell>
          <cell r="F351" t="e">
            <v>#N/A</v>
          </cell>
          <cell r="G351" t="e">
            <v>#N/A</v>
          </cell>
        </row>
        <row r="352">
          <cell r="A352">
            <v>40477</v>
          </cell>
          <cell r="B352" t="str">
            <v>Corpo BDTC (grota) diâmetro 1,00 m CA-2 MF exclusive escavação e reaterro, inclusive transporte do tubo</v>
          </cell>
          <cell r="C352" t="str">
            <v>m</v>
          </cell>
          <cell r="D352">
            <v>845.99</v>
          </cell>
          <cell r="E352" t="str">
            <v>A incluir</v>
          </cell>
          <cell r="F352" t="e">
            <v>#N/A</v>
          </cell>
          <cell r="G352" t="e">
            <v>#N/A</v>
          </cell>
        </row>
        <row r="353">
          <cell r="A353">
            <v>40478</v>
          </cell>
          <cell r="B353" t="str">
            <v>Corpo BDTC (grota) diâmetro 1,00 m CA-2 PB exclusive escavação e reaterro, inclusive transporte do tubo</v>
          </cell>
          <cell r="C353" t="str">
            <v>m</v>
          </cell>
          <cell r="D353">
            <v>813.54</v>
          </cell>
          <cell r="E353" t="str">
            <v>A incluir</v>
          </cell>
          <cell r="F353" t="e">
            <v>#N/A</v>
          </cell>
          <cell r="G353" t="e">
            <v>#N/A</v>
          </cell>
        </row>
        <row r="354">
          <cell r="A354">
            <v>40479</v>
          </cell>
          <cell r="B354" t="str">
            <v>Corpo BDTC (grota) diâmetro 1,00 m CA-3 MF exclusive escavação e reaterro, inclusive transporte do tubo</v>
          </cell>
          <cell r="C354" t="str">
            <v>m</v>
          </cell>
          <cell r="D354">
            <v>845.75</v>
          </cell>
          <cell r="E354" t="str">
            <v>A incluir</v>
          </cell>
          <cell r="F354" t="e">
            <v>#N/A</v>
          </cell>
          <cell r="G354" t="e">
            <v>#N/A</v>
          </cell>
        </row>
        <row r="355">
          <cell r="A355">
            <v>40480</v>
          </cell>
          <cell r="B355" t="str">
            <v>Corpo BDTC (grota) diâmetro 1,20 m CA-1 MF exclusive escavação e reaterro, inclusive transporte do tubo</v>
          </cell>
          <cell r="C355" t="str">
            <v>m</v>
          </cell>
          <cell r="D355">
            <v>1115.9100000000001</v>
          </cell>
          <cell r="E355" t="str">
            <v>A incluir</v>
          </cell>
          <cell r="F355" t="e">
            <v>#N/A</v>
          </cell>
          <cell r="G355" t="e">
            <v>#N/A</v>
          </cell>
        </row>
        <row r="356">
          <cell r="A356">
            <v>40481</v>
          </cell>
          <cell r="B356" t="str">
            <v>Corpo BDTC (grota) diâmetro 1,20 m CA-1 PB exclusive escavação e reaterro, inclusive transporte do tubo</v>
          </cell>
          <cell r="C356" t="str">
            <v>m</v>
          </cell>
          <cell r="D356">
            <v>1147.55</v>
          </cell>
          <cell r="E356" t="str">
            <v>A incluir</v>
          </cell>
          <cell r="F356" t="e">
            <v>#N/A</v>
          </cell>
          <cell r="G356" t="e">
            <v>#N/A</v>
          </cell>
        </row>
        <row r="357">
          <cell r="A357">
            <v>40482</v>
          </cell>
          <cell r="B357" t="str">
            <v>Corpo BDTC (grota) diâmetro 1,20 m CA-2 MF exclusive escavação e reaterro, inclusive transporte do tubo</v>
          </cell>
          <cell r="C357" t="str">
            <v>m</v>
          </cell>
          <cell r="D357">
            <v>1127.92</v>
          </cell>
          <cell r="E357" t="str">
            <v>A incluir</v>
          </cell>
          <cell r="F357" t="e">
            <v>#N/A</v>
          </cell>
          <cell r="G357" t="e">
            <v>#N/A</v>
          </cell>
        </row>
        <row r="358">
          <cell r="A358">
            <v>40483</v>
          </cell>
          <cell r="B358" t="str">
            <v>Corpo BDTC (grota) diâmetro 1,20 m CA-2 PB exclusive escavação e reaterro, inclusive transporte do tubo</v>
          </cell>
          <cell r="C358" t="str">
            <v>m</v>
          </cell>
          <cell r="D358">
            <v>1208.22</v>
          </cell>
          <cell r="E358" t="str">
            <v>A incluir</v>
          </cell>
          <cell r="F358">
            <v>1312.86</v>
          </cell>
          <cell r="G358">
            <v>1.08660674380494</v>
          </cell>
        </row>
        <row r="359">
          <cell r="A359">
            <v>40484</v>
          </cell>
          <cell r="B359" t="str">
            <v>Corpo BDTC (grota) diâmetro 1,20 m CA-3 MF exclusive escavação e reaterro, inclusive transporte do tubo</v>
          </cell>
          <cell r="C359" t="str">
            <v>m</v>
          </cell>
          <cell r="D359">
            <v>1177.57</v>
          </cell>
          <cell r="E359" t="str">
            <v>A incluir</v>
          </cell>
          <cell r="F359" t="e">
            <v>#N/A</v>
          </cell>
          <cell r="G359" t="e">
            <v>#N/A</v>
          </cell>
        </row>
        <row r="360">
          <cell r="A360">
            <v>40485</v>
          </cell>
          <cell r="B360" t="str">
            <v>Corpo BDTC (grota) diâmetro 1,50 m CA-1 MF exclusive escavação e reaterro, inclusive transporte do tubo</v>
          </cell>
          <cell r="C360" t="str">
            <v>m</v>
          </cell>
          <cell r="D360">
            <v>1873.76</v>
          </cell>
          <cell r="E360" t="str">
            <v>A incluir</v>
          </cell>
          <cell r="F360" t="e">
            <v>#N/A</v>
          </cell>
          <cell r="G360" t="e">
            <v>#N/A</v>
          </cell>
        </row>
        <row r="361">
          <cell r="A361">
            <v>40486</v>
          </cell>
          <cell r="B361" t="str">
            <v>Corpo BDTC (grota) diâmetro 1,50 m CA-1 PB exclusive escavação e reaterro, inclusive transporte do tubo</v>
          </cell>
          <cell r="C361" t="str">
            <v>m</v>
          </cell>
          <cell r="D361">
            <v>1618.02</v>
          </cell>
          <cell r="E361" t="str">
            <v>A incluir</v>
          </cell>
          <cell r="F361" t="e">
            <v>#N/A</v>
          </cell>
          <cell r="G361" t="e">
            <v>#N/A</v>
          </cell>
        </row>
        <row r="362">
          <cell r="A362">
            <v>40487</v>
          </cell>
          <cell r="B362" t="str">
            <v>Corpo BDTC (grota) diâmetro 1,50 m CA-2 MF exclusive escavação e reaterro, inclusive transporte do tubo</v>
          </cell>
          <cell r="C362" t="str">
            <v>m</v>
          </cell>
          <cell r="D362">
            <v>1874.37</v>
          </cell>
          <cell r="E362" t="str">
            <v>A incluir</v>
          </cell>
          <cell r="F362" t="e">
            <v>#N/A</v>
          </cell>
          <cell r="G362" t="e">
            <v>#N/A</v>
          </cell>
        </row>
        <row r="363">
          <cell r="A363">
            <v>40488</v>
          </cell>
          <cell r="B363" t="str">
            <v>Corpo BDTC (grota) diâmetro 1,50 m CA-2 PB exclusive escavação e reaterro, inclusive transporte do tubo</v>
          </cell>
          <cell r="C363" t="str">
            <v>m</v>
          </cell>
          <cell r="D363">
            <v>1700.64</v>
          </cell>
          <cell r="E363" t="str">
            <v>A incluir</v>
          </cell>
          <cell r="F363" t="e">
            <v>#N/A</v>
          </cell>
          <cell r="G363" t="e">
            <v>#N/A</v>
          </cell>
        </row>
        <row r="364">
          <cell r="A364">
            <v>40489</v>
          </cell>
          <cell r="B364" t="str">
            <v>Corpo BDTC (grota) diâmetro 1,50 m CA-3 MF exclusive escavação e reaterro, inclusive transporte do tubo</v>
          </cell>
          <cell r="C364" t="str">
            <v>m</v>
          </cell>
          <cell r="D364">
            <v>1454.37</v>
          </cell>
          <cell r="E364" t="str">
            <v>A incluir</v>
          </cell>
          <cell r="F364" t="e">
            <v>#N/A</v>
          </cell>
          <cell r="G364" t="e">
            <v>#N/A</v>
          </cell>
        </row>
        <row r="365">
          <cell r="A365">
            <v>40417</v>
          </cell>
          <cell r="B365" t="str">
            <v>Corpo BSTC diâmetro 0,20 m C.S. MF inclusive escavação, reaterro e transporte do tubo</v>
          </cell>
          <cell r="C365" t="str">
            <v>m</v>
          </cell>
          <cell r="D365">
            <v>85.38</v>
          </cell>
          <cell r="E365" t="str">
            <v>A incluir</v>
          </cell>
          <cell r="F365" t="e">
            <v>#N/A</v>
          </cell>
          <cell r="G365" t="e">
            <v>#N/A</v>
          </cell>
        </row>
        <row r="366">
          <cell r="A366">
            <v>40418</v>
          </cell>
          <cell r="B366" t="str">
            <v>Corpo BSTC diâmetro 0,20 m C.S. PB inclusive escavação, reaterro e transporte do tubo</v>
          </cell>
          <cell r="C366" t="str">
            <v>m</v>
          </cell>
          <cell r="D366">
            <v>85.38</v>
          </cell>
          <cell r="E366" t="str">
            <v>A incluir</v>
          </cell>
          <cell r="F366" t="e">
            <v>#N/A</v>
          </cell>
          <cell r="G366" t="e">
            <v>#N/A</v>
          </cell>
        </row>
        <row r="367">
          <cell r="A367">
            <v>40419</v>
          </cell>
          <cell r="B367" t="str">
            <v>Corpo BSTC diâmetro 0,30 m C.S. MF inclusive escavação, reaterro e transporte do tubo</v>
          </cell>
          <cell r="C367" t="str">
            <v>m</v>
          </cell>
          <cell r="D367">
            <v>108.73</v>
          </cell>
          <cell r="E367" t="str">
            <v>A incluir</v>
          </cell>
          <cell r="F367" t="e">
            <v>#N/A</v>
          </cell>
          <cell r="G367" t="e">
            <v>#N/A</v>
          </cell>
        </row>
        <row r="368">
          <cell r="A368">
            <v>40420</v>
          </cell>
          <cell r="B368" t="str">
            <v>Corpo BSTC diâmetro 0,30 m C.S. PB inclusive escavação, reaterro e transporte do tubo</v>
          </cell>
          <cell r="C368" t="str">
            <v>m</v>
          </cell>
          <cell r="D368">
            <v>108.15</v>
          </cell>
          <cell r="E368" t="str">
            <v>A incluir</v>
          </cell>
          <cell r="F368" t="e">
            <v>#N/A</v>
          </cell>
          <cell r="G368" t="e">
            <v>#N/A</v>
          </cell>
        </row>
        <row r="369">
          <cell r="A369">
            <v>40422</v>
          </cell>
          <cell r="B369" t="str">
            <v>Corpo BSTC diâmetro 0,40 m C.S. MF inclusive escavação, reaterro e transporte do tubo</v>
          </cell>
          <cell r="C369" t="str">
            <v>m</v>
          </cell>
          <cell r="D369">
            <v>145.27000000000001</v>
          </cell>
          <cell r="E369" t="str">
            <v>A incluir</v>
          </cell>
          <cell r="F369" t="e">
            <v>#N/A</v>
          </cell>
          <cell r="G369" t="e">
            <v>#N/A</v>
          </cell>
        </row>
        <row r="370">
          <cell r="A370">
            <v>40423</v>
          </cell>
          <cell r="B370" t="str">
            <v>Corpo BSTC diâmetro 0,40 m C.S. PB inclusive escavação, reaterro e transporte do tubo</v>
          </cell>
          <cell r="C370" t="str">
            <v>m</v>
          </cell>
          <cell r="D370">
            <v>140.15</v>
          </cell>
          <cell r="E370" t="str">
            <v>A incluir</v>
          </cell>
          <cell r="F370" t="e">
            <v>#N/A</v>
          </cell>
          <cell r="G370" t="e">
            <v>#N/A</v>
          </cell>
        </row>
        <row r="371">
          <cell r="A371">
            <v>40426</v>
          </cell>
          <cell r="B371" t="str">
            <v>Corpo BSTC diâmetro 0,60 m C.S. MF inclusive escavação, reaterro e transporte do tubo</v>
          </cell>
          <cell r="C371" t="str">
            <v>m</v>
          </cell>
          <cell r="D371">
            <v>236.31</v>
          </cell>
          <cell r="E371" t="str">
            <v>A incluir</v>
          </cell>
          <cell r="F371" t="e">
            <v>#N/A</v>
          </cell>
          <cell r="G371" t="e">
            <v>#N/A</v>
          </cell>
        </row>
        <row r="372">
          <cell r="A372">
            <v>40427</v>
          </cell>
          <cell r="B372" t="str">
            <v>Corpo BSTC diâmetro 0,60 m C.S. PB inclusive escavação, reaterro e transporte do tubo</v>
          </cell>
          <cell r="C372" t="str">
            <v>m</v>
          </cell>
          <cell r="D372">
            <v>228.61</v>
          </cell>
          <cell r="E372" t="str">
            <v>A incluir</v>
          </cell>
          <cell r="F372" t="e">
            <v>#N/A</v>
          </cell>
          <cell r="G372" t="e">
            <v>#N/A</v>
          </cell>
        </row>
        <row r="373">
          <cell r="A373">
            <v>40421</v>
          </cell>
          <cell r="B373" t="str">
            <v>Corpo BSTC (greide) diâmetro 0,30 m CA-1 MF inclusive escavação, reaterro e transporte do tubo</v>
          </cell>
          <cell r="C373" t="str">
            <v>m</v>
          </cell>
          <cell r="D373">
            <v>111.19</v>
          </cell>
          <cell r="E373" t="str">
            <v>A incluir</v>
          </cell>
          <cell r="F373">
            <v>114.29</v>
          </cell>
          <cell r="G373">
            <v>1.02788020505441</v>
          </cell>
        </row>
        <row r="374">
          <cell r="A374">
            <v>40424</v>
          </cell>
          <cell r="B374" t="str">
            <v>Corpo BSTC (greide) diâmetro 0,40 m CA-1 MF inclusive escavação, reaterro e transporte do tubo</v>
          </cell>
          <cell r="C374" t="str">
            <v>m</v>
          </cell>
          <cell r="D374">
            <v>155.13</v>
          </cell>
          <cell r="E374" t="str">
            <v>A incluir</v>
          </cell>
          <cell r="F374" t="e">
            <v>#N/A</v>
          </cell>
          <cell r="G374" t="e">
            <v>#N/A</v>
          </cell>
        </row>
        <row r="375">
          <cell r="A375">
            <v>40425</v>
          </cell>
          <cell r="B375" t="str">
            <v>Corpo BSTC (greide) diâmetro 0,40 m CA-2 MF inclusive escavação, reaterro e transporte do tubo</v>
          </cell>
          <cell r="C375" t="str">
            <v>m</v>
          </cell>
          <cell r="D375">
            <v>161.91</v>
          </cell>
          <cell r="E375" t="str">
            <v>A incluir</v>
          </cell>
          <cell r="F375" t="e">
            <v>#N/A</v>
          </cell>
          <cell r="G375" t="e">
            <v>#N/A</v>
          </cell>
        </row>
        <row r="376">
          <cell r="A376">
            <v>40428</v>
          </cell>
          <cell r="B376" t="str">
            <v>Corpo BSTC (greide) diâmetro 0,60 m CA-1 MF inclusive escavação, reaterro e transporte do tubo</v>
          </cell>
          <cell r="C376" t="str">
            <v>m</v>
          </cell>
          <cell r="D376">
            <v>248.68</v>
          </cell>
          <cell r="E376" t="str">
            <v>A incluir</v>
          </cell>
          <cell r="F376" t="e">
            <v>#N/A</v>
          </cell>
          <cell r="G376" t="e">
            <v>#N/A</v>
          </cell>
        </row>
        <row r="377">
          <cell r="A377">
            <v>40429</v>
          </cell>
          <cell r="B377" t="str">
            <v>Corpo BSTC (greide) diâmetro 0,60 m CA-1 PB inclusive escavação, reaterro e transporte do tubo</v>
          </cell>
          <cell r="C377" t="str">
            <v>m</v>
          </cell>
          <cell r="D377">
            <v>250.56</v>
          </cell>
          <cell r="E377" t="str">
            <v>A incluir</v>
          </cell>
          <cell r="F377">
            <v>262.52</v>
          </cell>
          <cell r="G377">
            <v>1.0477330779054901</v>
          </cell>
        </row>
        <row r="378">
          <cell r="A378">
            <v>40430</v>
          </cell>
          <cell r="B378" t="str">
            <v>Corpo BSTC (greide) diâmetro 0,60 m CA-2 MF inclusive escavação, reaterro e transporte do tubo</v>
          </cell>
          <cell r="C378" t="str">
            <v>m</v>
          </cell>
          <cell r="D378">
            <v>242.48</v>
          </cell>
          <cell r="E378" t="str">
            <v>A incluir</v>
          </cell>
          <cell r="F378" t="e">
            <v>#N/A</v>
          </cell>
          <cell r="G378" t="e">
            <v>#N/A</v>
          </cell>
        </row>
        <row r="379">
          <cell r="A379">
            <v>40431</v>
          </cell>
          <cell r="B379" t="str">
            <v>Corpo BSTC (greide) diâmetro 0,60 m CA-2 PB inclusive escavação, reaterro e transporte do tubo</v>
          </cell>
          <cell r="C379" t="str">
            <v>m</v>
          </cell>
          <cell r="D379">
            <v>245.81</v>
          </cell>
          <cell r="E379" t="str">
            <v>A incluir</v>
          </cell>
          <cell r="F379" t="e">
            <v>#N/A</v>
          </cell>
          <cell r="G379" t="e">
            <v>#N/A</v>
          </cell>
        </row>
        <row r="380">
          <cell r="A380">
            <v>40432</v>
          </cell>
          <cell r="B380" t="str">
            <v>Corpo BSTC (greide) diâmetro 0,80 m CA-1 MF inclusive escavação, reaterro e transporte do tubo</v>
          </cell>
          <cell r="C380" t="str">
            <v>m</v>
          </cell>
          <cell r="D380">
            <v>477.02</v>
          </cell>
          <cell r="E380" t="str">
            <v>A incluir</v>
          </cell>
          <cell r="F380" t="e">
            <v>#N/A</v>
          </cell>
          <cell r="G380" t="e">
            <v>#N/A</v>
          </cell>
        </row>
        <row r="381">
          <cell r="A381">
            <v>40433</v>
          </cell>
          <cell r="B381" t="str">
            <v>Corpo BSTC (greide) diâmetro 0,80 m CA-1 PB inclusive escavação, reaterro e transporte do tubo</v>
          </cell>
          <cell r="C381" t="str">
            <v>m</v>
          </cell>
          <cell r="D381">
            <v>479.28</v>
          </cell>
          <cell r="E381" t="str">
            <v>A incluir</v>
          </cell>
          <cell r="F381">
            <v>503.23</v>
          </cell>
          <cell r="G381">
            <v>1.04997078951761</v>
          </cell>
        </row>
        <row r="382">
          <cell r="A382">
            <v>40434</v>
          </cell>
          <cell r="B382" t="str">
            <v>Corpo BSTC (greide) diâmetro 0,80 m CA-2 MF inclusive escavação, reaterro e transporte do tubo</v>
          </cell>
          <cell r="C382" t="str">
            <v>m</v>
          </cell>
          <cell r="D382">
            <v>470.73</v>
          </cell>
          <cell r="E382" t="str">
            <v>A incluir</v>
          </cell>
          <cell r="F382" t="e">
            <v>#N/A</v>
          </cell>
          <cell r="G382" t="e">
            <v>#N/A</v>
          </cell>
        </row>
        <row r="383">
          <cell r="A383">
            <v>40435</v>
          </cell>
          <cell r="B383" t="str">
            <v>Corpo BSTC (greide) diâmetro 0,80 m CA-2 PB inclusive escavação, reaterro e transporte do tubo</v>
          </cell>
          <cell r="C383" t="str">
            <v>m</v>
          </cell>
          <cell r="D383">
            <v>490.78</v>
          </cell>
          <cell r="E383" t="str">
            <v>A incluir</v>
          </cell>
          <cell r="F383" t="e">
            <v>#N/A</v>
          </cell>
          <cell r="G383" t="e">
            <v>#N/A</v>
          </cell>
        </row>
        <row r="384">
          <cell r="A384">
            <v>40436</v>
          </cell>
          <cell r="B384" t="str">
            <v>Corpo BSTC (greide) diâmetro 1,00 m CA-1 MF inclusive escavação, reaterro e transporte do tubo</v>
          </cell>
          <cell r="C384" t="str">
            <v>m</v>
          </cell>
          <cell r="D384">
            <v>638.35</v>
          </cell>
          <cell r="E384" t="str">
            <v>A incluir</v>
          </cell>
          <cell r="F384" t="e">
            <v>#N/A</v>
          </cell>
          <cell r="G384" t="e">
            <v>#N/A</v>
          </cell>
        </row>
        <row r="385">
          <cell r="A385">
            <v>40437</v>
          </cell>
          <cell r="B385" t="str">
            <v>Corpo BSTC (greide) diâmetro 1,00 m CA-1 PB inclusive escavação, reaterro e transporte do tubo</v>
          </cell>
          <cell r="C385" t="str">
            <v>m</v>
          </cell>
          <cell r="D385">
            <v>637.15</v>
          </cell>
          <cell r="E385" t="str">
            <v>A incluir</v>
          </cell>
          <cell r="F385" t="e">
            <v>#N/A</v>
          </cell>
          <cell r="G385" t="e">
            <v>#N/A</v>
          </cell>
        </row>
        <row r="386">
          <cell r="A386">
            <v>40438</v>
          </cell>
          <cell r="B386" t="str">
            <v>Corpo BSTC (greide) diâmetro 1,00 m CA-2 MF inclusive escavação, reaterro e transporte do tubo</v>
          </cell>
          <cell r="C386" t="str">
            <v>m</v>
          </cell>
          <cell r="D386">
            <v>675.34</v>
          </cell>
          <cell r="E386" t="str">
            <v>A incluir</v>
          </cell>
          <cell r="F386" t="e">
            <v>#N/A</v>
          </cell>
          <cell r="G386" t="e">
            <v>#N/A</v>
          </cell>
        </row>
        <row r="387">
          <cell r="A387">
            <v>40439</v>
          </cell>
          <cell r="B387" t="str">
            <v>Corpo BSTC (greide) diâmetro 1,00 m CA-2 PB inclusive escavação, reaterro e transporte do tubo</v>
          </cell>
          <cell r="C387" t="str">
            <v>m</v>
          </cell>
          <cell r="D387">
            <v>659.12</v>
          </cell>
          <cell r="E387" t="str">
            <v>A incluir</v>
          </cell>
          <cell r="F387" t="e">
            <v>#N/A</v>
          </cell>
          <cell r="G387" t="e">
            <v>#N/A</v>
          </cell>
        </row>
        <row r="388">
          <cell r="A388">
            <v>40440</v>
          </cell>
          <cell r="B388" t="str">
            <v>Corpo BSTC (greide) diâmetro 1,20 m CA-1 MF inclusive escavação, reaterro e transporte do tubo</v>
          </cell>
          <cell r="C388" t="str">
            <v>m</v>
          </cell>
          <cell r="D388">
            <v>890.14</v>
          </cell>
          <cell r="E388" t="str">
            <v>A incluir</v>
          </cell>
          <cell r="F388" t="e">
            <v>#N/A</v>
          </cell>
          <cell r="G388" t="e">
            <v>#N/A</v>
          </cell>
        </row>
        <row r="389">
          <cell r="A389">
            <v>40441</v>
          </cell>
          <cell r="B389" t="str">
            <v>Corpo BSTC (greide) diâmetro 1,20 m CA-1 PB inclusive escavação, reaterro e transporte do tubo</v>
          </cell>
          <cell r="C389" t="str">
            <v>m</v>
          </cell>
          <cell r="D389">
            <v>905.97</v>
          </cell>
          <cell r="E389" t="str">
            <v>A incluir</v>
          </cell>
          <cell r="F389" t="e">
            <v>#N/A</v>
          </cell>
          <cell r="G389" t="e">
            <v>#N/A</v>
          </cell>
        </row>
        <row r="390">
          <cell r="A390">
            <v>40442</v>
          </cell>
          <cell r="B390" t="str">
            <v>Corpo BSTC (greide) diâmetro 1,20 m CA-2 MF inclusive escavação, reaterro e transporte do tubo</v>
          </cell>
          <cell r="C390" t="str">
            <v>m</v>
          </cell>
          <cell r="D390">
            <v>896.15</v>
          </cell>
          <cell r="E390" t="str">
            <v>A incluir</v>
          </cell>
          <cell r="F390" t="e">
            <v>#N/A</v>
          </cell>
          <cell r="G390" t="e">
            <v>#N/A</v>
          </cell>
        </row>
        <row r="391">
          <cell r="A391">
            <v>40443</v>
          </cell>
          <cell r="B391" t="str">
            <v>Corpo BSTC (greide) diâmetro 1,20 m CA-2 PB inclusive escavação, reaterro e transporte do tubo</v>
          </cell>
          <cell r="C391" t="str">
            <v>m</v>
          </cell>
          <cell r="D391">
            <v>936.3</v>
          </cell>
          <cell r="E391" t="str">
            <v>A incluir</v>
          </cell>
          <cell r="F391" t="e">
            <v>#N/A</v>
          </cell>
          <cell r="G391" t="e">
            <v>#N/A</v>
          </cell>
        </row>
        <row r="392">
          <cell r="A392">
            <v>40444</v>
          </cell>
          <cell r="B392" t="str">
            <v>Corpo BSTC (grota) diâmetro 0,60 m CA-1 MF exclusive escavação e reaterro, inclusive transporte do tubo</v>
          </cell>
          <cell r="C392" t="str">
            <v>m</v>
          </cell>
          <cell r="D392">
            <v>152.41</v>
          </cell>
          <cell r="E392" t="str">
            <v>A incluir</v>
          </cell>
          <cell r="F392" t="e">
            <v>#N/A</v>
          </cell>
          <cell r="G392" t="e">
            <v>#N/A</v>
          </cell>
        </row>
        <row r="393">
          <cell r="A393">
            <v>40445</v>
          </cell>
          <cell r="B393" t="str">
            <v>Corpo BSTC (grota) diâmetro 0,60 m CA-1 PB exclusive escavação e reaterro, inclusive transporte do tubo</v>
          </cell>
          <cell r="C393" t="str">
            <v>m</v>
          </cell>
          <cell r="D393">
            <v>154.28</v>
          </cell>
          <cell r="E393" t="str">
            <v>A incluir</v>
          </cell>
          <cell r="F393" t="e">
            <v>#N/A</v>
          </cell>
          <cell r="G393" t="e">
            <v>#N/A</v>
          </cell>
        </row>
        <row r="394">
          <cell r="A394">
            <v>40446</v>
          </cell>
          <cell r="B394" t="str">
            <v>Corpo BSTC (grota) diâmetro 0,60 m CA-2 MF exclusive escavação e reaterro, inclusive transporte do tubo</v>
          </cell>
          <cell r="C394" t="str">
            <v>m</v>
          </cell>
          <cell r="D394">
            <v>146.19999999999999</v>
          </cell>
          <cell r="E394" t="str">
            <v>A incluir</v>
          </cell>
          <cell r="F394" t="e">
            <v>#N/A</v>
          </cell>
          <cell r="G394" t="e">
            <v>#N/A</v>
          </cell>
        </row>
        <row r="395">
          <cell r="A395">
            <v>40447</v>
          </cell>
          <cell r="B395" t="str">
            <v>Corpo BSTC (grota) diâmetro 0,60 m CA-2 PB exclusive escavação e reaterro, inclusive transporte do tubo</v>
          </cell>
          <cell r="C395" t="str">
            <v>m</v>
          </cell>
          <cell r="D395">
            <v>149.53</v>
          </cell>
          <cell r="E395" t="str">
            <v>A incluir</v>
          </cell>
          <cell r="F395" t="e">
            <v>#N/A</v>
          </cell>
          <cell r="G395" t="e">
            <v>#N/A</v>
          </cell>
        </row>
        <row r="396">
          <cell r="A396">
            <v>40448</v>
          </cell>
          <cell r="B396" t="str">
            <v>Corpo BSTC (grota) diâmetro 0,80 m CA-1 MF exclusive escavação e reaterro, inclusive transporte do tubo</v>
          </cell>
          <cell r="C396" t="str">
            <v>m</v>
          </cell>
          <cell r="D396">
            <v>341.37</v>
          </cell>
          <cell r="E396" t="str">
            <v>A incluir</v>
          </cell>
          <cell r="F396" t="e">
            <v>#N/A</v>
          </cell>
          <cell r="G396" t="e">
            <v>#N/A</v>
          </cell>
        </row>
        <row r="397">
          <cell r="A397">
            <v>40449</v>
          </cell>
          <cell r="B397" t="str">
            <v>Corpo BSTC (grota) diâmetro 0,80 m CA-1 PB exclusive escavação e reaterro, inclusive transporte do tubo</v>
          </cell>
          <cell r="C397" t="str">
            <v>m</v>
          </cell>
          <cell r="D397">
            <v>343.63</v>
          </cell>
          <cell r="E397" t="str">
            <v>A incluir</v>
          </cell>
          <cell r="F397" t="e">
            <v>#N/A</v>
          </cell>
          <cell r="G397" t="e">
            <v>#N/A</v>
          </cell>
        </row>
        <row r="398">
          <cell r="A398">
            <v>40450</v>
          </cell>
          <cell r="B398" t="str">
            <v>Corpo BSTC (grota) diâmetro 0,80 m CA-2 MF exclusive escavação e reaterro, inclusive transporte do tubo</v>
          </cell>
          <cell r="C398" t="str">
            <v>m</v>
          </cell>
          <cell r="D398">
            <v>335.08</v>
          </cell>
          <cell r="E398" t="str">
            <v>A incluir</v>
          </cell>
          <cell r="F398" t="e">
            <v>#N/A</v>
          </cell>
          <cell r="G398" t="e">
            <v>#N/A</v>
          </cell>
        </row>
        <row r="399">
          <cell r="A399">
            <v>40451</v>
          </cell>
          <cell r="B399" t="str">
            <v>Corpo BSTC (grota) diâmetro 0,80 m CA-2 PB exclusive escavação e reaterro, inclusive transporte do tubo</v>
          </cell>
          <cell r="C399" t="str">
            <v>m</v>
          </cell>
          <cell r="D399">
            <v>355.13</v>
          </cell>
          <cell r="E399" t="str">
            <v>A incluir</v>
          </cell>
          <cell r="F399" t="e">
            <v>#N/A</v>
          </cell>
          <cell r="G399" t="e">
            <v>#N/A</v>
          </cell>
        </row>
        <row r="400">
          <cell r="A400">
            <v>40452</v>
          </cell>
          <cell r="B400" t="str">
            <v>Corpo BSTC (grota) diâmetro 1,00 m CA-1 MF exclusive escavação e reaterro, inclusive transporte do tubo</v>
          </cell>
          <cell r="C400" t="str">
            <v>m</v>
          </cell>
          <cell r="D400">
            <v>420.16</v>
          </cell>
          <cell r="E400" t="str">
            <v>A incluir</v>
          </cell>
          <cell r="F400" t="e">
            <v>#N/A</v>
          </cell>
          <cell r="G400" t="e">
            <v>#N/A</v>
          </cell>
        </row>
        <row r="401">
          <cell r="A401">
            <v>40453</v>
          </cell>
          <cell r="B401" t="str">
            <v>Corpo BSTC (grota) diâmetro 1,00 m CA-1 PB exclusive escavação e reaterro, inclusive transporte do tubo</v>
          </cell>
          <cell r="C401" t="str">
            <v>m</v>
          </cell>
          <cell r="D401">
            <v>418.96</v>
          </cell>
          <cell r="E401" t="str">
            <v>A incluir</v>
          </cell>
          <cell r="F401" t="e">
            <v>#N/A</v>
          </cell>
          <cell r="G401" t="e">
            <v>#N/A</v>
          </cell>
        </row>
        <row r="402">
          <cell r="A402">
            <v>40454</v>
          </cell>
          <cell r="B402" t="str">
            <v>Corpo BSTC (grota) diâmetro 1,00 m CA-2 MF exclusive escavação e reaterro, inclusive transporte do tubo</v>
          </cell>
          <cell r="C402" t="str">
            <v>m</v>
          </cell>
          <cell r="D402">
            <v>457.15</v>
          </cell>
          <cell r="E402" t="str">
            <v>A incluir</v>
          </cell>
          <cell r="F402" t="e">
            <v>#N/A</v>
          </cell>
          <cell r="G402" t="e">
            <v>#N/A</v>
          </cell>
        </row>
        <row r="403">
          <cell r="A403">
            <v>40455</v>
          </cell>
          <cell r="B403" t="str">
            <v>Corpo BSTC (grota) diâmetro 1,00 m CA-2 PB exclusive escavação e reaterro, inclusive transporte do tubo</v>
          </cell>
          <cell r="C403" t="str">
            <v>m</v>
          </cell>
          <cell r="D403">
            <v>440.93</v>
          </cell>
          <cell r="E403" t="str">
            <v>A incluir</v>
          </cell>
          <cell r="F403" t="e">
            <v>#N/A</v>
          </cell>
          <cell r="G403" t="e">
            <v>#N/A</v>
          </cell>
        </row>
        <row r="404">
          <cell r="A404">
            <v>40456</v>
          </cell>
          <cell r="B404" t="str">
            <v>Corpo BSTC (grota) diâmetro 1,00 m CA-3 MF exclusive escavação e reaterro, inclusive transporte do tubo</v>
          </cell>
          <cell r="C404" t="str">
            <v>m</v>
          </cell>
          <cell r="D404">
            <v>457.03</v>
          </cell>
          <cell r="E404" t="str">
            <v>A incluir</v>
          </cell>
          <cell r="F404" t="e">
            <v>#N/A</v>
          </cell>
          <cell r="G404" t="e">
            <v>#N/A</v>
          </cell>
        </row>
        <row r="405">
          <cell r="A405">
            <v>40457</v>
          </cell>
          <cell r="B405" t="str">
            <v>Corpo BSTC (grota) diâmetro 1,20 m CA-1 MF exclusive escavação e reaterro, inclusive transporte do tubo</v>
          </cell>
          <cell r="C405" t="str">
            <v>m</v>
          </cell>
          <cell r="D405">
            <v>595.09</v>
          </cell>
          <cell r="E405" t="str">
            <v>A incluir</v>
          </cell>
          <cell r="F405" t="e">
            <v>#N/A</v>
          </cell>
          <cell r="G405" t="e">
            <v>#N/A</v>
          </cell>
        </row>
        <row r="406">
          <cell r="A406">
            <v>40458</v>
          </cell>
          <cell r="B406" t="str">
            <v>Corpo BSTC (grota) diâmetro 1,20 m CA-1 PB exclusive escavação e reaterro, inclusive transporte do tubo</v>
          </cell>
          <cell r="C406" t="str">
            <v>m</v>
          </cell>
          <cell r="D406">
            <v>610.91</v>
          </cell>
          <cell r="E406" t="str">
            <v>A incluir</v>
          </cell>
          <cell r="F406" t="e">
            <v>#N/A</v>
          </cell>
          <cell r="G406" t="e">
            <v>#N/A</v>
          </cell>
        </row>
        <row r="407">
          <cell r="A407">
            <v>40459</v>
          </cell>
          <cell r="B407" t="str">
            <v>Corpo BSTC (grota) diâmetro 1,20 m CA-2 MF exclusive escavação e reaterro, inclusive transporte do tubo</v>
          </cell>
          <cell r="C407" t="str">
            <v>m</v>
          </cell>
          <cell r="D407">
            <v>601.09</v>
          </cell>
          <cell r="E407" t="str">
            <v>A incluir</v>
          </cell>
          <cell r="F407" t="e">
            <v>#N/A</v>
          </cell>
          <cell r="G407" t="e">
            <v>#N/A</v>
          </cell>
        </row>
        <row r="408">
          <cell r="A408">
            <v>40460</v>
          </cell>
          <cell r="B408" t="str">
            <v>Corpo BSTC (grota) diâmetro 1,20 m CA-2 PB exclusive escavação e reaterro, inclusive transporte do tubo</v>
          </cell>
          <cell r="C408" t="str">
            <v>m</v>
          </cell>
          <cell r="D408">
            <v>641.25</v>
          </cell>
          <cell r="E408" t="str">
            <v>A incluir</v>
          </cell>
          <cell r="F408" t="e">
            <v>#N/A</v>
          </cell>
          <cell r="G408" t="e">
            <v>#N/A</v>
          </cell>
        </row>
        <row r="409">
          <cell r="A409">
            <v>40461</v>
          </cell>
          <cell r="B409" t="str">
            <v>Corpo BSTC (grota) diâmetro 1,20 m CA-3 MF exclusive escavação e reaterro, inclusive transporte do tubo</v>
          </cell>
          <cell r="C409" t="str">
            <v>m</v>
          </cell>
          <cell r="D409">
            <v>625.91999999999996</v>
          </cell>
          <cell r="E409" t="str">
            <v>A incluir</v>
          </cell>
          <cell r="F409" t="e">
            <v>#N/A</v>
          </cell>
          <cell r="G409" t="e">
            <v>#N/A</v>
          </cell>
        </row>
        <row r="410">
          <cell r="A410">
            <v>40462</v>
          </cell>
          <cell r="B410" t="str">
            <v>Corpo BSTC (grota) diâmetro 1,50 m CA-1 MF exclusive escavação e reaterro, inclusive transporte do tubo</v>
          </cell>
          <cell r="C410" t="str">
            <v>m</v>
          </cell>
          <cell r="D410">
            <v>971.03</v>
          </cell>
          <cell r="E410" t="str">
            <v>A incluir</v>
          </cell>
          <cell r="F410" t="e">
            <v>#N/A</v>
          </cell>
          <cell r="G410" t="e">
            <v>#N/A</v>
          </cell>
        </row>
        <row r="411">
          <cell r="A411">
            <v>40463</v>
          </cell>
          <cell r="B411" t="str">
            <v>Corpo BSTC (grota) diâmetro 1,50 m CA-1 PB exclusive escavação e reaterro, inclusive transporte do tubo</v>
          </cell>
          <cell r="C411" t="str">
            <v>m</v>
          </cell>
          <cell r="D411">
            <v>843.16</v>
          </cell>
          <cell r="E411" t="str">
            <v>A incluir</v>
          </cell>
          <cell r="F411" t="e">
            <v>#N/A</v>
          </cell>
          <cell r="G411" t="e">
            <v>#N/A</v>
          </cell>
        </row>
        <row r="412">
          <cell r="A412">
            <v>40464</v>
          </cell>
          <cell r="B412" t="str">
            <v>Corpo BSTC (grota) diâmetro 1,50 m CA-2 MF exclusive escavação e reaterro, inclusive transporte do tubo</v>
          </cell>
          <cell r="C412" t="str">
            <v>m</v>
          </cell>
          <cell r="D412">
            <v>971.34</v>
          </cell>
          <cell r="E412" t="str">
            <v>A incluir</v>
          </cell>
          <cell r="F412" t="e">
            <v>#N/A</v>
          </cell>
          <cell r="G412" t="e">
            <v>#N/A</v>
          </cell>
        </row>
        <row r="413">
          <cell r="A413">
            <v>40465</v>
          </cell>
          <cell r="B413" t="str">
            <v>Corpo BSTC (grota) diâmetro 1,50 m CA-2 PB exclusive escavação e reaterro, inclusive transporte do tubo</v>
          </cell>
          <cell r="C413" t="str">
            <v>m</v>
          </cell>
          <cell r="D413">
            <v>884.47</v>
          </cell>
          <cell r="E413" t="str">
            <v>A incluir</v>
          </cell>
          <cell r="F413" t="e">
            <v>#N/A</v>
          </cell>
          <cell r="G413" t="e">
            <v>#N/A</v>
          </cell>
        </row>
        <row r="414">
          <cell r="A414">
            <v>40466</v>
          </cell>
          <cell r="B414" t="str">
            <v>Corpo BSTC (grota) diâmetro 1,50 m CA-3 MF exclusive escavação e reaterro, inclusive transporte do tubo</v>
          </cell>
          <cell r="C414" t="str">
            <v>m</v>
          </cell>
          <cell r="D414">
            <v>761.34</v>
          </cell>
          <cell r="E414" t="str">
            <v>A incluir</v>
          </cell>
          <cell r="F414" t="e">
            <v>#N/A</v>
          </cell>
          <cell r="G414" t="e">
            <v>#N/A</v>
          </cell>
        </row>
        <row r="415">
          <cell r="A415">
            <v>40490</v>
          </cell>
          <cell r="B415" t="str">
            <v>Corpo BTTC (grota) diâmetro 0,60 m CA-1 MF exclusive escavação e reaterro, inclusive transporte do tubo</v>
          </cell>
          <cell r="C415" t="str">
            <v>m</v>
          </cell>
          <cell r="D415">
            <v>454.27</v>
          </cell>
          <cell r="E415" t="str">
            <v>A incluir</v>
          </cell>
          <cell r="F415" t="e">
            <v>#N/A</v>
          </cell>
          <cell r="G415" t="e">
            <v>#N/A</v>
          </cell>
        </row>
        <row r="416">
          <cell r="A416">
            <v>40491</v>
          </cell>
          <cell r="B416" t="str">
            <v>Corpo BTTC (grota) diâmetro 0,60 m CA-1 PB exclusive escavação e reaterro, inclusive transporte do tubo</v>
          </cell>
          <cell r="C416" t="str">
            <v>m</v>
          </cell>
          <cell r="D416">
            <v>459.89</v>
          </cell>
          <cell r="E416" t="str">
            <v>A incluir</v>
          </cell>
          <cell r="F416" t="e">
            <v>#N/A</v>
          </cell>
          <cell r="G416" t="e">
            <v>#N/A</v>
          </cell>
        </row>
        <row r="417">
          <cell r="A417">
            <v>40492</v>
          </cell>
          <cell r="B417" t="str">
            <v>Corpo BTTC (grota) diâmetro 0,60 m CA-2 MF exclusive escavação e reaterro, inclusive transporte do tubo</v>
          </cell>
          <cell r="C417" t="str">
            <v>m</v>
          </cell>
          <cell r="D417">
            <v>435.66</v>
          </cell>
          <cell r="E417" t="str">
            <v>A incluir</v>
          </cell>
          <cell r="F417" t="e">
            <v>#N/A</v>
          </cell>
          <cell r="G417" t="e">
            <v>#N/A</v>
          </cell>
        </row>
        <row r="418">
          <cell r="A418">
            <v>40493</v>
          </cell>
          <cell r="B418" t="str">
            <v>Corpo BTTC (grota) diâmetro 0,60 m CA-2 PB exclusive escavação e reaterro, inclusive transporte do tubo</v>
          </cell>
          <cell r="C418" t="str">
            <v>m</v>
          </cell>
          <cell r="D418">
            <v>445.65</v>
          </cell>
          <cell r="E418" t="str">
            <v>A incluir</v>
          </cell>
          <cell r="F418" t="e">
            <v>#N/A</v>
          </cell>
          <cell r="G418" t="e">
            <v>#N/A</v>
          </cell>
        </row>
        <row r="419">
          <cell r="A419">
            <v>40494</v>
          </cell>
          <cell r="B419" t="str">
            <v>Corpo BTTC (grota) diâmetro 0,80 m CA-1 MF exclusive escavação e reaterro, inclusive transporte do tubo</v>
          </cell>
          <cell r="C419" t="str">
            <v>m</v>
          </cell>
          <cell r="D419">
            <v>887.49</v>
          </cell>
          <cell r="E419" t="str">
            <v>A incluir</v>
          </cell>
          <cell r="F419" t="e">
            <v>#N/A</v>
          </cell>
          <cell r="G419" t="e">
            <v>#N/A</v>
          </cell>
        </row>
        <row r="420">
          <cell r="A420">
            <v>40495</v>
          </cell>
          <cell r="B420" t="str">
            <v>Corpo BTTC (grota) diâmetro 0,80 m CA-1 PB exclusive escavação e reaterro, inclusive transporte do tubo</v>
          </cell>
          <cell r="C420" t="str">
            <v>m</v>
          </cell>
          <cell r="D420">
            <v>894.26</v>
          </cell>
          <cell r="E420" t="str">
            <v>A incluir</v>
          </cell>
          <cell r="F420" t="e">
            <v>#N/A</v>
          </cell>
          <cell r="G420" t="e">
            <v>#N/A</v>
          </cell>
        </row>
        <row r="421">
          <cell r="A421">
            <v>40496</v>
          </cell>
          <cell r="B421" t="str">
            <v>Corpo BTTC (grota) diâmetro 0,80 m CA-2 MF exclusive escavação e reaterro, inclusive transporte do tubo</v>
          </cell>
          <cell r="C421" t="str">
            <v>m</v>
          </cell>
          <cell r="D421">
            <v>868.62</v>
          </cell>
          <cell r="E421" t="str">
            <v>A incluir</v>
          </cell>
          <cell r="F421" t="e">
            <v>#N/A</v>
          </cell>
          <cell r="G421" t="e">
            <v>#N/A</v>
          </cell>
        </row>
        <row r="422">
          <cell r="A422">
            <v>40497</v>
          </cell>
          <cell r="B422" t="str">
            <v>Corpo BTTC (grota) diâmetro 0,80 m CA-2 PB exclusive escavação e reaterro, inclusive transporte do tubo</v>
          </cell>
          <cell r="C422" t="str">
            <v>m</v>
          </cell>
          <cell r="D422">
            <v>928.78</v>
          </cell>
          <cell r="E422" t="str">
            <v>A incluir</v>
          </cell>
          <cell r="F422" t="e">
            <v>#N/A</v>
          </cell>
          <cell r="G422" t="e">
            <v>#N/A</v>
          </cell>
        </row>
        <row r="423">
          <cell r="A423">
            <v>40498</v>
          </cell>
          <cell r="B423" t="str">
            <v>Corpo BTTC (grota) diâmetro 1,00 m CA-1 MF exclusive escavação e reaterro, inclusive transporte do tubo</v>
          </cell>
          <cell r="C423" t="str">
            <v>m</v>
          </cell>
          <cell r="D423">
            <v>1123.8499999999999</v>
          </cell>
          <cell r="E423" t="str">
            <v>A incluir</v>
          </cell>
          <cell r="F423" t="e">
            <v>#N/A</v>
          </cell>
          <cell r="G423" t="e">
            <v>#N/A</v>
          </cell>
        </row>
        <row r="424">
          <cell r="A424">
            <v>40499</v>
          </cell>
          <cell r="B424" t="str">
            <v>Corpo BTTC (grota) diâmetro 1,00 m CA-1 PB exclusive escavação e reaterro, inclusive transporte do tubo</v>
          </cell>
          <cell r="C424" t="str">
            <v>m</v>
          </cell>
          <cell r="D424">
            <v>1120.26</v>
          </cell>
          <cell r="E424" t="str">
            <v>A incluir</v>
          </cell>
          <cell r="F424" t="e">
            <v>#N/A</v>
          </cell>
          <cell r="G424" t="e">
            <v>#N/A</v>
          </cell>
        </row>
        <row r="425">
          <cell r="A425">
            <v>40500</v>
          </cell>
          <cell r="B425" t="str">
            <v>Corpo BTTC (grota) diâmetro 1,00 m CA-2 MF exclusive escavação e reaterro, inclusive transporte do tubo</v>
          </cell>
          <cell r="C425" t="str">
            <v>m</v>
          </cell>
          <cell r="D425">
            <v>1234.8399999999999</v>
          </cell>
          <cell r="E425" t="str">
            <v>A incluir</v>
          </cell>
          <cell r="F425" t="e">
            <v>#N/A</v>
          </cell>
          <cell r="G425" t="e">
            <v>#N/A</v>
          </cell>
        </row>
        <row r="426">
          <cell r="A426">
            <v>40501</v>
          </cell>
          <cell r="B426" t="str">
            <v>Corpo BTTC (grota) diâmetro 1,00 m CA-2 PB exclusive escavação e reaterro, inclusive transporte do tubo</v>
          </cell>
          <cell r="C426" t="str">
            <v>m</v>
          </cell>
          <cell r="D426">
            <v>1186.1500000000001</v>
          </cell>
          <cell r="E426" t="str">
            <v>A incluir</v>
          </cell>
          <cell r="F426" t="e">
            <v>#N/A</v>
          </cell>
          <cell r="G426" t="e">
            <v>#N/A</v>
          </cell>
        </row>
        <row r="427">
          <cell r="A427">
            <v>40502</v>
          </cell>
          <cell r="B427" t="str">
            <v>Corpo BTTC (grota) diâmetro 1,00 m CA-3 MF exclusive escavação e reaterro, inclusive transporte do tubo</v>
          </cell>
          <cell r="C427" t="str">
            <v>m</v>
          </cell>
          <cell r="D427">
            <v>1234.47</v>
          </cell>
          <cell r="E427" t="str">
            <v>A incluir</v>
          </cell>
          <cell r="F427" t="e">
            <v>#N/A</v>
          </cell>
          <cell r="G427" t="e">
            <v>#N/A</v>
          </cell>
        </row>
        <row r="428">
          <cell r="A428">
            <v>40503</v>
          </cell>
          <cell r="B428" t="str">
            <v>Corpo BTTC (grota) diâmetro 1,20 m CA-1 MF exclusive escavação e reaterro, inclusive transporte do tubo</v>
          </cell>
          <cell r="C428" t="str">
            <v>m</v>
          </cell>
          <cell r="D428">
            <v>1648.7</v>
          </cell>
          <cell r="E428" t="str">
            <v>A incluir</v>
          </cell>
          <cell r="F428" t="e">
            <v>#N/A</v>
          </cell>
          <cell r="G428" t="e">
            <v>#N/A</v>
          </cell>
        </row>
        <row r="429">
          <cell r="A429">
            <v>40504</v>
          </cell>
          <cell r="B429" t="str">
            <v>Corpo BTTC (grota) diâmetro 1,20 m CA-1 PB exclusive escavação e reaterro, inclusive transporte do tubo</v>
          </cell>
          <cell r="C429" t="str">
            <v>m</v>
          </cell>
          <cell r="D429">
            <v>1696.16</v>
          </cell>
          <cell r="E429" t="str">
            <v>A incluir</v>
          </cell>
          <cell r="F429" t="e">
            <v>#N/A</v>
          </cell>
          <cell r="G429" t="e">
            <v>#N/A</v>
          </cell>
        </row>
        <row r="430">
          <cell r="A430">
            <v>40505</v>
          </cell>
          <cell r="B430" t="str">
            <v>Corpo BTTC (grota) diâmetro 1,20 m CA-2 MF exclusive escavação e reaterro, inclusive transporte do tubo</v>
          </cell>
          <cell r="C430" t="str">
            <v>m</v>
          </cell>
          <cell r="D430">
            <v>1666.71</v>
          </cell>
          <cell r="E430" t="str">
            <v>A incluir</v>
          </cell>
          <cell r="F430" t="e">
            <v>#N/A</v>
          </cell>
          <cell r="G430" t="e">
            <v>#N/A</v>
          </cell>
        </row>
        <row r="431">
          <cell r="A431">
            <v>40506</v>
          </cell>
          <cell r="B431" t="str">
            <v>Corpo BTTC (grota) diâmetro 1,20 m CA-2 PB exclusive escavação e reaterro, inclusive transporte do tubo</v>
          </cell>
          <cell r="C431" t="str">
            <v>m</v>
          </cell>
          <cell r="D431">
            <v>1787.17</v>
          </cell>
          <cell r="E431" t="str">
            <v>A incluir</v>
          </cell>
          <cell r="F431" t="e">
            <v>#N/A</v>
          </cell>
          <cell r="G431" t="e">
            <v>#N/A</v>
          </cell>
        </row>
        <row r="432">
          <cell r="A432">
            <v>40507</v>
          </cell>
          <cell r="B432" t="str">
            <v>Corpo BTTC (grota) diâmetro 1,20 m CA-3 MF exclusive escavação e reaterro, inclusive transporte do tubo</v>
          </cell>
          <cell r="C432" t="str">
            <v>m</v>
          </cell>
          <cell r="D432">
            <v>1741.19</v>
          </cell>
          <cell r="E432" t="str">
            <v>A incluir</v>
          </cell>
          <cell r="F432" t="e">
            <v>#N/A</v>
          </cell>
          <cell r="G432" t="e">
            <v>#N/A</v>
          </cell>
        </row>
        <row r="433">
          <cell r="A433">
            <v>40508</v>
          </cell>
          <cell r="B433" t="str">
            <v>Corpo BTTC (grota) diâmetro 1,50 m CA-1 MF exclusive escavação e reaterro, inclusive transporte do tubo</v>
          </cell>
          <cell r="C433" t="str">
            <v>m</v>
          </cell>
          <cell r="D433">
            <v>2776.45</v>
          </cell>
          <cell r="E433" t="str">
            <v>A incluir</v>
          </cell>
          <cell r="F433" t="e">
            <v>#N/A</v>
          </cell>
          <cell r="G433" t="e">
            <v>#N/A</v>
          </cell>
        </row>
        <row r="434">
          <cell r="A434">
            <v>40509</v>
          </cell>
          <cell r="B434" t="str">
            <v>Corpo BTTC (grota) diâmetro 1,50 m CA-1 PB exclusive escavação e reaterro, inclusive transporte do tubo</v>
          </cell>
          <cell r="C434" t="str">
            <v>m</v>
          </cell>
          <cell r="D434">
            <v>2392.83</v>
          </cell>
          <cell r="E434" t="str">
            <v>A incluir</v>
          </cell>
          <cell r="F434" t="e">
            <v>#N/A</v>
          </cell>
          <cell r="G434" t="e">
            <v>#N/A</v>
          </cell>
        </row>
        <row r="435">
          <cell r="A435">
            <v>40510</v>
          </cell>
          <cell r="B435" t="str">
            <v>Corpo BTTC (grota) diâmetro 1,50 m CA-2 MF exclusive escavação e reaterro, inclusive transporte do tubo</v>
          </cell>
          <cell r="C435" t="str">
            <v>m</v>
          </cell>
          <cell r="D435">
            <v>2777.37</v>
          </cell>
          <cell r="E435" t="str">
            <v>A incluir</v>
          </cell>
          <cell r="F435" t="e">
            <v>#N/A</v>
          </cell>
          <cell r="G435" t="e">
            <v>#N/A</v>
          </cell>
        </row>
        <row r="436">
          <cell r="A436">
            <v>40511</v>
          </cell>
          <cell r="B436" t="str">
            <v>Corpo BTTC (grota) diâmetro 1,50 m CA-2 PB exclusive escavação e reaterro, inclusive transporte do tubo</v>
          </cell>
          <cell r="C436" t="str">
            <v>m</v>
          </cell>
          <cell r="D436">
            <v>2516.77</v>
          </cell>
          <cell r="E436" t="str">
            <v>A incluir</v>
          </cell>
          <cell r="F436" t="e">
            <v>#N/A</v>
          </cell>
          <cell r="G436" t="e">
            <v>#N/A</v>
          </cell>
        </row>
        <row r="437">
          <cell r="A437">
            <v>40512</v>
          </cell>
          <cell r="B437" t="str">
            <v>Corpo BTTC (grota) diâmetro 1,50 m CA-3 MF exclusive escavação e reaterro, inclusive transporte do tubo</v>
          </cell>
          <cell r="C437" t="str">
            <v>m</v>
          </cell>
          <cell r="D437">
            <v>2147.37</v>
          </cell>
          <cell r="E437" t="str">
            <v>A incluir</v>
          </cell>
          <cell r="F437" t="e">
            <v>#N/A</v>
          </cell>
          <cell r="G437" t="e">
            <v>#N/A</v>
          </cell>
        </row>
        <row r="438">
          <cell r="A438">
            <v>40586</v>
          </cell>
          <cell r="B438" t="str">
            <v>Corpo de BDCC 1,50 x 1,50 m projeto DNIT para H &lt; = 2,50 m</v>
          </cell>
          <cell r="C438" t="str">
            <v>m</v>
          </cell>
          <cell r="D438">
            <v>3874.24</v>
          </cell>
          <cell r="E438">
            <v>0</v>
          </cell>
          <cell r="F438" t="e">
            <v>#N/A</v>
          </cell>
          <cell r="G438" t="e">
            <v>#N/A</v>
          </cell>
        </row>
        <row r="439">
          <cell r="A439">
            <v>40592</v>
          </cell>
          <cell r="B439" t="str">
            <v>Corpo de BDCC 1,50 x 1,50 m projeto DNIT para 2,50 &lt; H &lt; 5,00 m</v>
          </cell>
          <cell r="C439" t="str">
            <v>m</v>
          </cell>
          <cell r="D439">
            <v>4042.2</v>
          </cell>
          <cell r="E439">
            <v>0</v>
          </cell>
          <cell r="F439" t="e">
            <v>#N/A</v>
          </cell>
          <cell r="G439" t="e">
            <v>#N/A</v>
          </cell>
        </row>
        <row r="440">
          <cell r="A440">
            <v>40598</v>
          </cell>
          <cell r="B440" t="str">
            <v>Corpo de BDCC 2,00 x 1,20 m - tudo incluido conforme projeto</v>
          </cell>
          <cell r="C440" t="str">
            <v>m</v>
          </cell>
          <cell r="D440">
            <v>5634.29</v>
          </cell>
          <cell r="E440">
            <v>0</v>
          </cell>
          <cell r="F440" t="e">
            <v>#N/A</v>
          </cell>
          <cell r="G440" t="e">
            <v>#N/A</v>
          </cell>
        </row>
        <row r="441">
          <cell r="A441">
            <v>40587</v>
          </cell>
          <cell r="B441" t="str">
            <v>Corpo de BDCC 2,00 x 2,00 m projeto DNIT para H &lt; = 2,50 m</v>
          </cell>
          <cell r="C441" t="str">
            <v>m</v>
          </cell>
          <cell r="D441">
            <v>5572.62</v>
          </cell>
          <cell r="E441">
            <v>0</v>
          </cell>
          <cell r="F441" t="e">
            <v>#N/A</v>
          </cell>
          <cell r="G441" t="e">
            <v>#N/A</v>
          </cell>
        </row>
        <row r="442">
          <cell r="A442">
            <v>40593</v>
          </cell>
          <cell r="B442" t="str">
            <v>Corpo de BDCC 2,00 x 2,00 m projeto DNIT para 2,50 &lt; H &lt;5,00 m</v>
          </cell>
          <cell r="C442" t="str">
            <v>m</v>
          </cell>
          <cell r="D442">
            <v>6143.93</v>
          </cell>
          <cell r="E442">
            <v>0</v>
          </cell>
          <cell r="F442" t="e">
            <v>#N/A</v>
          </cell>
          <cell r="G442" t="e">
            <v>#N/A</v>
          </cell>
        </row>
        <row r="443">
          <cell r="A443">
            <v>40588</v>
          </cell>
          <cell r="B443" t="str">
            <v>Corpo de BDCC 2,00 x 3,00 m projeto DNIT para H &lt; = 2,50 m</v>
          </cell>
          <cell r="C443" t="str">
            <v>m</v>
          </cell>
          <cell r="D443">
            <v>7935.86</v>
          </cell>
          <cell r="E443">
            <v>0</v>
          </cell>
          <cell r="F443" t="e">
            <v>#N/A</v>
          </cell>
          <cell r="G443" t="e">
            <v>#N/A</v>
          </cell>
        </row>
        <row r="444">
          <cell r="A444">
            <v>40594</v>
          </cell>
          <cell r="B444" t="str">
            <v>Corpo de BDCC 2,00 x 3,00 m projeto DNIT para 2,50 &lt; H &lt; 5,00 m</v>
          </cell>
          <cell r="C444" t="str">
            <v>m</v>
          </cell>
          <cell r="D444">
            <v>9250.7199999999993</v>
          </cell>
          <cell r="E444">
            <v>0</v>
          </cell>
          <cell r="F444" t="e">
            <v>#N/A</v>
          </cell>
          <cell r="G444" t="e">
            <v>#N/A</v>
          </cell>
        </row>
        <row r="445">
          <cell r="A445">
            <v>40599</v>
          </cell>
          <cell r="B445" t="str">
            <v>Corpo de BDCC 2,50 x 2,00 m - tudo incluído conforme projeto</v>
          </cell>
          <cell r="C445" t="str">
            <v>m</v>
          </cell>
          <cell r="D445">
            <v>8138.75</v>
          </cell>
          <cell r="E445">
            <v>0</v>
          </cell>
          <cell r="F445" t="e">
            <v>#N/A</v>
          </cell>
          <cell r="G445" t="e">
            <v>#N/A</v>
          </cell>
        </row>
        <row r="446">
          <cell r="A446">
            <v>40589</v>
          </cell>
          <cell r="B446" t="str">
            <v>Corpo de BDCC 2,50 x 2,50 m projeto DNIT para H &lt; = 2,50 m</v>
          </cell>
          <cell r="C446" t="str">
            <v>m</v>
          </cell>
          <cell r="D446">
            <v>7479.45</v>
          </cell>
          <cell r="E446">
            <v>0</v>
          </cell>
          <cell r="F446" t="e">
            <v>#N/A</v>
          </cell>
          <cell r="G446" t="e">
            <v>#N/A</v>
          </cell>
        </row>
        <row r="447">
          <cell r="A447">
            <v>40595</v>
          </cell>
          <cell r="B447" t="str">
            <v>Corpo de BDCC 2,50 x 2,50 m projeto DNIT para 2,50 &lt; H &lt; 5,00 m</v>
          </cell>
          <cell r="C447" t="str">
            <v>m</v>
          </cell>
          <cell r="D447">
            <v>8361.9</v>
          </cell>
          <cell r="E447">
            <v>0</v>
          </cell>
          <cell r="F447" t="e">
            <v>#N/A</v>
          </cell>
          <cell r="G447" t="e">
            <v>#N/A</v>
          </cell>
        </row>
        <row r="448">
          <cell r="A448">
            <v>40590</v>
          </cell>
          <cell r="B448" t="str">
            <v>Corpo de BDCC 2,50 x 3,00 m projeto DNIT para H &lt; = 2,50 m</v>
          </cell>
          <cell r="C448" t="str">
            <v>m</v>
          </cell>
          <cell r="D448">
            <v>9074.25</v>
          </cell>
          <cell r="E448">
            <v>0</v>
          </cell>
          <cell r="F448" t="e">
            <v>#N/A</v>
          </cell>
          <cell r="G448" t="e">
            <v>#N/A</v>
          </cell>
        </row>
        <row r="449">
          <cell r="A449">
            <v>40596</v>
          </cell>
          <cell r="B449" t="str">
            <v>Corpo de BDCC 2,50 x 3,00 m projeto DNIT para 2,50 &lt; H &lt; 5,00 m</v>
          </cell>
          <cell r="C449" t="str">
            <v>m</v>
          </cell>
          <cell r="D449">
            <v>10050.780000000001</v>
          </cell>
          <cell r="E449">
            <v>0</v>
          </cell>
          <cell r="F449" t="e">
            <v>#N/A</v>
          </cell>
          <cell r="G449" t="e">
            <v>#N/A</v>
          </cell>
        </row>
        <row r="450">
          <cell r="A450">
            <v>40591</v>
          </cell>
          <cell r="B450" t="str">
            <v>Corpo de BDCC 3,00 x 3,00 m projeto DNIT para H &lt; = 2,50 m</v>
          </cell>
          <cell r="C450" t="str">
            <v>m</v>
          </cell>
          <cell r="D450">
            <v>9965.85</v>
          </cell>
          <cell r="E450">
            <v>0</v>
          </cell>
          <cell r="F450" t="e">
            <v>#N/A</v>
          </cell>
          <cell r="G450" t="e">
            <v>#N/A</v>
          </cell>
        </row>
        <row r="451">
          <cell r="A451">
            <v>40597</v>
          </cell>
          <cell r="B451" t="str">
            <v>Corpo de BDCC 3,00 x 3,00 m projeto DNIT para 2,50 &lt; H &lt; 5,00 m</v>
          </cell>
          <cell r="C451" t="str">
            <v>m</v>
          </cell>
          <cell r="D451">
            <v>10763.62</v>
          </cell>
          <cell r="E451">
            <v>0</v>
          </cell>
          <cell r="F451" t="e">
            <v>#N/A</v>
          </cell>
          <cell r="G451" t="e">
            <v>#N/A</v>
          </cell>
        </row>
        <row r="452">
          <cell r="A452">
            <v>40573</v>
          </cell>
          <cell r="B452" t="str">
            <v>Corpo de BSCC 1,50 x 1,50 m projeto DNIT para H &lt; = 2,50 m</v>
          </cell>
          <cell r="C452" t="str">
            <v>m</v>
          </cell>
          <cell r="D452">
            <v>2352.52</v>
          </cell>
          <cell r="E452">
            <v>0</v>
          </cell>
          <cell r="F452" t="e">
            <v>#N/A</v>
          </cell>
          <cell r="G452" t="e">
            <v>#N/A</v>
          </cell>
        </row>
        <row r="453">
          <cell r="A453">
            <v>40579</v>
          </cell>
          <cell r="B453" t="str">
            <v>Corpo de BSCC 1,50 x 1,50 m projeto DNIT para 2,50 &lt; H &lt; 5,00 m</v>
          </cell>
          <cell r="C453" t="str">
            <v>m</v>
          </cell>
          <cell r="D453">
            <v>2478.4899999999998</v>
          </cell>
          <cell r="E453">
            <v>0</v>
          </cell>
          <cell r="F453" t="e">
            <v>#N/A</v>
          </cell>
          <cell r="G453" t="e">
            <v>#N/A</v>
          </cell>
        </row>
        <row r="454">
          <cell r="A454">
            <v>41113</v>
          </cell>
          <cell r="B454" t="str">
            <v>Corpo de BSCC 2,00 x 2,00 m projeto DNIT para 5,00 &lt; H &lt; 7,50 m</v>
          </cell>
          <cell r="C454" t="str">
            <v>m</v>
          </cell>
          <cell r="D454">
            <v>4038.34</v>
          </cell>
          <cell r="E454">
            <v>0</v>
          </cell>
          <cell r="F454" t="e">
            <v>#N/A</v>
          </cell>
          <cell r="G454" t="e">
            <v>#N/A</v>
          </cell>
        </row>
        <row r="455">
          <cell r="A455">
            <v>40574</v>
          </cell>
          <cell r="B455" t="str">
            <v>Corpo de BSCC 2,00 x 2,00 m projeto DNIT para H &lt; = 2,50 m</v>
          </cell>
          <cell r="C455" t="str">
            <v>m</v>
          </cell>
          <cell r="D455">
            <v>3323.16</v>
          </cell>
          <cell r="E455">
            <v>0</v>
          </cell>
          <cell r="F455" t="e">
            <v>#N/A</v>
          </cell>
          <cell r="G455" t="e">
            <v>#N/A</v>
          </cell>
        </row>
        <row r="456">
          <cell r="A456">
            <v>40580</v>
          </cell>
          <cell r="B456" t="str">
            <v>Corpo de BSCC 2,00 x 2,00 m projeto DNIT para 2,50 &lt; H &lt; 5,00 m</v>
          </cell>
          <cell r="C456" t="str">
            <v>m</v>
          </cell>
          <cell r="D456">
            <v>3744.41</v>
          </cell>
          <cell r="E456">
            <v>0</v>
          </cell>
          <cell r="F456" t="e">
            <v>#N/A</v>
          </cell>
          <cell r="G456" t="e">
            <v>#N/A</v>
          </cell>
        </row>
        <row r="457">
          <cell r="A457">
            <v>40575</v>
          </cell>
          <cell r="B457" t="str">
            <v>Corpo de BSCC 2,00 x 3,00 m projeto DNIT para H &lt; = 2,50 m</v>
          </cell>
          <cell r="C457" t="str">
            <v>m</v>
          </cell>
          <cell r="D457">
            <v>4826.0200000000004</v>
          </cell>
          <cell r="E457">
            <v>0</v>
          </cell>
          <cell r="F457" t="e">
            <v>#N/A</v>
          </cell>
          <cell r="G457" t="e">
            <v>#N/A</v>
          </cell>
        </row>
        <row r="458">
          <cell r="A458">
            <v>40581</v>
          </cell>
          <cell r="B458" t="str">
            <v>Corpo de BSCC 2,00 x 3,00 m projeto DNIT para 2,50 &lt; H &lt; 5,00 m</v>
          </cell>
          <cell r="C458" t="str">
            <v>m</v>
          </cell>
          <cell r="D458">
            <v>6079.81</v>
          </cell>
          <cell r="E458">
            <v>0</v>
          </cell>
          <cell r="F458" t="e">
            <v>#N/A</v>
          </cell>
          <cell r="G458" t="e">
            <v>#N/A</v>
          </cell>
        </row>
        <row r="459">
          <cell r="A459">
            <v>40576</v>
          </cell>
          <cell r="B459" t="str">
            <v>Corpo de BSCC 2,50 x 2,50 m projeto DNIT para H &lt; = 2,50 m</v>
          </cell>
          <cell r="C459" t="str">
            <v>m</v>
          </cell>
          <cell r="D459">
            <v>4730.6099999999997</v>
          </cell>
          <cell r="E459">
            <v>0</v>
          </cell>
          <cell r="F459" t="e">
            <v>#N/A</v>
          </cell>
          <cell r="G459" t="e">
            <v>#N/A</v>
          </cell>
        </row>
        <row r="460">
          <cell r="A460">
            <v>40582</v>
          </cell>
          <cell r="B460" t="str">
            <v>Corpo de BSCC 2,50 x 2,50 m projeto DNIT para 2,50 &lt; H &lt; 5,00 m</v>
          </cell>
          <cell r="C460" t="str">
            <v>m</v>
          </cell>
          <cell r="D460">
            <v>5175.71</v>
          </cell>
          <cell r="E460">
            <v>0</v>
          </cell>
          <cell r="F460" t="e">
            <v>#N/A</v>
          </cell>
          <cell r="G460" t="e">
            <v>#N/A</v>
          </cell>
        </row>
        <row r="461">
          <cell r="A461">
            <v>40577</v>
          </cell>
          <cell r="B461" t="str">
            <v>Corpo de BSCC 2,50 x 3,00 m projeto DNIT para H &lt; = 2,50 m</v>
          </cell>
          <cell r="C461" t="str">
            <v>m</v>
          </cell>
          <cell r="D461">
            <v>5936.24</v>
          </cell>
          <cell r="E461">
            <v>0</v>
          </cell>
          <cell r="F461" t="e">
            <v>#N/A</v>
          </cell>
          <cell r="G461" t="e">
            <v>#N/A</v>
          </cell>
        </row>
        <row r="462">
          <cell r="A462">
            <v>40583</v>
          </cell>
          <cell r="B462" t="str">
            <v>Corpo de BSCC 2,50 x 3,00 m projeto DNIT para 2,50 &lt; H &lt; 5,00 m</v>
          </cell>
          <cell r="C462" t="str">
            <v>m</v>
          </cell>
          <cell r="D462">
            <v>7072.16</v>
          </cell>
          <cell r="E462">
            <v>0</v>
          </cell>
          <cell r="F462" t="e">
            <v>#N/A</v>
          </cell>
          <cell r="G462" t="e">
            <v>#N/A</v>
          </cell>
        </row>
        <row r="463">
          <cell r="A463">
            <v>40578</v>
          </cell>
          <cell r="B463" t="str">
            <v>Corpo de BSCC 3,00 x 3,00 m projeto DNIT para H &lt; = 2,50 m</v>
          </cell>
          <cell r="C463" t="str">
            <v>m</v>
          </cell>
          <cell r="D463">
            <v>6470.63</v>
          </cell>
          <cell r="E463">
            <v>0</v>
          </cell>
          <cell r="F463" t="e">
            <v>#N/A</v>
          </cell>
          <cell r="G463" t="e">
            <v>#N/A</v>
          </cell>
        </row>
        <row r="464">
          <cell r="A464">
            <v>40584</v>
          </cell>
          <cell r="B464" t="str">
            <v>Corpo de BSCC 3,00 x 3,00 m projeto DNIT para 2,50 &lt; H &lt; 5,00 m</v>
          </cell>
          <cell r="C464" t="str">
            <v>m</v>
          </cell>
          <cell r="D464">
            <v>7397.7</v>
          </cell>
          <cell r="E464">
            <v>0</v>
          </cell>
          <cell r="F464" t="e">
            <v>#N/A</v>
          </cell>
          <cell r="G464" t="e">
            <v>#N/A</v>
          </cell>
        </row>
        <row r="465">
          <cell r="A465">
            <v>40601</v>
          </cell>
          <cell r="B465" t="str">
            <v>Corpo de BTCC 1,50 x 1,50 m projeto DNIT para H &lt; = 2,50 m</v>
          </cell>
          <cell r="C465" t="str">
            <v>m</v>
          </cell>
          <cell r="D465">
            <v>5440.63</v>
          </cell>
          <cell r="E465">
            <v>0</v>
          </cell>
          <cell r="F465" t="e">
            <v>#N/A</v>
          </cell>
          <cell r="G465" t="e">
            <v>#N/A</v>
          </cell>
        </row>
        <row r="466">
          <cell r="A466">
            <v>40607</v>
          </cell>
          <cell r="B466" t="str">
            <v>Corpo de BTCC 1,50 x 1,50 m projeto DNIT para 2,50 &lt; H &lt; 5,00 m</v>
          </cell>
          <cell r="C466" t="str">
            <v>m</v>
          </cell>
          <cell r="D466">
            <v>5751.36</v>
          </cell>
          <cell r="E466">
            <v>0</v>
          </cell>
          <cell r="F466" t="e">
            <v>#N/A</v>
          </cell>
          <cell r="G466" t="e">
            <v>#N/A</v>
          </cell>
        </row>
        <row r="467">
          <cell r="A467">
            <v>40602</v>
          </cell>
          <cell r="B467" t="str">
            <v>Corpo de BTCC 2,00 x 2,00 m projeto DNIT para H &lt; = 2,50 m</v>
          </cell>
          <cell r="C467" t="str">
            <v>m</v>
          </cell>
          <cell r="D467">
            <v>7912.45</v>
          </cell>
          <cell r="E467">
            <v>0</v>
          </cell>
          <cell r="F467" t="e">
            <v>#N/A</v>
          </cell>
          <cell r="G467" t="e">
            <v>#N/A</v>
          </cell>
        </row>
        <row r="468">
          <cell r="A468">
            <v>40608</v>
          </cell>
          <cell r="B468" t="str">
            <v>Corpo de BTCC 2,00 x 2,00 m projeto DNIT para 2,50 &lt; H &lt; 5,00 m</v>
          </cell>
          <cell r="C468" t="str">
            <v>m</v>
          </cell>
          <cell r="D468">
            <v>8449.68</v>
          </cell>
          <cell r="E468">
            <v>0</v>
          </cell>
          <cell r="F468" t="e">
            <v>#N/A</v>
          </cell>
          <cell r="G468" t="e">
            <v>#N/A</v>
          </cell>
        </row>
        <row r="469">
          <cell r="A469">
            <v>40603</v>
          </cell>
          <cell r="B469" t="str">
            <v>Corpo de BTCC 2,00 x 3,00 m projeto DNIT para H &lt; = 2,50 m</v>
          </cell>
          <cell r="C469" t="str">
            <v>m</v>
          </cell>
          <cell r="D469">
            <v>11515.92</v>
          </cell>
          <cell r="E469">
            <v>0</v>
          </cell>
          <cell r="F469" t="e">
            <v>#N/A</v>
          </cell>
          <cell r="G469" t="e">
            <v>#N/A</v>
          </cell>
        </row>
        <row r="470">
          <cell r="A470">
            <v>40609</v>
          </cell>
          <cell r="B470" t="str">
            <v>Corpo de BTCC 2,00 x 3,00 m projeto DNIT para 2,50 &lt; H &lt; 5,00 m</v>
          </cell>
          <cell r="C470" t="str">
            <v>m</v>
          </cell>
          <cell r="D470">
            <v>13035.98</v>
          </cell>
          <cell r="E470">
            <v>0</v>
          </cell>
          <cell r="F470" t="e">
            <v>#N/A</v>
          </cell>
          <cell r="G470" t="e">
            <v>#N/A</v>
          </cell>
        </row>
        <row r="471">
          <cell r="A471">
            <v>40604</v>
          </cell>
          <cell r="B471" t="str">
            <v>Corpo de BTCC 2,50 x 2,50 m projeto DNIT para H &lt; = 2,50 m</v>
          </cell>
          <cell r="C471" t="str">
            <v>m</v>
          </cell>
          <cell r="D471">
            <v>10374.92</v>
          </cell>
          <cell r="E471">
            <v>0</v>
          </cell>
          <cell r="F471" t="e">
            <v>#N/A</v>
          </cell>
          <cell r="G471" t="e">
            <v>#N/A</v>
          </cell>
        </row>
        <row r="472">
          <cell r="A472">
            <v>40610</v>
          </cell>
          <cell r="B472" t="str">
            <v>Corpo de BTCC 2,50 x 2,50 m projeto DNIT para 2,50 &lt; H &lt; 5,00 m</v>
          </cell>
          <cell r="C472" t="str">
            <v>m</v>
          </cell>
          <cell r="D472">
            <v>11632.19</v>
          </cell>
          <cell r="E472">
            <v>0</v>
          </cell>
          <cell r="F472" t="e">
            <v>#N/A</v>
          </cell>
          <cell r="G472" t="e">
            <v>#N/A</v>
          </cell>
        </row>
        <row r="473">
          <cell r="A473">
            <v>40605</v>
          </cell>
          <cell r="B473" t="str">
            <v>Corpo de BTCC 2,50 x 3,00 m projeto DNIT para H &lt; = 2,50 m</v>
          </cell>
          <cell r="C473" t="str">
            <v>m</v>
          </cell>
          <cell r="D473">
            <v>12891.77</v>
          </cell>
          <cell r="E473">
            <v>0</v>
          </cell>
          <cell r="F473" t="e">
            <v>#N/A</v>
          </cell>
          <cell r="G473" t="e">
            <v>#N/A</v>
          </cell>
        </row>
        <row r="474">
          <cell r="A474">
            <v>40611</v>
          </cell>
          <cell r="B474" t="str">
            <v>Corpo de BTCC 2,50 x 3,00 m projeto DNIT para 2,50 &lt; H &lt; 5,00 m</v>
          </cell>
          <cell r="C474" t="str">
            <v>m</v>
          </cell>
          <cell r="D474">
            <v>14590.81</v>
          </cell>
          <cell r="E474">
            <v>0</v>
          </cell>
          <cell r="F474" t="e">
            <v>#N/A</v>
          </cell>
          <cell r="G474" t="e">
            <v>#N/A</v>
          </cell>
        </row>
        <row r="475">
          <cell r="A475">
            <v>40606</v>
          </cell>
          <cell r="B475" t="str">
            <v>Corpo de BTCC 3,00 x 3,00 m projeto DNIT para H &lt; = 2,50 m</v>
          </cell>
          <cell r="C475" t="str">
            <v>m</v>
          </cell>
          <cell r="D475">
            <v>13880.06</v>
          </cell>
          <cell r="E475">
            <v>0</v>
          </cell>
          <cell r="F475" t="e">
            <v>#N/A</v>
          </cell>
          <cell r="G475" t="e">
            <v>#N/A</v>
          </cell>
        </row>
        <row r="476">
          <cell r="A476">
            <v>40612</v>
          </cell>
          <cell r="B476" t="str">
            <v>Corpo de BTCC 3,00 x 3,00 m projeto DNIT para 2,50 &lt; H &lt; 5,00 m</v>
          </cell>
          <cell r="C476" t="str">
            <v>m</v>
          </cell>
          <cell r="D476">
            <v>15539.51</v>
          </cell>
          <cell r="E476">
            <v>0</v>
          </cell>
          <cell r="F476" t="e">
            <v>#N/A</v>
          </cell>
          <cell r="G476" t="e">
            <v>#N/A</v>
          </cell>
        </row>
        <row r="477">
          <cell r="A477">
            <v>40305</v>
          </cell>
          <cell r="B477" t="str">
            <v>Corta-rio (escavação mecânica em material de 1ª cat.) H = 1,50 a 3,00 m</v>
          </cell>
          <cell r="C477" t="str">
            <v>m³</v>
          </cell>
          <cell r="D477">
            <v>11.39</v>
          </cell>
          <cell r="E477">
            <v>0</v>
          </cell>
          <cell r="F477" t="e">
            <v>#N/A</v>
          </cell>
          <cell r="G477" t="e">
            <v>#N/A</v>
          </cell>
        </row>
        <row r="478">
          <cell r="A478">
            <v>40306</v>
          </cell>
          <cell r="B478" t="str">
            <v>Corta-rio (escavação mecânica em material de 2ª cat.) H = 1,50 a 3,00 m</v>
          </cell>
          <cell r="C478" t="str">
            <v>m³</v>
          </cell>
          <cell r="D478">
            <v>22.78</v>
          </cell>
          <cell r="E478">
            <v>0</v>
          </cell>
          <cell r="F478" t="e">
            <v>#N/A</v>
          </cell>
          <cell r="G478" t="e">
            <v>#N/A</v>
          </cell>
        </row>
        <row r="479">
          <cell r="A479">
            <v>40307</v>
          </cell>
          <cell r="B479" t="str">
            <v>Corta-rio (escavação mecânica em material de 3º cat.) H = 0,00 a 1,50 m</v>
          </cell>
          <cell r="C479" t="str">
            <v>m³</v>
          </cell>
          <cell r="D479">
            <v>101.5</v>
          </cell>
          <cell r="E479">
            <v>0</v>
          </cell>
          <cell r="F479" t="e">
            <v>#N/A</v>
          </cell>
          <cell r="G479" t="e">
            <v>#N/A</v>
          </cell>
        </row>
        <row r="480">
          <cell r="A480">
            <v>41049</v>
          </cell>
          <cell r="B480" t="str">
            <v>Corte e esmerilhamento de pontas de tubo de ferro fundido DN 500 a 200mm</v>
          </cell>
          <cell r="C480" t="str">
            <v>m</v>
          </cell>
          <cell r="D480">
            <v>18</v>
          </cell>
          <cell r="E480">
            <v>0</v>
          </cell>
          <cell r="F480" t="e">
            <v>#N/A</v>
          </cell>
          <cell r="G480" t="e">
            <v>#N/A</v>
          </cell>
        </row>
        <row r="481">
          <cell r="A481">
            <v>41124</v>
          </cell>
          <cell r="B481" t="str">
            <v>Curva 90° de PVC, junta elástica PBA, D=75mm, fornecimento e assentamento</v>
          </cell>
          <cell r="C481" t="str">
            <v>un</v>
          </cell>
          <cell r="D481">
            <v>57.14</v>
          </cell>
          <cell r="E481">
            <v>0</v>
          </cell>
          <cell r="F481" t="e">
            <v>#N/A</v>
          </cell>
          <cell r="G481" t="e">
            <v>#N/A</v>
          </cell>
        </row>
        <row r="482">
          <cell r="A482">
            <v>40372</v>
          </cell>
          <cell r="B482" t="str">
            <v>Demolição manual alvenaria tijolo furado assentado com argamassa</v>
          </cell>
          <cell r="C482" t="str">
            <v>m³</v>
          </cell>
          <cell r="D482">
            <v>179.4</v>
          </cell>
          <cell r="E482">
            <v>0</v>
          </cell>
          <cell r="F482" t="e">
            <v>#N/A</v>
          </cell>
          <cell r="G482" t="e">
            <v>#N/A</v>
          </cell>
        </row>
        <row r="483">
          <cell r="A483">
            <v>40374</v>
          </cell>
          <cell r="B483" t="str">
            <v>Demolição manual de concreto armado</v>
          </cell>
          <cell r="C483" t="str">
            <v>m³</v>
          </cell>
          <cell r="D483">
            <v>264.77999999999997</v>
          </cell>
          <cell r="E483">
            <v>0</v>
          </cell>
          <cell r="F483" t="e">
            <v>#N/A</v>
          </cell>
          <cell r="G483" t="e">
            <v>#N/A</v>
          </cell>
        </row>
        <row r="484">
          <cell r="A484">
            <v>40373</v>
          </cell>
          <cell r="B484" t="str">
            <v>Demolição manual de concreto simples ou ciclópico</v>
          </cell>
          <cell r="C484" t="str">
            <v>m³</v>
          </cell>
          <cell r="D484">
            <v>233.62</v>
          </cell>
          <cell r="E484">
            <v>0</v>
          </cell>
          <cell r="F484" t="e">
            <v>#N/A</v>
          </cell>
          <cell r="G484" t="e">
            <v>#N/A</v>
          </cell>
        </row>
        <row r="485">
          <cell r="A485">
            <v>40375</v>
          </cell>
          <cell r="B485" t="str">
            <v>Demolição mecânica de concreto</v>
          </cell>
          <cell r="C485" t="str">
            <v>m³</v>
          </cell>
          <cell r="D485">
            <v>133.16</v>
          </cell>
          <cell r="E485">
            <v>0</v>
          </cell>
          <cell r="F485" t="e">
            <v>#N/A</v>
          </cell>
          <cell r="G485" t="e">
            <v>#N/A</v>
          </cell>
        </row>
        <row r="486">
          <cell r="A486">
            <v>40678</v>
          </cell>
          <cell r="B486" t="str">
            <v>Descida d'água concreto armado (calha) c/ caiação (DSA-01A) canal</v>
          </cell>
          <cell r="C486" t="str">
            <v>m</v>
          </cell>
          <cell r="D486">
            <v>344.92</v>
          </cell>
          <cell r="E486">
            <v>0</v>
          </cell>
          <cell r="F486">
            <v>365.06</v>
          </cell>
          <cell r="G486">
            <v>1.0583903513858299</v>
          </cell>
        </row>
        <row r="487">
          <cell r="A487">
            <v>40679</v>
          </cell>
          <cell r="B487" t="str">
            <v>Descida d'água concreto armado (calha) c/ caiação (DSA-01A) dispersor</v>
          </cell>
          <cell r="C487" t="str">
            <v>un</v>
          </cell>
          <cell r="D487">
            <v>687.82</v>
          </cell>
          <cell r="E487">
            <v>0</v>
          </cell>
          <cell r="F487">
            <v>745.85</v>
          </cell>
          <cell r="G487">
            <v>1.08436800325667</v>
          </cell>
        </row>
        <row r="488">
          <cell r="A488">
            <v>40684</v>
          </cell>
          <cell r="B488" t="str">
            <v>Descida d'água concreto armado (degraus) c/ caiação (DSA-03A) apoio</v>
          </cell>
          <cell r="C488" t="str">
            <v>un</v>
          </cell>
          <cell r="D488">
            <v>755.28</v>
          </cell>
          <cell r="E488">
            <v>0</v>
          </cell>
          <cell r="F488">
            <v>838.79</v>
          </cell>
          <cell r="G488">
            <v>1.1105682660735099</v>
          </cell>
        </row>
        <row r="489">
          <cell r="A489">
            <v>40683</v>
          </cell>
          <cell r="B489" t="str">
            <v>Descida d'água concreto armado (degraus) c/ caiação (DSA-03A) degrau</v>
          </cell>
          <cell r="C489" t="str">
            <v>m</v>
          </cell>
          <cell r="D489">
            <v>366.67</v>
          </cell>
          <cell r="E489">
            <v>0</v>
          </cell>
          <cell r="F489">
            <v>395.64</v>
          </cell>
          <cell r="G489">
            <v>1.0790083726511599</v>
          </cell>
        </row>
        <row r="490">
          <cell r="A490">
            <v>40685</v>
          </cell>
          <cell r="B490" t="str">
            <v>Descida d'água concreto armado (degraus) c/ caiação (DSA-03A) dispersor</v>
          </cell>
          <cell r="C490" t="str">
            <v>un</v>
          </cell>
          <cell r="D490">
            <v>659.74</v>
          </cell>
          <cell r="E490">
            <v>0</v>
          </cell>
          <cell r="F490">
            <v>717.57</v>
          </cell>
          <cell r="G490">
            <v>1.0876557431715499</v>
          </cell>
        </row>
        <row r="491">
          <cell r="A491">
            <v>40686</v>
          </cell>
          <cell r="B491" t="str">
            <v>Descida d'água concreto armado DP-1 (calha) c/ caiação</v>
          </cell>
          <cell r="C491" t="str">
            <v>m</v>
          </cell>
          <cell r="D491">
            <v>470.21</v>
          </cell>
          <cell r="E491">
            <v>0</v>
          </cell>
          <cell r="F491" t="e">
            <v>#N/A</v>
          </cell>
          <cell r="G491" t="e">
            <v>#N/A</v>
          </cell>
        </row>
        <row r="492">
          <cell r="A492">
            <v>40687</v>
          </cell>
          <cell r="B492" t="str">
            <v>Descida d'água concreto armado DP-1 (degraus) c/ caiação</v>
          </cell>
          <cell r="C492" t="str">
            <v>m</v>
          </cell>
          <cell r="D492">
            <v>449.99</v>
          </cell>
          <cell r="E492">
            <v>0</v>
          </cell>
          <cell r="F492" t="e">
            <v>#N/A</v>
          </cell>
          <cell r="G492" t="e">
            <v>#N/A</v>
          </cell>
        </row>
        <row r="493">
          <cell r="A493">
            <v>40676</v>
          </cell>
          <cell r="B493" t="str">
            <v>Descida d'água concreto simples (calha) c/ caiação (DSA-01) canal</v>
          </cell>
          <cell r="C493" t="str">
            <v>m</v>
          </cell>
          <cell r="D493">
            <v>286.13</v>
          </cell>
          <cell r="E493">
            <v>0</v>
          </cell>
          <cell r="F493" t="e">
            <v>#N/A</v>
          </cell>
          <cell r="G493" t="e">
            <v>#N/A</v>
          </cell>
        </row>
        <row r="494">
          <cell r="A494">
            <v>40677</v>
          </cell>
          <cell r="B494" t="str">
            <v>Descida d'água concreto simples (calha) c/ caiação (DSA-01) dispersor</v>
          </cell>
          <cell r="C494" t="str">
            <v>un</v>
          </cell>
          <cell r="D494">
            <v>620.64</v>
          </cell>
          <cell r="E494">
            <v>0</v>
          </cell>
          <cell r="F494" t="e">
            <v>#N/A</v>
          </cell>
          <cell r="G494" t="e">
            <v>#N/A</v>
          </cell>
        </row>
        <row r="495">
          <cell r="A495">
            <v>40681</v>
          </cell>
          <cell r="B495" t="str">
            <v>Descida d'água concreto simples (degraus) c/ caiação (DSA-03) apoio</v>
          </cell>
          <cell r="C495" t="str">
            <v>un</v>
          </cell>
          <cell r="D495">
            <v>706.16</v>
          </cell>
          <cell r="E495">
            <v>0</v>
          </cell>
          <cell r="F495" t="e">
            <v>#N/A</v>
          </cell>
          <cell r="G495" t="e">
            <v>#N/A</v>
          </cell>
        </row>
        <row r="496">
          <cell r="A496">
            <v>40680</v>
          </cell>
          <cell r="B496" t="str">
            <v>Descida d'água concreto simples (degraus) c/ caiação (DSA-03) degrau</v>
          </cell>
          <cell r="C496" t="str">
            <v>m</v>
          </cell>
          <cell r="D496">
            <v>349.88</v>
          </cell>
          <cell r="E496">
            <v>0</v>
          </cell>
          <cell r="F496" t="e">
            <v>#N/A</v>
          </cell>
          <cell r="G496" t="e">
            <v>#N/A</v>
          </cell>
        </row>
        <row r="497">
          <cell r="A497">
            <v>40682</v>
          </cell>
          <cell r="B497" t="str">
            <v>Descida d'água concreto simples (degraus) c/ caiação (DSA-03) dispersor</v>
          </cell>
          <cell r="C497" t="str">
            <v>un</v>
          </cell>
          <cell r="D497">
            <v>617.75</v>
          </cell>
          <cell r="E497">
            <v>0</v>
          </cell>
          <cell r="F497" t="e">
            <v>#N/A</v>
          </cell>
          <cell r="G497" t="e">
            <v>#N/A</v>
          </cell>
        </row>
        <row r="498">
          <cell r="A498">
            <v>41189</v>
          </cell>
          <cell r="B498" t="str">
            <v>Deslocamento de cerca de tela galvanizada fio 12 malha 3" x 3"</v>
          </cell>
          <cell r="C498" t="str">
            <v>m</v>
          </cell>
          <cell r="D498">
            <v>36.39</v>
          </cell>
          <cell r="E498" t="str">
            <v>A incluir</v>
          </cell>
          <cell r="F498" t="e">
            <v>#N/A</v>
          </cell>
          <cell r="G498" t="e">
            <v>#N/A</v>
          </cell>
        </row>
        <row r="499">
          <cell r="A499">
            <v>40728</v>
          </cell>
          <cell r="B499" t="str">
            <v>Dissipador de energia aplicado a saída d'água tipo DP-1</v>
          </cell>
          <cell r="C499" t="str">
            <v>un</v>
          </cell>
          <cell r="D499">
            <v>340.53</v>
          </cell>
          <cell r="E499" t="str">
            <v>A incluir</v>
          </cell>
          <cell r="F499" t="e">
            <v>#N/A</v>
          </cell>
          <cell r="G499" t="e">
            <v>#N/A</v>
          </cell>
        </row>
        <row r="500">
          <cell r="A500">
            <v>40732</v>
          </cell>
          <cell r="B500" t="str">
            <v>Dissipador de energia aplicado a saída de bueiro/descida d'agua de aterro (DEB-01)</v>
          </cell>
          <cell r="C500" t="str">
            <v>un</v>
          </cell>
          <cell r="D500">
            <v>587.45000000000005</v>
          </cell>
          <cell r="E500" t="str">
            <v>A incluir</v>
          </cell>
          <cell r="F500" t="e">
            <v>#N/A</v>
          </cell>
          <cell r="G500" t="e">
            <v>#N/A</v>
          </cell>
        </row>
        <row r="501">
          <cell r="A501">
            <v>40733</v>
          </cell>
          <cell r="B501" t="str">
            <v>Dissipador de energia aplicado a saída de bueiro/descida d'água de aterro (DEB-02)</v>
          </cell>
          <cell r="C501" t="str">
            <v>un</v>
          </cell>
          <cell r="D501">
            <v>1465.52</v>
          </cell>
          <cell r="E501" t="str">
            <v>A incluir</v>
          </cell>
          <cell r="F501" t="e">
            <v>#N/A</v>
          </cell>
          <cell r="G501" t="e">
            <v>#N/A</v>
          </cell>
        </row>
        <row r="502">
          <cell r="A502">
            <v>40734</v>
          </cell>
          <cell r="B502" t="str">
            <v>Dissipador de energia aplicado a saída de bueiro/descida d'água de aterro (DEB-03)</v>
          </cell>
          <cell r="C502" t="str">
            <v>un</v>
          </cell>
          <cell r="D502">
            <v>2296.14</v>
          </cell>
          <cell r="E502" t="str">
            <v>A incluir</v>
          </cell>
          <cell r="F502">
            <v>2548.4299999999998</v>
          </cell>
          <cell r="G502">
            <v>1.10987570444311</v>
          </cell>
        </row>
        <row r="503">
          <cell r="A503">
            <v>40735</v>
          </cell>
          <cell r="B503" t="str">
            <v>Dissipador de energia aplicado a saída de bueiro/descida d'água de aterro (DEB-04)</v>
          </cell>
          <cell r="C503" t="str">
            <v>un</v>
          </cell>
          <cell r="D503">
            <v>3318.73</v>
          </cell>
          <cell r="E503" t="str">
            <v>A incluir</v>
          </cell>
          <cell r="F503" t="e">
            <v>#N/A</v>
          </cell>
          <cell r="G503" t="e">
            <v>#N/A</v>
          </cell>
        </row>
        <row r="504">
          <cell r="A504">
            <v>40736</v>
          </cell>
          <cell r="B504" t="str">
            <v>Dissipador de energia aplicado a saída de bueiro/descida d'água de aterro (DEB-05)</v>
          </cell>
          <cell r="C504" t="str">
            <v>un</v>
          </cell>
          <cell r="D504">
            <v>4464.8599999999997</v>
          </cell>
          <cell r="E504" t="str">
            <v>A incluir</v>
          </cell>
          <cell r="F504" t="e">
            <v>#N/A</v>
          </cell>
          <cell r="G504" t="e">
            <v>#N/A</v>
          </cell>
        </row>
        <row r="505">
          <cell r="A505">
            <v>40737</v>
          </cell>
          <cell r="B505" t="str">
            <v>Dissipador de energia aplicado a saída de bueiro/descida d'água de aterro (DEB-06)</v>
          </cell>
          <cell r="C505" t="str">
            <v>un</v>
          </cell>
          <cell r="D505">
            <v>7102.13</v>
          </cell>
          <cell r="E505" t="str">
            <v>A incluir</v>
          </cell>
          <cell r="F505" t="e">
            <v>#N/A</v>
          </cell>
          <cell r="G505" t="e">
            <v>#N/A</v>
          </cell>
        </row>
        <row r="506">
          <cell r="A506">
            <v>40738</v>
          </cell>
          <cell r="B506" t="str">
            <v>Dissipador de energia aplicado a saída de bueiro/descida d'água de aterro (DEB-07)</v>
          </cell>
          <cell r="C506" t="str">
            <v>un</v>
          </cell>
          <cell r="D506">
            <v>4548.09</v>
          </cell>
          <cell r="E506" t="str">
            <v>A incluir</v>
          </cell>
          <cell r="F506" t="e">
            <v>#N/A</v>
          </cell>
          <cell r="G506" t="e">
            <v>#N/A</v>
          </cell>
        </row>
        <row r="507">
          <cell r="A507">
            <v>40739</v>
          </cell>
          <cell r="B507" t="str">
            <v>Dissipador de energia aplicado a saída de bueiro/descida d'água de aterro (DEB-08)</v>
          </cell>
          <cell r="C507" t="str">
            <v>un</v>
          </cell>
          <cell r="D507">
            <v>6123.49</v>
          </cell>
          <cell r="E507" t="str">
            <v>A incluir</v>
          </cell>
          <cell r="F507" t="e">
            <v>#N/A</v>
          </cell>
          <cell r="G507" t="e">
            <v>#N/A</v>
          </cell>
        </row>
        <row r="508">
          <cell r="A508">
            <v>40740</v>
          </cell>
          <cell r="B508" t="str">
            <v>Dissipador de energia aplicado a saída de bueiro/descida d'água de aterro (DEB-09)</v>
          </cell>
          <cell r="C508" t="str">
            <v>un</v>
          </cell>
          <cell r="D508">
            <v>9502.74</v>
          </cell>
          <cell r="E508" t="str">
            <v>A incluir</v>
          </cell>
          <cell r="F508" t="e">
            <v>#N/A</v>
          </cell>
          <cell r="G508" t="e">
            <v>#N/A</v>
          </cell>
        </row>
        <row r="509">
          <cell r="A509">
            <v>40741</v>
          </cell>
          <cell r="B509" t="str">
            <v>Dissipador de energia aplicado a saída de bueiro/descida d'água de aterro (DEB-10)</v>
          </cell>
          <cell r="C509" t="str">
            <v>un</v>
          </cell>
          <cell r="D509">
            <v>5784.2</v>
          </cell>
          <cell r="E509" t="str">
            <v>A incluir</v>
          </cell>
          <cell r="F509" t="e">
            <v>#N/A</v>
          </cell>
          <cell r="G509" t="e">
            <v>#N/A</v>
          </cell>
        </row>
        <row r="510">
          <cell r="A510">
            <v>40742</v>
          </cell>
          <cell r="B510" t="str">
            <v>Dissipador de energia aplicado a saída de bueiro/descida d'água de aterro (DEB-12)</v>
          </cell>
          <cell r="C510" t="str">
            <v>un</v>
          </cell>
          <cell r="D510">
            <v>11901.5</v>
          </cell>
          <cell r="E510" t="str">
            <v>A incluir</v>
          </cell>
          <cell r="F510" t="e">
            <v>#N/A</v>
          </cell>
          <cell r="G510" t="e">
            <v>#N/A</v>
          </cell>
        </row>
        <row r="511">
          <cell r="A511">
            <v>40729</v>
          </cell>
          <cell r="B511" t="str">
            <v>Dissipador de energia aplicado a saída de sarjeta/valeta (DES-01)</v>
          </cell>
          <cell r="C511" t="str">
            <v>un</v>
          </cell>
          <cell r="D511">
            <v>286.31</v>
          </cell>
          <cell r="E511" t="str">
            <v>A incluir</v>
          </cell>
          <cell r="F511" t="e">
            <v>#N/A</v>
          </cell>
          <cell r="G511" t="e">
            <v>#N/A</v>
          </cell>
        </row>
        <row r="512">
          <cell r="A512">
            <v>40730</v>
          </cell>
          <cell r="B512" t="str">
            <v>Dissipador de energia aplicado a saída de sarjeta/valeta (DES-02)</v>
          </cell>
          <cell r="C512" t="str">
            <v>un</v>
          </cell>
          <cell r="D512">
            <v>340.53</v>
          </cell>
          <cell r="E512" t="str">
            <v>A incluir</v>
          </cell>
          <cell r="F512" t="e">
            <v>#N/A</v>
          </cell>
          <cell r="G512" t="e">
            <v>#N/A</v>
          </cell>
        </row>
        <row r="513">
          <cell r="A513">
            <v>40731</v>
          </cell>
          <cell r="B513" t="str">
            <v>Dissipador de energia aplicado a saída de sarjeta/valeta (DES-03)</v>
          </cell>
          <cell r="C513" t="str">
            <v>un</v>
          </cell>
          <cell r="D513">
            <v>406.04</v>
          </cell>
          <cell r="E513" t="str">
            <v>A incluir</v>
          </cell>
          <cell r="F513" t="e">
            <v>#N/A</v>
          </cell>
          <cell r="G513" t="e">
            <v>#N/A</v>
          </cell>
        </row>
        <row r="514">
          <cell r="A514">
            <v>40650</v>
          </cell>
          <cell r="B514" t="str">
            <v>Dreno de alívio de pavimento (DP - DAP - 01), com utilização de geotêxtil não tecido RT 07 kn
/m, inclusive transporte da brita</v>
          </cell>
          <cell r="C514" t="str">
            <v>m</v>
          </cell>
          <cell r="D514">
            <v>49.19</v>
          </cell>
          <cell r="E514" t="str">
            <v>A incluir</v>
          </cell>
          <cell r="F514" t="e">
            <v>#N/A</v>
          </cell>
          <cell r="G514" t="e">
            <v>#N/A</v>
          </cell>
        </row>
        <row r="515">
          <cell r="A515">
            <v>40637</v>
          </cell>
          <cell r="B515" t="str">
            <v>Dreno de PVC D = 100 mm</v>
          </cell>
          <cell r="C515" t="str">
            <v>m</v>
          </cell>
          <cell r="D515">
            <v>29.07</v>
          </cell>
          <cell r="E515">
            <v>0</v>
          </cell>
          <cell r="F515" t="e">
            <v>#N/A</v>
          </cell>
          <cell r="G515" t="e">
            <v>#N/A</v>
          </cell>
        </row>
        <row r="516">
          <cell r="A516">
            <v>40636</v>
          </cell>
          <cell r="B516" t="str">
            <v>Dreno de PVC D = 50 mm</v>
          </cell>
          <cell r="C516" t="str">
            <v>m</v>
          </cell>
          <cell r="D516">
            <v>17.649999999999999</v>
          </cell>
          <cell r="E516">
            <v>0</v>
          </cell>
          <cell r="F516" t="e">
            <v>#N/A</v>
          </cell>
          <cell r="G516" t="e">
            <v>#N/A</v>
          </cell>
        </row>
        <row r="517">
          <cell r="A517">
            <v>40712</v>
          </cell>
          <cell r="B517" t="str">
            <v>Dreno Longitudinal tipo Trincheira Drenante, H = 0,90 m com tubo poroso tipo PEAD de diâm
= 100 mm, incluindo esc. em mat. 1ª cat. e transporte do tubo</v>
          </cell>
          <cell r="C517" t="str">
            <v>m</v>
          </cell>
          <cell r="D517">
            <v>85.15</v>
          </cell>
          <cell r="E517" t="str">
            <v>A incluir</v>
          </cell>
          <cell r="F517" t="e">
            <v>#N/A</v>
          </cell>
          <cell r="G517" t="e">
            <v>#N/A</v>
          </cell>
        </row>
        <row r="518">
          <cell r="A518">
            <v>40713</v>
          </cell>
          <cell r="B518" t="str">
            <v>Dreno Longitudinal tipo Trincheira Drenante, H = 0,90 m com tubo poroso tipo PEAD de diâm
= 100 mm, incluindo esc. mat. 3ª cat. e transporte do tubo</v>
          </cell>
          <cell r="C518" t="str">
            <v>m</v>
          </cell>
          <cell r="D518">
            <v>103.94</v>
          </cell>
          <cell r="E518" t="str">
            <v>A incluir</v>
          </cell>
          <cell r="F518" t="e">
            <v>#N/A</v>
          </cell>
          <cell r="G518" t="e">
            <v>#N/A</v>
          </cell>
        </row>
        <row r="519">
          <cell r="A519">
            <v>41262</v>
          </cell>
          <cell r="B519" t="str">
            <v>Dreno Longitudinal tipo Trincheira Drenante, H=0,40m c/ tubo poroso tipo PEAD d=65mm, inclus. esc. em mat. 1ª cat.e geotêxtil não tecido RT 07 kN/m</v>
          </cell>
          <cell r="C519" t="str">
            <v>m</v>
          </cell>
          <cell r="D519">
            <v>83.47</v>
          </cell>
          <cell r="E519">
            <v>0</v>
          </cell>
          <cell r="F519" t="e">
            <v>#N/A</v>
          </cell>
          <cell r="G519" t="e">
            <v>#N/A</v>
          </cell>
        </row>
        <row r="520">
          <cell r="A520">
            <v>41259</v>
          </cell>
          <cell r="B520" t="str">
            <v>Dreno ou Barbacã em tubo PVC, diâmetro de 2"</v>
          </cell>
          <cell r="C520" t="str">
            <v>m</v>
          </cell>
          <cell r="D520">
            <v>15.67</v>
          </cell>
          <cell r="E520">
            <v>0</v>
          </cell>
          <cell r="F520" t="e">
            <v>#N/A</v>
          </cell>
          <cell r="G520" t="e">
            <v>#N/A</v>
          </cell>
        </row>
        <row r="521">
          <cell r="A521">
            <v>40640</v>
          </cell>
          <cell r="B521" t="str">
            <v>Dreno profundo com enchimento de areia, escavação em material 1ª categoria, inclusive transporte da areia</v>
          </cell>
          <cell r="C521" t="str">
            <v>m</v>
          </cell>
          <cell r="D521">
            <v>99.69</v>
          </cell>
          <cell r="E521" t="str">
            <v>A incluir</v>
          </cell>
          <cell r="F521" t="e">
            <v>#N/A</v>
          </cell>
          <cell r="G521" t="e">
            <v>#N/A</v>
          </cell>
        </row>
        <row r="522">
          <cell r="A522">
            <v>40642</v>
          </cell>
          <cell r="B522" t="str">
            <v>Dreno profundo com enchimento de brita e areia (1:1) escavação em material 1ª categoria, inclusive transporte da areia e da brita</v>
          </cell>
          <cell r="C522" t="str">
            <v>m</v>
          </cell>
          <cell r="D522">
            <v>101.06</v>
          </cell>
          <cell r="E522" t="str">
            <v>A incluir</v>
          </cell>
          <cell r="F522" t="e">
            <v>#N/A</v>
          </cell>
          <cell r="G522" t="e">
            <v>#N/A</v>
          </cell>
        </row>
        <row r="523">
          <cell r="A523">
            <v>40643</v>
          </cell>
          <cell r="B523" t="str">
            <v>Dreno profundo com enchimento de brita e areia (1:1) escavação em material 2ª categoria, inclusive transporte da areia e da brita</v>
          </cell>
          <cell r="C523" t="str">
            <v>m</v>
          </cell>
          <cell r="D523">
            <v>107.53</v>
          </cell>
          <cell r="E523" t="str">
            <v>A incluir</v>
          </cell>
          <cell r="F523" t="e">
            <v>#N/A</v>
          </cell>
          <cell r="G523" t="e">
            <v>#N/A</v>
          </cell>
        </row>
        <row r="524">
          <cell r="A524">
            <v>40641</v>
          </cell>
          <cell r="B524" t="str">
            <v>Dreno profundo com enchimento de brita, escavação em material 1ª categoria, inclusive transporte da brita</v>
          </cell>
          <cell r="C524" t="str">
            <v>m</v>
          </cell>
          <cell r="D524">
            <v>95.52</v>
          </cell>
          <cell r="E524" t="str">
            <v>A incluir</v>
          </cell>
          <cell r="F524" t="e">
            <v>#N/A</v>
          </cell>
          <cell r="G524" t="e">
            <v>#N/A</v>
          </cell>
        </row>
        <row r="525">
          <cell r="A525">
            <v>40648</v>
          </cell>
          <cell r="B525" t="str">
            <v>Dreno profundo com tubo poroso, D = 0,20 m com enchimento de brita e areia, escavação em material 2ª categoria, inclusive transp.da areia, brita, tubo</v>
          </cell>
          <cell r="C525" t="str">
            <v>m</v>
          </cell>
          <cell r="D525">
            <v>120.76</v>
          </cell>
          <cell r="E525" t="str">
            <v>A incluir</v>
          </cell>
          <cell r="F525" t="e">
            <v>#N/A</v>
          </cell>
          <cell r="G525" t="e">
            <v>#N/A</v>
          </cell>
        </row>
        <row r="526">
          <cell r="A526">
            <v>40649</v>
          </cell>
          <cell r="B526" t="str">
            <v>Dreno profundo com tubo poroso, D = 0,20 m com enchimento de brita, escavação em material 3ª categoria (DPR-01), inclusive transporte da brita, tubo</v>
          </cell>
          <cell r="C526" t="str">
            <v>m</v>
          </cell>
          <cell r="D526">
            <v>88.09</v>
          </cell>
          <cell r="E526" t="str">
            <v>A incluir</v>
          </cell>
          <cell r="F526" t="e">
            <v>#N/A</v>
          </cell>
          <cell r="G526" t="e">
            <v>#N/A</v>
          </cell>
        </row>
        <row r="527">
          <cell r="A527">
            <v>40645</v>
          </cell>
          <cell r="B527" t="str">
            <v>Dreno profundo D = 0,10 m c/ enchim. brita, areia (1:1) escav. mat. 3º categ.incl. transp. areia, brita c/ geotêxtil não tecido res.long. mín 16kn/m</v>
          </cell>
          <cell r="C527" t="str">
            <v>m</v>
          </cell>
          <cell r="D527">
            <v>196.36</v>
          </cell>
          <cell r="E527" t="str">
            <v>A incluir</v>
          </cell>
          <cell r="F527" t="e">
            <v>#N/A</v>
          </cell>
          <cell r="G527" t="e">
            <v>#N/A</v>
          </cell>
        </row>
        <row r="528">
          <cell r="A528">
            <v>40644</v>
          </cell>
          <cell r="B528" t="str">
            <v>Dreno profundo D = 0,10 m c/enchim. brita e areia (1:1) escav.mat. 1º categ., inclus.transp. areia, brita,c/ geotêxtil não tecido res.long. mín 16 kn/m</v>
          </cell>
          <cell r="C528" t="str">
            <v>m</v>
          </cell>
          <cell r="D528">
            <v>128</v>
          </cell>
          <cell r="E528" t="str">
            <v>A incluir</v>
          </cell>
          <cell r="F528" t="e">
            <v>#N/A</v>
          </cell>
          <cell r="G528" t="e">
            <v>#N/A</v>
          </cell>
        </row>
        <row r="529">
          <cell r="A529">
            <v>40646</v>
          </cell>
          <cell r="B529" t="str">
            <v>Dreno profundo D = 0,20 m com enchimento de areia, escavação em material 1ª categoria ( DPS-01), inclusive transporte da areia e do tubo</v>
          </cell>
          <cell r="C529" t="str">
            <v>m</v>
          </cell>
          <cell r="D529">
            <v>118.84</v>
          </cell>
          <cell r="E529" t="str">
            <v>A incluir</v>
          </cell>
          <cell r="F529" t="e">
            <v>#N/A</v>
          </cell>
          <cell r="G529" t="e">
            <v>#N/A</v>
          </cell>
        </row>
        <row r="530">
          <cell r="A530">
            <v>40647</v>
          </cell>
          <cell r="B530" t="str">
            <v>Dreno profundo D = 0,20 m com enchimento de brita e areia, escavação em material 1ª categoria, inclusive transporte da brita e da areia</v>
          </cell>
          <cell r="C530" t="str">
            <v>m</v>
          </cell>
          <cell r="D530">
            <v>114.29</v>
          </cell>
          <cell r="E530" t="str">
            <v>A incluir</v>
          </cell>
          <cell r="F530">
            <v>145.62</v>
          </cell>
          <cell r="G530">
            <v>1.27412722022924</v>
          </cell>
        </row>
        <row r="531">
          <cell r="A531">
            <v>40704</v>
          </cell>
          <cell r="B531" t="str">
            <v>Dreno profundo em solo com tubo PEAD perfur. D=100 mm, envolto por geotêxtil não tecido RT16 kn/m, preenchim. c/ brita, incl. transporte</v>
          </cell>
          <cell r="C531" t="str">
            <v>m</v>
          </cell>
          <cell r="D531">
            <v>83.46</v>
          </cell>
          <cell r="E531" t="str">
            <v>A incluir</v>
          </cell>
          <cell r="F531" t="e">
            <v>#N/A</v>
          </cell>
          <cell r="G531" t="e">
            <v>#N/A</v>
          </cell>
        </row>
        <row r="532">
          <cell r="A532">
            <v>41107</v>
          </cell>
          <cell r="B532" t="str">
            <v>Dreno profundo para corte em solo, com enchimento em brita revestido com geotextil não tecido RT 16 kn/m, inclusive transporte da brita</v>
          </cell>
          <cell r="C532" t="str">
            <v>m</v>
          </cell>
          <cell r="D532">
            <v>117.49</v>
          </cell>
          <cell r="E532" t="str">
            <v>A incluir</v>
          </cell>
          <cell r="F532" t="e">
            <v>#N/A</v>
          </cell>
          <cell r="G532" t="e">
            <v>#N/A</v>
          </cell>
        </row>
        <row r="533">
          <cell r="A533">
            <v>40638</v>
          </cell>
          <cell r="B533" t="str">
            <v>Dreno sub-horizontal D = 50 mm em PVC, com geotêxtil não tecido RT 16 kn/m, exclusive transportes</v>
          </cell>
          <cell r="C533" t="str">
            <v>m</v>
          </cell>
          <cell r="D533">
            <v>387.63</v>
          </cell>
          <cell r="E533">
            <v>0</v>
          </cell>
          <cell r="F533" t="e">
            <v>#N/A</v>
          </cell>
          <cell r="G533" t="e">
            <v>#N/A</v>
          </cell>
        </row>
        <row r="534">
          <cell r="A534">
            <v>41188</v>
          </cell>
          <cell r="B534" t="str">
            <v>Dreno sub-horizontal D=50mm em PVC (escavação em alteração de rocha), inclusive geotêxtil não tecido RT 16 kn/m, exclusive transportes</v>
          </cell>
          <cell r="C534" t="str">
            <v>m</v>
          </cell>
          <cell r="D534">
            <v>623.04</v>
          </cell>
          <cell r="E534">
            <v>0</v>
          </cell>
          <cell r="F534" t="e">
            <v>#N/A</v>
          </cell>
          <cell r="G534" t="e">
            <v>#N/A</v>
          </cell>
        </row>
        <row r="535">
          <cell r="A535">
            <v>41187</v>
          </cell>
          <cell r="B535" t="str">
            <v>Dreno sub-horizontal D=50mm em PVC (escavação em rocha sã), inlusive geotêxtil não tecido RT 16 kn/m, exclusive transportes</v>
          </cell>
          <cell r="C535" t="str">
            <v>m</v>
          </cell>
          <cell r="D535">
            <v>819.62</v>
          </cell>
          <cell r="E535">
            <v>0</v>
          </cell>
          <cell r="F535" t="e">
            <v>#N/A</v>
          </cell>
          <cell r="G535" t="e">
            <v>#N/A</v>
          </cell>
        </row>
        <row r="536">
          <cell r="A536">
            <v>40705</v>
          </cell>
          <cell r="B536" t="str">
            <v>Dreno sub-superficial rocha (h=0,55m) c/ tubo PEAD perfur. d=100mm, env. por geotêxtil16kn
/m, preenc.c/ brita, inclus.transp. tubo, exclusive transp.brita</v>
          </cell>
          <cell r="C536" t="str">
            <v>m</v>
          </cell>
          <cell r="D536">
            <v>67.92</v>
          </cell>
          <cell r="E536" t="str">
            <v>A incluir</v>
          </cell>
          <cell r="F536" t="e">
            <v>#N/A</v>
          </cell>
          <cell r="G536" t="e">
            <v>#N/A</v>
          </cell>
        </row>
        <row r="537">
          <cell r="A537">
            <v>40639</v>
          </cell>
          <cell r="B537" t="str">
            <v>Dreno vertical D = 75 mm em PVC, com geotêxtil não tecido resistência longitudinal 16 kn/m</v>
          </cell>
          <cell r="C537" t="str">
            <v>m</v>
          </cell>
          <cell r="D537">
            <v>392.23</v>
          </cell>
          <cell r="E537">
            <v>0</v>
          </cell>
          <cell r="F537" t="e">
            <v>#N/A</v>
          </cell>
          <cell r="G537" t="e">
            <v>#N/A</v>
          </cell>
        </row>
        <row r="538">
          <cell r="A538">
            <v>41227</v>
          </cell>
          <cell r="B538" t="str">
            <v>Eletroduto de ferro galvanizado DN 4", inclusive conexões, exclusive escavação e reaterro, fornecimento e assentamento</v>
          </cell>
          <cell r="C538" t="str">
            <v>m</v>
          </cell>
          <cell r="D538">
            <v>95.74</v>
          </cell>
          <cell r="E538">
            <v>0</v>
          </cell>
          <cell r="F538" t="e">
            <v>#N/A</v>
          </cell>
          <cell r="G538" t="e">
            <v>#N/A</v>
          </cell>
        </row>
        <row r="539">
          <cell r="A539">
            <v>40951</v>
          </cell>
          <cell r="B539" t="str">
            <v>Eletroduto para rede de lógica, inclusive conexões</v>
          </cell>
          <cell r="C539" t="str">
            <v>m</v>
          </cell>
          <cell r="D539">
            <v>18.989999999999998</v>
          </cell>
          <cell r="E539">
            <v>0</v>
          </cell>
          <cell r="F539" t="e">
            <v>#N/A</v>
          </cell>
          <cell r="G539" t="e">
            <v>#N/A</v>
          </cell>
        </row>
        <row r="540">
          <cell r="A540">
            <v>41121</v>
          </cell>
          <cell r="B540" t="str">
            <v>Eletroduto PVC diâmetro 75mm, fornecimento e assentamento</v>
          </cell>
          <cell r="C540" t="str">
            <v>m</v>
          </cell>
          <cell r="D540">
            <v>24.81</v>
          </cell>
          <cell r="E540">
            <v>0</v>
          </cell>
          <cell r="F540" t="e">
            <v>#N/A</v>
          </cell>
          <cell r="G540" t="e">
            <v>#N/A</v>
          </cell>
        </row>
        <row r="541">
          <cell r="A541">
            <v>41120</v>
          </cell>
          <cell r="B541" t="str">
            <v>Eletroduto PVC rígido roscável diâm. 50mm, fornecimento e assentamento</v>
          </cell>
          <cell r="C541" t="str">
            <v>m</v>
          </cell>
          <cell r="D541">
            <v>11.8</v>
          </cell>
          <cell r="E541">
            <v>0</v>
          </cell>
          <cell r="F541" t="e">
            <v>#N/A</v>
          </cell>
          <cell r="G541" t="e">
            <v>#N/A</v>
          </cell>
        </row>
        <row r="542">
          <cell r="A542">
            <v>41128</v>
          </cell>
          <cell r="B542" t="str">
            <v>Eletroduto tipo Kanaflex diâmetro 1 1/4", fornecimento e assentamento</v>
          </cell>
          <cell r="C542" t="str">
            <v>m</v>
          </cell>
          <cell r="D542">
            <v>11.41</v>
          </cell>
          <cell r="E542">
            <v>0</v>
          </cell>
          <cell r="F542" t="e">
            <v>#N/A</v>
          </cell>
          <cell r="G542" t="e">
            <v>#N/A</v>
          </cell>
        </row>
        <row r="543">
          <cell r="A543">
            <v>41129</v>
          </cell>
          <cell r="B543" t="str">
            <v>Eletroduto tipo Kanaflex diâmetro 1 1/2", fornecimento e assentamento</v>
          </cell>
          <cell r="C543" t="str">
            <v>m</v>
          </cell>
          <cell r="D543">
            <v>14.16</v>
          </cell>
          <cell r="E543">
            <v>0</v>
          </cell>
          <cell r="F543" t="e">
            <v>#N/A</v>
          </cell>
          <cell r="G543" t="e">
            <v>#N/A</v>
          </cell>
        </row>
        <row r="544">
          <cell r="A544">
            <v>41131</v>
          </cell>
          <cell r="B544" t="str">
            <v>Eletroduto tipo Kanaflex diâmetro 2", fornecimento e assentamento</v>
          </cell>
          <cell r="C544" t="str">
            <v>m</v>
          </cell>
          <cell r="D544">
            <v>19.57</v>
          </cell>
          <cell r="E544">
            <v>0</v>
          </cell>
          <cell r="F544" t="e">
            <v>#N/A</v>
          </cell>
          <cell r="G544" t="e">
            <v>#N/A</v>
          </cell>
        </row>
        <row r="545">
          <cell r="A545">
            <v>41130</v>
          </cell>
          <cell r="B545" t="str">
            <v>Eletroduto tipo Kanaflex diâmetro 4", fornecimento e assentamento</v>
          </cell>
          <cell r="C545" t="str">
            <v>m</v>
          </cell>
          <cell r="D545">
            <v>32.53</v>
          </cell>
          <cell r="E545">
            <v>0</v>
          </cell>
          <cell r="F545" t="e">
            <v>#N/A</v>
          </cell>
          <cell r="G545" t="e">
            <v>#N/A</v>
          </cell>
        </row>
        <row r="546">
          <cell r="A546">
            <v>40997</v>
          </cell>
          <cell r="B546" t="str">
            <v>Enrocamento de pedra arrumada com pá carregadeira e escavadeira, inclusive fornecimento, exclusive transporte da pedra</v>
          </cell>
          <cell r="C546" t="str">
            <v>m³</v>
          </cell>
          <cell r="D546">
            <v>83.47</v>
          </cell>
          <cell r="E546">
            <v>0</v>
          </cell>
          <cell r="F546" t="e">
            <v>#N/A</v>
          </cell>
          <cell r="G546" t="e">
            <v>#N/A</v>
          </cell>
        </row>
        <row r="547">
          <cell r="A547">
            <v>40724</v>
          </cell>
          <cell r="B547" t="str">
            <v>Enrocamento de pedra de mão arrumada exclusive transporte</v>
          </cell>
          <cell r="C547" t="str">
            <v>m³</v>
          </cell>
          <cell r="D547">
            <v>144.24</v>
          </cell>
          <cell r="E547">
            <v>0</v>
          </cell>
          <cell r="F547" t="e">
            <v>#N/A</v>
          </cell>
          <cell r="G547" t="e">
            <v>#N/A</v>
          </cell>
        </row>
        <row r="548">
          <cell r="A548">
            <v>40722</v>
          </cell>
          <cell r="B548" t="str">
            <v>Enrocamento de pedra jogada exclusive fornecimento e transporte (utilização de material considerado em medição)</v>
          </cell>
          <cell r="C548" t="str">
            <v>m³</v>
          </cell>
          <cell r="D548">
            <v>7.73</v>
          </cell>
          <cell r="E548">
            <v>0</v>
          </cell>
          <cell r="F548" t="e">
            <v>#N/A</v>
          </cell>
          <cell r="G548" t="e">
            <v>#N/A</v>
          </cell>
        </row>
        <row r="549">
          <cell r="A549">
            <v>40998</v>
          </cell>
          <cell r="B549" t="str">
            <v>Enrocamento de pedra jogada exclusive o fornecimento e transporte da pedra</v>
          </cell>
          <cell r="C549" t="str">
            <v>m³</v>
          </cell>
          <cell r="D549">
            <v>8.7100000000000009</v>
          </cell>
          <cell r="E549">
            <v>0</v>
          </cell>
          <cell r="F549" t="e">
            <v>#N/A</v>
          </cell>
          <cell r="G549" t="e">
            <v>#N/A</v>
          </cell>
        </row>
        <row r="550">
          <cell r="A550">
            <v>40723</v>
          </cell>
          <cell r="B550" t="str">
            <v>Enrocamento de pedra jogada inclusive fornecimento, exclusive transporte da pedra</v>
          </cell>
          <cell r="C550" t="str">
            <v>m³</v>
          </cell>
          <cell r="D550">
            <v>61.04</v>
          </cell>
          <cell r="E550">
            <v>0</v>
          </cell>
          <cell r="F550" t="e">
            <v>#N/A</v>
          </cell>
          <cell r="G550" t="e">
            <v>#N/A</v>
          </cell>
        </row>
        <row r="551">
          <cell r="A551">
            <v>40335</v>
          </cell>
          <cell r="B551" t="str">
            <v>Ensecadeira dupla de madeira esp.= 5 cm com 1 reaproveitamento</v>
          </cell>
          <cell r="C551" t="str">
            <v>m²</v>
          </cell>
          <cell r="D551">
            <v>527.34</v>
          </cell>
          <cell r="E551" t="str">
            <v>A incluir</v>
          </cell>
          <cell r="F551" t="e">
            <v>#N/A</v>
          </cell>
          <cell r="G551" t="e">
            <v>#N/A</v>
          </cell>
        </row>
        <row r="552">
          <cell r="A552">
            <v>40334</v>
          </cell>
          <cell r="B552" t="str">
            <v>Ensecadeira dupla de madeira esp.= 5 cm sem reaproveitamento, tudo incluído</v>
          </cell>
          <cell r="C552" t="str">
            <v>m²</v>
          </cell>
          <cell r="D552">
            <v>734.39</v>
          </cell>
          <cell r="E552" t="str">
            <v>A incluir</v>
          </cell>
          <cell r="F552" t="e">
            <v>#N/A</v>
          </cell>
          <cell r="G552" t="e">
            <v>#N/A</v>
          </cell>
        </row>
        <row r="553">
          <cell r="A553">
            <v>40333</v>
          </cell>
          <cell r="B553" t="str">
            <v>Ensecadeira simples de madeira esp.= 5 cm com 1 reaproveitamento, inclusive transporte das madeiras</v>
          </cell>
          <cell r="C553" t="str">
            <v>m²</v>
          </cell>
          <cell r="D553">
            <v>263.67</v>
          </cell>
          <cell r="E553" t="str">
            <v>A incluir</v>
          </cell>
          <cell r="F553" t="e">
            <v>#N/A</v>
          </cell>
          <cell r="G553" t="e">
            <v>#N/A</v>
          </cell>
        </row>
        <row r="554">
          <cell r="A554">
            <v>40332</v>
          </cell>
          <cell r="B554" t="str">
            <v>Ensecadeira simples de madeira esp.= 5 cm sem reaproveitamento, inclusive transporte das madeiras</v>
          </cell>
          <cell r="C554" t="str">
            <v>m²</v>
          </cell>
          <cell r="D554">
            <v>367.19</v>
          </cell>
          <cell r="E554" t="str">
            <v>A incluir</v>
          </cell>
          <cell r="F554" t="e">
            <v>#N/A</v>
          </cell>
          <cell r="G554" t="e">
            <v>#N/A</v>
          </cell>
        </row>
        <row r="555">
          <cell r="A555">
            <v>40675</v>
          </cell>
          <cell r="B555" t="str">
            <v>Entrada para descida d'agua DP-1 (calha/degraus) inclusive caiação</v>
          </cell>
          <cell r="C555" t="str">
            <v>un</v>
          </cell>
          <cell r="D555">
            <v>198.76</v>
          </cell>
          <cell r="E555">
            <v>0</v>
          </cell>
          <cell r="F555" t="e">
            <v>#N/A</v>
          </cell>
          <cell r="G555" t="e">
            <v>#N/A</v>
          </cell>
        </row>
        <row r="556">
          <cell r="A556">
            <v>40673</v>
          </cell>
          <cell r="B556" t="str">
            <v>Entrada para descida d'água EDA-01</v>
          </cell>
          <cell r="C556" t="str">
            <v>un</v>
          </cell>
          <cell r="D556">
            <v>72.88</v>
          </cell>
          <cell r="E556">
            <v>0</v>
          </cell>
          <cell r="F556">
            <v>82.38</v>
          </cell>
          <cell r="G556">
            <v>1.1303512623490699</v>
          </cell>
        </row>
        <row r="557">
          <cell r="A557">
            <v>40674</v>
          </cell>
          <cell r="B557" t="str">
            <v>Entrada para descida d'água EDA-02</v>
          </cell>
          <cell r="C557" t="str">
            <v>un</v>
          </cell>
          <cell r="D557">
            <v>77.88</v>
          </cell>
          <cell r="E557">
            <v>0</v>
          </cell>
          <cell r="F557">
            <v>87.72</v>
          </cell>
          <cell r="G557">
            <v>1.1263482280431401</v>
          </cell>
        </row>
        <row r="558">
          <cell r="A558">
            <v>41037</v>
          </cell>
          <cell r="B558" t="str">
            <v>Escada de madeira executada sobre terreno inclinado, com 80 cm de largura mínima</v>
          </cell>
          <cell r="C558" t="str">
            <v>m</v>
          </cell>
          <cell r="D558">
            <v>59.9</v>
          </cell>
          <cell r="E558">
            <v>0</v>
          </cell>
          <cell r="F558" t="e">
            <v>#N/A</v>
          </cell>
          <cell r="G558" t="e">
            <v>#N/A</v>
          </cell>
        </row>
        <row r="559">
          <cell r="A559">
            <v>40258</v>
          </cell>
          <cell r="B559" t="str">
            <v>Escavação manual em mat. 1ª cat. H= 0,00 a 1,50 m</v>
          </cell>
          <cell r="C559" t="str">
            <v>m³</v>
          </cell>
          <cell r="D559">
            <v>57.06</v>
          </cell>
          <cell r="E559">
            <v>0</v>
          </cell>
          <cell r="F559">
            <v>57.06</v>
          </cell>
          <cell r="G559">
            <v>1</v>
          </cell>
        </row>
        <row r="560">
          <cell r="A560">
            <v>40261</v>
          </cell>
          <cell r="B560" t="str">
            <v>Escavação manual em mat. 1ª cat. H= 0,00 a 1,50 m com esgotamento</v>
          </cell>
          <cell r="C560" t="str">
            <v>m³</v>
          </cell>
          <cell r="D560">
            <v>64.41</v>
          </cell>
          <cell r="E560">
            <v>0</v>
          </cell>
          <cell r="F560" t="e">
            <v>#N/A</v>
          </cell>
          <cell r="G560" t="e">
            <v>#N/A</v>
          </cell>
        </row>
        <row r="561">
          <cell r="A561">
            <v>40259</v>
          </cell>
          <cell r="B561" t="str">
            <v>Escavação manual em mat. 1ª cat. H= 1,50 a 3,00 m</v>
          </cell>
          <cell r="C561" t="str">
            <v>m³</v>
          </cell>
          <cell r="D561">
            <v>84.09</v>
          </cell>
          <cell r="E561">
            <v>0</v>
          </cell>
          <cell r="F561" t="e">
            <v>#N/A</v>
          </cell>
          <cell r="G561" t="e">
            <v>#N/A</v>
          </cell>
        </row>
        <row r="562">
          <cell r="A562">
            <v>40262</v>
          </cell>
          <cell r="B562" t="str">
            <v>Escavação manual em mat. 1ª cat. H= 1,50 a 3,00 m com esgotamento</v>
          </cell>
          <cell r="C562" t="str">
            <v>m³</v>
          </cell>
          <cell r="D562">
            <v>91.44</v>
          </cell>
          <cell r="E562">
            <v>0</v>
          </cell>
          <cell r="F562" t="e">
            <v>#N/A</v>
          </cell>
          <cell r="G562" t="e">
            <v>#N/A</v>
          </cell>
        </row>
        <row r="563">
          <cell r="A563">
            <v>40260</v>
          </cell>
          <cell r="B563" t="str">
            <v>Escavação manual em mat. 1ª cat. H= 3,00 a 4,50 m</v>
          </cell>
          <cell r="C563" t="str">
            <v>m³</v>
          </cell>
          <cell r="D563">
            <v>124.65</v>
          </cell>
          <cell r="E563">
            <v>0</v>
          </cell>
          <cell r="F563" t="e">
            <v>#N/A</v>
          </cell>
          <cell r="G563" t="e">
            <v>#N/A</v>
          </cell>
        </row>
        <row r="564">
          <cell r="A564">
            <v>40263</v>
          </cell>
          <cell r="B564" t="str">
            <v>Escavação manual em mat. 1ª cat. H= 3,00 a 4,50 m com esgotamento</v>
          </cell>
          <cell r="C564" t="str">
            <v>m³</v>
          </cell>
          <cell r="D564">
            <v>132</v>
          </cell>
          <cell r="E564">
            <v>0</v>
          </cell>
          <cell r="F564" t="e">
            <v>#N/A</v>
          </cell>
          <cell r="G564" t="e">
            <v>#N/A</v>
          </cell>
        </row>
        <row r="565">
          <cell r="A565">
            <v>40267</v>
          </cell>
          <cell r="B565" t="str">
            <v>Escavação manual em mat. 2ª cat. H= 0,00 a 1,50 m com esgotamento</v>
          </cell>
          <cell r="C565" t="str">
            <v>m³</v>
          </cell>
          <cell r="D565">
            <v>135.96</v>
          </cell>
          <cell r="E565">
            <v>0</v>
          </cell>
          <cell r="F565" t="e">
            <v>#N/A</v>
          </cell>
          <cell r="G565" t="e">
            <v>#N/A</v>
          </cell>
        </row>
        <row r="566">
          <cell r="A566">
            <v>40264</v>
          </cell>
          <cell r="B566" t="str">
            <v>Escavação manual em mat. 2ª cat. H= 0,00 a 1,50 m sem detonação</v>
          </cell>
          <cell r="C566" t="str">
            <v>m³</v>
          </cell>
          <cell r="D566">
            <v>128.61000000000001</v>
          </cell>
          <cell r="E566">
            <v>0</v>
          </cell>
          <cell r="F566" t="e">
            <v>#N/A</v>
          </cell>
          <cell r="G566" t="e">
            <v>#N/A</v>
          </cell>
        </row>
        <row r="567">
          <cell r="A567">
            <v>40268</v>
          </cell>
          <cell r="B567" t="str">
            <v>Escavação manual em mat. 2ª cat. H= 1,50 a 3,00 m com esgotamento</v>
          </cell>
          <cell r="C567" t="str">
            <v>m³</v>
          </cell>
          <cell r="D567">
            <v>167.41</v>
          </cell>
          <cell r="E567">
            <v>0</v>
          </cell>
          <cell r="F567" t="e">
            <v>#N/A</v>
          </cell>
          <cell r="G567" t="e">
            <v>#N/A</v>
          </cell>
        </row>
        <row r="568">
          <cell r="A568">
            <v>40265</v>
          </cell>
          <cell r="B568" t="str">
            <v>Escavação manual em mat. 2ª cat. H= 1,50 a 3,00 m sem detonação</v>
          </cell>
          <cell r="C568" t="str">
            <v>m³</v>
          </cell>
          <cell r="D568">
            <v>160.06</v>
          </cell>
          <cell r="E568">
            <v>0</v>
          </cell>
          <cell r="F568" t="e">
            <v>#N/A</v>
          </cell>
          <cell r="G568" t="e">
            <v>#N/A</v>
          </cell>
        </row>
        <row r="569">
          <cell r="A569">
            <v>40269</v>
          </cell>
          <cell r="B569" t="str">
            <v>Escavação manual em mat. 2ª cat. H= 3,00 a 4,50 m com esgotamento</v>
          </cell>
          <cell r="C569" t="str">
            <v>m³</v>
          </cell>
          <cell r="D569">
            <v>291.61</v>
          </cell>
          <cell r="E569">
            <v>0</v>
          </cell>
          <cell r="F569" t="e">
            <v>#N/A</v>
          </cell>
          <cell r="G569" t="e">
            <v>#N/A</v>
          </cell>
        </row>
        <row r="570">
          <cell r="A570">
            <v>40266</v>
          </cell>
          <cell r="B570" t="str">
            <v>Escavação manual em mat. 2ª cat. H= 3,00 a 4,50 m sem detonação</v>
          </cell>
          <cell r="C570" t="str">
            <v>m³</v>
          </cell>
          <cell r="D570">
            <v>284.26</v>
          </cell>
          <cell r="E570">
            <v>0</v>
          </cell>
          <cell r="F570" t="e">
            <v>#N/A</v>
          </cell>
          <cell r="G570" t="e">
            <v>#N/A</v>
          </cell>
        </row>
        <row r="571">
          <cell r="A571">
            <v>40276</v>
          </cell>
          <cell r="B571" t="str">
            <v>Escavação manual em mat. 3ª cat. H= 0,00 a 1,50 m, a fogo</v>
          </cell>
          <cell r="C571" t="str">
            <v>m³</v>
          </cell>
          <cell r="D571">
            <v>355.56</v>
          </cell>
          <cell r="E571">
            <v>0</v>
          </cell>
          <cell r="F571" t="e">
            <v>#N/A</v>
          </cell>
          <cell r="G571" t="e">
            <v>#N/A</v>
          </cell>
        </row>
        <row r="572">
          <cell r="A572">
            <v>40256</v>
          </cell>
          <cell r="B572" t="str">
            <v>Escavação manual furos, valetas mat. 1ª cat. H= 0,00 a 1,50 m (dim. reduz.)</v>
          </cell>
          <cell r="C572" t="str">
            <v>m³</v>
          </cell>
          <cell r="D572">
            <v>84.09</v>
          </cell>
          <cell r="E572">
            <v>0</v>
          </cell>
          <cell r="F572">
            <v>84.09</v>
          </cell>
          <cell r="G572">
            <v>1</v>
          </cell>
        </row>
        <row r="573">
          <cell r="A573">
            <v>40257</v>
          </cell>
          <cell r="B573" t="str">
            <v>Escavação manual furos, valetas mat. 2ª cat. H= 0,00 a 1,50 m sem detonação (dim. reduz.)</v>
          </cell>
          <cell r="C573" t="str">
            <v>m³</v>
          </cell>
          <cell r="D573">
            <v>191.42</v>
          </cell>
          <cell r="E573">
            <v>0</v>
          </cell>
          <cell r="F573" t="e">
            <v>#N/A</v>
          </cell>
          <cell r="G573" t="e">
            <v>#N/A</v>
          </cell>
        </row>
        <row r="574">
          <cell r="A574">
            <v>41192</v>
          </cell>
          <cell r="B574" t="str">
            <v>Escavação mecânica de valas em material de 1ª categoria, 3,00 a 4,50m, com esgotamento, carga do material, transporte do material para bota-fora</v>
          </cell>
          <cell r="C574" t="str">
            <v>m³</v>
          </cell>
          <cell r="D574">
            <v>184.3</v>
          </cell>
          <cell r="E574" t="str">
            <v>A incluir</v>
          </cell>
          <cell r="F574" t="e">
            <v>#N/A</v>
          </cell>
          <cell r="G574" t="e">
            <v>#N/A</v>
          </cell>
        </row>
        <row r="575">
          <cell r="A575">
            <v>41198</v>
          </cell>
          <cell r="B575" t="str">
            <v>Escavação mecânica de valas em 1ª categoria, profundidade de 4,50 a 6,00m com esgotamento, transp. DMT=20km, descarga e espalhamento</v>
          </cell>
          <cell r="C575" t="str">
            <v>m³</v>
          </cell>
          <cell r="D575">
            <v>186.13</v>
          </cell>
          <cell r="E575" t="str">
            <v>A incluir</v>
          </cell>
          <cell r="F575" t="e">
            <v>#N/A</v>
          </cell>
          <cell r="G575" t="e">
            <v>#N/A</v>
          </cell>
        </row>
        <row r="576">
          <cell r="A576">
            <v>40282</v>
          </cell>
          <cell r="B576" t="str">
            <v>Escavação mecânica em material de 1ª cat. H= 0,00 a 1,50 m</v>
          </cell>
          <cell r="C576" t="str">
            <v>m³</v>
          </cell>
          <cell r="D576">
            <v>10.35</v>
          </cell>
          <cell r="E576">
            <v>0</v>
          </cell>
          <cell r="F576">
            <v>10.36</v>
          </cell>
          <cell r="G576">
            <v>1.00096618357488</v>
          </cell>
        </row>
        <row r="577">
          <cell r="A577">
            <v>40285</v>
          </cell>
          <cell r="B577" t="str">
            <v>Escavação mecânica em material de 1ª cat. H= 0,00 a 1,50 m com esgotamento</v>
          </cell>
          <cell r="C577" t="str">
            <v>m³</v>
          </cell>
          <cell r="D577">
            <v>17.7</v>
          </cell>
          <cell r="E577">
            <v>0</v>
          </cell>
          <cell r="F577" t="e">
            <v>#N/A</v>
          </cell>
          <cell r="G577" t="e">
            <v>#N/A</v>
          </cell>
        </row>
        <row r="578">
          <cell r="A578">
            <v>40283</v>
          </cell>
          <cell r="B578" t="str">
            <v>Escavação mecânica em material de 1ª cat. H= 1,50 a 3,00 m</v>
          </cell>
          <cell r="C578" t="str">
            <v>m³</v>
          </cell>
          <cell r="D578">
            <v>11.39</v>
          </cell>
          <cell r="E578">
            <v>0</v>
          </cell>
          <cell r="F578">
            <v>11.39</v>
          </cell>
          <cell r="G578">
            <v>1</v>
          </cell>
        </row>
        <row r="579">
          <cell r="A579">
            <v>40286</v>
          </cell>
          <cell r="B579" t="str">
            <v>Escavação mecânica em material de 1ª cat. H= 1,50 a 3,00 m com esgotamento</v>
          </cell>
          <cell r="C579" t="str">
            <v>m³</v>
          </cell>
          <cell r="D579">
            <v>18.739999999999998</v>
          </cell>
          <cell r="E579">
            <v>0</v>
          </cell>
          <cell r="F579" t="e">
            <v>#N/A</v>
          </cell>
          <cell r="G579" t="e">
            <v>#N/A</v>
          </cell>
        </row>
        <row r="580">
          <cell r="A580">
            <v>40284</v>
          </cell>
          <cell r="B580" t="str">
            <v>Escavação mecânica em material de 1ª cat. H= 3,00 a 4,50 m</v>
          </cell>
          <cell r="C580" t="str">
            <v>m³</v>
          </cell>
          <cell r="D580">
            <v>13.4</v>
          </cell>
          <cell r="E580">
            <v>0</v>
          </cell>
          <cell r="F580" t="e">
            <v>#N/A</v>
          </cell>
          <cell r="G580" t="e">
            <v>#N/A</v>
          </cell>
        </row>
        <row r="581">
          <cell r="A581">
            <v>40287</v>
          </cell>
          <cell r="B581" t="str">
            <v>Escavação mecânica em material de 1º cat. H= 3,00 a 4,50 m com esgotamento</v>
          </cell>
          <cell r="C581" t="str">
            <v>m³</v>
          </cell>
          <cell r="D581">
            <v>20.75</v>
          </cell>
          <cell r="E581">
            <v>0</v>
          </cell>
          <cell r="F581" t="e">
            <v>#N/A</v>
          </cell>
          <cell r="G581" t="e">
            <v>#N/A</v>
          </cell>
        </row>
        <row r="582">
          <cell r="A582">
            <v>40288</v>
          </cell>
          <cell r="B582" t="str">
            <v>Escavação mecânica em material de 2ª cat. H= 0,00 a 1,50 m</v>
          </cell>
          <cell r="C582" t="str">
            <v>m³</v>
          </cell>
          <cell r="D582">
            <v>18.989999999999998</v>
          </cell>
          <cell r="E582">
            <v>0</v>
          </cell>
          <cell r="F582" t="e">
            <v>#N/A</v>
          </cell>
          <cell r="G582" t="e">
            <v>#N/A</v>
          </cell>
        </row>
        <row r="583">
          <cell r="A583">
            <v>40291</v>
          </cell>
          <cell r="B583" t="str">
            <v>Escavação mecânica em material de 2ª cat. H= 0,00 a 1,50 m com esgotamento</v>
          </cell>
          <cell r="C583" t="str">
            <v>m³</v>
          </cell>
          <cell r="D583">
            <v>26.34</v>
          </cell>
          <cell r="E583">
            <v>0</v>
          </cell>
          <cell r="F583" t="e">
            <v>#N/A</v>
          </cell>
          <cell r="G583" t="e">
            <v>#N/A</v>
          </cell>
        </row>
        <row r="584">
          <cell r="A584">
            <v>40289</v>
          </cell>
          <cell r="B584" t="str">
            <v>Escavação mecânica em material de 2ª cat. H= 1,50 a 3,00 m</v>
          </cell>
          <cell r="C584" t="str">
            <v>m³</v>
          </cell>
          <cell r="D584">
            <v>22.78</v>
          </cell>
          <cell r="E584">
            <v>0</v>
          </cell>
          <cell r="F584" t="e">
            <v>#N/A</v>
          </cell>
          <cell r="G584" t="e">
            <v>#N/A</v>
          </cell>
        </row>
        <row r="585">
          <cell r="A585">
            <v>40292</v>
          </cell>
          <cell r="B585" t="str">
            <v>Escavação mecânica em material de 2ª cat. H= 1,50 a 3,00 m com esgotamento</v>
          </cell>
          <cell r="C585" t="str">
            <v>m³</v>
          </cell>
          <cell r="D585">
            <v>30.13</v>
          </cell>
          <cell r="E585">
            <v>0</v>
          </cell>
          <cell r="F585" t="e">
            <v>#N/A</v>
          </cell>
          <cell r="G585" t="e">
            <v>#N/A</v>
          </cell>
        </row>
        <row r="586">
          <cell r="A586">
            <v>40290</v>
          </cell>
          <cell r="B586" t="str">
            <v>Escavação mecânica em material de 2ª cat. H= 3,00 a 4,50 m</v>
          </cell>
          <cell r="C586" t="str">
            <v>m³</v>
          </cell>
          <cell r="D586">
            <v>28.48</v>
          </cell>
          <cell r="E586">
            <v>0</v>
          </cell>
          <cell r="F586" t="e">
            <v>#N/A</v>
          </cell>
          <cell r="G586" t="e">
            <v>#N/A</v>
          </cell>
        </row>
        <row r="587">
          <cell r="A587">
            <v>40293</v>
          </cell>
          <cell r="B587" t="str">
            <v>Escavação mecânica em material de 2º cat. H= 3,00 a 4,50 m com esgotamento</v>
          </cell>
          <cell r="C587" t="str">
            <v>m³</v>
          </cell>
          <cell r="D587">
            <v>35.83</v>
          </cell>
          <cell r="E587">
            <v>0</v>
          </cell>
          <cell r="F587" t="e">
            <v>#N/A</v>
          </cell>
          <cell r="G587" t="e">
            <v>#N/A</v>
          </cell>
        </row>
        <row r="588">
          <cell r="A588">
            <v>40294</v>
          </cell>
          <cell r="B588" t="str">
            <v>Escavação mecânica em material de 3ª cat. H= 0,00 a 1,50 m</v>
          </cell>
          <cell r="C588" t="str">
            <v>m³</v>
          </cell>
          <cell r="D588">
            <v>101.5</v>
          </cell>
          <cell r="E588">
            <v>0</v>
          </cell>
          <cell r="F588" t="e">
            <v>#N/A</v>
          </cell>
          <cell r="G588" t="e">
            <v>#N/A</v>
          </cell>
        </row>
        <row r="589">
          <cell r="A589">
            <v>40297</v>
          </cell>
          <cell r="B589" t="str">
            <v>Escavação mecânica em material de 3ª cat. H= 0,00 a 1,50 m com esgotamento</v>
          </cell>
          <cell r="C589" t="str">
            <v>m³</v>
          </cell>
          <cell r="D589">
            <v>108.85</v>
          </cell>
          <cell r="E589">
            <v>0</v>
          </cell>
          <cell r="F589" t="e">
            <v>#N/A</v>
          </cell>
          <cell r="G589" t="e">
            <v>#N/A</v>
          </cell>
        </row>
        <row r="590">
          <cell r="A590">
            <v>40295</v>
          </cell>
          <cell r="B590" t="str">
            <v>Escavação mecânica em material de 3ª cat. H= 1,50 a 3,00 m</v>
          </cell>
          <cell r="C590" t="str">
            <v>m³</v>
          </cell>
          <cell r="D590">
            <v>114.55</v>
          </cell>
          <cell r="E590">
            <v>0</v>
          </cell>
          <cell r="F590" t="e">
            <v>#N/A</v>
          </cell>
          <cell r="G590" t="e">
            <v>#N/A</v>
          </cell>
        </row>
        <row r="591">
          <cell r="A591">
            <v>40298</v>
          </cell>
          <cell r="B591" t="str">
            <v>Escavação mecânica em material de 3ª cat. H= 1,50 a 3,00 m com esgotamento</v>
          </cell>
          <cell r="C591" t="str">
            <v>m³</v>
          </cell>
          <cell r="D591">
            <v>121.9</v>
          </cell>
          <cell r="E591">
            <v>0</v>
          </cell>
          <cell r="F591" t="e">
            <v>#N/A</v>
          </cell>
          <cell r="G591" t="e">
            <v>#N/A</v>
          </cell>
        </row>
        <row r="592">
          <cell r="A592">
            <v>40296</v>
          </cell>
          <cell r="B592" t="str">
            <v>Escavação mecânica em material de 3ª cat. H= 3,00 a 4,50 m</v>
          </cell>
          <cell r="C592" t="str">
            <v>m³</v>
          </cell>
          <cell r="D592">
            <v>138.46</v>
          </cell>
          <cell r="E592">
            <v>0</v>
          </cell>
          <cell r="F592" t="e">
            <v>#N/A</v>
          </cell>
          <cell r="G592" t="e">
            <v>#N/A</v>
          </cell>
        </row>
        <row r="593">
          <cell r="A593">
            <v>40299</v>
          </cell>
          <cell r="B593" t="str">
            <v>Escavação mecânica em material de 3ª cat. H= 3,00 a 4,50 m com esgotamento</v>
          </cell>
          <cell r="C593" t="str">
            <v>m³</v>
          </cell>
          <cell r="D593">
            <v>145.81</v>
          </cell>
          <cell r="E593">
            <v>0</v>
          </cell>
          <cell r="F593" t="e">
            <v>#N/A</v>
          </cell>
          <cell r="G593" t="e">
            <v>#N/A</v>
          </cell>
        </row>
        <row r="594">
          <cell r="A594">
            <v>40327</v>
          </cell>
          <cell r="B594" t="str">
            <v>Escoramento de cavas e valas, inclusive fornecimento e transportes das madeiras</v>
          </cell>
          <cell r="C594" t="str">
            <v>m²</v>
          </cell>
          <cell r="D594">
            <v>173.38</v>
          </cell>
          <cell r="E594" t="str">
            <v>A incluir</v>
          </cell>
          <cell r="F594" t="e">
            <v>#N/A</v>
          </cell>
          <cell r="G594" t="e">
            <v>#N/A</v>
          </cell>
        </row>
        <row r="595">
          <cell r="A595">
            <v>40328</v>
          </cell>
          <cell r="B595" t="str">
            <v>Escoramento e cimbramento (bueiro celular), inclusive fornecimento e transportes das madeiras</v>
          </cell>
          <cell r="C595" t="str">
            <v>m³</v>
          </cell>
          <cell r="D595">
            <v>112.57</v>
          </cell>
          <cell r="E595" t="str">
            <v>A incluir</v>
          </cell>
          <cell r="F595" t="e">
            <v>#N/A</v>
          </cell>
          <cell r="G595" t="e">
            <v>#N/A</v>
          </cell>
        </row>
        <row r="596">
          <cell r="A596">
            <v>43332</v>
          </cell>
          <cell r="B596" t="str">
            <v>Esgotamento de escavações para rebaixamento do nível dágua nos serviços de bueiros, galerias e outros, com conj. moto bomba</v>
          </cell>
          <cell r="C596" t="str">
            <v>mês</v>
          </cell>
          <cell r="D596">
            <v>5513.77</v>
          </cell>
          <cell r="E596">
            <v>0</v>
          </cell>
          <cell r="F596" t="e">
            <v>#N/A</v>
          </cell>
          <cell r="G596" t="e">
            <v>#N/A</v>
          </cell>
        </row>
        <row r="597">
          <cell r="A597">
            <v>40316</v>
          </cell>
          <cell r="B597" t="str">
            <v>Forma especial de madeira para meio fio, inclusive fornecimento e transporte das madeiras</v>
          </cell>
          <cell r="C597" t="str">
            <v>m²</v>
          </cell>
          <cell r="D597">
            <v>68.23</v>
          </cell>
          <cell r="E597" t="str">
            <v>A incluir</v>
          </cell>
          <cell r="F597">
            <v>69</v>
          </cell>
          <cell r="G597">
            <v>1.01128535834677</v>
          </cell>
        </row>
        <row r="598">
          <cell r="A598">
            <v>40317</v>
          </cell>
          <cell r="B598" t="str">
            <v>Forma especial de madeira para sarjeta (gabarito), inclusive fornecimento e transporte da madeira</v>
          </cell>
          <cell r="C598" t="str">
            <v>m²</v>
          </cell>
          <cell r="D598">
            <v>58.24</v>
          </cell>
          <cell r="E598" t="str">
            <v>A incluir</v>
          </cell>
          <cell r="F598">
            <v>58.98</v>
          </cell>
          <cell r="G598">
            <v>1.01270604395604</v>
          </cell>
        </row>
        <row r="599">
          <cell r="A599">
            <v>40318</v>
          </cell>
          <cell r="B599" t="str">
            <v>Forma metálica para meio fio</v>
          </cell>
          <cell r="C599" t="str">
            <v>m²</v>
          </cell>
          <cell r="D599">
            <v>6.51</v>
          </cell>
          <cell r="E599">
            <v>0</v>
          </cell>
          <cell r="F599" t="e">
            <v>#N/A</v>
          </cell>
          <cell r="G599" t="e">
            <v>#N/A</v>
          </cell>
        </row>
        <row r="600">
          <cell r="A600">
            <v>40311</v>
          </cell>
          <cell r="B600" t="str">
            <v>Formas planas de madeira com 01 (um) reaproveitamento, inclusive fornecimento e transporte das madeiras</v>
          </cell>
          <cell r="C600" t="str">
            <v>m²</v>
          </cell>
          <cell r="D600">
            <v>98.95</v>
          </cell>
          <cell r="E600" t="str">
            <v>A incluir</v>
          </cell>
          <cell r="F600" t="e">
            <v>#N/A</v>
          </cell>
          <cell r="G600" t="e">
            <v>#N/A</v>
          </cell>
        </row>
        <row r="601">
          <cell r="A601">
            <v>40312</v>
          </cell>
          <cell r="B601" t="str">
            <v>Formas planas de madeira com 02 (dois) reaproveitamentos, inclusive fornecimento e transporte das madeiras</v>
          </cell>
          <cell r="C601" t="str">
            <v>m²</v>
          </cell>
          <cell r="D601">
            <v>82.72</v>
          </cell>
          <cell r="E601" t="str">
            <v>A incluir</v>
          </cell>
          <cell r="F601">
            <v>83.2</v>
          </cell>
          <cell r="G601">
            <v>1.00580270793037</v>
          </cell>
        </row>
        <row r="602">
          <cell r="A602">
            <v>40313</v>
          </cell>
          <cell r="B602" t="str">
            <v>Formas planas de madeira com 04 (quatro) reaproveitamentos, inclusive fornecimento e transporte das madeiras</v>
          </cell>
          <cell r="C602" t="str">
            <v>m²</v>
          </cell>
          <cell r="D602">
            <v>70.08</v>
          </cell>
          <cell r="E602" t="str">
            <v>A incluir</v>
          </cell>
          <cell r="F602">
            <v>70.45</v>
          </cell>
          <cell r="G602">
            <v>1.0052796803652999</v>
          </cell>
        </row>
        <row r="603">
          <cell r="A603">
            <v>40310</v>
          </cell>
          <cell r="B603" t="str">
            <v>Formas planas de madeira sem reaproveitamento (forma perdida), inclusive fornecimento e transporte das madeiras</v>
          </cell>
          <cell r="C603" t="str">
            <v>m²</v>
          </cell>
          <cell r="D603">
            <v>145.43</v>
          </cell>
          <cell r="E603" t="str">
            <v>A incluir</v>
          </cell>
          <cell r="F603" t="e">
            <v>#N/A</v>
          </cell>
          <cell r="G603" t="e">
            <v>#N/A</v>
          </cell>
        </row>
        <row r="604">
          <cell r="A604">
            <v>40748</v>
          </cell>
          <cell r="B604" t="str">
            <v>Gabião manta/colchão, malha hex 6x8mm Zn-Al/PVC, e=2,8mm,h=0,23m, inclus.aquis./ assentam. pedra mão, exclus. transp. p/ revestim. canal</v>
          </cell>
          <cell r="C604" t="str">
            <v>m²</v>
          </cell>
          <cell r="D604">
            <v>198.27</v>
          </cell>
          <cell r="E604">
            <v>0</v>
          </cell>
          <cell r="F604" t="e">
            <v>#N/A</v>
          </cell>
          <cell r="G604" t="e">
            <v>#N/A</v>
          </cell>
        </row>
        <row r="605">
          <cell r="A605">
            <v>41400</v>
          </cell>
          <cell r="B605" t="str">
            <v>Gabiões com caixas e sacos galvanizados, com geotêxtil não tecido RT 07 kN/m, incluisve transp. de madeira e pedra de mão</v>
          </cell>
          <cell r="C605" t="str">
            <v>m³</v>
          </cell>
          <cell r="D605">
            <v>391.41</v>
          </cell>
          <cell r="E605" t="str">
            <v>A incluir</v>
          </cell>
          <cell r="F605" t="e">
            <v>#N/A</v>
          </cell>
          <cell r="G605" t="e">
            <v>#N/A</v>
          </cell>
        </row>
        <row r="606">
          <cell r="A606">
            <v>40726</v>
          </cell>
          <cell r="B606" t="str">
            <v>Gabiões com caixas galvanizadas com utilização de geotêxtil não tecido RT 07 kN/m, inclus. transp. madeira e pedra mão</v>
          </cell>
          <cell r="C606" t="str">
            <v>m³</v>
          </cell>
          <cell r="D606">
            <v>344.95</v>
          </cell>
          <cell r="E606" t="str">
            <v>A incluir</v>
          </cell>
          <cell r="F606" t="e">
            <v>#N/A</v>
          </cell>
          <cell r="G606" t="e">
            <v>#N/A</v>
          </cell>
        </row>
        <row r="607">
          <cell r="A607">
            <v>40725</v>
          </cell>
          <cell r="B607" t="str">
            <v>Gabiões com caixas galvanizadas, sem manta</v>
          </cell>
          <cell r="C607" t="str">
            <v>m³</v>
          </cell>
          <cell r="D607">
            <v>341.53</v>
          </cell>
          <cell r="E607" t="str">
            <v>A incluir</v>
          </cell>
          <cell r="F607" t="e">
            <v>#N/A</v>
          </cell>
          <cell r="G607" t="e">
            <v>#N/A</v>
          </cell>
        </row>
        <row r="608">
          <cell r="A608">
            <v>41394</v>
          </cell>
          <cell r="B608" t="str">
            <v>Geogrelha com resistência londitudinal a tração 35 a 40 kN, resist. transversal a tração 30 kN, fornecimento e aplicação</v>
          </cell>
          <cell r="C608" t="str">
            <v>m²</v>
          </cell>
          <cell r="D608">
            <v>23.02</v>
          </cell>
          <cell r="E608">
            <v>0</v>
          </cell>
          <cell r="F608" t="e">
            <v>#N/A</v>
          </cell>
          <cell r="G608" t="e">
            <v>#N/A</v>
          </cell>
        </row>
        <row r="609">
          <cell r="A609">
            <v>41393</v>
          </cell>
          <cell r="B609" t="str">
            <v>Geogrelha com resistência londitudinal a tração 55 a 60 kN, resist. transversal a tração 30 kN, fornecimento e aplicação</v>
          </cell>
          <cell r="C609" t="str">
            <v>m²</v>
          </cell>
          <cell r="D609">
            <v>21.29</v>
          </cell>
          <cell r="E609">
            <v>0</v>
          </cell>
          <cell r="F609" t="e">
            <v>#N/A</v>
          </cell>
          <cell r="G609" t="e">
            <v>#N/A</v>
          </cell>
        </row>
        <row r="610">
          <cell r="A610">
            <v>41391</v>
          </cell>
          <cell r="B610" t="str">
            <v>Geogrelha com resistência longitudinal a tração 300 kN, resist. transversal a tração 30 kN, fornecimento e aplicação</v>
          </cell>
          <cell r="C610" t="str">
            <v>m²</v>
          </cell>
          <cell r="D610">
            <v>67.400000000000006</v>
          </cell>
          <cell r="E610">
            <v>0</v>
          </cell>
          <cell r="F610" t="e">
            <v>#N/A</v>
          </cell>
          <cell r="G610" t="e">
            <v>#N/A</v>
          </cell>
        </row>
        <row r="611">
          <cell r="A611">
            <v>41392</v>
          </cell>
          <cell r="B611" t="str">
            <v>Geogrelha com resistência longitudinal a tração 80 a 90 kN, resist. transversal a tração 30 kN, fornecimento e aplicação</v>
          </cell>
          <cell r="C611" t="str">
            <v>m²</v>
          </cell>
          <cell r="D611">
            <v>33.14</v>
          </cell>
          <cell r="E611">
            <v>0</v>
          </cell>
          <cell r="F611" t="e">
            <v>#N/A</v>
          </cell>
          <cell r="G611" t="e">
            <v>#N/A</v>
          </cell>
        </row>
        <row r="612">
          <cell r="A612">
            <v>41197</v>
          </cell>
          <cell r="B612" t="str">
            <v>Geogrelha monodirecional 200KN, fornecimento e assentamento</v>
          </cell>
          <cell r="C612" t="str">
            <v>m²</v>
          </cell>
          <cell r="D612">
            <v>58.6</v>
          </cell>
          <cell r="E612">
            <v>0</v>
          </cell>
          <cell r="F612" t="e">
            <v>#N/A</v>
          </cell>
          <cell r="G612" t="e">
            <v>#N/A</v>
          </cell>
        </row>
        <row r="613">
          <cell r="A613">
            <v>40709</v>
          </cell>
          <cell r="B613" t="str">
            <v>Geogrelha tecida bidirecional de polipropileno de alto módulo inicial c/ módulo de rigidez nominal = 400KN/m nas duas direções, fornecimento/aplicação</v>
          </cell>
          <cell r="C613" t="str">
            <v>m²</v>
          </cell>
          <cell r="D613">
            <v>20.399999999999999</v>
          </cell>
          <cell r="E613">
            <v>0</v>
          </cell>
          <cell r="F613" t="e">
            <v>#N/A</v>
          </cell>
          <cell r="G613" t="e">
            <v>#N/A</v>
          </cell>
        </row>
        <row r="614">
          <cell r="A614">
            <v>40721</v>
          </cell>
          <cell r="B614" t="str">
            <v>Lastro de brita, inclusive transporte da brita</v>
          </cell>
          <cell r="C614" t="str">
            <v>m³</v>
          </cell>
          <cell r="D614">
            <v>103.69</v>
          </cell>
          <cell r="E614" t="str">
            <v>A incluir</v>
          </cell>
          <cell r="F614" t="e">
            <v>#N/A</v>
          </cell>
          <cell r="G614" t="e">
            <v>#N/A</v>
          </cell>
        </row>
        <row r="615">
          <cell r="A615">
            <v>40396</v>
          </cell>
          <cell r="B615" t="str">
            <v>Limpeza e apicoamento manual de superfície de rocha</v>
          </cell>
          <cell r="C615" t="str">
            <v>m²</v>
          </cell>
          <cell r="D615">
            <v>31.23</v>
          </cell>
          <cell r="E615">
            <v>0</v>
          </cell>
          <cell r="F615" t="e">
            <v>#N/A</v>
          </cell>
          <cell r="G615" t="e">
            <v>#N/A</v>
          </cell>
        </row>
        <row r="616">
          <cell r="A616">
            <v>40744</v>
          </cell>
          <cell r="B616" t="str">
            <v>Limpeza e desobstrução de BDTC e BDCC</v>
          </cell>
          <cell r="C616" t="str">
            <v>m</v>
          </cell>
          <cell r="D616">
            <v>28.52</v>
          </cell>
          <cell r="E616">
            <v>0</v>
          </cell>
          <cell r="F616" t="e">
            <v>#N/A</v>
          </cell>
          <cell r="G616" t="e">
            <v>#N/A</v>
          </cell>
        </row>
        <row r="617">
          <cell r="A617">
            <v>40746</v>
          </cell>
          <cell r="B617" t="str">
            <v>Limpeza e desobstrução de BQTC</v>
          </cell>
          <cell r="C617" t="str">
            <v>m</v>
          </cell>
          <cell r="D617">
            <v>55.55</v>
          </cell>
          <cell r="E617">
            <v>0</v>
          </cell>
          <cell r="F617" t="e">
            <v>#N/A</v>
          </cell>
          <cell r="G617" t="e">
            <v>#N/A</v>
          </cell>
        </row>
        <row r="618">
          <cell r="A618">
            <v>40743</v>
          </cell>
          <cell r="B618" t="str">
            <v>Limpeza e desobstrução de BSTC e BSCC</v>
          </cell>
          <cell r="C618" t="str">
            <v>m</v>
          </cell>
          <cell r="D618">
            <v>14.99</v>
          </cell>
          <cell r="E618">
            <v>0</v>
          </cell>
          <cell r="F618" t="e">
            <v>#N/A</v>
          </cell>
          <cell r="G618" t="e">
            <v>#N/A</v>
          </cell>
        </row>
        <row r="619">
          <cell r="A619">
            <v>40745</v>
          </cell>
          <cell r="B619" t="str">
            <v>Limpeza e desobstrução de BTTC e BTCC</v>
          </cell>
          <cell r="C619" t="str">
            <v>m</v>
          </cell>
          <cell r="D619">
            <v>42.03</v>
          </cell>
          <cell r="E619">
            <v>0</v>
          </cell>
          <cell r="F619" t="e">
            <v>#N/A</v>
          </cell>
          <cell r="G619" t="e">
            <v>#N/A</v>
          </cell>
        </row>
        <row r="620">
          <cell r="A620">
            <v>40397</v>
          </cell>
          <cell r="B620" t="str">
            <v>Limpeza e preparo de superfície de aço</v>
          </cell>
          <cell r="C620" t="str">
            <v>m²</v>
          </cell>
          <cell r="D620">
            <v>74.69</v>
          </cell>
          <cell r="E620">
            <v>0</v>
          </cell>
          <cell r="F620" t="e">
            <v>#N/A</v>
          </cell>
          <cell r="G620" t="e">
            <v>#N/A</v>
          </cell>
        </row>
        <row r="621">
          <cell r="A621">
            <v>41221</v>
          </cell>
          <cell r="B621" t="str">
            <v>Lona plástica preta para isolamento de concretagem sobre solo, fornecimento e colocação</v>
          </cell>
          <cell r="C621" t="str">
            <v>m²</v>
          </cell>
          <cell r="D621">
            <v>3.66</v>
          </cell>
          <cell r="E621">
            <v>0</v>
          </cell>
          <cell r="F621" t="e">
            <v>#N/A</v>
          </cell>
          <cell r="G621" t="e">
            <v>#N/A</v>
          </cell>
        </row>
        <row r="622">
          <cell r="A622">
            <v>41401</v>
          </cell>
          <cell r="B622" t="str">
            <v>Manta Geotêxtil não tecida com resistência longitudinal a tração 10kN/m, fornecimento e aplicação</v>
          </cell>
          <cell r="C622" t="str">
            <v>m²</v>
          </cell>
          <cell r="D622">
            <v>6.17</v>
          </cell>
          <cell r="E622">
            <v>0</v>
          </cell>
          <cell r="F622" t="e">
            <v>#N/A</v>
          </cell>
          <cell r="G622" t="e">
            <v>#N/A</v>
          </cell>
        </row>
        <row r="623">
          <cell r="A623">
            <v>40714</v>
          </cell>
          <cell r="B623" t="str">
            <v>Manta Geotêxtil não tecida RT - 16 kn/m, fornecimento e aplicação</v>
          </cell>
          <cell r="C623" t="str">
            <v>m²</v>
          </cell>
          <cell r="D623">
            <v>8.39</v>
          </cell>
          <cell r="E623">
            <v>0</v>
          </cell>
          <cell r="F623" t="e">
            <v>#N/A</v>
          </cell>
          <cell r="G623" t="e">
            <v>#N/A</v>
          </cell>
        </row>
        <row r="624">
          <cell r="A624">
            <v>40660</v>
          </cell>
          <cell r="B624" t="str">
            <v>Meio fio de concreto DP-1, inclusive caiação</v>
          </cell>
          <cell r="C624" t="str">
            <v>m</v>
          </cell>
          <cell r="D624">
            <v>52.92</v>
          </cell>
          <cell r="E624">
            <v>0</v>
          </cell>
          <cell r="F624" t="e">
            <v>#N/A</v>
          </cell>
          <cell r="G624" t="e">
            <v>#N/A</v>
          </cell>
        </row>
        <row r="625">
          <cell r="A625">
            <v>40661</v>
          </cell>
          <cell r="B625" t="str">
            <v>Meio fio de concreto MFC 01, inclusive caiação</v>
          </cell>
          <cell r="C625" t="str">
            <v>m</v>
          </cell>
          <cell r="D625">
            <v>106.72</v>
          </cell>
          <cell r="E625">
            <v>0</v>
          </cell>
          <cell r="F625" t="e">
            <v>#N/A</v>
          </cell>
          <cell r="G625" t="e">
            <v>#N/A</v>
          </cell>
        </row>
        <row r="626">
          <cell r="A626">
            <v>40662</v>
          </cell>
          <cell r="B626" t="str">
            <v>Meio fio de concreto MFC 05, inclusive caiação</v>
          </cell>
          <cell r="C626" t="str">
            <v>m</v>
          </cell>
          <cell r="D626">
            <v>56.08</v>
          </cell>
          <cell r="E626">
            <v>0</v>
          </cell>
          <cell r="F626">
            <v>59.37</v>
          </cell>
          <cell r="G626">
            <v>1.05866619115549</v>
          </cell>
        </row>
        <row r="627">
          <cell r="A627">
            <v>40663</v>
          </cell>
          <cell r="B627" t="str">
            <v>Meio fio de concreto pré-moldado (12 x 30 x 15) cm, inclusive caiação e transporte do meio fio</v>
          </cell>
          <cell r="C627" t="str">
            <v>m</v>
          </cell>
          <cell r="D627">
            <v>48.89</v>
          </cell>
          <cell r="E627" t="str">
            <v>A incluir</v>
          </cell>
          <cell r="F627" t="e">
            <v>#N/A</v>
          </cell>
          <cell r="G627" t="e">
            <v>#N/A</v>
          </cell>
        </row>
        <row r="628">
          <cell r="A628">
            <v>41018</v>
          </cell>
          <cell r="B628" t="str">
            <v>Meio fio de concreto pré-moldado (1,20m x 0,12m x 0,15m x 0,30m), exclusive transporte</v>
          </cell>
          <cell r="C628" t="str">
            <v>m</v>
          </cell>
          <cell r="D628">
            <v>48.19</v>
          </cell>
          <cell r="E628">
            <v>0</v>
          </cell>
          <cell r="F628" t="e">
            <v>#N/A</v>
          </cell>
          <cell r="G628" t="e">
            <v>#N/A</v>
          </cell>
        </row>
        <row r="629">
          <cell r="A629">
            <v>40665</v>
          </cell>
          <cell r="B629" t="str">
            <v>Meio fio de pedra (fornecimento e assentamento), inclusive caiação e transporte do meio fio</v>
          </cell>
          <cell r="C629" t="str">
            <v>m</v>
          </cell>
          <cell r="D629">
            <v>53.47</v>
          </cell>
          <cell r="E629" t="str">
            <v>A incluir</v>
          </cell>
          <cell r="F629" t="e">
            <v>#N/A</v>
          </cell>
          <cell r="G629" t="e">
            <v>#N/A</v>
          </cell>
        </row>
        <row r="630">
          <cell r="A630">
            <v>40659</v>
          </cell>
          <cell r="B630" t="str">
            <v>Meio fio sarjeta de concreto tipo DP-1 (0,035 m³/m) inclusive caiação</v>
          </cell>
          <cell r="C630" t="str">
            <v>m</v>
          </cell>
          <cell r="D630">
            <v>48.46</v>
          </cell>
          <cell r="E630">
            <v>0</v>
          </cell>
          <cell r="F630" t="e">
            <v>#N/A</v>
          </cell>
          <cell r="G630" t="e">
            <v>#N/A</v>
          </cell>
        </row>
        <row r="631">
          <cell r="A631">
            <v>41024</v>
          </cell>
          <cell r="B631" t="str">
            <v>Montagem e desmontagem de escoramento tubular normal, em obras de arte na densidade de 5m de tubo por m³ de escoramento</v>
          </cell>
          <cell r="C631" t="str">
            <v>m</v>
          </cell>
          <cell r="D631">
            <v>17.68</v>
          </cell>
          <cell r="E631">
            <v>0</v>
          </cell>
          <cell r="F631" t="e">
            <v>#N/A</v>
          </cell>
          <cell r="G631" t="e">
            <v>#N/A</v>
          </cell>
        </row>
        <row r="632">
          <cell r="A632">
            <v>40657</v>
          </cell>
          <cell r="B632" t="str">
            <v>Mureta de corte em rocha</v>
          </cell>
          <cell r="C632" t="str">
            <v>m</v>
          </cell>
          <cell r="D632">
            <v>181.94</v>
          </cell>
          <cell r="E632">
            <v>0</v>
          </cell>
          <cell r="F632" t="e">
            <v>#N/A</v>
          </cell>
          <cell r="G632" t="e">
            <v>#N/A</v>
          </cell>
        </row>
        <row r="633">
          <cell r="A633">
            <v>41395</v>
          </cell>
          <cell r="B633" t="str">
            <v>Muro com Terramesh System ou similar, altura H&lt;= 4,00 metros (4 cx 1x1x4m), tudo incluído</v>
          </cell>
          <cell r="C633" t="str">
            <v>m²</v>
          </cell>
          <cell r="D633">
            <v>633</v>
          </cell>
          <cell r="E633" t="str">
            <v>A incluir</v>
          </cell>
          <cell r="F633" t="e">
            <v>#N/A</v>
          </cell>
          <cell r="G633" t="e">
            <v>#N/A</v>
          </cell>
        </row>
        <row r="634">
          <cell r="A634">
            <v>41396</v>
          </cell>
          <cell r="B634" t="str">
            <v>Muro com Terramesh System ou similar, altura 4,00 &lt; H &lt;= 5,00 metros (3 cx 1x1x4m e 4 cx 0, 5x1x4m) , execução, tudo incluído</v>
          </cell>
          <cell r="C634" t="str">
            <v>m²</v>
          </cell>
          <cell r="D634">
            <v>722.18</v>
          </cell>
          <cell r="E634" t="str">
            <v>A incluir</v>
          </cell>
          <cell r="F634" t="e">
            <v>#N/A</v>
          </cell>
          <cell r="G634" t="e">
            <v>#N/A</v>
          </cell>
        </row>
        <row r="635">
          <cell r="A635">
            <v>41397</v>
          </cell>
          <cell r="B635" t="str">
            <v>Muro com Terramesh System ou similar, altura 5,00 &lt; H &lt;= 6,00 metros (4 cx 1x1x4m e 4 cx 0, 5x1x4m) , tudo incluído</v>
          </cell>
          <cell r="C635" t="str">
            <v>m²</v>
          </cell>
          <cell r="D635">
            <v>708.8</v>
          </cell>
          <cell r="E635" t="str">
            <v>A incluir</v>
          </cell>
          <cell r="F635" t="e">
            <v>#N/A</v>
          </cell>
          <cell r="G635" t="e">
            <v>#N/A</v>
          </cell>
        </row>
        <row r="636">
          <cell r="A636">
            <v>41398</v>
          </cell>
          <cell r="B636" t="str">
            <v>Muro com Terramesh System ou similar, altura 6,00 &lt; H &lt;= 7,50 metros (3cx 1x1x4m, 2cx 1x1x5 e 5cx 0,5x1x6m), tudo incluído</v>
          </cell>
          <cell r="C636" t="str">
            <v>m²</v>
          </cell>
          <cell r="D636">
            <v>802.64</v>
          </cell>
          <cell r="E636" t="str">
            <v>A incluir</v>
          </cell>
          <cell r="F636" t="e">
            <v>#N/A</v>
          </cell>
          <cell r="G636" t="e">
            <v>#N/A</v>
          </cell>
        </row>
        <row r="637">
          <cell r="A637">
            <v>41399</v>
          </cell>
          <cell r="B637" t="str">
            <v>Muro com Terramesh System ou similar, altura 7,50 &lt; H &lt;= 9,00 metros (4 cx 1x1x4m, 2 cx 1x1x5, 3 cx 0,5x1x6m e 3cx 0,5x1x7), tudo incluído</v>
          </cell>
          <cell r="C637" t="str">
            <v>m²</v>
          </cell>
          <cell r="D637">
            <v>813.82</v>
          </cell>
          <cell r="E637" t="str">
            <v>A incluir</v>
          </cell>
          <cell r="F637" t="e">
            <v>#N/A</v>
          </cell>
          <cell r="G637" t="e">
            <v>#N/A</v>
          </cell>
        </row>
        <row r="638">
          <cell r="A638">
            <v>40654</v>
          </cell>
          <cell r="B638" t="str">
            <v>Muro de testa em concreto para saída de dreno profundo em rocha, inclusive transporte do tubo</v>
          </cell>
          <cell r="C638" t="str">
            <v>un</v>
          </cell>
          <cell r="D638">
            <v>583.98</v>
          </cell>
          <cell r="E638" t="str">
            <v>A incluir</v>
          </cell>
          <cell r="F638" t="e">
            <v>#N/A</v>
          </cell>
          <cell r="G638" t="e">
            <v>#N/A</v>
          </cell>
        </row>
        <row r="639">
          <cell r="A639">
            <v>40653</v>
          </cell>
          <cell r="B639" t="str">
            <v>Muro de testa em concreto para saída de dreno profundo em solo, inclusive transporte do tubo</v>
          </cell>
          <cell r="C639" t="str">
            <v>un</v>
          </cell>
          <cell r="D639">
            <v>643.11</v>
          </cell>
          <cell r="E639" t="str">
            <v>A incluir</v>
          </cell>
          <cell r="F639" t="e">
            <v>#N/A</v>
          </cell>
          <cell r="G639" t="e">
            <v>#N/A</v>
          </cell>
        </row>
        <row r="640">
          <cell r="A640">
            <v>41337</v>
          </cell>
          <cell r="B640" t="str">
            <v>Passagem d'água 1,10 x 1,00 - Canteiro</v>
          </cell>
          <cell r="C640" t="str">
            <v>un</v>
          </cell>
          <cell r="D640">
            <v>279.8</v>
          </cell>
          <cell r="E640" t="str">
            <v>A incluir</v>
          </cell>
          <cell r="F640" t="e">
            <v>#N/A</v>
          </cell>
          <cell r="G640" t="e">
            <v>#N/A</v>
          </cell>
        </row>
        <row r="641">
          <cell r="A641">
            <v>40719</v>
          </cell>
          <cell r="B641" t="str">
            <v>Pedra de mão para (concreto ciclópico ou alvenaria) rocha paga em medição</v>
          </cell>
          <cell r="C641" t="str">
            <v>m³</v>
          </cell>
          <cell r="D641">
            <v>44.75</v>
          </cell>
          <cell r="E641">
            <v>0</v>
          </cell>
          <cell r="F641" t="e">
            <v>#N/A</v>
          </cell>
          <cell r="G641" t="e">
            <v>#N/A</v>
          </cell>
        </row>
        <row r="642">
          <cell r="A642">
            <v>41019</v>
          </cell>
          <cell r="B642" t="str">
            <v>Perfuração rotativa inclinada, em rocha sã, com coroa de diamante, diâmetro N (75mm), inclusive deslocamento e posicionamento em cada furo.</v>
          </cell>
          <cell r="C642" t="str">
            <v>m</v>
          </cell>
          <cell r="D642">
            <v>600.24</v>
          </cell>
          <cell r="E642">
            <v>0</v>
          </cell>
          <cell r="F642" t="e">
            <v>#N/A</v>
          </cell>
          <cell r="G642" t="e">
            <v>#N/A</v>
          </cell>
        </row>
        <row r="643">
          <cell r="A643">
            <v>40557</v>
          </cell>
          <cell r="B643" t="str">
            <v>Pescoço de poço de visita H=0,30 m, diâm. = 0,60 m, fornecimento, assentamento e transporte</v>
          </cell>
          <cell r="C643" t="str">
            <v>un</v>
          </cell>
          <cell r="D643">
            <v>126.69</v>
          </cell>
          <cell r="E643" t="str">
            <v>A incluir</v>
          </cell>
          <cell r="F643" t="e">
            <v>#N/A</v>
          </cell>
          <cell r="G643" t="e">
            <v>#N/A</v>
          </cell>
        </row>
        <row r="644">
          <cell r="A644">
            <v>40391</v>
          </cell>
          <cell r="B644" t="str">
            <v>Pintura com nata de cimento</v>
          </cell>
          <cell r="C644" t="str">
            <v>m²</v>
          </cell>
          <cell r="D644">
            <v>4.45</v>
          </cell>
          <cell r="E644">
            <v>0</v>
          </cell>
          <cell r="F644" t="e">
            <v>#N/A</v>
          </cell>
          <cell r="G644" t="e">
            <v>#N/A</v>
          </cell>
        </row>
        <row r="645">
          <cell r="A645">
            <v>40380</v>
          </cell>
          <cell r="B645" t="str">
            <v>Pintura interna ou externa sobre ferro, com tinta a base de resina de borracha clorada</v>
          </cell>
          <cell r="C645" t="str">
            <v>m²</v>
          </cell>
          <cell r="D645">
            <v>41.75</v>
          </cell>
          <cell r="E645">
            <v>0</v>
          </cell>
          <cell r="F645" t="e">
            <v>#N/A</v>
          </cell>
          <cell r="G645" t="e">
            <v>#N/A</v>
          </cell>
        </row>
        <row r="646">
          <cell r="A646">
            <v>40399</v>
          </cell>
          <cell r="B646" t="str">
            <v>Placas pré-moldadas para passeio</v>
          </cell>
          <cell r="C646" t="str">
            <v>m²</v>
          </cell>
          <cell r="D646">
            <v>170.09</v>
          </cell>
          <cell r="E646">
            <v>0</v>
          </cell>
          <cell r="F646" t="e">
            <v>#N/A</v>
          </cell>
          <cell r="G646" t="e">
            <v>#N/A</v>
          </cell>
        </row>
        <row r="647">
          <cell r="A647">
            <v>41028</v>
          </cell>
          <cell r="B647" t="str">
            <v>Plataforma ou passarela de pinho de 1ª ou similar, 1" x 12"</v>
          </cell>
          <cell r="C647" t="str">
            <v>m²</v>
          </cell>
          <cell r="D647">
            <v>2.5099999999999998</v>
          </cell>
          <cell r="E647">
            <v>0</v>
          </cell>
          <cell r="F647" t="e">
            <v>#N/A</v>
          </cell>
          <cell r="G647" t="e">
            <v>#N/A</v>
          </cell>
        </row>
        <row r="648">
          <cell r="A648">
            <v>41167</v>
          </cell>
          <cell r="B648" t="str">
            <v>Poço de visita em bloco pré-moldado para d=0,30 e 0,40m (0,80x0,80m)</v>
          </cell>
          <cell r="C648" t="str">
            <v>un</v>
          </cell>
          <cell r="D648">
            <v>2240.73</v>
          </cell>
          <cell r="E648">
            <v>0</v>
          </cell>
          <cell r="F648" t="e">
            <v>#N/A</v>
          </cell>
          <cell r="G648" t="e">
            <v>#N/A</v>
          </cell>
        </row>
        <row r="649">
          <cell r="A649">
            <v>41168</v>
          </cell>
          <cell r="B649" t="str">
            <v>Poço de visita em bloco pré-moldado para d=0,60m (1,00x1,00m)</v>
          </cell>
          <cell r="C649" t="str">
            <v>un</v>
          </cell>
          <cell r="D649">
            <v>2623.54</v>
          </cell>
          <cell r="E649">
            <v>0</v>
          </cell>
          <cell r="F649" t="e">
            <v>#N/A</v>
          </cell>
          <cell r="G649" t="e">
            <v>#N/A</v>
          </cell>
        </row>
        <row r="650">
          <cell r="A650">
            <v>40570</v>
          </cell>
          <cell r="B650" t="str">
            <v>Poço de visita para BDTC diam. 1,00 m - tudo incluido</v>
          </cell>
          <cell r="C650" t="str">
            <v>un</v>
          </cell>
          <cell r="D650">
            <v>9651.43</v>
          </cell>
          <cell r="E650" t="str">
            <v>A incluir</v>
          </cell>
          <cell r="F650" t="e">
            <v>#N/A</v>
          </cell>
          <cell r="G650" t="e">
            <v>#N/A</v>
          </cell>
        </row>
        <row r="651">
          <cell r="A651">
            <v>41115</v>
          </cell>
          <cell r="B651" t="str">
            <v>Poço de Visita para BSTC diâm. 0,40m em blocos de concreto</v>
          </cell>
          <cell r="C651" t="str">
            <v>un</v>
          </cell>
          <cell r="D651">
            <v>1202.5</v>
          </cell>
          <cell r="E651">
            <v>0</v>
          </cell>
          <cell r="F651" t="e">
            <v>#N/A</v>
          </cell>
          <cell r="G651" t="e">
            <v>#N/A</v>
          </cell>
        </row>
        <row r="652">
          <cell r="A652">
            <v>41116</v>
          </cell>
          <cell r="B652" t="str">
            <v>Poço de visita para BSTC diâm. 0,60m em blocos de concreto</v>
          </cell>
          <cell r="C652" t="str">
            <v>un</v>
          </cell>
          <cell r="D652">
            <v>1605.31</v>
          </cell>
          <cell r="E652">
            <v>0</v>
          </cell>
          <cell r="F652" t="e">
            <v>#N/A</v>
          </cell>
          <cell r="G652" t="e">
            <v>#N/A</v>
          </cell>
        </row>
        <row r="653">
          <cell r="A653">
            <v>41117</v>
          </cell>
          <cell r="B653" t="str">
            <v>Poço de visita para BSTC diâm. 0,80m em blocos de concreto</v>
          </cell>
          <cell r="C653" t="str">
            <v>un</v>
          </cell>
          <cell r="D653">
            <v>1997.34</v>
          </cell>
          <cell r="E653">
            <v>0</v>
          </cell>
          <cell r="F653" t="e">
            <v>#N/A</v>
          </cell>
          <cell r="G653" t="e">
            <v>#N/A</v>
          </cell>
        </row>
        <row r="654">
          <cell r="A654">
            <v>40572</v>
          </cell>
          <cell r="B654" t="str">
            <v>Poço de visita para BTTC diam. 1,20 m - tudo incluído</v>
          </cell>
          <cell r="C654" t="str">
            <v>un</v>
          </cell>
          <cell r="D654">
            <v>15935.37</v>
          </cell>
          <cell r="E654" t="str">
            <v>A incluir</v>
          </cell>
          <cell r="F654" t="e">
            <v>#N/A</v>
          </cell>
          <cell r="G654" t="e">
            <v>#N/A</v>
          </cell>
        </row>
        <row r="655">
          <cell r="A655">
            <v>40553</v>
          </cell>
          <cell r="B655" t="str">
            <v>Poço de visita (tubo D=0,40 m) H=1,50 m com tampão F.F.A.P., inclusive escavação e transporte do tampão</v>
          </cell>
          <cell r="C655" t="str">
            <v>un</v>
          </cell>
          <cell r="D655">
            <v>3518.99</v>
          </cell>
          <cell r="E655" t="str">
            <v>A incluir</v>
          </cell>
          <cell r="F655" t="e">
            <v>#N/A</v>
          </cell>
          <cell r="G655" t="e">
            <v>#N/A</v>
          </cell>
        </row>
        <row r="656">
          <cell r="A656">
            <v>40554</v>
          </cell>
          <cell r="B656" t="str">
            <v>Poço de visita (tubo D=0,60 m) H=1,70 m com tampão F.F.A.P., inclusive escavação e transporte do tampão</v>
          </cell>
          <cell r="C656" t="str">
            <v>un</v>
          </cell>
          <cell r="D656">
            <v>3914.42</v>
          </cell>
          <cell r="E656" t="str">
            <v>A incluir</v>
          </cell>
          <cell r="F656">
            <v>4107.7299999999996</v>
          </cell>
          <cell r="G656">
            <v>1.0493840722252601</v>
          </cell>
        </row>
        <row r="657">
          <cell r="A657">
            <v>40555</v>
          </cell>
          <cell r="B657" t="str">
            <v>Poço de visita (tubo D=0,80 m) H=1,90 m com tampão F.F.A.P., inclusive escavação e transporte do tampão</v>
          </cell>
          <cell r="C657" t="str">
            <v>un</v>
          </cell>
          <cell r="D657">
            <v>4309.84</v>
          </cell>
          <cell r="E657" t="str">
            <v>A incluir</v>
          </cell>
          <cell r="F657" t="e">
            <v>#N/A</v>
          </cell>
          <cell r="G657" t="e">
            <v>#N/A</v>
          </cell>
        </row>
        <row r="658">
          <cell r="A658">
            <v>40556</v>
          </cell>
          <cell r="B658" t="str">
            <v>Poço de visita (tubo D=1,00 m) H=2,10 m com tampão F.F.A.P., inclusive escavação e transporte do tampão</v>
          </cell>
          <cell r="C658" t="str">
            <v>un</v>
          </cell>
          <cell r="D658">
            <v>4705.26</v>
          </cell>
          <cell r="E658" t="str">
            <v>A incluir</v>
          </cell>
          <cell r="F658" t="e">
            <v>#N/A</v>
          </cell>
          <cell r="G658" t="e">
            <v>#N/A</v>
          </cell>
        </row>
        <row r="659">
          <cell r="A659">
            <v>41086</v>
          </cell>
          <cell r="B659" t="str">
            <v>Preparo manual de talude, compreendendo acerto, raspagem eventual de até 0,30m de prof. e afastamento lateral</v>
          </cell>
          <cell r="C659" t="str">
            <v>m²</v>
          </cell>
          <cell r="D659">
            <v>9.59</v>
          </cell>
          <cell r="E659">
            <v>0</v>
          </cell>
          <cell r="F659" t="e">
            <v>#N/A</v>
          </cell>
          <cell r="G659" t="e">
            <v>#N/A</v>
          </cell>
        </row>
        <row r="660">
          <cell r="A660">
            <v>41021</v>
          </cell>
          <cell r="B660" t="str">
            <v>Preparo manual de terreno, compreendendo acerto raspagem até 25cm de profundidade e afastamento lateral do material excedente</v>
          </cell>
          <cell r="C660" t="str">
            <v>m²</v>
          </cell>
          <cell r="D660">
            <v>7.71</v>
          </cell>
          <cell r="E660">
            <v>0</v>
          </cell>
          <cell r="F660" t="e">
            <v>#N/A</v>
          </cell>
          <cell r="G660" t="e">
            <v>#N/A</v>
          </cell>
        </row>
        <row r="661">
          <cell r="A661">
            <v>40304</v>
          </cell>
          <cell r="B661" t="str">
            <v>Reaterro com areia, tudo incluído</v>
          </cell>
          <cell r="C661" t="str">
            <v>m³</v>
          </cell>
          <cell r="D661">
            <v>68.819999999999993</v>
          </cell>
          <cell r="E661" t="str">
            <v>A incluir</v>
          </cell>
          <cell r="F661">
            <v>115.6</v>
          </cell>
          <cell r="G661">
            <v>1.6797442603894199</v>
          </cell>
        </row>
        <row r="662">
          <cell r="A662">
            <v>40302</v>
          </cell>
          <cell r="B662" t="str">
            <v>Reaterro de cavas c/ compactação manual (apiloamento)</v>
          </cell>
          <cell r="C662" t="str">
            <v>m³</v>
          </cell>
          <cell r="D662">
            <v>60.04</v>
          </cell>
          <cell r="E662">
            <v>0</v>
          </cell>
          <cell r="F662">
            <v>60.04</v>
          </cell>
          <cell r="G662">
            <v>1</v>
          </cell>
        </row>
        <row r="663">
          <cell r="A663">
            <v>40301</v>
          </cell>
          <cell r="B663" t="str">
            <v>Reaterro de cavas c/ compactação manual (apiloamento) (dim. reduz.)</v>
          </cell>
          <cell r="C663" t="str">
            <v>m³</v>
          </cell>
          <cell r="D663">
            <v>87.08</v>
          </cell>
          <cell r="E663">
            <v>0</v>
          </cell>
          <cell r="F663" t="e">
            <v>#N/A</v>
          </cell>
          <cell r="G663" t="e">
            <v>#N/A</v>
          </cell>
        </row>
        <row r="664">
          <cell r="A664">
            <v>40303</v>
          </cell>
          <cell r="B664" t="str">
            <v>Reaterro de cavas c/ compactação mecânica (compactador manual)</v>
          </cell>
          <cell r="C664" t="str">
            <v>m³</v>
          </cell>
          <cell r="D664">
            <v>38.17</v>
          </cell>
          <cell r="E664">
            <v>0</v>
          </cell>
          <cell r="F664">
            <v>38.18</v>
          </cell>
          <cell r="G664">
            <v>1.0002619858527599</v>
          </cell>
        </row>
        <row r="665">
          <cell r="A665">
            <v>40559</v>
          </cell>
          <cell r="B665" t="str">
            <v>Recuperação de poço de visita inclusive fornecimento tampão F.F.A.P.</v>
          </cell>
          <cell r="C665" t="str">
            <v>un</v>
          </cell>
          <cell r="D665">
            <v>555.96</v>
          </cell>
          <cell r="E665" t="str">
            <v>A incluir</v>
          </cell>
          <cell r="F665" t="e">
            <v>#N/A</v>
          </cell>
          <cell r="G665" t="e">
            <v>#N/A</v>
          </cell>
        </row>
        <row r="666">
          <cell r="A666">
            <v>41339</v>
          </cell>
          <cell r="B666" t="str">
            <v>Rede de dutos 65mm (duplo), envelopada com brita 3</v>
          </cell>
          <cell r="C666" t="str">
            <v>m</v>
          </cell>
          <cell r="D666">
            <v>81.209999999999994</v>
          </cell>
          <cell r="E666">
            <v>0</v>
          </cell>
          <cell r="F666" t="e">
            <v>#N/A</v>
          </cell>
          <cell r="G666" t="e">
            <v>#N/A</v>
          </cell>
        </row>
        <row r="667">
          <cell r="A667">
            <v>41332</v>
          </cell>
          <cell r="B667" t="str">
            <v>Rede em PVC Vinilfort ou similar DN = 200mm</v>
          </cell>
          <cell r="C667" t="str">
            <v>m</v>
          </cell>
          <cell r="D667">
            <v>234.62</v>
          </cell>
          <cell r="E667">
            <v>0</v>
          </cell>
          <cell r="F667" t="e">
            <v>#N/A</v>
          </cell>
          <cell r="G667" t="e">
            <v>#N/A</v>
          </cell>
        </row>
        <row r="668">
          <cell r="A668">
            <v>41224</v>
          </cell>
          <cell r="B668" t="str">
            <v>Religação de rede de água em PVC DN 20mm, inclusive conexões</v>
          </cell>
          <cell r="C668" t="str">
            <v>m</v>
          </cell>
          <cell r="D668">
            <v>15.73</v>
          </cell>
          <cell r="E668">
            <v>0</v>
          </cell>
          <cell r="F668" t="e">
            <v>#N/A</v>
          </cell>
          <cell r="G668" t="e">
            <v>#N/A</v>
          </cell>
        </row>
        <row r="669">
          <cell r="A669">
            <v>41225</v>
          </cell>
          <cell r="B669" t="str">
            <v>Religação de rede de água em PVC DN 25mm, incluisve conexões</v>
          </cell>
          <cell r="C669" t="str">
            <v>m</v>
          </cell>
          <cell r="D669">
            <v>19.170000000000002</v>
          </cell>
          <cell r="E669">
            <v>0</v>
          </cell>
          <cell r="F669" t="e">
            <v>#N/A</v>
          </cell>
          <cell r="G669" t="e">
            <v>#N/A</v>
          </cell>
        </row>
        <row r="670">
          <cell r="A670">
            <v>41226</v>
          </cell>
          <cell r="B670" t="str">
            <v>Religação de rede de água em PVC DN 32mm, incluisve conexões</v>
          </cell>
          <cell r="C670" t="str">
            <v>m</v>
          </cell>
          <cell r="D670">
            <v>22.97</v>
          </cell>
          <cell r="E670">
            <v>0</v>
          </cell>
          <cell r="F670" t="e">
            <v>#N/A</v>
          </cell>
          <cell r="G670" t="e">
            <v>#N/A</v>
          </cell>
        </row>
        <row r="671">
          <cell r="A671">
            <v>41060</v>
          </cell>
          <cell r="B671" t="str">
            <v>Religação de rede de água em PVC DN 75mm, inclusive conexões</v>
          </cell>
          <cell r="C671" t="str">
            <v>m</v>
          </cell>
          <cell r="D671">
            <v>51.75</v>
          </cell>
          <cell r="E671">
            <v>0</v>
          </cell>
          <cell r="F671" t="e">
            <v>#N/A</v>
          </cell>
          <cell r="G671" t="e">
            <v>#N/A</v>
          </cell>
        </row>
        <row r="672">
          <cell r="A672">
            <v>41059</v>
          </cell>
          <cell r="B672" t="str">
            <v>Religação de rede de água em PVC PBA CL 15 DN 100mm, inclusive conexões</v>
          </cell>
          <cell r="C672" t="str">
            <v>m</v>
          </cell>
          <cell r="D672">
            <v>85.64</v>
          </cell>
          <cell r="E672">
            <v>0</v>
          </cell>
          <cell r="F672" t="e">
            <v>#N/A</v>
          </cell>
          <cell r="G672" t="e">
            <v>#N/A</v>
          </cell>
        </row>
        <row r="673">
          <cell r="A673">
            <v>40567</v>
          </cell>
          <cell r="B673" t="str">
            <v>Remanejamento de ligação e religação de redes de esgoto</v>
          </cell>
          <cell r="C673" t="str">
            <v>m</v>
          </cell>
          <cell r="D673">
            <v>70.73</v>
          </cell>
          <cell r="E673">
            <v>0</v>
          </cell>
          <cell r="F673" t="e">
            <v>#N/A</v>
          </cell>
          <cell r="G673" t="e">
            <v>#N/A</v>
          </cell>
        </row>
        <row r="674">
          <cell r="A674">
            <v>40747</v>
          </cell>
          <cell r="B674" t="str">
            <v>Remoção de bueiros existentes</v>
          </cell>
          <cell r="C674" t="str">
            <v>m</v>
          </cell>
          <cell r="D674">
            <v>110.35</v>
          </cell>
          <cell r="E674">
            <v>0</v>
          </cell>
          <cell r="F674" t="e">
            <v>#N/A</v>
          </cell>
          <cell r="G674" t="e">
            <v>#N/A</v>
          </cell>
        </row>
        <row r="675">
          <cell r="A675">
            <v>40727</v>
          </cell>
          <cell r="B675" t="str">
            <v>Rip-rap c/ argamassa cimento areia 1:6, inclusive aquisição e transporte dos materiais</v>
          </cell>
          <cell r="C675" t="str">
            <v>m³</v>
          </cell>
          <cell r="D675">
            <v>325.47000000000003</v>
          </cell>
          <cell r="E675" t="str">
            <v>A incluir</v>
          </cell>
          <cell r="F675" t="e">
            <v>#N/A</v>
          </cell>
          <cell r="G675" t="e">
            <v>#N/A</v>
          </cell>
        </row>
        <row r="676">
          <cell r="A676">
            <v>41264</v>
          </cell>
          <cell r="B676" t="str">
            <v>Rip-rap de areia inclusive escavação, transporte e fornecimento de materiais</v>
          </cell>
          <cell r="C676" t="str">
            <v>m³</v>
          </cell>
          <cell r="D676">
            <v>371.52</v>
          </cell>
          <cell r="E676" t="str">
            <v>A incluir</v>
          </cell>
          <cell r="F676" t="e">
            <v>#N/A</v>
          </cell>
          <cell r="G676" t="e">
            <v>#N/A</v>
          </cell>
        </row>
        <row r="677">
          <cell r="A677">
            <v>41239</v>
          </cell>
          <cell r="B677" t="str">
            <v>Rip-rap de solo e cimento (Traço 1:15)</v>
          </cell>
          <cell r="C677" t="str">
            <v>m³</v>
          </cell>
          <cell r="D677">
            <v>88.92</v>
          </cell>
          <cell r="E677">
            <v>0</v>
          </cell>
          <cell r="F677" t="e">
            <v>#N/A</v>
          </cell>
          <cell r="G677" t="e">
            <v>#N/A</v>
          </cell>
        </row>
        <row r="678">
          <cell r="A678">
            <v>40688</v>
          </cell>
          <cell r="B678" t="str">
            <v>Saída d'água concreto armado DP-1 c/ caiação</v>
          </cell>
          <cell r="C678" t="str">
            <v>un</v>
          </cell>
          <cell r="D678">
            <v>278.08</v>
          </cell>
          <cell r="E678">
            <v>0</v>
          </cell>
          <cell r="F678" t="e">
            <v>#N/A</v>
          </cell>
          <cell r="G678" t="e">
            <v>#N/A</v>
          </cell>
        </row>
        <row r="679">
          <cell r="A679">
            <v>40690</v>
          </cell>
          <cell r="B679" t="str">
            <v>Saída d'água concreto p/ aterro c/ caiação (SDA-01)</v>
          </cell>
          <cell r="C679" t="str">
            <v>un</v>
          </cell>
          <cell r="D679">
            <v>1379.37</v>
          </cell>
          <cell r="E679">
            <v>0</v>
          </cell>
          <cell r="F679">
            <v>1497.56</v>
          </cell>
          <cell r="G679">
            <v>1.0856840441650899</v>
          </cell>
        </row>
        <row r="680">
          <cell r="A680">
            <v>40691</v>
          </cell>
          <cell r="B680" t="str">
            <v>Saída d'água concreto p/ aterro c/ caiação (SDA-02)</v>
          </cell>
          <cell r="C680" t="str">
            <v>un</v>
          </cell>
          <cell r="D680">
            <v>1643.88</v>
          </cell>
          <cell r="E680">
            <v>0</v>
          </cell>
          <cell r="F680" t="e">
            <v>#N/A</v>
          </cell>
          <cell r="G680" t="e">
            <v>#N/A</v>
          </cell>
        </row>
        <row r="681">
          <cell r="A681">
            <v>40689</v>
          </cell>
          <cell r="B681" t="str">
            <v>Saída d'água concreto p/ corte c/ caiação (SDC-01)</v>
          </cell>
          <cell r="C681" t="str">
            <v>un</v>
          </cell>
          <cell r="D681">
            <v>707.22</v>
          </cell>
          <cell r="E681">
            <v>0</v>
          </cell>
          <cell r="F681" t="e">
            <v>#N/A</v>
          </cell>
          <cell r="G681" t="e">
            <v>#N/A</v>
          </cell>
        </row>
        <row r="682">
          <cell r="A682">
            <v>40666</v>
          </cell>
          <cell r="B682" t="str">
            <v>Sarjeta de concreto DP-1 (0,081 m³/m) calha triangular, inclusive caiação</v>
          </cell>
          <cell r="C682" t="str">
            <v>m</v>
          </cell>
          <cell r="D682">
            <v>83.22</v>
          </cell>
          <cell r="E682">
            <v>0</v>
          </cell>
          <cell r="F682" t="e">
            <v>#N/A</v>
          </cell>
          <cell r="G682" t="e">
            <v>#N/A</v>
          </cell>
        </row>
        <row r="683">
          <cell r="A683">
            <v>40667</v>
          </cell>
          <cell r="B683" t="str">
            <v>Sarjeta de concreto DP-2 (0,085 m³/m) calha triangular, inclusive caiação</v>
          </cell>
          <cell r="C683" t="str">
            <v>m</v>
          </cell>
          <cell r="D683">
            <v>86.97</v>
          </cell>
          <cell r="E683">
            <v>0</v>
          </cell>
          <cell r="F683">
            <v>94.32</v>
          </cell>
          <cell r="G683">
            <v>1.0845119006554</v>
          </cell>
        </row>
        <row r="684">
          <cell r="A684">
            <v>41180</v>
          </cell>
          <cell r="B684" t="str">
            <v>Sarjeta de concreto SCA 40/10</v>
          </cell>
          <cell r="C684" t="str">
            <v>m</v>
          </cell>
          <cell r="D684">
            <v>72.75</v>
          </cell>
          <cell r="E684" t="str">
            <v>A incluir</v>
          </cell>
          <cell r="F684" t="e">
            <v>#N/A</v>
          </cell>
          <cell r="G684" t="e">
            <v>#N/A</v>
          </cell>
        </row>
        <row r="685">
          <cell r="A685">
            <v>40668</v>
          </cell>
          <cell r="B685" t="str">
            <v>Sarjeta de concreto (SCA 70/15) calha triangular, inclusive caiação</v>
          </cell>
          <cell r="C685" t="str">
            <v>m</v>
          </cell>
          <cell r="D685">
            <v>96.07</v>
          </cell>
          <cell r="E685">
            <v>0</v>
          </cell>
          <cell r="F685">
            <v>103.5</v>
          </cell>
          <cell r="G685">
            <v>1.07733943999167</v>
          </cell>
        </row>
        <row r="686">
          <cell r="A686">
            <v>40982</v>
          </cell>
          <cell r="B686" t="str">
            <v>Sarjeta de concreto (SCA 90/10) calha triangular, inclusive caiação</v>
          </cell>
          <cell r="C686" t="str">
            <v>m</v>
          </cell>
          <cell r="D686">
            <v>168.66</v>
          </cell>
          <cell r="E686">
            <v>0</v>
          </cell>
          <cell r="F686" t="e">
            <v>#N/A</v>
          </cell>
          <cell r="G686" t="e">
            <v>#N/A</v>
          </cell>
        </row>
        <row r="687">
          <cell r="A687">
            <v>41336</v>
          </cell>
          <cell r="B687" t="str">
            <v>Sarjeta de concreto SCC 40/15</v>
          </cell>
          <cell r="C687" t="str">
            <v>m</v>
          </cell>
          <cell r="D687">
            <v>88.21</v>
          </cell>
          <cell r="E687" t="str">
            <v>A incluir</v>
          </cell>
          <cell r="F687" t="e">
            <v>#N/A</v>
          </cell>
          <cell r="G687" t="e">
            <v>#N/A</v>
          </cell>
        </row>
        <row r="688">
          <cell r="A688">
            <v>40669</v>
          </cell>
          <cell r="B688" t="str">
            <v>Sarjeta de concreto (STC - 02) calha triangular em corte/aterro, inclusive caiação</v>
          </cell>
          <cell r="C688" t="str">
            <v>m</v>
          </cell>
          <cell r="D688">
            <v>81.55</v>
          </cell>
          <cell r="E688">
            <v>0</v>
          </cell>
          <cell r="F688" t="e">
            <v>#N/A</v>
          </cell>
          <cell r="G688" t="e">
            <v>#N/A</v>
          </cell>
        </row>
        <row r="689">
          <cell r="A689">
            <v>40670</v>
          </cell>
          <cell r="B689" t="str">
            <v>Sarjeta de concreto (STC - 04) calha triangular de bancada em corte, inclusive caiação</v>
          </cell>
          <cell r="C689" t="str">
            <v>m</v>
          </cell>
          <cell r="D689">
            <v>60.48</v>
          </cell>
          <cell r="E689">
            <v>0</v>
          </cell>
          <cell r="F689" t="e">
            <v>#N/A</v>
          </cell>
          <cell r="G689" t="e">
            <v>#N/A</v>
          </cell>
        </row>
        <row r="690">
          <cell r="A690">
            <v>40560</v>
          </cell>
          <cell r="B690" t="str">
            <v>Tampa de concreto em grelha, fornecimento, assentamento e transporte</v>
          </cell>
          <cell r="C690" t="str">
            <v>un</v>
          </cell>
          <cell r="D690">
            <v>221.91</v>
          </cell>
          <cell r="E690" t="str">
            <v>A incluir</v>
          </cell>
          <cell r="F690" t="e">
            <v>#N/A</v>
          </cell>
          <cell r="G690" t="e">
            <v>#N/A</v>
          </cell>
        </row>
        <row r="691">
          <cell r="A691">
            <v>40558</v>
          </cell>
          <cell r="B691" t="str">
            <v>Tampão F.F.A.P. com 100 kg, fornecimento, assentamento e transporte</v>
          </cell>
          <cell r="C691" t="str">
            <v>un</v>
          </cell>
          <cell r="D691">
            <v>307.83999999999997</v>
          </cell>
          <cell r="E691" t="str">
            <v>A incluir</v>
          </cell>
          <cell r="F691" t="e">
            <v>#N/A</v>
          </cell>
          <cell r="G691" t="e">
            <v>#N/A</v>
          </cell>
        </row>
        <row r="692">
          <cell r="A692">
            <v>41029</v>
          </cell>
          <cell r="B692" t="str">
            <v>Tapume de vedação e proteção, executado com chapas de compensado resinado com 6mm de espessura, exclusive pintura</v>
          </cell>
          <cell r="C692" t="str">
            <v>m²</v>
          </cell>
          <cell r="D692">
            <v>35.1</v>
          </cell>
          <cell r="E692">
            <v>0</v>
          </cell>
          <cell r="F692" t="e">
            <v>#N/A</v>
          </cell>
          <cell r="G692" t="e">
            <v>#N/A</v>
          </cell>
        </row>
        <row r="693">
          <cell r="A693">
            <v>41040</v>
          </cell>
          <cell r="B693" t="str">
            <v>Tela de aço soldada Telcon Q-138 ou similar, fornecimento e assentamento.</v>
          </cell>
          <cell r="C693" t="str">
            <v>m²</v>
          </cell>
          <cell r="D693">
            <v>28.17</v>
          </cell>
          <cell r="E693">
            <v>0</v>
          </cell>
          <cell r="F693" t="e">
            <v>#N/A</v>
          </cell>
          <cell r="G693" t="e">
            <v>#N/A</v>
          </cell>
        </row>
        <row r="694">
          <cell r="A694">
            <v>42658</v>
          </cell>
          <cell r="B694" t="str">
            <v>Tela de aço soldada Telcon Q-196 ou similar, fornecimento e assentamento.</v>
          </cell>
          <cell r="C694" t="str">
            <v>m²</v>
          </cell>
          <cell r="D694">
            <v>32.6</v>
          </cell>
          <cell r="E694">
            <v>0</v>
          </cell>
          <cell r="F694" t="e">
            <v>#N/A</v>
          </cell>
          <cell r="G694" t="e">
            <v>#N/A</v>
          </cell>
        </row>
        <row r="695">
          <cell r="A695">
            <v>40655</v>
          </cell>
          <cell r="B695" t="str">
            <v>Terminal de dreno de alívio de pavimento (DP - TDA - 01)</v>
          </cell>
          <cell r="C695" t="str">
            <v>un</v>
          </cell>
          <cell r="D695">
            <v>327.42</v>
          </cell>
          <cell r="E695" t="str">
            <v>A incluir</v>
          </cell>
          <cell r="F695" t="e">
            <v>#N/A</v>
          </cell>
          <cell r="G695" t="e">
            <v>#N/A</v>
          </cell>
        </row>
        <row r="696">
          <cell r="A696">
            <v>41092</v>
          </cell>
          <cell r="B696" t="str">
            <v>Transporte de materiais encosta abaixo, serviço manual, inclusive carga e descarga</v>
          </cell>
          <cell r="C696" t="str">
            <v>t dam</v>
          </cell>
          <cell r="D696">
            <v>21.87</v>
          </cell>
          <cell r="E696">
            <v>0</v>
          </cell>
          <cell r="F696" t="e">
            <v>#N/A</v>
          </cell>
          <cell r="G696" t="e">
            <v>#N/A</v>
          </cell>
        </row>
        <row r="697">
          <cell r="A697">
            <v>41091</v>
          </cell>
          <cell r="B697" t="str">
            <v>Transporte de materiais encosta acima, serviço manual, inclusive carga e descarga</v>
          </cell>
          <cell r="C697" t="str">
            <v>t dam</v>
          </cell>
          <cell r="D697">
            <v>29.6</v>
          </cell>
          <cell r="E697">
            <v>0</v>
          </cell>
          <cell r="F697" t="e">
            <v>#N/A</v>
          </cell>
          <cell r="G697" t="e">
            <v>#N/A</v>
          </cell>
        </row>
        <row r="698">
          <cell r="A698">
            <v>40706</v>
          </cell>
          <cell r="B698" t="str">
            <v>Transposição de segmento de sarjeta - TSS 01, inclusive transporte do tubo de concreto</v>
          </cell>
          <cell r="C698" t="str">
            <v>m</v>
          </cell>
          <cell r="D698">
            <v>282.66000000000003</v>
          </cell>
          <cell r="E698" t="str">
            <v>A incluir</v>
          </cell>
          <cell r="F698" t="e">
            <v>#N/A</v>
          </cell>
          <cell r="G698" t="e">
            <v>#N/A</v>
          </cell>
        </row>
        <row r="699">
          <cell r="A699">
            <v>40651</v>
          </cell>
          <cell r="B699" t="str">
            <v>Trincheira drenante cega (0,50 x 1,70) m, inclusive transporte da brita c/ geotêxtil não tecido res.long. mín 16 kn/m</v>
          </cell>
          <cell r="C699" t="str">
            <v>m</v>
          </cell>
          <cell r="D699">
            <v>323.77</v>
          </cell>
          <cell r="E699" t="str">
            <v>A incluir</v>
          </cell>
          <cell r="F699" t="e">
            <v>#N/A</v>
          </cell>
          <cell r="G699" t="e">
            <v>#N/A</v>
          </cell>
        </row>
        <row r="700">
          <cell r="A700">
            <v>41122</v>
          </cell>
          <cell r="B700" t="str">
            <v>Tubo de PVC NBR 5648 diâmetro 50 mm, fornecimento e assentamento</v>
          </cell>
          <cell r="C700" t="str">
            <v>m</v>
          </cell>
          <cell r="D700">
            <v>15.98</v>
          </cell>
          <cell r="E700">
            <v>0</v>
          </cell>
          <cell r="F700" t="e">
            <v>#N/A</v>
          </cell>
          <cell r="G700" t="e">
            <v>#N/A</v>
          </cell>
        </row>
        <row r="701">
          <cell r="A701">
            <v>41123</v>
          </cell>
          <cell r="B701" t="str">
            <v>Tubo de PVC NBR 5648 diâmetro 75 mm, fornecimento e assentamento</v>
          </cell>
          <cell r="C701" t="str">
            <v>m</v>
          </cell>
          <cell r="D701">
            <v>24.1</v>
          </cell>
          <cell r="E701">
            <v>0</v>
          </cell>
          <cell r="F701" t="e">
            <v>#N/A</v>
          </cell>
          <cell r="G701" t="e">
            <v>#N/A</v>
          </cell>
        </row>
        <row r="702">
          <cell r="A702">
            <v>41126</v>
          </cell>
          <cell r="B702" t="str">
            <v>Tubo de PVC PBA diâmetro 300 mm, fornecimento e assentamento</v>
          </cell>
          <cell r="C702" t="str">
            <v>m</v>
          </cell>
          <cell r="D702">
            <v>192.1</v>
          </cell>
          <cell r="E702">
            <v>0</v>
          </cell>
          <cell r="F702" t="e">
            <v>#N/A</v>
          </cell>
          <cell r="G702" t="e">
            <v>#N/A</v>
          </cell>
        </row>
        <row r="703">
          <cell r="A703">
            <v>41125</v>
          </cell>
          <cell r="B703" t="str">
            <v>Tubo de PVC rígido série R diâmetro 100 mm, fornecimento e assentamento</v>
          </cell>
          <cell r="C703" t="str">
            <v>m</v>
          </cell>
          <cell r="D703">
            <v>26.16</v>
          </cell>
          <cell r="E703">
            <v>0</v>
          </cell>
          <cell r="F703" t="e">
            <v>#N/A</v>
          </cell>
          <cell r="G703" t="e">
            <v>#N/A</v>
          </cell>
        </row>
        <row r="704">
          <cell r="A704">
            <v>41119</v>
          </cell>
          <cell r="B704" t="str">
            <v>Tubo irrifort agropecuário diâmetro 32 mm, fornecimento e assentamento</v>
          </cell>
          <cell r="C704" t="str">
            <v>m</v>
          </cell>
          <cell r="D704">
            <v>6.21</v>
          </cell>
          <cell r="E704">
            <v>0</v>
          </cell>
          <cell r="F704" t="e">
            <v>#N/A</v>
          </cell>
          <cell r="G704" t="e">
            <v>#N/A</v>
          </cell>
        </row>
        <row r="705">
          <cell r="A705">
            <v>41114</v>
          </cell>
          <cell r="B705" t="str">
            <v>Tubo para irrigação linha fixa PN40 50 mm, fornecimento e assentamento</v>
          </cell>
          <cell r="C705" t="str">
            <v>m</v>
          </cell>
          <cell r="D705">
            <v>7.91</v>
          </cell>
          <cell r="E705">
            <v>0</v>
          </cell>
          <cell r="F705" t="e">
            <v>#N/A</v>
          </cell>
          <cell r="G705" t="e">
            <v>#N/A</v>
          </cell>
        </row>
        <row r="706">
          <cell r="A706">
            <v>41127</v>
          </cell>
          <cell r="B706" t="str">
            <v>Tubo PVC PBA diâmetro 150 mm, fornecimento e assentamento</v>
          </cell>
          <cell r="C706" t="str">
            <v>m</v>
          </cell>
          <cell r="D706">
            <v>34.64</v>
          </cell>
          <cell r="E706">
            <v>0</v>
          </cell>
          <cell r="F706" t="e">
            <v>#N/A</v>
          </cell>
          <cell r="G706" t="e">
            <v>#N/A</v>
          </cell>
        </row>
        <row r="707">
          <cell r="A707">
            <v>40707</v>
          </cell>
          <cell r="B707" t="str">
            <v>Tubos de ferro fundido diâmetro 0,90 m, assentamento</v>
          </cell>
          <cell r="C707" t="str">
            <v>m</v>
          </cell>
          <cell r="D707">
            <v>226.64</v>
          </cell>
          <cell r="E707" t="str">
            <v>A incluir</v>
          </cell>
          <cell r="F707" t="e">
            <v>#N/A</v>
          </cell>
          <cell r="G707" t="e">
            <v>#N/A</v>
          </cell>
        </row>
        <row r="708">
          <cell r="A708">
            <v>41118</v>
          </cell>
          <cell r="B708" t="str">
            <v>Tubos para irrigação Linha fixa PN40, diâmetro 75 mm, fornecimento e assentamento</v>
          </cell>
          <cell r="C708" t="str">
            <v>m</v>
          </cell>
          <cell r="D708">
            <v>11.2</v>
          </cell>
          <cell r="E708">
            <v>0</v>
          </cell>
          <cell r="F708" t="e">
            <v>#N/A</v>
          </cell>
          <cell r="G708" t="e">
            <v>#N/A</v>
          </cell>
        </row>
        <row r="709">
          <cell r="A709">
            <v>40702</v>
          </cell>
          <cell r="B709" t="str">
            <v>Valeta de pedra argamassada VPAR</v>
          </cell>
          <cell r="C709" t="str">
            <v>m³</v>
          </cell>
          <cell r="D709">
            <v>338.61</v>
          </cell>
          <cell r="E709" t="str">
            <v>A incluir</v>
          </cell>
          <cell r="F709" t="e">
            <v>#N/A</v>
          </cell>
          <cell r="G709" t="e">
            <v>#N/A</v>
          </cell>
        </row>
        <row r="710">
          <cell r="A710">
            <v>40701</v>
          </cell>
          <cell r="B710" t="str">
            <v>Valeta de pedra jogada VPJ, inclusive transporte da pedra</v>
          </cell>
          <cell r="C710" t="str">
            <v>m³</v>
          </cell>
          <cell r="D710">
            <v>144.24</v>
          </cell>
          <cell r="E710" t="str">
            <v>A incluir</v>
          </cell>
          <cell r="F710" t="e">
            <v>#N/A</v>
          </cell>
          <cell r="G710" t="e">
            <v>#N/A</v>
          </cell>
        </row>
        <row r="711">
          <cell r="A711">
            <v>40698</v>
          </cell>
          <cell r="B711" t="str">
            <v>Valeta de proteção de aterro enleivada (VPA-01 DNIT)</v>
          </cell>
          <cell r="C711" t="str">
            <v>m</v>
          </cell>
          <cell r="D711">
            <v>72.22</v>
          </cell>
          <cell r="E711" t="str">
            <v>A incluir</v>
          </cell>
          <cell r="F711" t="e">
            <v>#N/A</v>
          </cell>
          <cell r="G711" t="e">
            <v>#N/A</v>
          </cell>
        </row>
        <row r="712">
          <cell r="A712">
            <v>40700</v>
          </cell>
          <cell r="B712" t="str">
            <v>Valeta de proteção de aterro revestida em concreto (VPA-03 DNIT)</v>
          </cell>
          <cell r="C712" t="str">
            <v>m</v>
          </cell>
          <cell r="D712">
            <v>89.6</v>
          </cell>
          <cell r="E712" t="str">
            <v>A incluir</v>
          </cell>
          <cell r="F712" t="e">
            <v>#N/A</v>
          </cell>
          <cell r="G712" t="e">
            <v>#N/A</v>
          </cell>
        </row>
        <row r="713">
          <cell r="A713">
            <v>40696</v>
          </cell>
          <cell r="B713" t="str">
            <v>Valeta de proteção de aterro VPA 02 (revestida em concreto)</v>
          </cell>
          <cell r="C713" t="str">
            <v>m</v>
          </cell>
          <cell r="D713">
            <v>174.07</v>
          </cell>
          <cell r="E713" t="str">
            <v>A incluir</v>
          </cell>
          <cell r="F713" t="e">
            <v>#N/A</v>
          </cell>
          <cell r="G713" t="e">
            <v>#N/A</v>
          </cell>
        </row>
        <row r="714">
          <cell r="A714">
            <v>40695</v>
          </cell>
          <cell r="B714" t="str">
            <v>Valeta de proteção de aterro VPA-01 (escavação)</v>
          </cell>
          <cell r="C714" t="str">
            <v>m</v>
          </cell>
          <cell r="D714">
            <v>59.21</v>
          </cell>
          <cell r="E714">
            <v>0</v>
          </cell>
          <cell r="F714" t="e">
            <v>#N/A</v>
          </cell>
          <cell r="G714" t="e">
            <v>#N/A</v>
          </cell>
        </row>
        <row r="715">
          <cell r="A715">
            <v>40692</v>
          </cell>
          <cell r="B715" t="str">
            <v>Valeta de proteção de corte - desobstrução e limpeza</v>
          </cell>
          <cell r="C715" t="str">
            <v>m</v>
          </cell>
          <cell r="D715">
            <v>3.29</v>
          </cell>
          <cell r="E715">
            <v>0</v>
          </cell>
          <cell r="F715" t="e">
            <v>#N/A</v>
          </cell>
          <cell r="G715" t="e">
            <v>#N/A</v>
          </cell>
        </row>
        <row r="716">
          <cell r="A716">
            <v>40697</v>
          </cell>
          <cell r="B716" t="str">
            <v>Valeta de proteção de corte enleivada (VPC-01 DNIT)</v>
          </cell>
          <cell r="C716" t="str">
            <v>m</v>
          </cell>
          <cell r="D716">
            <v>70.790000000000006</v>
          </cell>
          <cell r="E716" t="str">
            <v>A incluir</v>
          </cell>
          <cell r="F716" t="e">
            <v>#N/A</v>
          </cell>
          <cell r="G716" t="e">
            <v>#N/A</v>
          </cell>
        </row>
        <row r="717">
          <cell r="A717">
            <v>40699</v>
          </cell>
          <cell r="B717" t="str">
            <v>Valeta de proteção de corte revestida em concreto VPC-03</v>
          </cell>
          <cell r="C717" t="str">
            <v>m</v>
          </cell>
          <cell r="D717">
            <v>199.95</v>
          </cell>
          <cell r="E717" t="str">
            <v>A incluir</v>
          </cell>
          <cell r="F717" t="e">
            <v>#N/A</v>
          </cell>
          <cell r="G717" t="e">
            <v>#N/A</v>
          </cell>
        </row>
        <row r="718">
          <cell r="A718">
            <v>40693</v>
          </cell>
          <cell r="B718" t="str">
            <v>Valeta de proteção de corte VPC-01 (escavação)</v>
          </cell>
          <cell r="C718" t="str">
            <v>m</v>
          </cell>
          <cell r="D718">
            <v>32.06</v>
          </cell>
          <cell r="E718">
            <v>0</v>
          </cell>
          <cell r="F718" t="e">
            <v>#N/A</v>
          </cell>
          <cell r="G718" t="e">
            <v>#N/A</v>
          </cell>
        </row>
        <row r="719">
          <cell r="A719">
            <v>40694</v>
          </cell>
          <cell r="B719" t="str">
            <v>Valeta de proteção de corte VPC-02 (revestida em grama)</v>
          </cell>
          <cell r="C719" t="str">
            <v>m</v>
          </cell>
          <cell r="D719">
            <v>61.05</v>
          </cell>
          <cell r="E719" t="str">
            <v>A incluir</v>
          </cell>
          <cell r="F719" t="e">
            <v>#N/A</v>
          </cell>
          <cell r="G719" t="e">
            <v>#N/A</v>
          </cell>
        </row>
        <row r="720">
          <cell r="A720">
            <v>0</v>
          </cell>
          <cell r="B720">
            <v>0</v>
          </cell>
          <cell r="C720">
            <v>0</v>
          </cell>
          <cell r="D720">
            <v>0</v>
          </cell>
          <cell r="E720" t="e">
            <v>#N/A</v>
          </cell>
          <cell r="F720" t="e">
            <v>#N/A</v>
          </cell>
          <cell r="G720" t="e">
            <v>#N/A</v>
          </cell>
        </row>
        <row r="721">
          <cell r="A721" t="str">
            <v>Grupo de Serviço: 4 - MATERIAL BETUMINOSO</v>
          </cell>
          <cell r="B721">
            <v>0</v>
          </cell>
          <cell r="C721">
            <v>0</v>
          </cell>
          <cell r="E721" t="e">
            <v>#N/A</v>
          </cell>
          <cell r="F721" t="e">
            <v>#N/A</v>
          </cell>
          <cell r="G721" t="e">
            <v>#N/A</v>
          </cell>
        </row>
        <row r="722">
          <cell r="A722">
            <v>40972</v>
          </cell>
          <cell r="B722" t="str">
            <v>Bonificação de 15,28% sobre Materiais Betuminosos</v>
          </cell>
          <cell r="C722" t="str">
            <v>%</v>
          </cell>
          <cell r="D722">
            <v>0</v>
          </cell>
          <cell r="E722">
            <v>0</v>
          </cell>
          <cell r="F722">
            <v>0</v>
          </cell>
          <cell r="G722" t="e">
            <v>#DIV/0!</v>
          </cell>
        </row>
        <row r="723">
          <cell r="A723">
            <v>41405</v>
          </cell>
          <cell r="B723" t="str">
            <v>CAP FLEX 60/85, fornecimento</v>
          </cell>
          <cell r="C723" t="str">
            <v>t</v>
          </cell>
          <cell r="D723">
            <v>2544.63</v>
          </cell>
          <cell r="E723">
            <v>0</v>
          </cell>
          <cell r="F723" t="e">
            <v>#N/A</v>
          </cell>
          <cell r="G723" t="e">
            <v>#N/A</v>
          </cell>
        </row>
        <row r="724">
          <cell r="A724">
            <v>41360</v>
          </cell>
          <cell r="B724" t="str">
            <v>CAP-50/70, fornecimento</v>
          </cell>
          <cell r="C724" t="str">
            <v>t</v>
          </cell>
          <cell r="D724">
            <v>1888.14</v>
          </cell>
          <cell r="E724">
            <v>0</v>
          </cell>
          <cell r="F724">
            <v>1888.14</v>
          </cell>
          <cell r="G724">
            <v>1</v>
          </cell>
        </row>
        <row r="725">
          <cell r="A725">
            <v>40968</v>
          </cell>
          <cell r="B725" t="str">
            <v>CM-30, fornecimento</v>
          </cell>
          <cell r="C725" t="str">
            <v>t</v>
          </cell>
          <cell r="D725">
            <v>3191.47</v>
          </cell>
          <cell r="E725">
            <v>0</v>
          </cell>
          <cell r="F725">
            <v>3191.47</v>
          </cell>
          <cell r="G725">
            <v>1</v>
          </cell>
        </row>
        <row r="726">
          <cell r="A726">
            <v>40976</v>
          </cell>
          <cell r="B726" t="str">
            <v>Dope, fornecimento</v>
          </cell>
          <cell r="C726" t="str">
            <v>t</v>
          </cell>
          <cell r="D726">
            <v>33260</v>
          </cell>
          <cell r="E726">
            <v>0</v>
          </cell>
          <cell r="F726">
            <v>33260</v>
          </cell>
          <cell r="G726">
            <v>1</v>
          </cell>
        </row>
        <row r="727">
          <cell r="A727">
            <v>42545</v>
          </cell>
          <cell r="B727" t="str">
            <v>Emulsão RL-1C- FLEX (Emulflex RL-1C-E), fornecimento</v>
          </cell>
          <cell r="C727" t="str">
            <v>t</v>
          </cell>
          <cell r="D727">
            <v>1792.18</v>
          </cell>
          <cell r="E727">
            <v>0</v>
          </cell>
          <cell r="F727" t="e">
            <v>#N/A</v>
          </cell>
          <cell r="G727" t="e">
            <v>#N/A</v>
          </cell>
        </row>
        <row r="728">
          <cell r="A728">
            <v>40974</v>
          </cell>
          <cell r="B728" t="str">
            <v>Emulsão RM-1C, fornecimento</v>
          </cell>
          <cell r="C728" t="str">
            <v>t</v>
          </cell>
          <cell r="D728">
            <v>1604.26</v>
          </cell>
          <cell r="E728">
            <v>0</v>
          </cell>
          <cell r="F728" t="e">
            <v>#N/A</v>
          </cell>
          <cell r="G728" t="e">
            <v>#N/A</v>
          </cell>
        </row>
        <row r="729">
          <cell r="A729">
            <v>40978</v>
          </cell>
          <cell r="B729" t="str">
            <v>Emulsão RR-1C FLEX (Emulflex RR-1C-E,) fornecimento</v>
          </cell>
          <cell r="C729" t="str">
            <v>t</v>
          </cell>
          <cell r="D729">
            <v>1905</v>
          </cell>
          <cell r="E729">
            <v>0</v>
          </cell>
          <cell r="F729" t="e">
            <v>#N/A</v>
          </cell>
          <cell r="G729" t="e">
            <v>#N/A</v>
          </cell>
        </row>
        <row r="730">
          <cell r="A730">
            <v>40975</v>
          </cell>
          <cell r="B730" t="str">
            <v>Emulsão RR-1C, fornecimento</v>
          </cell>
          <cell r="C730" t="str">
            <v>t</v>
          </cell>
          <cell r="D730">
            <v>1390.33</v>
          </cell>
          <cell r="E730">
            <v>0</v>
          </cell>
          <cell r="F730" t="e">
            <v>#N/A</v>
          </cell>
          <cell r="G730" t="e">
            <v>#N/A</v>
          </cell>
        </row>
        <row r="731">
          <cell r="A731">
            <v>40969</v>
          </cell>
          <cell r="B731" t="str">
            <v>Emulsão RR-2C, fornecimento</v>
          </cell>
          <cell r="C731" t="str">
            <v>t</v>
          </cell>
          <cell r="D731">
            <v>1543.73</v>
          </cell>
          <cell r="E731">
            <v>0</v>
          </cell>
          <cell r="F731" t="e">
            <v>#N/A</v>
          </cell>
          <cell r="G731" t="e">
            <v>#N/A</v>
          </cell>
        </row>
        <row r="732">
          <cell r="A732">
            <v>40971</v>
          </cell>
          <cell r="B732" t="str">
            <v>Emulsão RR-2C-FLEX (Emulflex RR-2C-E), fornecimento</v>
          </cell>
          <cell r="C732" t="str">
            <v>t</v>
          </cell>
          <cell r="D732">
            <v>1858.79</v>
          </cell>
          <cell r="E732">
            <v>0</v>
          </cell>
          <cell r="F732" t="e">
            <v>#N/A</v>
          </cell>
          <cell r="G732" t="e">
            <v>#N/A</v>
          </cell>
        </row>
        <row r="733">
          <cell r="A733">
            <v>0</v>
          </cell>
          <cell r="B733">
            <v>0</v>
          </cell>
          <cell r="C733">
            <v>0</v>
          </cell>
          <cell r="D733">
            <v>0</v>
          </cell>
          <cell r="E733" t="e">
            <v>#N/A</v>
          </cell>
          <cell r="F733" t="e">
            <v>#N/A</v>
          </cell>
          <cell r="G733" t="e">
            <v>#N/A</v>
          </cell>
        </row>
        <row r="734">
          <cell r="A734" t="str">
            <v>Grupo de Serviço: 5 - OBRAS COMPLEMENTARES</v>
          </cell>
          <cell r="B734">
            <v>0</v>
          </cell>
          <cell r="C734">
            <v>0</v>
          </cell>
          <cell r="E734" t="e">
            <v>#N/A</v>
          </cell>
          <cell r="F734" t="e">
            <v>#N/A</v>
          </cell>
          <cell r="G734" t="e">
            <v>#N/A</v>
          </cell>
        </row>
        <row r="735">
          <cell r="A735">
            <v>40910</v>
          </cell>
          <cell r="B735" t="str">
            <v>Abrigo de Ônibus - Rodovia Rural - 3,40 m x 6,00 m</v>
          </cell>
          <cell r="C735" t="str">
            <v>un</v>
          </cell>
          <cell r="D735">
            <v>11766.59</v>
          </cell>
          <cell r="E735" t="str">
            <v>A incluir</v>
          </cell>
          <cell r="F735">
            <v>12028.45</v>
          </cell>
          <cell r="G735">
            <v>1.02225453593607</v>
          </cell>
        </row>
        <row r="736">
          <cell r="A736">
            <v>41362</v>
          </cell>
          <cell r="B736" t="str">
            <v>Abrigo de Ônibus Urbano - Padrão reduzido - 2,40 x 6,00 m</v>
          </cell>
          <cell r="C736" t="str">
            <v>un</v>
          </cell>
          <cell r="D736">
            <v>11534.26</v>
          </cell>
          <cell r="E736">
            <v>0</v>
          </cell>
          <cell r="F736" t="e">
            <v>#N/A</v>
          </cell>
          <cell r="G736" t="e">
            <v>#N/A</v>
          </cell>
        </row>
        <row r="737">
          <cell r="A737">
            <v>43343</v>
          </cell>
          <cell r="B737" t="str">
            <v>Alvenaria de tijolos cerâmicos maciços aparentes 5x10x20cm,assent.c/argam.de cimento,cal hidratada CH1 e areia no traço 1:0,5:8,juntas de 10mm e esp.</v>
          </cell>
          <cell r="C737" t="str">
            <v>m²</v>
          </cell>
          <cell r="D737">
            <v>163.44</v>
          </cell>
          <cell r="E737">
            <v>0</v>
          </cell>
          <cell r="F737" t="e">
            <v>#N/A</v>
          </cell>
          <cell r="G737" t="e">
            <v>#N/A</v>
          </cell>
        </row>
        <row r="738">
          <cell r="A738">
            <v>41151</v>
          </cell>
          <cell r="B738" t="str">
            <v>Braço galvanizado 101mm - projeção 4,70m, fornecimento e instalação</v>
          </cell>
          <cell r="C738" t="str">
            <v>un</v>
          </cell>
          <cell r="D738">
            <v>1688.5</v>
          </cell>
          <cell r="E738">
            <v>0</v>
          </cell>
          <cell r="F738" t="e">
            <v>#N/A</v>
          </cell>
          <cell r="G738" t="e">
            <v>#N/A</v>
          </cell>
        </row>
        <row r="739">
          <cell r="A739">
            <v>41346</v>
          </cell>
          <cell r="B739" t="str">
            <v>Cabo de cobre nú, seção 35 mm2, fornecimento e colocação</v>
          </cell>
          <cell r="C739" t="str">
            <v>m</v>
          </cell>
          <cell r="D739">
            <v>24.83</v>
          </cell>
          <cell r="E739">
            <v>0</v>
          </cell>
          <cell r="F739" t="e">
            <v>#N/A</v>
          </cell>
          <cell r="G739" t="e">
            <v>#N/A</v>
          </cell>
        </row>
        <row r="740">
          <cell r="A740">
            <v>41150</v>
          </cell>
          <cell r="B740" t="str">
            <v>Cabo flexível 2 x 1,5 mm², fornecimento e instalação</v>
          </cell>
          <cell r="C740" t="str">
            <v>m</v>
          </cell>
          <cell r="D740">
            <v>5.69</v>
          </cell>
          <cell r="E740">
            <v>0</v>
          </cell>
          <cell r="F740" t="e">
            <v>#N/A</v>
          </cell>
          <cell r="G740" t="e">
            <v>#N/A</v>
          </cell>
        </row>
        <row r="741">
          <cell r="A741">
            <v>41149</v>
          </cell>
          <cell r="B741" t="str">
            <v>Cabo flexível 2 x 2,5 mm², fornecimento e instalação</v>
          </cell>
          <cell r="C741" t="str">
            <v>m</v>
          </cell>
          <cell r="D741">
            <v>6.65</v>
          </cell>
          <cell r="E741">
            <v>0</v>
          </cell>
          <cell r="F741" t="e">
            <v>#N/A</v>
          </cell>
          <cell r="G741" t="e">
            <v>#N/A</v>
          </cell>
        </row>
        <row r="742">
          <cell r="A742">
            <v>41410</v>
          </cell>
          <cell r="B742" t="str">
            <v>Cabo flexível 3 x 1,5 mm², fornecimento e instalação</v>
          </cell>
          <cell r="C742" t="str">
            <v>m</v>
          </cell>
          <cell r="D742">
            <v>6.37</v>
          </cell>
          <cell r="E742">
            <v>0</v>
          </cell>
          <cell r="F742" t="e">
            <v>#N/A</v>
          </cell>
          <cell r="G742" t="e">
            <v>#N/A</v>
          </cell>
        </row>
        <row r="743">
          <cell r="A743">
            <v>41148</v>
          </cell>
          <cell r="B743" t="str">
            <v>Cabo flexível 4 x 1,5 mm², fornecimento e instalação</v>
          </cell>
          <cell r="C743" t="str">
            <v>m</v>
          </cell>
          <cell r="D743">
            <v>7.2</v>
          </cell>
          <cell r="E743">
            <v>0</v>
          </cell>
          <cell r="F743" t="e">
            <v>#N/A</v>
          </cell>
          <cell r="G743" t="e">
            <v>#N/A</v>
          </cell>
        </row>
        <row r="744">
          <cell r="A744">
            <v>41152</v>
          </cell>
          <cell r="B744" t="str">
            <v>Caixa de passagem de concreto armado de 0,40 x 0,40 x 0,40m</v>
          </cell>
          <cell r="C744" t="str">
            <v>un</v>
          </cell>
          <cell r="D744">
            <v>423.19</v>
          </cell>
          <cell r="E744">
            <v>0</v>
          </cell>
          <cell r="F744" t="e">
            <v>#N/A</v>
          </cell>
          <cell r="G744" t="e">
            <v>#N/A</v>
          </cell>
        </row>
        <row r="745">
          <cell r="A745">
            <v>41004</v>
          </cell>
          <cell r="B745" t="str">
            <v>Caixa de passagem de eletroduto de lógica</v>
          </cell>
          <cell r="C745" t="str">
            <v>un</v>
          </cell>
          <cell r="D745">
            <v>894.79</v>
          </cell>
          <cell r="E745">
            <v>0</v>
          </cell>
          <cell r="F745" t="e">
            <v>#N/A</v>
          </cell>
          <cell r="G745" t="e">
            <v>#N/A</v>
          </cell>
        </row>
        <row r="746">
          <cell r="A746">
            <v>40911</v>
          </cell>
          <cell r="B746" t="str">
            <v>Calçada de concreto</v>
          </cell>
          <cell r="C746" t="str">
            <v>m²</v>
          </cell>
          <cell r="D746">
            <v>44.58</v>
          </cell>
          <cell r="E746" t="str">
            <v>A incluir</v>
          </cell>
          <cell r="F746" t="e">
            <v>#N/A</v>
          </cell>
          <cell r="G746" t="e">
            <v>#N/A</v>
          </cell>
        </row>
        <row r="747">
          <cell r="A747">
            <v>40915</v>
          </cell>
          <cell r="B747" t="str">
            <v>Calçada de concreto fck=15 MP, camurçado c/ argam. cimento e areia 1:4, lastro de brita e 8 cm de concreto, incl. preparo da caixa e transp. da brita</v>
          </cell>
          <cell r="C747" t="str">
            <v>m²</v>
          </cell>
          <cell r="D747">
            <v>96.94</v>
          </cell>
          <cell r="E747" t="str">
            <v>A incluir</v>
          </cell>
          <cell r="F747">
            <v>107.51</v>
          </cell>
          <cell r="G747">
            <v>1.10903651743346</v>
          </cell>
        </row>
        <row r="748">
          <cell r="A748">
            <v>40899</v>
          </cell>
          <cell r="B748" t="str">
            <v>Cerca de arame farpado 4 fios com mourões a cada 2,0 m, esticadores de madeira, a cada 20
,0 m, inclusive transporte de mourão e arame farpado)</v>
          </cell>
          <cell r="C748" t="str">
            <v>m</v>
          </cell>
          <cell r="D748">
            <v>15.9</v>
          </cell>
          <cell r="E748" t="str">
            <v>A incluir</v>
          </cell>
          <cell r="F748" t="e">
            <v>#N/A</v>
          </cell>
          <cell r="G748" t="e">
            <v>#N/A</v>
          </cell>
        </row>
        <row r="749">
          <cell r="A749">
            <v>40900</v>
          </cell>
          <cell r="B749" t="str">
            <v>Cerca de arame farpado 4 fios com mourões a cada 1,0 m, esticadores de madeira, a cada 20, 0 m, inclusive transporte de mourão e arame farpado</v>
          </cell>
          <cell r="C749" t="str">
            <v>m</v>
          </cell>
          <cell r="D749">
            <v>21.6</v>
          </cell>
          <cell r="E749" t="str">
            <v>A incluir</v>
          </cell>
          <cell r="F749" t="e">
            <v>#N/A</v>
          </cell>
          <cell r="G749" t="e">
            <v>#N/A</v>
          </cell>
        </row>
        <row r="750">
          <cell r="A750">
            <v>41365</v>
          </cell>
          <cell r="B750" t="str">
            <v>Cerca de arame farpado 4 fios com mourões, a cada 2,5 m, esticadores de madeira a cada 60, 0m, inclusive transporte de arame farpado e mourão</v>
          </cell>
          <cell r="C750" t="str">
            <v>m</v>
          </cell>
          <cell r="D750">
            <v>16.010000000000002</v>
          </cell>
          <cell r="E750" t="str">
            <v>A incluir</v>
          </cell>
          <cell r="F750" t="e">
            <v>#N/A</v>
          </cell>
          <cell r="G750" t="e">
            <v>#N/A</v>
          </cell>
        </row>
        <row r="751">
          <cell r="A751">
            <v>41110</v>
          </cell>
          <cell r="B751" t="str">
            <v>Cerca de arame farpado 4 fios com mourões a cada 3,0 metros e sem esticadores, inclusive transporte de arame e mourão</v>
          </cell>
          <cell r="C751" t="str">
            <v>m</v>
          </cell>
          <cell r="D751">
            <v>14.51</v>
          </cell>
          <cell r="E751" t="str">
            <v>A incluir</v>
          </cell>
          <cell r="F751" t="e">
            <v>#N/A</v>
          </cell>
          <cell r="G751" t="e">
            <v>#N/A</v>
          </cell>
        </row>
        <row r="752">
          <cell r="A752">
            <v>40903</v>
          </cell>
          <cell r="B752" t="str">
            <v>Cerca de arame farpado 4 fios com postes cada 2,5 m, esticadores de concreto a cada 25,0 m</v>
          </cell>
          <cell r="C752" t="str">
            <v>m</v>
          </cell>
          <cell r="D752">
            <v>21.42</v>
          </cell>
          <cell r="E752" t="str">
            <v>A incluir</v>
          </cell>
          <cell r="F752">
            <v>21.79</v>
          </cell>
          <cell r="G752">
            <v>1.0172735760971101</v>
          </cell>
        </row>
        <row r="753">
          <cell r="A753">
            <v>40904</v>
          </cell>
          <cell r="B753" t="str">
            <v>Cerca de arame farpado 8 fios com postes concreto 10 x 10 x 220 cm, a cada 1,5 m</v>
          </cell>
          <cell r="C753" t="str">
            <v>m</v>
          </cell>
          <cell r="D753">
            <v>41.71</v>
          </cell>
          <cell r="E753" t="str">
            <v>A incluir</v>
          </cell>
          <cell r="F753" t="e">
            <v>#N/A</v>
          </cell>
          <cell r="G753" t="e">
            <v>#N/A</v>
          </cell>
        </row>
        <row r="754">
          <cell r="A754">
            <v>40905</v>
          </cell>
          <cell r="B754" t="str">
            <v>Cerca de arame farpado 8 fios com postes triangulares 10 x 200 cm, a cada 2,5 m, mourão de concreto 10 x 10 x 220 cm, a cada 50,0 m</v>
          </cell>
          <cell r="C754" t="str">
            <v>m</v>
          </cell>
          <cell r="D754">
            <v>23.28</v>
          </cell>
          <cell r="E754" t="str">
            <v>A incluir</v>
          </cell>
          <cell r="F754" t="e">
            <v>#N/A</v>
          </cell>
          <cell r="G754" t="e">
            <v>#N/A</v>
          </cell>
        </row>
        <row r="755">
          <cell r="A755">
            <v>43330</v>
          </cell>
          <cell r="B755" t="str">
            <v>Cerca de arame farpado,4 fios ,mourões de madeira a cada 2,5 m e esticadores de concreto/ madeira a cada 40m</v>
          </cell>
          <cell r="C755" t="str">
            <v>m</v>
          </cell>
          <cell r="D755">
            <v>26.11</v>
          </cell>
          <cell r="E755" t="str">
            <v>A incluir</v>
          </cell>
          <cell r="F755" t="e">
            <v>#N/A</v>
          </cell>
          <cell r="G755" t="e">
            <v>#N/A</v>
          </cell>
        </row>
        <row r="756">
          <cell r="A756">
            <v>40901</v>
          </cell>
          <cell r="B756" t="str">
            <v>Cerca de arame liso 4 fios com mourões cada 2,0 m, esticadores de madeira, a cada 20,0 m, inclusive transporte de mourão e arame liso</v>
          </cell>
          <cell r="C756" t="str">
            <v>m</v>
          </cell>
          <cell r="D756">
            <v>15.24</v>
          </cell>
          <cell r="E756" t="str">
            <v>A incluir</v>
          </cell>
          <cell r="F756">
            <v>15.8</v>
          </cell>
          <cell r="G756">
            <v>1.03674540682415</v>
          </cell>
        </row>
        <row r="757">
          <cell r="A757">
            <v>42475</v>
          </cell>
          <cell r="B757" t="str">
            <v>Concreto estrutural fck = 10,0 MPa, inclusive transportes areia, cimento e pedra britada</v>
          </cell>
          <cell r="C757" t="str">
            <v>m³</v>
          </cell>
          <cell r="D757">
            <v>524.25</v>
          </cell>
          <cell r="E757" t="str">
            <v>A incluir</v>
          </cell>
          <cell r="F757">
            <v>610.26</v>
          </cell>
          <cell r="G757">
            <v>1.1640629470672399</v>
          </cell>
        </row>
        <row r="758">
          <cell r="A758">
            <v>40945</v>
          </cell>
          <cell r="B758" t="str">
            <v>Corrimão em eucalipto tratado</v>
          </cell>
          <cell r="C758" t="str">
            <v>m</v>
          </cell>
          <cell r="D758">
            <v>51.79</v>
          </cell>
          <cell r="E758" t="str">
            <v>A incluir</v>
          </cell>
          <cell r="F758" t="e">
            <v>#N/A</v>
          </cell>
          <cell r="G758" t="e">
            <v>#N/A</v>
          </cell>
        </row>
        <row r="759">
          <cell r="A759">
            <v>41109</v>
          </cell>
          <cell r="B759" t="str">
            <v>Demolição de cerca de madeira com 4 fios</v>
          </cell>
          <cell r="C759" t="str">
            <v>m</v>
          </cell>
          <cell r="D759">
            <v>2.5099999999999998</v>
          </cell>
          <cell r="E759">
            <v>0</v>
          </cell>
          <cell r="F759" t="e">
            <v>#N/A</v>
          </cell>
          <cell r="G759" t="e">
            <v>#N/A</v>
          </cell>
        </row>
        <row r="760">
          <cell r="A760">
            <v>40164</v>
          </cell>
          <cell r="B760" t="str">
            <v>Demolição de edificações</v>
          </cell>
          <cell r="C760" t="str">
            <v>m²</v>
          </cell>
          <cell r="D760">
            <v>35.5</v>
          </cell>
          <cell r="E760">
            <v>0</v>
          </cell>
          <cell r="F760" t="e">
            <v>#N/A</v>
          </cell>
          <cell r="G760" t="e">
            <v>#N/A</v>
          </cell>
        </row>
        <row r="761">
          <cell r="A761">
            <v>40944</v>
          </cell>
          <cell r="B761" t="str">
            <v>Descida d'água em madeira e pedra de mão, tudo incluído</v>
          </cell>
          <cell r="C761" t="str">
            <v>m</v>
          </cell>
          <cell r="D761">
            <v>473.95</v>
          </cell>
          <cell r="E761" t="str">
            <v>A incluir</v>
          </cell>
          <cell r="F761" t="e">
            <v>#N/A</v>
          </cell>
          <cell r="G761" t="e">
            <v>#N/A</v>
          </cell>
        </row>
        <row r="762">
          <cell r="A762">
            <v>40902</v>
          </cell>
          <cell r="B762" t="str">
            <v>Deslocamento de cerca de madeira com 4 fios de arame</v>
          </cell>
          <cell r="C762" t="str">
            <v>m</v>
          </cell>
          <cell r="D762">
            <v>4.51</v>
          </cell>
          <cell r="E762">
            <v>0</v>
          </cell>
          <cell r="F762">
            <v>4.51</v>
          </cell>
          <cell r="G762">
            <v>1</v>
          </cell>
        </row>
        <row r="763">
          <cell r="A763">
            <v>41344</v>
          </cell>
          <cell r="B763" t="str">
            <v>Eletroduto de aço galv. 1 1/4" inclusive abertura e fechamento de rasgos em alvenaria, e luvas</v>
          </cell>
          <cell r="C763" t="str">
            <v>m</v>
          </cell>
          <cell r="D763">
            <v>67.38</v>
          </cell>
          <cell r="E763">
            <v>0</v>
          </cell>
          <cell r="F763" t="e">
            <v>#N/A</v>
          </cell>
          <cell r="G763" t="e">
            <v>#N/A</v>
          </cell>
        </row>
        <row r="764">
          <cell r="A764">
            <v>41345</v>
          </cell>
          <cell r="B764" t="str">
            <v>Eletroduto de PVC diâmetro de 4", fornecimento e instalação</v>
          </cell>
          <cell r="C764" t="str">
            <v>m</v>
          </cell>
          <cell r="D764">
            <v>99.54</v>
          </cell>
          <cell r="E764">
            <v>0</v>
          </cell>
          <cell r="F764" t="e">
            <v>#N/A</v>
          </cell>
          <cell r="G764" t="e">
            <v>#N/A</v>
          </cell>
        </row>
        <row r="765">
          <cell r="A765">
            <v>41242</v>
          </cell>
          <cell r="B765" t="str">
            <v>Estrutura de madeira para telha cerâmica ancorada em laje ou alvenaria</v>
          </cell>
          <cell r="C765" t="str">
            <v>m²</v>
          </cell>
          <cell r="D765">
            <v>70.11</v>
          </cell>
          <cell r="E765">
            <v>0</v>
          </cell>
          <cell r="F765" t="e">
            <v>#N/A</v>
          </cell>
          <cell r="G765" t="e">
            <v>#N/A</v>
          </cell>
        </row>
        <row r="766">
          <cell r="A766">
            <v>42476</v>
          </cell>
          <cell r="B766" t="str">
            <v>Fita isolante em rolo de 19 mm x 20 m, número 33 Scoth ou equivalente</v>
          </cell>
          <cell r="C766" t="str">
            <v>un</v>
          </cell>
          <cell r="D766">
            <v>38.29</v>
          </cell>
          <cell r="E766">
            <v>0</v>
          </cell>
          <cell r="F766" t="e">
            <v>#N/A</v>
          </cell>
          <cell r="G766" t="e">
            <v>#N/A</v>
          </cell>
        </row>
        <row r="767">
          <cell r="A767">
            <v>41136</v>
          </cell>
          <cell r="B767" t="str">
            <v>Haste cobreada para aterramento diâmetro 5/8" x 2,4m ( fornecimento e instalação)</v>
          </cell>
          <cell r="C767" t="str">
            <v>un</v>
          </cell>
          <cell r="D767">
            <v>117.06</v>
          </cell>
          <cell r="E767">
            <v>0</v>
          </cell>
          <cell r="F767" t="e">
            <v>#N/A</v>
          </cell>
          <cell r="G767" t="e">
            <v>#N/A</v>
          </cell>
        </row>
        <row r="768">
          <cell r="A768">
            <v>41135</v>
          </cell>
          <cell r="B768" t="str">
            <v>Isolador de Porcelana tipo roldana com rack 3 x 16, instalação</v>
          </cell>
          <cell r="C768" t="str">
            <v>un</v>
          </cell>
          <cell r="D768">
            <v>86.55</v>
          </cell>
          <cell r="E768">
            <v>0</v>
          </cell>
          <cell r="F768" t="e">
            <v>#N/A</v>
          </cell>
          <cell r="G768" t="e">
            <v>#N/A</v>
          </cell>
        </row>
        <row r="769">
          <cell r="A769">
            <v>40912</v>
          </cell>
          <cell r="B769" t="str">
            <v>Ladrilho hidráulico (argamassa cimento e areia 1:4), fornecimento e assentamento</v>
          </cell>
          <cell r="C769" t="str">
            <v>m²</v>
          </cell>
          <cell r="D769">
            <v>86.18</v>
          </cell>
          <cell r="E769" t="str">
            <v>A incluir</v>
          </cell>
          <cell r="F769">
            <v>94.12</v>
          </cell>
          <cell r="G769">
            <v>1.0921327454165699</v>
          </cell>
        </row>
        <row r="770">
          <cell r="A770">
            <v>40908</v>
          </cell>
          <cell r="B770" t="str">
            <v>Mata-burro</v>
          </cell>
          <cell r="C770" t="str">
            <v>un</v>
          </cell>
          <cell r="D770">
            <v>7475.83</v>
          </cell>
          <cell r="E770" t="str">
            <v>A incluir</v>
          </cell>
          <cell r="F770" t="e">
            <v>#N/A</v>
          </cell>
          <cell r="G770" t="e">
            <v>#N/A</v>
          </cell>
        </row>
        <row r="771">
          <cell r="A771">
            <v>40907</v>
          </cell>
          <cell r="B771" t="str">
            <v>Passagem de gado (boca)</v>
          </cell>
          <cell r="C771" t="str">
            <v>un</v>
          </cell>
          <cell r="D771">
            <v>13118.57</v>
          </cell>
          <cell r="E771" t="str">
            <v>A incluir</v>
          </cell>
          <cell r="F771" t="e">
            <v>#N/A</v>
          </cell>
          <cell r="G771" t="e">
            <v>#N/A</v>
          </cell>
        </row>
        <row r="772">
          <cell r="A772">
            <v>40906</v>
          </cell>
          <cell r="B772" t="str">
            <v>Passagem de gado (sem guarda corpo)</v>
          </cell>
          <cell r="C772" t="str">
            <v>m</v>
          </cell>
          <cell r="D772">
            <v>3768.78</v>
          </cell>
          <cell r="E772">
            <v>0</v>
          </cell>
          <cell r="F772" t="e">
            <v>#N/A</v>
          </cell>
          <cell r="G772" t="e">
            <v>#N/A</v>
          </cell>
        </row>
        <row r="773">
          <cell r="A773">
            <v>41240</v>
          </cell>
          <cell r="B773" t="str">
            <v>Passeio em concreto, largura 2,00m, acabamento em ladrilho hidráulico podotátil (L=0,40m)</v>
          </cell>
          <cell r="C773" t="str">
            <v>m²</v>
          </cell>
          <cell r="D773">
            <v>77.39</v>
          </cell>
          <cell r="E773" t="str">
            <v>A incluir</v>
          </cell>
          <cell r="F773" t="e">
            <v>#N/A</v>
          </cell>
          <cell r="G773" t="e">
            <v>#N/A</v>
          </cell>
        </row>
        <row r="774">
          <cell r="A774">
            <v>40946</v>
          </cell>
          <cell r="B774" t="str">
            <v>Passeio pavimentado em blocos de concreto esp.=6cm, colorido, resistência 35 MPa, colchão de areia 5cm, inclusive transporte dos blocos e da areia</v>
          </cell>
          <cell r="C774" t="str">
            <v>m²</v>
          </cell>
          <cell r="D774">
            <v>86.9</v>
          </cell>
          <cell r="E774" t="str">
            <v>A incluir</v>
          </cell>
          <cell r="F774" t="e">
            <v>#N/A</v>
          </cell>
          <cell r="G774" t="e">
            <v>#N/A</v>
          </cell>
        </row>
        <row r="775">
          <cell r="A775">
            <v>40942</v>
          </cell>
          <cell r="B775" t="str">
            <v>Pavimentação com pedra de mão (pé de moleque) argamassada</v>
          </cell>
          <cell r="C775" t="str">
            <v>m²</v>
          </cell>
          <cell r="D775">
            <v>36.39</v>
          </cell>
          <cell r="E775" t="str">
            <v>A incluir</v>
          </cell>
          <cell r="F775" t="e">
            <v>#N/A</v>
          </cell>
          <cell r="G775" t="e">
            <v>#N/A</v>
          </cell>
        </row>
        <row r="776">
          <cell r="A776">
            <v>41245</v>
          </cell>
          <cell r="B776" t="str">
            <v>Pintura com tinta a óleo em esquadria de ferros duas demãos</v>
          </cell>
          <cell r="C776" t="str">
            <v>m²</v>
          </cell>
          <cell r="D776">
            <v>36.18</v>
          </cell>
          <cell r="E776">
            <v>0</v>
          </cell>
          <cell r="F776" t="e">
            <v>#N/A</v>
          </cell>
          <cell r="G776" t="e">
            <v>#N/A</v>
          </cell>
        </row>
        <row r="777">
          <cell r="A777">
            <v>41404</v>
          </cell>
          <cell r="B777" t="str">
            <v>Pintura em estrutura metálica com tinta epoxídica inclusive primer</v>
          </cell>
          <cell r="C777" t="str">
            <v>m²</v>
          </cell>
          <cell r="D777">
            <v>33.159999999999997</v>
          </cell>
          <cell r="E777">
            <v>0</v>
          </cell>
          <cell r="F777" t="e">
            <v>#N/A</v>
          </cell>
          <cell r="G777" t="e">
            <v>#N/A</v>
          </cell>
        </row>
        <row r="778">
          <cell r="A778">
            <v>41244</v>
          </cell>
          <cell r="B778" t="str">
            <v>Pintura em látex acrílica em parede externa, sem massa corrida, três demãos</v>
          </cell>
          <cell r="C778" t="str">
            <v>m²</v>
          </cell>
          <cell r="D778">
            <v>21.49</v>
          </cell>
          <cell r="E778">
            <v>0</v>
          </cell>
          <cell r="F778" t="e">
            <v>#N/A</v>
          </cell>
          <cell r="G778" t="e">
            <v>#N/A</v>
          </cell>
        </row>
        <row r="779">
          <cell r="A779">
            <v>43328</v>
          </cell>
          <cell r="B779" t="str">
            <v>Pintura logomarca DER-ES em mourões de concreto ( baixo relevo )</v>
          </cell>
          <cell r="C779" t="str">
            <v>un</v>
          </cell>
          <cell r="D779">
            <v>10.65</v>
          </cell>
          <cell r="E779">
            <v>0</v>
          </cell>
          <cell r="F779" t="e">
            <v>#N/A</v>
          </cell>
          <cell r="G779" t="e">
            <v>#N/A</v>
          </cell>
        </row>
        <row r="780">
          <cell r="A780">
            <v>40909</v>
          </cell>
          <cell r="B780" t="str">
            <v>Porteira, confecção e colocação, inclusive fornecimento e transporte da madeira e chapa de aço</v>
          </cell>
          <cell r="C780" t="str">
            <v>un</v>
          </cell>
          <cell r="D780">
            <v>2442.42</v>
          </cell>
          <cell r="E780" t="str">
            <v>A incluir</v>
          </cell>
          <cell r="F780" t="e">
            <v>#N/A</v>
          </cell>
          <cell r="G780" t="e">
            <v>#N/A</v>
          </cell>
        </row>
        <row r="781">
          <cell r="A781">
            <v>41237</v>
          </cell>
          <cell r="B781" t="str">
            <v>Poste de iluminação urbana com luminária tipo chapeú chinês</v>
          </cell>
          <cell r="C781" t="str">
            <v>un</v>
          </cell>
          <cell r="D781">
            <v>1916.84</v>
          </cell>
          <cell r="E781" t="str">
            <v>A incluir</v>
          </cell>
          <cell r="F781" t="e">
            <v>#N/A</v>
          </cell>
          <cell r="G781" t="e">
            <v>#N/A</v>
          </cell>
        </row>
        <row r="782">
          <cell r="A782">
            <v>41140</v>
          </cell>
          <cell r="B782" t="str">
            <v>Poste galvanizado 101mm simples, fornecimento e instalação</v>
          </cell>
          <cell r="C782" t="str">
            <v>un</v>
          </cell>
          <cell r="D782">
            <v>1194.6600000000001</v>
          </cell>
          <cell r="E782">
            <v>0</v>
          </cell>
          <cell r="F782" t="e">
            <v>#N/A</v>
          </cell>
          <cell r="G782" t="e">
            <v>#N/A</v>
          </cell>
        </row>
        <row r="783">
          <cell r="A783">
            <v>41139</v>
          </cell>
          <cell r="B783" t="str">
            <v>Poste galvanizado 114 mm - 1boca, fornecimento e instalação</v>
          </cell>
          <cell r="C783" t="str">
            <v>un</v>
          </cell>
          <cell r="D783">
            <v>1738.81</v>
          </cell>
          <cell r="E783">
            <v>0</v>
          </cell>
          <cell r="F783" t="e">
            <v>#N/A</v>
          </cell>
          <cell r="G783" t="e">
            <v>#N/A</v>
          </cell>
        </row>
        <row r="784">
          <cell r="A784">
            <v>41138</v>
          </cell>
          <cell r="B784" t="str">
            <v>Poste galvanizado 114mm - 2 bocas, fornecimento e instalação</v>
          </cell>
          <cell r="C784" t="str">
            <v>un</v>
          </cell>
          <cell r="D784">
            <v>1939.7</v>
          </cell>
          <cell r="E784">
            <v>0</v>
          </cell>
          <cell r="F784" t="e">
            <v>#N/A</v>
          </cell>
          <cell r="G784" t="e">
            <v>#N/A</v>
          </cell>
        </row>
        <row r="785">
          <cell r="A785">
            <v>41246</v>
          </cell>
          <cell r="B785" t="str">
            <v>Rampa de pedestres, com piso em ladrilho hidráulico podotátil</v>
          </cell>
          <cell r="C785" t="str">
            <v>m</v>
          </cell>
          <cell r="D785">
            <v>46.54</v>
          </cell>
          <cell r="E785" t="str">
            <v>A incluir</v>
          </cell>
          <cell r="F785" t="e">
            <v>#N/A</v>
          </cell>
          <cell r="G785" t="e">
            <v>#N/A</v>
          </cell>
        </row>
        <row r="786">
          <cell r="A786">
            <v>40943</v>
          </cell>
          <cell r="B786" t="str">
            <v>Rampa em pedra de mão (pé de moleque) argamassada e travada</v>
          </cell>
          <cell r="C786" t="str">
            <v>m</v>
          </cell>
          <cell r="D786">
            <v>44.24</v>
          </cell>
          <cell r="E786" t="str">
            <v>A incluir</v>
          </cell>
          <cell r="F786" t="e">
            <v>#N/A</v>
          </cell>
          <cell r="G786" t="e">
            <v>#N/A</v>
          </cell>
        </row>
        <row r="787">
          <cell r="A787">
            <v>40922</v>
          </cell>
          <cell r="B787" t="str">
            <v>Remoção de camada vegetal</v>
          </cell>
          <cell r="C787" t="str">
            <v>m³</v>
          </cell>
          <cell r="D787">
            <v>4.2</v>
          </cell>
          <cell r="E787">
            <v>0</v>
          </cell>
          <cell r="F787" t="e">
            <v>#N/A</v>
          </cell>
          <cell r="G787" t="e">
            <v>#N/A</v>
          </cell>
        </row>
        <row r="788">
          <cell r="A788">
            <v>40914</v>
          </cell>
          <cell r="B788" t="str">
            <v>Retirada de Defensa Metálica</v>
          </cell>
          <cell r="C788" t="str">
            <v>m</v>
          </cell>
          <cell r="D788">
            <v>14.37</v>
          </cell>
          <cell r="E788" t="str">
            <v>A incluir</v>
          </cell>
          <cell r="F788" t="e">
            <v>#N/A</v>
          </cell>
          <cell r="G788" t="e">
            <v>#N/A</v>
          </cell>
        </row>
        <row r="789">
          <cell r="A789">
            <v>40913</v>
          </cell>
          <cell r="B789" t="str">
            <v>Retirada e recolocação de alambrado</v>
          </cell>
          <cell r="C789" t="str">
            <v>m</v>
          </cell>
          <cell r="D789">
            <v>103.61</v>
          </cell>
          <cell r="E789">
            <v>0</v>
          </cell>
          <cell r="F789" t="e">
            <v>#N/A</v>
          </cell>
          <cell r="G789" t="e">
            <v>#N/A</v>
          </cell>
        </row>
        <row r="790">
          <cell r="A790">
            <v>41191</v>
          </cell>
          <cell r="B790" t="str">
            <v>Sistema cercamento tipo Gradil Nylofor 3DPintura Simples (preto, verde ou branco), # 50x200m, fio 5,0mm, L=2,50m, H=2,03m, incl. forn./chumb. postes</v>
          </cell>
          <cell r="C790" t="str">
            <v>m</v>
          </cell>
          <cell r="D790">
            <v>300.52999999999997</v>
          </cell>
          <cell r="E790" t="str">
            <v>A incluir</v>
          </cell>
          <cell r="F790" t="e">
            <v>#N/A</v>
          </cell>
          <cell r="G790" t="e">
            <v>#N/A</v>
          </cell>
        </row>
        <row r="791">
          <cell r="A791">
            <v>40947</v>
          </cell>
          <cell r="B791" t="str">
            <v>Sumidouro cilíndrico pré-moldado diam. 2,00m com 5 anéis inclusive escavação</v>
          </cell>
          <cell r="C791" t="str">
            <v>un</v>
          </cell>
          <cell r="D791">
            <v>2982.08</v>
          </cell>
          <cell r="E791" t="str">
            <v>A incluir</v>
          </cell>
          <cell r="F791" t="e">
            <v>#N/A</v>
          </cell>
          <cell r="G791" t="e">
            <v>#N/A</v>
          </cell>
        </row>
        <row r="792">
          <cell r="A792">
            <v>43329</v>
          </cell>
          <cell r="B792" t="str">
            <v>Suporte de concreto armado ( 15x15x280 ) com logomarca pintada em baixo relevo</v>
          </cell>
          <cell r="C792" t="str">
            <v>un</v>
          </cell>
          <cell r="D792">
            <v>183.24</v>
          </cell>
          <cell r="E792" t="str">
            <v>A incluir</v>
          </cell>
          <cell r="F792" t="e">
            <v>#N/A</v>
          </cell>
          <cell r="G792" t="e">
            <v>#N/A</v>
          </cell>
        </row>
        <row r="793">
          <cell r="A793">
            <v>42050</v>
          </cell>
          <cell r="B793" t="str">
            <v>Tela de aço galvanizado ,em malha hexagonal de dupla torção, tipo 8,0cm x 10,0cm, com fios de diâmetro 2,7mm, tudo incluído, fornecimento e execução</v>
          </cell>
          <cell r="C793" t="str">
            <v>m²</v>
          </cell>
          <cell r="D793">
            <v>97.15</v>
          </cell>
          <cell r="E793" t="str">
            <v>A incluir</v>
          </cell>
          <cell r="F793" t="e">
            <v>#N/A</v>
          </cell>
          <cell r="G793" t="e">
            <v>#N/A</v>
          </cell>
        </row>
        <row r="794">
          <cell r="A794">
            <v>0</v>
          </cell>
          <cell r="B794">
            <v>0</v>
          </cell>
          <cell r="C794">
            <v>0</v>
          </cell>
          <cell r="E794" t="e">
            <v>#N/A</v>
          </cell>
          <cell r="F794" t="e">
            <v>#N/A</v>
          </cell>
        </row>
        <row r="795">
          <cell r="A795" t="str">
            <v>Grupo de Serviço: 8 - SERVIÇOS AMBIENTAIS</v>
          </cell>
          <cell r="B795">
            <v>0</v>
          </cell>
          <cell r="C795">
            <v>0</v>
          </cell>
          <cell r="E795" t="e">
            <v>#N/A</v>
          </cell>
          <cell r="F795" t="e">
            <v>#N/A</v>
          </cell>
        </row>
        <row r="796">
          <cell r="A796">
            <v>42203</v>
          </cell>
          <cell r="B796" t="str">
            <v>Arborização para paisagismo ( mudas viveiro de espera) com altura maior que 150 cm</v>
          </cell>
          <cell r="C796" t="str">
            <v>un</v>
          </cell>
          <cell r="D796">
            <v>105.75</v>
          </cell>
          <cell r="E796" t="str">
            <v>A incluir</v>
          </cell>
          <cell r="F796" t="e">
            <v>#N/A</v>
          </cell>
          <cell r="G796" t="e">
            <v>#N/A</v>
          </cell>
        </row>
        <row r="797">
          <cell r="A797">
            <v>42202</v>
          </cell>
          <cell r="B797" t="str">
            <v>Arborização para paisagismo (mudas viveiro de espera) com altura até 150 cm</v>
          </cell>
          <cell r="C797" t="str">
            <v>un</v>
          </cell>
          <cell r="D797">
            <v>84.32</v>
          </cell>
          <cell r="E797" t="str">
            <v>A incluir</v>
          </cell>
          <cell r="F797" t="e">
            <v>#N/A</v>
          </cell>
          <cell r="G797" t="e">
            <v>#N/A</v>
          </cell>
        </row>
        <row r="798">
          <cell r="A798">
            <v>42041</v>
          </cell>
          <cell r="B798" t="str">
            <v>Barreira de Siltagem com escoras de eucalipto, diâm. 0,10m e a altura 1,60m, espaçadas a cada 2,0 m, 1 reaproveitamento</v>
          </cell>
          <cell r="C798" t="str">
            <v>m</v>
          </cell>
          <cell r="D798">
            <v>22.49</v>
          </cell>
          <cell r="E798" t="str">
            <v>A incluir</v>
          </cell>
          <cell r="F798">
            <v>22.6</v>
          </cell>
          <cell r="G798">
            <v>1.00489106269453</v>
          </cell>
        </row>
        <row r="799">
          <cell r="A799">
            <v>42199</v>
          </cell>
          <cell r="B799" t="str">
            <v>Conformação manual de taludes</v>
          </cell>
          <cell r="C799" t="str">
            <v>m²</v>
          </cell>
          <cell r="D799">
            <v>1.49</v>
          </cell>
          <cell r="E799">
            <v>0</v>
          </cell>
          <cell r="F799">
            <v>1.49</v>
          </cell>
          <cell r="G799">
            <v>1</v>
          </cell>
        </row>
        <row r="800">
          <cell r="A800">
            <v>42210</v>
          </cell>
          <cell r="B800" t="str">
            <v>Grama  em placas em taludes com estacas de madeira, fornecimento e plantio</v>
          </cell>
          <cell r="C800" t="str">
            <v>m²</v>
          </cell>
          <cell r="D800">
            <v>18.55</v>
          </cell>
          <cell r="E800" t="str">
            <v>A incluir</v>
          </cell>
          <cell r="F800" t="e">
            <v>#N/A</v>
          </cell>
          <cell r="G800" t="e">
            <v>#N/A</v>
          </cell>
        </row>
        <row r="801">
          <cell r="A801">
            <v>42206</v>
          </cell>
          <cell r="B801" t="str">
            <v>Grama em placas, fornecimento e plantio (sem fixação com estacas)</v>
          </cell>
          <cell r="C801" t="str">
            <v>m²</v>
          </cell>
          <cell r="D801">
            <v>14.28</v>
          </cell>
          <cell r="E801" t="str">
            <v>A incluir</v>
          </cell>
          <cell r="F801">
            <v>14.96</v>
          </cell>
          <cell r="G801">
            <v>1.0476190476190499</v>
          </cell>
        </row>
        <row r="802">
          <cell r="A802">
            <v>42208</v>
          </cell>
          <cell r="B802" t="str">
            <v>Gramínea em leiva, extração</v>
          </cell>
          <cell r="C802" t="str">
            <v>m²</v>
          </cell>
          <cell r="D802">
            <v>1.65</v>
          </cell>
          <cell r="E802">
            <v>0</v>
          </cell>
          <cell r="F802" t="e">
            <v>#N/A</v>
          </cell>
          <cell r="G802" t="e">
            <v>#N/A</v>
          </cell>
        </row>
        <row r="803">
          <cell r="A803">
            <v>42209</v>
          </cell>
          <cell r="B803" t="str">
            <v>Gramínea em leiva, extração, plantio e transporte</v>
          </cell>
          <cell r="C803" t="str">
            <v>m²</v>
          </cell>
          <cell r="D803">
            <v>7.28</v>
          </cell>
          <cell r="E803" t="str">
            <v>A incluir</v>
          </cell>
          <cell r="F803" t="e">
            <v>#N/A</v>
          </cell>
          <cell r="G803" t="e">
            <v>#N/A</v>
          </cell>
        </row>
        <row r="804">
          <cell r="A804">
            <v>42207</v>
          </cell>
          <cell r="B804" t="str">
            <v>Gramíneas em sementes, fornecimento e plantio a lanço</v>
          </cell>
          <cell r="C804" t="str">
            <v>m²</v>
          </cell>
          <cell r="D804">
            <v>3.15</v>
          </cell>
          <cell r="E804">
            <v>0</v>
          </cell>
          <cell r="F804" t="e">
            <v>#N/A</v>
          </cell>
          <cell r="G804" t="e">
            <v>#N/A</v>
          </cell>
        </row>
        <row r="805">
          <cell r="A805">
            <v>42200</v>
          </cell>
          <cell r="B805" t="str">
            <v>Hidrossemeadura simples em taludes</v>
          </cell>
          <cell r="C805" t="str">
            <v>m²</v>
          </cell>
          <cell r="D805">
            <v>6.69</v>
          </cell>
          <cell r="E805">
            <v>0</v>
          </cell>
          <cell r="F805">
            <v>6.68</v>
          </cell>
          <cell r="G805">
            <v>0.998505231689088</v>
          </cell>
        </row>
        <row r="806">
          <cell r="A806">
            <v>42201</v>
          </cell>
          <cell r="B806" t="str">
            <v>Hidrossemeadura simples em terrenos planos</v>
          </cell>
          <cell r="C806" t="str">
            <v>m²</v>
          </cell>
          <cell r="D806">
            <v>5.14</v>
          </cell>
          <cell r="E806">
            <v>0</v>
          </cell>
          <cell r="F806">
            <v>5.14</v>
          </cell>
          <cell r="G806">
            <v>1</v>
          </cell>
        </row>
        <row r="807">
          <cell r="A807">
            <v>41247</v>
          </cell>
          <cell r="B807" t="str">
            <v>Recomposição de talude de corte com aterro de solo argiloso compactado, exclusive material de aterro</v>
          </cell>
          <cell r="C807" t="str">
            <v>m³</v>
          </cell>
          <cell r="D807">
            <v>58.04</v>
          </cell>
          <cell r="E807">
            <v>0</v>
          </cell>
          <cell r="F807" t="e">
            <v>#N/A</v>
          </cell>
          <cell r="G807" t="e">
            <v>#N/A</v>
          </cell>
        </row>
        <row r="808">
          <cell r="A808">
            <v>42204</v>
          </cell>
          <cell r="B808" t="str">
            <v>Reflorestamento com espécies nativas da mata atlântica, mudas em sacolas ou tubetes</v>
          </cell>
          <cell r="C808" t="str">
            <v>un</v>
          </cell>
          <cell r="D808">
            <v>32.93</v>
          </cell>
          <cell r="E808" t="str">
            <v>A incluir</v>
          </cell>
          <cell r="F808" t="e">
            <v>#N/A</v>
          </cell>
          <cell r="G808" t="e">
            <v>#N/A</v>
          </cell>
        </row>
        <row r="809">
          <cell r="A809">
            <v>42044</v>
          </cell>
          <cell r="B809" t="str">
            <v>Reunião de Comunicação Social inclusive material de consumo</v>
          </cell>
          <cell r="C809" t="str">
            <v>un</v>
          </cell>
          <cell r="D809">
            <v>4552.4399999999996</v>
          </cell>
          <cell r="E809">
            <v>0</v>
          </cell>
          <cell r="F809">
            <v>4552.4399999999996</v>
          </cell>
          <cell r="G809">
            <v>1</v>
          </cell>
        </row>
        <row r="810">
          <cell r="A810">
            <v>40102</v>
          </cell>
          <cell r="B810" t="str">
            <v>Revestimento vegetal com grama em placas, inclusive transporte de grama</v>
          </cell>
          <cell r="C810" t="str">
            <v>m²</v>
          </cell>
          <cell r="D810">
            <v>13.63</v>
          </cell>
          <cell r="E810" t="str">
            <v>A incluir</v>
          </cell>
          <cell r="F810" t="e">
            <v>#N/A</v>
          </cell>
          <cell r="G810" t="e">
            <v>#N/A</v>
          </cell>
        </row>
        <row r="811">
          <cell r="A811">
            <v>42039</v>
          </cell>
          <cell r="B811" t="str">
            <v>Revestimento vegetal por hidrossemeadura com manta de fibras vegetais</v>
          </cell>
          <cell r="C811" t="str">
            <v>m²</v>
          </cell>
          <cell r="D811">
            <v>16.16</v>
          </cell>
          <cell r="E811" t="str">
            <v>A incluir</v>
          </cell>
          <cell r="F811" t="e">
            <v>#N/A</v>
          </cell>
          <cell r="G811" t="e">
            <v>#N/A</v>
          </cell>
        </row>
        <row r="812">
          <cell r="A812">
            <v>42205</v>
          </cell>
          <cell r="B812" t="str">
            <v>Roçada para manutenção de mudas</v>
          </cell>
          <cell r="C812" t="str">
            <v>m²</v>
          </cell>
          <cell r="D812">
            <v>1.41</v>
          </cell>
          <cell r="E812">
            <v>0</v>
          </cell>
          <cell r="F812" t="e">
            <v>#N/A</v>
          </cell>
          <cell r="G812" t="e">
            <v>#N/A</v>
          </cell>
        </row>
        <row r="813">
          <cell r="A813">
            <v>0</v>
          </cell>
          <cell r="B813">
            <v>0</v>
          </cell>
          <cell r="C813">
            <v>0</v>
          </cell>
          <cell r="D813">
            <v>0</v>
          </cell>
          <cell r="E813" t="e">
            <v>#N/A</v>
          </cell>
          <cell r="F813" t="e">
            <v>#N/A</v>
          </cell>
          <cell r="G813" t="e">
            <v>#N/A</v>
          </cell>
        </row>
        <row r="814">
          <cell r="A814" t="str">
            <v>Grupo de Serviço: 10 - SINALIZAÇÃO</v>
          </cell>
          <cell r="B814">
            <v>0</v>
          </cell>
          <cell r="C814">
            <v>0</v>
          </cell>
          <cell r="E814" t="e">
            <v>#N/A</v>
          </cell>
          <cell r="F814" t="e">
            <v>#N/A</v>
          </cell>
          <cell r="G814" t="e">
            <v>#N/A</v>
          </cell>
        </row>
        <row r="815">
          <cell r="A815">
            <v>41153</v>
          </cell>
          <cell r="B815" t="str">
            <v>Abraçadeira para fixação de semáforo em braço/coluna de diâmetro 101 ou 114 mm</v>
          </cell>
          <cell r="C815" t="str">
            <v>un</v>
          </cell>
          <cell r="D815">
            <v>62.84</v>
          </cell>
          <cell r="E815">
            <v>0</v>
          </cell>
          <cell r="F815" t="e">
            <v>#N/A</v>
          </cell>
          <cell r="G815" t="e">
            <v>#N/A</v>
          </cell>
        </row>
        <row r="816">
          <cell r="A816">
            <v>41409</v>
          </cell>
          <cell r="B816" t="str">
            <v>Anteparo 3 x 300 mm, fornecimento e instalação</v>
          </cell>
          <cell r="C816" t="str">
            <v>un</v>
          </cell>
          <cell r="D816">
            <v>347.77</v>
          </cell>
          <cell r="E816">
            <v>0</v>
          </cell>
          <cell r="F816" t="e">
            <v>#N/A</v>
          </cell>
          <cell r="G816" t="e">
            <v>#N/A</v>
          </cell>
        </row>
        <row r="817">
          <cell r="A817">
            <v>40928</v>
          </cell>
          <cell r="B817" t="str">
            <v>Balizador de concreto ( fornecimento e assentamento )</v>
          </cell>
          <cell r="C817" t="str">
            <v>un</v>
          </cell>
          <cell r="D817">
            <v>39.24</v>
          </cell>
          <cell r="E817" t="str">
            <v>A incluir</v>
          </cell>
          <cell r="F817" t="e">
            <v>#N/A</v>
          </cell>
          <cell r="G817" t="e">
            <v>#N/A</v>
          </cell>
        </row>
        <row r="818">
          <cell r="A818">
            <v>41408</v>
          </cell>
          <cell r="B818" t="str">
            <v>Botoeira com sinal sonoro, fornecimento e instalação</v>
          </cell>
          <cell r="C818" t="str">
            <v>un</v>
          </cell>
          <cell r="D818">
            <v>2653</v>
          </cell>
          <cell r="E818">
            <v>0</v>
          </cell>
          <cell r="F818" t="e">
            <v>#N/A</v>
          </cell>
          <cell r="G818" t="e">
            <v>#N/A</v>
          </cell>
        </row>
        <row r="819">
          <cell r="A819">
            <v>41147</v>
          </cell>
          <cell r="B819" t="str">
            <v>Cabos para rede de dados (sincronismo) blindado 2 x 20 awg, fornecimento e instalação</v>
          </cell>
          <cell r="C819" t="str">
            <v>m</v>
          </cell>
          <cell r="D819">
            <v>7.27</v>
          </cell>
          <cell r="E819">
            <v>0</v>
          </cell>
          <cell r="F819" t="e">
            <v>#N/A</v>
          </cell>
          <cell r="G819" t="e">
            <v>#N/A</v>
          </cell>
        </row>
        <row r="820">
          <cell r="A820">
            <v>42046</v>
          </cell>
          <cell r="B820" t="str">
            <v>Cones para sinalização, fornecimento e colocação</v>
          </cell>
          <cell r="C820" t="str">
            <v>un</v>
          </cell>
          <cell r="D820">
            <v>16.7</v>
          </cell>
          <cell r="E820">
            <v>0</v>
          </cell>
          <cell r="F820">
            <v>16.71</v>
          </cell>
          <cell r="G820">
            <v>1.0005988023952099</v>
          </cell>
        </row>
        <row r="821">
          <cell r="A821">
            <v>41407</v>
          </cell>
          <cell r="B821" t="str">
            <v>Controlador Eletrônico Microprocessado 4 fases, fornecimento e instalação</v>
          </cell>
          <cell r="C821" t="str">
            <v>un</v>
          </cell>
          <cell r="D821">
            <v>14177.73</v>
          </cell>
          <cell r="E821">
            <v>0</v>
          </cell>
          <cell r="F821" t="e">
            <v>#N/A</v>
          </cell>
          <cell r="G821" t="e">
            <v>#N/A</v>
          </cell>
        </row>
        <row r="822">
          <cell r="A822">
            <v>41146</v>
          </cell>
          <cell r="B822" t="str">
            <v>Controlador Eletrônico Microprocessado 6/6 fases, fornecimento e instalação</v>
          </cell>
          <cell r="C822" t="str">
            <v>un</v>
          </cell>
          <cell r="D822">
            <v>15373.79</v>
          </cell>
          <cell r="E822">
            <v>0</v>
          </cell>
          <cell r="F822" t="e">
            <v>#N/A</v>
          </cell>
          <cell r="G822" t="e">
            <v>#N/A</v>
          </cell>
        </row>
        <row r="823">
          <cell r="A823">
            <v>41017</v>
          </cell>
          <cell r="B823" t="str">
            <v>Defensa de concreto tipo New Jersey, fornecimento e colocação</v>
          </cell>
          <cell r="C823" t="str">
            <v>m</v>
          </cell>
          <cell r="D823">
            <v>450.95</v>
          </cell>
          <cell r="E823">
            <v>0</v>
          </cell>
          <cell r="F823" t="e">
            <v>#N/A</v>
          </cell>
          <cell r="G823" t="e">
            <v>#N/A</v>
          </cell>
        </row>
        <row r="824">
          <cell r="A824">
            <v>40929</v>
          </cell>
          <cell r="B824" t="str">
            <v>Defensa metálica (1 lâmina com espessura = 3 mm), fornecimento e colocação</v>
          </cell>
          <cell r="C824" t="str">
            <v>m</v>
          </cell>
          <cell r="D824">
            <v>236.68</v>
          </cell>
          <cell r="E824" t="str">
            <v>A incluir</v>
          </cell>
          <cell r="F824">
            <v>238.02</v>
          </cell>
          <cell r="G824">
            <v>1.0056616528646301</v>
          </cell>
        </row>
        <row r="825">
          <cell r="A825">
            <v>41203</v>
          </cell>
          <cell r="B825" t="str">
            <v>Defensa metálica (2 lâminas com espessuras = 3mm) inclusive acessórios, fornecimento e colocação</v>
          </cell>
          <cell r="C825" t="str">
            <v>m</v>
          </cell>
          <cell r="D825">
            <v>466.86</v>
          </cell>
          <cell r="E825" t="str">
            <v>A incluir</v>
          </cell>
          <cell r="F825" t="e">
            <v>#N/A</v>
          </cell>
          <cell r="G825" t="e">
            <v>#N/A</v>
          </cell>
        </row>
        <row r="826">
          <cell r="A826">
            <v>42047</v>
          </cell>
          <cell r="B826" t="str">
            <v>Elementos de madeira para sinalização - cavaletes</v>
          </cell>
          <cell r="C826" t="str">
            <v>un</v>
          </cell>
          <cell r="D826">
            <v>42.95</v>
          </cell>
          <cell r="E826">
            <v>0</v>
          </cell>
          <cell r="F826">
            <v>42.95</v>
          </cell>
          <cell r="G826">
            <v>1</v>
          </cell>
        </row>
        <row r="827">
          <cell r="A827">
            <v>41145</v>
          </cell>
          <cell r="B827" t="str">
            <v>Grupo focal gradativo (semáforo com informação de tempo) com lâmpada LED, fornecimento e instalação</v>
          </cell>
          <cell r="C827" t="str">
            <v>un</v>
          </cell>
          <cell r="D827">
            <v>9052.7099999999991</v>
          </cell>
          <cell r="E827">
            <v>0</v>
          </cell>
          <cell r="F827" t="e">
            <v>#N/A</v>
          </cell>
          <cell r="G827" t="e">
            <v>#N/A</v>
          </cell>
        </row>
        <row r="828">
          <cell r="A828">
            <v>41141</v>
          </cell>
          <cell r="B828" t="str">
            <v>Grupo focal repetidor 2x200 mm com lâmpada LED, fornecimento e instalação</v>
          </cell>
          <cell r="C828" t="str">
            <v>un</v>
          </cell>
          <cell r="D828">
            <v>1787.97</v>
          </cell>
          <cell r="E828">
            <v>0</v>
          </cell>
          <cell r="F828" t="e">
            <v>#N/A</v>
          </cell>
          <cell r="G828" t="e">
            <v>#N/A</v>
          </cell>
        </row>
        <row r="829">
          <cell r="A829">
            <v>41142</v>
          </cell>
          <cell r="B829" t="str">
            <v>Grupo focal repetidor 3x200 mm com lâmpada LED, fornecimento e instalação</v>
          </cell>
          <cell r="C829" t="str">
            <v>un</v>
          </cell>
          <cell r="D829">
            <v>2509.67</v>
          </cell>
          <cell r="E829">
            <v>0</v>
          </cell>
          <cell r="F829" t="e">
            <v>#N/A</v>
          </cell>
          <cell r="G829" t="e">
            <v>#N/A</v>
          </cell>
        </row>
        <row r="830">
          <cell r="A830">
            <v>41143</v>
          </cell>
          <cell r="B830" t="str">
            <v>Grupo focal repetidor 3x300 mm com lâmpada LED, fornecimento e instalação</v>
          </cell>
          <cell r="C830" t="str">
            <v>un</v>
          </cell>
          <cell r="D830">
            <v>3927.22</v>
          </cell>
          <cell r="E830">
            <v>0</v>
          </cell>
          <cell r="F830" t="e">
            <v>#N/A</v>
          </cell>
          <cell r="G830" t="e">
            <v>#N/A</v>
          </cell>
        </row>
        <row r="831">
          <cell r="A831">
            <v>43162</v>
          </cell>
          <cell r="B831" t="str">
            <v>Ondulação transversal em CBUQ</v>
          </cell>
          <cell r="C831" t="str">
            <v>m</v>
          </cell>
          <cell r="D831">
            <v>276.61</v>
          </cell>
          <cell r="E831" t="str">
            <v>A incluir</v>
          </cell>
          <cell r="F831" t="e">
            <v>#N/A</v>
          </cell>
          <cell r="G831" t="e">
            <v>#N/A</v>
          </cell>
        </row>
        <row r="832">
          <cell r="A832">
            <v>40931</v>
          </cell>
          <cell r="B832" t="str">
            <v>Ondulação transversal em concreto</v>
          </cell>
          <cell r="C832" t="str">
            <v>m²</v>
          </cell>
          <cell r="D832">
            <v>211.81</v>
          </cell>
          <cell r="E832" t="str">
            <v>A incluir</v>
          </cell>
          <cell r="F832" t="e">
            <v>#N/A</v>
          </cell>
          <cell r="G832" t="e">
            <v>#N/A</v>
          </cell>
        </row>
        <row r="833">
          <cell r="A833">
            <v>41526</v>
          </cell>
          <cell r="B833" t="str">
            <v>Pintura acrílica sobre capa asfáltica</v>
          </cell>
          <cell r="C833" t="str">
            <v>m²</v>
          </cell>
          <cell r="D833">
            <v>8.8699999999999992</v>
          </cell>
          <cell r="E833" t="str">
            <v>A incluir</v>
          </cell>
          <cell r="F833" t="e">
            <v>#N/A</v>
          </cell>
          <cell r="G833" t="e">
            <v>#N/A</v>
          </cell>
        </row>
        <row r="834">
          <cell r="A834">
            <v>42524</v>
          </cell>
          <cell r="B834" t="str">
            <v>Pintura de setas e zebrados em material termoplástico - 5 anos ( por extrusão)</v>
          </cell>
          <cell r="C834" t="str">
            <v>m²</v>
          </cell>
          <cell r="D834">
            <v>72.08</v>
          </cell>
          <cell r="E834">
            <v>0</v>
          </cell>
          <cell r="F834">
            <v>72.08</v>
          </cell>
          <cell r="G834">
            <v>1</v>
          </cell>
        </row>
        <row r="835">
          <cell r="A835">
            <v>40938</v>
          </cell>
          <cell r="B835" t="str">
            <v>Sinalização com chapa em alumínio revestida em película</v>
          </cell>
          <cell r="C835" t="str">
            <v>m²</v>
          </cell>
          <cell r="D835">
            <v>875.46</v>
          </cell>
          <cell r="E835">
            <v>0</v>
          </cell>
          <cell r="F835" t="e">
            <v>#N/A</v>
          </cell>
          <cell r="G835" t="e">
            <v>#N/A</v>
          </cell>
        </row>
        <row r="836">
          <cell r="A836">
            <v>40924</v>
          </cell>
          <cell r="B836" t="str">
            <v>Sinalização horizontal TMD=200, vida útil 2 a 3 anos, taxa=0,40 L/m²</v>
          </cell>
          <cell r="C836" t="str">
            <v>m²</v>
          </cell>
          <cell r="D836">
            <v>12.4</v>
          </cell>
          <cell r="E836" t="str">
            <v>A incluir</v>
          </cell>
          <cell r="F836" t="e">
            <v>#N/A</v>
          </cell>
          <cell r="G836" t="e">
            <v>#N/A</v>
          </cell>
        </row>
        <row r="837">
          <cell r="A837">
            <v>40925</v>
          </cell>
          <cell r="B837" t="str">
            <v>Sinalização horizontal TMD=400, vida útil 2 a 3 anos, taxa=0,60 L/m²</v>
          </cell>
          <cell r="C837" t="str">
            <v>m²</v>
          </cell>
          <cell r="D837">
            <v>15.95</v>
          </cell>
          <cell r="E837" t="str">
            <v>A incluir</v>
          </cell>
          <cell r="F837">
            <v>16.059999999999999</v>
          </cell>
          <cell r="G837">
            <v>1.0068965517241399</v>
          </cell>
        </row>
        <row r="838">
          <cell r="A838">
            <v>40926</v>
          </cell>
          <cell r="B838" t="str">
            <v>Sinalização horizontal TMD=600, vida útil 2 a 3 anos, taxa=0,80 L/m²</v>
          </cell>
          <cell r="C838" t="str">
            <v>m²</v>
          </cell>
          <cell r="D838">
            <v>19.52</v>
          </cell>
          <cell r="E838" t="str">
            <v>A incluir</v>
          </cell>
          <cell r="F838" t="e">
            <v>#N/A</v>
          </cell>
          <cell r="G838" t="e">
            <v>#N/A</v>
          </cell>
        </row>
        <row r="839">
          <cell r="A839">
            <v>40927</v>
          </cell>
          <cell r="B839" t="str">
            <v>Sinalização horizontal TMD=600, vida útil 3 anos, taxa=3,0 kg/m² material termoplástico )</v>
          </cell>
          <cell r="C839" t="str">
            <v>m²</v>
          </cell>
          <cell r="D839">
            <v>37.42</v>
          </cell>
          <cell r="E839" t="str">
            <v>A incluir</v>
          </cell>
          <cell r="F839" t="e">
            <v>#N/A</v>
          </cell>
          <cell r="G839" t="e">
            <v>#N/A</v>
          </cell>
        </row>
        <row r="840">
          <cell r="A840">
            <v>41202</v>
          </cell>
          <cell r="B840" t="str">
            <v>Sinalização noturna ( fio com lâmpada e balde ), fornecimento e instalação</v>
          </cell>
          <cell r="C840" t="str">
            <v>m</v>
          </cell>
          <cell r="D840">
            <v>22.45</v>
          </cell>
          <cell r="E840">
            <v>0</v>
          </cell>
          <cell r="F840" t="e">
            <v>#N/A</v>
          </cell>
          <cell r="G840" t="e">
            <v>#N/A</v>
          </cell>
        </row>
        <row r="841">
          <cell r="A841">
            <v>40937</v>
          </cell>
          <cell r="B841" t="str">
            <v>Sinalização vertical com chapa em esmalte sintético</v>
          </cell>
          <cell r="C841" t="str">
            <v>m²</v>
          </cell>
          <cell r="D841">
            <v>386.44</v>
          </cell>
          <cell r="E841">
            <v>0</v>
          </cell>
          <cell r="F841">
            <v>386.5</v>
          </cell>
          <cell r="G841">
            <v>1.0001552634302899</v>
          </cell>
        </row>
        <row r="842">
          <cell r="A842">
            <v>40939</v>
          </cell>
          <cell r="B842" t="str">
            <v>Sinalização vertical com chapa em poliéster (e=2,3mm) reforçada com fibra de vidro, inclusive suporte de madeira</v>
          </cell>
          <cell r="C842" t="str">
            <v>m²</v>
          </cell>
          <cell r="D842">
            <v>733.27</v>
          </cell>
          <cell r="E842">
            <v>0</v>
          </cell>
          <cell r="F842" t="e">
            <v>#N/A</v>
          </cell>
          <cell r="G842" t="e">
            <v>#N/A</v>
          </cell>
        </row>
        <row r="843">
          <cell r="A843">
            <v>40936</v>
          </cell>
          <cell r="B843" t="str">
            <v>Sinalização vertical com chapa revestida em película, inclusive suporte em madeira</v>
          </cell>
          <cell r="C843" t="str">
            <v>m²</v>
          </cell>
          <cell r="D843">
            <v>463.14</v>
          </cell>
          <cell r="E843">
            <v>0</v>
          </cell>
          <cell r="F843">
            <v>463.2</v>
          </cell>
          <cell r="G843">
            <v>1.0001295504598999</v>
          </cell>
        </row>
        <row r="844">
          <cell r="A844">
            <v>40930</v>
          </cell>
          <cell r="B844" t="str">
            <v>Sonorizador</v>
          </cell>
          <cell r="C844" t="str">
            <v>m²</v>
          </cell>
          <cell r="D844">
            <v>208.47</v>
          </cell>
          <cell r="E844" t="str">
            <v>A incluir</v>
          </cell>
          <cell r="F844" t="e">
            <v>#N/A</v>
          </cell>
          <cell r="G844" t="e">
            <v>#N/A</v>
          </cell>
        </row>
        <row r="845">
          <cell r="A845">
            <v>41222</v>
          </cell>
          <cell r="B845" t="str">
            <v>Suporte de placa de sinalização vertical em madeira de 1ª qualidade, pintada, fornecimento e instalação</v>
          </cell>
          <cell r="C845" t="str">
            <v>un</v>
          </cell>
          <cell r="D845">
            <v>78.349999999999994</v>
          </cell>
          <cell r="E845">
            <v>0</v>
          </cell>
          <cell r="F845" t="e">
            <v>#N/A</v>
          </cell>
          <cell r="G845" t="e">
            <v>#N/A</v>
          </cell>
        </row>
        <row r="846">
          <cell r="A846">
            <v>40932</v>
          </cell>
          <cell r="B846" t="str">
            <v>Tacha refletiva monodirecional, fornecimento e aplicação</v>
          </cell>
          <cell r="C846" t="str">
            <v>un</v>
          </cell>
          <cell r="D846">
            <v>19.25</v>
          </cell>
          <cell r="E846">
            <v>0</v>
          </cell>
          <cell r="F846">
            <v>19.25</v>
          </cell>
          <cell r="G846">
            <v>1</v>
          </cell>
        </row>
        <row r="847">
          <cell r="A847">
            <v>40934</v>
          </cell>
          <cell r="B847" t="str">
            <v>Tacha refletiva birrefletorizada, fornecimento e aplicação</v>
          </cell>
          <cell r="C847" t="str">
            <v>un</v>
          </cell>
          <cell r="D847">
            <v>21.11</v>
          </cell>
          <cell r="E847">
            <v>0</v>
          </cell>
          <cell r="F847" t="e">
            <v>#N/A</v>
          </cell>
          <cell r="G847" t="e">
            <v>#N/A</v>
          </cell>
        </row>
        <row r="848">
          <cell r="A848">
            <v>40933</v>
          </cell>
          <cell r="B848" t="str">
            <v>Tachão refletivo monodirecional, fornecimento e aplicação</v>
          </cell>
          <cell r="C848" t="str">
            <v>un</v>
          </cell>
          <cell r="D848">
            <v>49.62</v>
          </cell>
          <cell r="E848">
            <v>0</v>
          </cell>
          <cell r="F848" t="e">
            <v>#N/A</v>
          </cell>
          <cell r="G848" t="e">
            <v>#N/A</v>
          </cell>
        </row>
        <row r="849">
          <cell r="A849">
            <v>40935</v>
          </cell>
          <cell r="B849" t="str">
            <v>Tachão refletivo birrefletorizado, fornecimento e aplicação</v>
          </cell>
          <cell r="C849" t="str">
            <v>un</v>
          </cell>
          <cell r="D849">
            <v>54.86</v>
          </cell>
          <cell r="E849">
            <v>0</v>
          </cell>
          <cell r="F849">
            <v>54.87</v>
          </cell>
          <cell r="G849">
            <v>1.0001822821727999</v>
          </cell>
        </row>
        <row r="850">
          <cell r="A850">
            <v>41359</v>
          </cell>
          <cell r="B850" t="str">
            <v>Tela de proteção de segurança de PVC cor laranja com suporte para sinalização de obras</v>
          </cell>
          <cell r="C850" t="str">
            <v>m</v>
          </cell>
          <cell r="D850">
            <v>22.03</v>
          </cell>
          <cell r="E850" t="str">
            <v>A incluir</v>
          </cell>
          <cell r="F850" t="e">
            <v>#N/A</v>
          </cell>
          <cell r="G850" t="e">
            <v>#N/A</v>
          </cell>
        </row>
        <row r="851">
          <cell r="A851">
            <v>0</v>
          </cell>
          <cell r="B851">
            <v>0</v>
          </cell>
          <cell r="C851">
            <v>0</v>
          </cell>
          <cell r="D851">
            <v>0</v>
          </cell>
          <cell r="E851" t="e">
            <v>#N/A</v>
          </cell>
          <cell r="F851" t="e">
            <v>#N/A</v>
          </cell>
          <cell r="G851" t="e">
            <v>#N/A</v>
          </cell>
        </row>
        <row r="852">
          <cell r="A852" t="str">
            <v>Grupo de Serviço: 12 - SERVIÇOS DIVERSOS</v>
          </cell>
          <cell r="B852">
            <v>0</v>
          </cell>
          <cell r="C852">
            <v>0</v>
          </cell>
          <cell r="E852" t="e">
            <v>#N/A</v>
          </cell>
          <cell r="F852" t="e">
            <v>#N/A</v>
          </cell>
          <cell r="G852" t="e">
            <v>#N/A</v>
          </cell>
        </row>
        <row r="853">
          <cell r="A853">
            <v>42878</v>
          </cell>
          <cell r="B853" t="str">
            <v>Aluguel de automóvel VW/ Gol (flex) 1,0 ou equivalente, inclusive combustível, sem motorista</v>
          </cell>
          <cell r="C853" t="str">
            <v>mês</v>
          </cell>
          <cell r="D853">
            <v>4294.37</v>
          </cell>
          <cell r="E853">
            <v>0</v>
          </cell>
          <cell r="F853">
            <v>4294.37</v>
          </cell>
          <cell r="G853">
            <v>1</v>
          </cell>
        </row>
        <row r="854">
          <cell r="A854">
            <v>42888</v>
          </cell>
          <cell r="B854" t="str">
            <v>Aluguel mensal de automóvel utilitário inclusive combustível, exclusive motorista</v>
          </cell>
          <cell r="C854" t="str">
            <v>mês</v>
          </cell>
          <cell r="D854">
            <v>6683.94</v>
          </cell>
          <cell r="E854">
            <v>0</v>
          </cell>
          <cell r="F854" t="e">
            <v>#N/A</v>
          </cell>
          <cell r="G854" t="e">
            <v>#N/A</v>
          </cell>
        </row>
        <row r="855">
          <cell r="A855">
            <v>0</v>
          </cell>
          <cell r="B855">
            <v>0</v>
          </cell>
          <cell r="C855">
            <v>0</v>
          </cell>
          <cell r="E855" t="e">
            <v>#N/A</v>
          </cell>
          <cell r="F855" t="e">
            <v>#N/A</v>
          </cell>
          <cell r="G855" t="e">
            <v>#N/A</v>
          </cell>
        </row>
        <row r="856">
          <cell r="A856" t="str">
            <v>Grupo de Serviço: 15 - CONSERVAÇÃO CORRETIVA ROTINEIRA</v>
          </cell>
          <cell r="B856">
            <v>0</v>
          </cell>
          <cell r="C856">
            <v>0</v>
          </cell>
          <cell r="E856" t="e">
            <v>#N/A</v>
          </cell>
          <cell r="F856" t="e">
            <v>#N/A</v>
          </cell>
          <cell r="G856" t="e">
            <v>#N/A</v>
          </cell>
        </row>
        <row r="857">
          <cell r="A857">
            <v>40981</v>
          </cell>
          <cell r="B857" t="str">
            <v>Aplicação de jato de ar comprimido para limpeza de trincas</v>
          </cell>
          <cell r="C857" t="str">
            <v>m²</v>
          </cell>
          <cell r="D857">
            <v>1.47</v>
          </cell>
          <cell r="E857">
            <v>0</v>
          </cell>
          <cell r="F857" t="e">
            <v>#N/A</v>
          </cell>
          <cell r="G857" t="e">
            <v>#N/A</v>
          </cell>
        </row>
        <row r="858">
          <cell r="A858">
            <v>40101</v>
          </cell>
          <cell r="B858" t="str">
            <v>Arborização (mudas de árvores com altura até 1,50 m)</v>
          </cell>
          <cell r="C858" t="str">
            <v>un</v>
          </cell>
          <cell r="D858">
            <v>134.85</v>
          </cell>
          <cell r="E858">
            <v>0</v>
          </cell>
          <cell r="F858" t="e">
            <v>#N/A</v>
          </cell>
          <cell r="G858" t="e">
            <v>#N/A</v>
          </cell>
        </row>
        <row r="859">
          <cell r="A859">
            <v>40110</v>
          </cell>
          <cell r="B859" t="str">
            <v>Base de solo estabilizada granulométricamente sem mistura inclusive escavação e carga</v>
          </cell>
          <cell r="C859" t="str">
            <v>m³</v>
          </cell>
          <cell r="D859">
            <v>28.33</v>
          </cell>
          <cell r="E859">
            <v>0</v>
          </cell>
          <cell r="F859" t="e">
            <v>#N/A</v>
          </cell>
          <cell r="G859" t="e">
            <v>#N/A</v>
          </cell>
        </row>
        <row r="860">
          <cell r="A860">
            <v>40137</v>
          </cell>
          <cell r="B860" t="str">
            <v>Boca de bueiro tubular em concreto ciclópico inclusive escavação, tudo incluído</v>
          </cell>
          <cell r="C860" t="str">
            <v>un</v>
          </cell>
          <cell r="D860">
            <v>1544.84</v>
          </cell>
          <cell r="E860" t="str">
            <v>A incluir</v>
          </cell>
          <cell r="F860" t="e">
            <v>#N/A</v>
          </cell>
          <cell r="G860" t="e">
            <v>#N/A</v>
          </cell>
        </row>
        <row r="861">
          <cell r="A861">
            <v>40138</v>
          </cell>
          <cell r="B861" t="str">
            <v>Caixa coletora em concreto fck=10,0 MPa inclusive escavação, tudo incluído</v>
          </cell>
          <cell r="C861" t="str">
            <v>un</v>
          </cell>
          <cell r="D861">
            <v>2602.98</v>
          </cell>
          <cell r="E861" t="str">
            <v>A incluir</v>
          </cell>
          <cell r="F861" t="e">
            <v>#N/A</v>
          </cell>
          <cell r="G861" t="e">
            <v>#N/A</v>
          </cell>
        </row>
        <row r="862">
          <cell r="A862">
            <v>43336</v>
          </cell>
          <cell r="B862" t="str">
            <v>Capina manual inclusive, limpeza</v>
          </cell>
          <cell r="C862" t="str">
            <v>m²</v>
          </cell>
          <cell r="D862">
            <v>1.19</v>
          </cell>
          <cell r="E862">
            <v>0</v>
          </cell>
          <cell r="F862" t="e">
            <v>#N/A</v>
          </cell>
          <cell r="G862" t="e">
            <v>#N/A</v>
          </cell>
        </row>
        <row r="863">
          <cell r="A863">
            <v>40980</v>
          </cell>
          <cell r="B863" t="str">
            <v>Carga manual de material de limpeza de galerias urbanas</v>
          </cell>
          <cell r="C863" t="str">
            <v>m³</v>
          </cell>
          <cell r="D863">
            <v>13.51</v>
          </cell>
          <cell r="E863">
            <v>0</v>
          </cell>
          <cell r="F863" t="e">
            <v>#N/A</v>
          </cell>
          <cell r="G863" t="e">
            <v>#N/A</v>
          </cell>
        </row>
        <row r="864">
          <cell r="A864">
            <v>40115</v>
          </cell>
          <cell r="B864" t="str">
            <v>CBUQ - Usinagem, aquisição e transporte dos materiais</v>
          </cell>
          <cell r="C864" t="str">
            <v>t</v>
          </cell>
          <cell r="D864">
            <v>244.61</v>
          </cell>
          <cell r="E864" t="str">
            <v>A incluir</v>
          </cell>
          <cell r="F864" t="e">
            <v>#N/A</v>
          </cell>
          <cell r="G864" t="e">
            <v>#N/A</v>
          </cell>
        </row>
        <row r="865">
          <cell r="A865">
            <v>40104</v>
          </cell>
          <cell r="B865" t="str">
            <v>Cerca com mourões de madeira, inclusive escavação e transporte de mourão e arame farpado</v>
          </cell>
          <cell r="C865" t="str">
            <v>m</v>
          </cell>
          <cell r="D865">
            <v>15.55</v>
          </cell>
          <cell r="E865" t="str">
            <v>A incluir</v>
          </cell>
          <cell r="F865" t="e">
            <v>#N/A</v>
          </cell>
          <cell r="G865" t="e">
            <v>#N/A</v>
          </cell>
        </row>
        <row r="866">
          <cell r="A866">
            <v>40143</v>
          </cell>
          <cell r="B866" t="str">
            <v>Colchão drenante de brita 1, inclusive fornecimento, espalhamento, compactação e transporte da brita</v>
          </cell>
          <cell r="C866" t="str">
            <v>m³</v>
          </cell>
          <cell r="D866">
            <v>96.55</v>
          </cell>
          <cell r="E866" t="str">
            <v>A incluir</v>
          </cell>
          <cell r="F866" t="e">
            <v>#N/A</v>
          </cell>
          <cell r="G866" t="e">
            <v>#N/A</v>
          </cell>
        </row>
        <row r="867">
          <cell r="A867">
            <v>40107</v>
          </cell>
          <cell r="B867" t="str">
            <v>Compactação de aterros 100% PN</v>
          </cell>
          <cell r="C867" t="str">
            <v>m³</v>
          </cell>
          <cell r="D867">
            <v>4.78</v>
          </cell>
          <cell r="E867">
            <v>0</v>
          </cell>
          <cell r="F867" t="e">
            <v>#N/A</v>
          </cell>
          <cell r="G867" t="e">
            <v>#N/A</v>
          </cell>
        </row>
        <row r="868">
          <cell r="A868">
            <v>40108</v>
          </cell>
          <cell r="B868" t="str">
            <v>Compactação de subleito</v>
          </cell>
          <cell r="C868" t="str">
            <v>m²</v>
          </cell>
          <cell r="D868">
            <v>2.33</v>
          </cell>
          <cell r="E868">
            <v>0</v>
          </cell>
          <cell r="F868" t="e">
            <v>#N/A</v>
          </cell>
          <cell r="G868" t="e">
            <v>#N/A</v>
          </cell>
        </row>
        <row r="869">
          <cell r="A869">
            <v>40081</v>
          </cell>
          <cell r="B869" t="str">
            <v>Conformação de taludes de corte</v>
          </cell>
          <cell r="C869" t="str">
            <v>m³</v>
          </cell>
          <cell r="D869">
            <v>7.9</v>
          </cell>
          <cell r="E869">
            <v>0</v>
          </cell>
          <cell r="F869" t="e">
            <v>#N/A</v>
          </cell>
          <cell r="G869" t="e">
            <v>#N/A</v>
          </cell>
        </row>
        <row r="870">
          <cell r="A870">
            <v>40136</v>
          </cell>
          <cell r="B870" t="str">
            <v>Corpo e berço de bueiro tubular, inclusive transporte do tubo</v>
          </cell>
          <cell r="C870" t="str">
            <v>m</v>
          </cell>
          <cell r="D870">
            <v>463.74</v>
          </cell>
          <cell r="E870" t="str">
            <v>A incluir</v>
          </cell>
          <cell r="F870" t="e">
            <v>#N/A</v>
          </cell>
          <cell r="G870" t="e">
            <v>#N/A</v>
          </cell>
        </row>
        <row r="871">
          <cell r="A871">
            <v>40096</v>
          </cell>
          <cell r="B871" t="str">
            <v>Defensas metálicas (espessura lâminas = 3 mm), inclusive fornecimento de materiais, substituição</v>
          </cell>
          <cell r="C871" t="str">
            <v>m</v>
          </cell>
          <cell r="D871">
            <v>309.63</v>
          </cell>
          <cell r="E871">
            <v>0</v>
          </cell>
          <cell r="F871" t="e">
            <v>#N/A</v>
          </cell>
          <cell r="G871" t="e">
            <v>#N/A</v>
          </cell>
        </row>
        <row r="872">
          <cell r="A872">
            <v>40134</v>
          </cell>
          <cell r="B872" t="str">
            <v>Demolição e remoção de estrutura de pavimento inclusive capa asfáltica</v>
          </cell>
          <cell r="C872" t="str">
            <v>m²</v>
          </cell>
          <cell r="D872">
            <v>4.25</v>
          </cell>
          <cell r="E872">
            <v>0</v>
          </cell>
          <cell r="F872" t="e">
            <v>#N/A</v>
          </cell>
          <cell r="G872" t="e">
            <v>#N/A</v>
          </cell>
        </row>
        <row r="873">
          <cell r="A873">
            <v>40105</v>
          </cell>
          <cell r="B873" t="str">
            <v>Desmatamento, destocamento e limpeza</v>
          </cell>
          <cell r="C873" t="str">
            <v>m²</v>
          </cell>
          <cell r="D873">
            <v>0.54</v>
          </cell>
          <cell r="E873">
            <v>0</v>
          </cell>
          <cell r="F873" t="e">
            <v>#N/A</v>
          </cell>
          <cell r="G873" t="e">
            <v>#N/A</v>
          </cell>
        </row>
        <row r="874">
          <cell r="A874">
            <v>40084</v>
          </cell>
          <cell r="B874" t="str">
            <v>Desobstrução manual de valetas</v>
          </cell>
          <cell r="C874" t="str">
            <v>m</v>
          </cell>
          <cell r="D874">
            <v>1.49</v>
          </cell>
          <cell r="E874">
            <v>0</v>
          </cell>
          <cell r="F874" t="e">
            <v>#N/A</v>
          </cell>
          <cell r="G874" t="e">
            <v>#N/A</v>
          </cell>
        </row>
        <row r="875">
          <cell r="A875">
            <v>40144</v>
          </cell>
          <cell r="B875" t="str">
            <v>Dreno profundo D=0,20 m com enchimento brita e areia, tudo incluído</v>
          </cell>
          <cell r="C875" t="str">
            <v>m</v>
          </cell>
          <cell r="D875">
            <v>134.15</v>
          </cell>
          <cell r="E875" t="str">
            <v>A incluir</v>
          </cell>
          <cell r="F875" t="e">
            <v>#N/A</v>
          </cell>
          <cell r="G875" t="e">
            <v>#N/A</v>
          </cell>
        </row>
        <row r="876">
          <cell r="A876">
            <v>40106</v>
          </cell>
          <cell r="B876" t="str">
            <v>Escavação, carga e transporte de material de 1º categoria</v>
          </cell>
          <cell r="C876" t="str">
            <v>m³</v>
          </cell>
          <cell r="D876">
            <v>9</v>
          </cell>
          <cell r="E876" t="str">
            <v>A incluir</v>
          </cell>
          <cell r="F876" t="e">
            <v>#N/A</v>
          </cell>
          <cell r="G876" t="e">
            <v>#N/A</v>
          </cell>
        </row>
        <row r="877">
          <cell r="A877">
            <v>40135</v>
          </cell>
          <cell r="B877" t="str">
            <v>Fresagem de pavimento asfáltico à frio, inclusive transporte do material</v>
          </cell>
          <cell r="C877" t="str">
            <v>m²</v>
          </cell>
          <cell r="D877">
            <v>10.61</v>
          </cell>
          <cell r="E877">
            <v>0</v>
          </cell>
          <cell r="F877" t="e">
            <v>#N/A</v>
          </cell>
          <cell r="G877" t="e">
            <v>#N/A</v>
          </cell>
        </row>
        <row r="878">
          <cell r="A878">
            <v>40111</v>
          </cell>
          <cell r="B878" t="str">
            <v>Imprimação inclusive fornecimento e transporte do CM-30</v>
          </cell>
          <cell r="C878" t="str">
            <v>m²</v>
          </cell>
          <cell r="D878">
            <v>5.59</v>
          </cell>
          <cell r="E878" t="str">
            <v>A incluir</v>
          </cell>
          <cell r="F878" t="e">
            <v>#N/A</v>
          </cell>
          <cell r="G878" t="e">
            <v>#N/A</v>
          </cell>
        </row>
        <row r="879">
          <cell r="A879">
            <v>40126</v>
          </cell>
          <cell r="B879" t="str">
            <v>Lama asfáltica (faixa I - ISSA) (tudo incluído)</v>
          </cell>
          <cell r="C879" t="str">
            <v>m²</v>
          </cell>
          <cell r="D879">
            <v>2.97</v>
          </cell>
          <cell r="E879" t="str">
            <v>A incluir</v>
          </cell>
          <cell r="F879" t="e">
            <v>#N/A</v>
          </cell>
          <cell r="G879" t="e">
            <v>#N/A</v>
          </cell>
        </row>
        <row r="880">
          <cell r="A880">
            <v>40127</v>
          </cell>
          <cell r="B880" t="str">
            <v>Lama asfáltica (faixa II - ISSA) (tudo incluído)</v>
          </cell>
          <cell r="C880" t="str">
            <v>m²</v>
          </cell>
          <cell r="D880">
            <v>3.99</v>
          </cell>
          <cell r="E880" t="str">
            <v>A incluir</v>
          </cell>
          <cell r="F880" t="e">
            <v>#N/A</v>
          </cell>
          <cell r="G880" t="e">
            <v>#N/A</v>
          </cell>
        </row>
        <row r="881">
          <cell r="A881">
            <v>40128</v>
          </cell>
          <cell r="B881" t="str">
            <v>Lama asfáltica (faixa III - ISSA) (tudo incluído)</v>
          </cell>
          <cell r="C881" t="str">
            <v>m²</v>
          </cell>
          <cell r="D881">
            <v>5.17</v>
          </cell>
          <cell r="E881" t="str">
            <v>A incluir</v>
          </cell>
          <cell r="F881" t="e">
            <v>#N/A</v>
          </cell>
          <cell r="G881" t="e">
            <v>#N/A</v>
          </cell>
        </row>
        <row r="882">
          <cell r="A882">
            <v>40129</v>
          </cell>
          <cell r="B882" t="str">
            <v>Lama asfáltica (faixa IV - ISSA) (tudo incluído)</v>
          </cell>
          <cell r="C882" t="str">
            <v>m²</v>
          </cell>
          <cell r="D882">
            <v>6.85</v>
          </cell>
          <cell r="E882" t="str">
            <v>A incluir</v>
          </cell>
          <cell r="F882" t="e">
            <v>#N/A</v>
          </cell>
          <cell r="G882" t="e">
            <v>#N/A</v>
          </cell>
        </row>
        <row r="883">
          <cell r="A883">
            <v>40085</v>
          </cell>
          <cell r="B883" t="str">
            <v>Limpeza de sarjeta e meio-fio</v>
          </cell>
          <cell r="C883" t="str">
            <v>m</v>
          </cell>
          <cell r="D883">
            <v>1.1200000000000001</v>
          </cell>
          <cell r="E883">
            <v>0</v>
          </cell>
          <cell r="F883" t="e">
            <v>#N/A</v>
          </cell>
          <cell r="G883" t="e">
            <v>#N/A</v>
          </cell>
        </row>
        <row r="884">
          <cell r="A884">
            <v>40086</v>
          </cell>
          <cell r="B884" t="str">
            <v>Limpeza e desobstrução de bueiros</v>
          </cell>
          <cell r="C884" t="str">
            <v>m</v>
          </cell>
          <cell r="D884">
            <v>25.28</v>
          </cell>
          <cell r="E884">
            <v>0</v>
          </cell>
          <cell r="F884" t="e">
            <v>#N/A</v>
          </cell>
          <cell r="G884" t="e">
            <v>#N/A</v>
          </cell>
        </row>
        <row r="885">
          <cell r="A885">
            <v>40087</v>
          </cell>
          <cell r="B885" t="str">
            <v>Limpeza e desobstrução de caixa coletora</v>
          </cell>
          <cell r="C885" t="str">
            <v>un</v>
          </cell>
          <cell r="D885">
            <v>93.36</v>
          </cell>
          <cell r="E885">
            <v>0</v>
          </cell>
          <cell r="F885" t="e">
            <v>#N/A</v>
          </cell>
          <cell r="G885" t="e">
            <v>#N/A</v>
          </cell>
        </row>
        <row r="886">
          <cell r="A886">
            <v>40983</v>
          </cell>
          <cell r="B886" t="str">
            <v>Limpeza e desobstrução de rede de drenagem, utilizando caminhão equipado com conjunto de alta pressão e sucção</v>
          </cell>
          <cell r="C886" t="str">
            <v>m</v>
          </cell>
          <cell r="D886">
            <v>7.7</v>
          </cell>
          <cell r="E886">
            <v>0</v>
          </cell>
          <cell r="F886" t="e">
            <v>#N/A</v>
          </cell>
          <cell r="G886" t="e">
            <v>#N/A</v>
          </cell>
        </row>
        <row r="887">
          <cell r="A887">
            <v>40100</v>
          </cell>
          <cell r="B887" t="str">
            <v>Limpeza e pintura de guarda-corpo</v>
          </cell>
          <cell r="C887" t="str">
            <v>m</v>
          </cell>
          <cell r="D887">
            <v>75.260000000000005</v>
          </cell>
          <cell r="E887">
            <v>0</v>
          </cell>
          <cell r="F887" t="e">
            <v>#N/A</v>
          </cell>
          <cell r="G887" t="e">
            <v>#N/A</v>
          </cell>
        </row>
        <row r="888">
          <cell r="A888">
            <v>40141</v>
          </cell>
          <cell r="B888" t="str">
            <v>Meio-fio pré-moldado em concreto, inclusive caiação e transporte do meio-fio</v>
          </cell>
          <cell r="C888" t="str">
            <v>m</v>
          </cell>
          <cell r="D888">
            <v>48.89</v>
          </cell>
          <cell r="E888" t="str">
            <v>A incluir</v>
          </cell>
          <cell r="F888" t="e">
            <v>#N/A</v>
          </cell>
          <cell r="G888" t="e">
            <v>#N/A</v>
          </cell>
        </row>
        <row r="889">
          <cell r="A889">
            <v>40118</v>
          </cell>
          <cell r="B889" t="str">
            <v>Obturação de buracos com CBUQ (tudo incluído)</v>
          </cell>
          <cell r="C889" t="str">
            <v>m²</v>
          </cell>
          <cell r="D889">
            <v>59.34</v>
          </cell>
          <cell r="E889" t="str">
            <v>A incluir</v>
          </cell>
          <cell r="F889" t="e">
            <v>#N/A</v>
          </cell>
          <cell r="G889" t="e">
            <v>#N/A</v>
          </cell>
        </row>
        <row r="890">
          <cell r="A890">
            <v>40116</v>
          </cell>
          <cell r="B890" t="str">
            <v>Obturação de buracos com PMF (tudo incluído)</v>
          </cell>
          <cell r="C890" t="str">
            <v>m²</v>
          </cell>
          <cell r="D890">
            <v>53.6</v>
          </cell>
          <cell r="E890" t="str">
            <v>A incluir</v>
          </cell>
          <cell r="F890" t="e">
            <v>#N/A</v>
          </cell>
          <cell r="G890" t="e">
            <v>#N/A</v>
          </cell>
        </row>
        <row r="891">
          <cell r="A891">
            <v>40117</v>
          </cell>
          <cell r="B891" t="str">
            <v>Obturação de buracos com PMF usinado pelo DER-ES (tudo incluído)</v>
          </cell>
          <cell r="C891" t="str">
            <v>m²</v>
          </cell>
          <cell r="D891">
            <v>35.97</v>
          </cell>
          <cell r="E891" t="str">
            <v>A incluir</v>
          </cell>
          <cell r="F891" t="e">
            <v>#N/A</v>
          </cell>
          <cell r="G891" t="e">
            <v>#N/A</v>
          </cell>
        </row>
        <row r="892">
          <cell r="A892">
            <v>40148</v>
          </cell>
          <cell r="B892" t="str">
            <v>Pintura de dispositivos de drenagem</v>
          </cell>
          <cell r="C892" t="str">
            <v>m</v>
          </cell>
          <cell r="D892">
            <v>2.63</v>
          </cell>
          <cell r="E892">
            <v>0</v>
          </cell>
          <cell r="F892" t="e">
            <v>#N/A</v>
          </cell>
          <cell r="G892" t="e">
            <v>#N/A</v>
          </cell>
        </row>
        <row r="893">
          <cell r="A893">
            <v>40112</v>
          </cell>
          <cell r="B893" t="str">
            <v>Pintura de ligação, inclusive fornecimento e transporte da emulsão</v>
          </cell>
          <cell r="C893" t="str">
            <v>m²</v>
          </cell>
          <cell r="D893">
            <v>1.89</v>
          </cell>
          <cell r="E893" t="str">
            <v>A incluir</v>
          </cell>
          <cell r="F893" t="e">
            <v>#N/A</v>
          </cell>
          <cell r="G893" t="e">
            <v>#N/A</v>
          </cell>
        </row>
        <row r="894">
          <cell r="A894">
            <v>40149</v>
          </cell>
          <cell r="B894" t="str">
            <v>Pintura de pontes a base de cal</v>
          </cell>
          <cell r="C894" t="str">
            <v>m²</v>
          </cell>
          <cell r="D894">
            <v>5.4</v>
          </cell>
          <cell r="E894">
            <v>0</v>
          </cell>
          <cell r="F894" t="e">
            <v>#N/A</v>
          </cell>
          <cell r="G894" t="e">
            <v>#N/A</v>
          </cell>
        </row>
        <row r="895">
          <cell r="A895">
            <v>40094</v>
          </cell>
          <cell r="B895" t="str">
            <v>Placas de sinalização, assentamento</v>
          </cell>
          <cell r="C895" t="str">
            <v>m²</v>
          </cell>
          <cell r="D895">
            <v>74.16</v>
          </cell>
          <cell r="E895">
            <v>0</v>
          </cell>
          <cell r="F895" t="e">
            <v>#N/A</v>
          </cell>
          <cell r="G895" t="e">
            <v>#N/A</v>
          </cell>
        </row>
        <row r="896">
          <cell r="A896">
            <v>40095</v>
          </cell>
          <cell r="B896" t="str">
            <v>Placas de sinalização, inclusive materiais, substituição</v>
          </cell>
          <cell r="C896" t="str">
            <v>m²</v>
          </cell>
          <cell r="D896">
            <v>490.32</v>
          </cell>
          <cell r="E896" t="str">
            <v>A incluir</v>
          </cell>
          <cell r="F896" t="e">
            <v>#N/A</v>
          </cell>
          <cell r="G896" t="e">
            <v>#N/A</v>
          </cell>
        </row>
        <row r="897">
          <cell r="A897">
            <v>40114</v>
          </cell>
          <cell r="B897" t="str">
            <v>PMF - Usinagem, aquisição e transportes dos materiais</v>
          </cell>
          <cell r="C897" t="str">
            <v>t</v>
          </cell>
          <cell r="D897">
            <v>200.5</v>
          </cell>
          <cell r="E897" t="str">
            <v>A incluir</v>
          </cell>
          <cell r="F897" t="e">
            <v>#N/A</v>
          </cell>
          <cell r="G897" t="e">
            <v>#N/A</v>
          </cell>
        </row>
        <row r="898">
          <cell r="A898">
            <v>40130</v>
          </cell>
          <cell r="B898" t="str">
            <v>Recomposição de revestimento c/ CBUQ - Inclusive fornecimento e transporte dos materiais</v>
          </cell>
          <cell r="C898" t="str">
            <v>t</v>
          </cell>
          <cell r="D898">
            <v>263.45999999999998</v>
          </cell>
          <cell r="E898" t="str">
            <v>A incluir</v>
          </cell>
          <cell r="F898" t="e">
            <v>#N/A</v>
          </cell>
          <cell r="G898" t="e">
            <v>#N/A</v>
          </cell>
        </row>
        <row r="899">
          <cell r="A899">
            <v>40131</v>
          </cell>
          <cell r="B899" t="str">
            <v>Recomposição de revestimento c/ PMF - Inclusive fornecimento e transporte dos materiais</v>
          </cell>
          <cell r="C899" t="str">
            <v>t</v>
          </cell>
          <cell r="D899">
            <v>217.46</v>
          </cell>
          <cell r="E899" t="str">
            <v>A incluir</v>
          </cell>
          <cell r="F899" t="e">
            <v>#N/A</v>
          </cell>
          <cell r="G899" t="e">
            <v>#N/A</v>
          </cell>
        </row>
        <row r="900">
          <cell r="A900">
            <v>40083</v>
          </cell>
          <cell r="B900" t="str">
            <v>Recomposição de revestimento primário (tudo incluído)</v>
          </cell>
          <cell r="C900" t="str">
            <v>m²</v>
          </cell>
          <cell r="D900">
            <v>2.25</v>
          </cell>
          <cell r="E900" t="str">
            <v>A incluir</v>
          </cell>
          <cell r="F900" t="e">
            <v>#N/A</v>
          </cell>
          <cell r="G900" t="e">
            <v>#N/A</v>
          </cell>
        </row>
        <row r="901">
          <cell r="A901">
            <v>40079</v>
          </cell>
          <cell r="B901" t="str">
            <v>Recomposição mecânica de aterros</v>
          </cell>
          <cell r="C901" t="str">
            <v>m³</v>
          </cell>
          <cell r="D901">
            <v>20.100000000000001</v>
          </cell>
          <cell r="E901" t="str">
            <v>A incluir</v>
          </cell>
          <cell r="F901" t="e">
            <v>#N/A</v>
          </cell>
          <cell r="G901" t="e">
            <v>#N/A</v>
          </cell>
        </row>
        <row r="902">
          <cell r="A902">
            <v>40082</v>
          </cell>
          <cell r="B902" t="str">
            <v>Reconformação mecânica de plataforma (patrolamento)</v>
          </cell>
          <cell r="C902" t="str">
            <v>m²</v>
          </cell>
          <cell r="D902">
            <v>0.09</v>
          </cell>
          <cell r="E902">
            <v>0</v>
          </cell>
          <cell r="F902" t="e">
            <v>#N/A</v>
          </cell>
          <cell r="G902" t="e">
            <v>#N/A</v>
          </cell>
        </row>
        <row r="903">
          <cell r="A903">
            <v>40119</v>
          </cell>
          <cell r="B903" t="str">
            <v>Remendo com massa asfáltica fria (tudo incluído)</v>
          </cell>
          <cell r="C903" t="str">
            <v>m²</v>
          </cell>
          <cell r="D903">
            <v>27.29</v>
          </cell>
          <cell r="E903" t="str">
            <v>A incluir</v>
          </cell>
          <cell r="F903" t="e">
            <v>#N/A</v>
          </cell>
          <cell r="G903" t="e">
            <v>#N/A</v>
          </cell>
        </row>
        <row r="904">
          <cell r="A904">
            <v>40122</v>
          </cell>
          <cell r="B904" t="str">
            <v>Remendo com massa asfáltica fria (tudo incluído)</v>
          </cell>
          <cell r="C904" t="str">
            <v>t</v>
          </cell>
          <cell r="D904">
            <v>310.02999999999997</v>
          </cell>
          <cell r="E904" t="str">
            <v>A incluir</v>
          </cell>
          <cell r="F904" t="e">
            <v>#N/A</v>
          </cell>
          <cell r="G904" t="e">
            <v>#N/A</v>
          </cell>
        </row>
        <row r="905">
          <cell r="A905">
            <v>40120</v>
          </cell>
          <cell r="B905" t="str">
            <v>Remendo com massa asfáltica fria usinada pelo DER-ES (tudo incluído)</v>
          </cell>
          <cell r="C905" t="str">
            <v>m²</v>
          </cell>
          <cell r="D905">
            <v>9.65</v>
          </cell>
          <cell r="E905" t="str">
            <v>A incluir</v>
          </cell>
          <cell r="F905" t="e">
            <v>#N/A</v>
          </cell>
          <cell r="G905" t="e">
            <v>#N/A</v>
          </cell>
        </row>
        <row r="906">
          <cell r="A906">
            <v>40121</v>
          </cell>
          <cell r="B906" t="str">
            <v>Remendo com massa asfáltica quente (tudo incluído)</v>
          </cell>
          <cell r="C906" t="str">
            <v>m²</v>
          </cell>
          <cell r="D906">
            <v>33.020000000000003</v>
          </cell>
          <cell r="E906" t="str">
            <v>A incluir</v>
          </cell>
          <cell r="F906" t="e">
            <v>#N/A</v>
          </cell>
          <cell r="G906" t="e">
            <v>#N/A</v>
          </cell>
        </row>
        <row r="907">
          <cell r="A907">
            <v>40123</v>
          </cell>
          <cell r="B907" t="str">
            <v>Remendo com massa asfáltica quente (tudo incluído)</v>
          </cell>
          <cell r="C907" t="str">
            <v>t</v>
          </cell>
          <cell r="D907">
            <v>349.71</v>
          </cell>
          <cell r="E907" t="str">
            <v>A incluir</v>
          </cell>
          <cell r="F907" t="e">
            <v>#N/A</v>
          </cell>
          <cell r="G907" t="e">
            <v>#N/A</v>
          </cell>
        </row>
        <row r="908">
          <cell r="A908">
            <v>40080</v>
          </cell>
          <cell r="B908" t="str">
            <v>Remoção mecânica de barreiras</v>
          </cell>
          <cell r="C908" t="str">
            <v>m³</v>
          </cell>
          <cell r="D908">
            <v>1.44</v>
          </cell>
          <cell r="E908" t="str">
            <v>A incluir</v>
          </cell>
          <cell r="F908" t="e">
            <v>#N/A</v>
          </cell>
          <cell r="G908" t="e">
            <v>#N/A</v>
          </cell>
        </row>
        <row r="909">
          <cell r="A909">
            <v>40089</v>
          </cell>
          <cell r="B909" t="str">
            <v>Reparo de bueiros celulares (inclusive boca)</v>
          </cell>
          <cell r="C909" t="str">
            <v>un</v>
          </cell>
          <cell r="D909">
            <v>1732.43</v>
          </cell>
          <cell r="E909" t="str">
            <v>A incluir</v>
          </cell>
          <cell r="F909" t="e">
            <v>#N/A</v>
          </cell>
          <cell r="G909" t="e">
            <v>#N/A</v>
          </cell>
        </row>
        <row r="910">
          <cell r="A910">
            <v>40088</v>
          </cell>
          <cell r="B910" t="str">
            <v>Reparo de bueiros tubulares</v>
          </cell>
          <cell r="C910" t="str">
            <v>un</v>
          </cell>
          <cell r="D910">
            <v>691.25</v>
          </cell>
          <cell r="E910" t="str">
            <v>A incluir</v>
          </cell>
          <cell r="F910" t="e">
            <v>#N/A</v>
          </cell>
          <cell r="G910" t="e">
            <v>#N/A</v>
          </cell>
        </row>
        <row r="911">
          <cell r="A911">
            <v>40092</v>
          </cell>
          <cell r="B911" t="str">
            <v>Reparo de caixa coletora</v>
          </cell>
          <cell r="C911" t="str">
            <v>un</v>
          </cell>
          <cell r="D911">
            <v>276.52999999999997</v>
          </cell>
          <cell r="E911" t="str">
            <v>A incluir</v>
          </cell>
          <cell r="F911" t="e">
            <v>#N/A</v>
          </cell>
          <cell r="G911" t="e">
            <v>#N/A</v>
          </cell>
        </row>
        <row r="912">
          <cell r="A912">
            <v>40078</v>
          </cell>
          <cell r="B912" t="str">
            <v>Reparo de cerca ( substituição de mourões, grampo e arame farpado), inclusive transportes de todos os materiais</v>
          </cell>
          <cell r="C912" t="str">
            <v>m</v>
          </cell>
          <cell r="D912">
            <v>7.05</v>
          </cell>
          <cell r="E912" t="str">
            <v>A incluir</v>
          </cell>
          <cell r="F912" t="e">
            <v>#N/A</v>
          </cell>
          <cell r="G912" t="e">
            <v>#N/A</v>
          </cell>
        </row>
        <row r="913">
          <cell r="A913">
            <v>40097</v>
          </cell>
          <cell r="B913" t="str">
            <v>Reparo de guarda-corpo</v>
          </cell>
          <cell r="C913" t="str">
            <v>m</v>
          </cell>
          <cell r="D913">
            <v>107.97</v>
          </cell>
          <cell r="E913">
            <v>0</v>
          </cell>
          <cell r="F913" t="e">
            <v>#N/A</v>
          </cell>
          <cell r="G913" t="e">
            <v>#N/A</v>
          </cell>
        </row>
        <row r="914">
          <cell r="A914">
            <v>40090</v>
          </cell>
          <cell r="B914" t="str">
            <v>Reparo de meio-fio, inclusive caiação</v>
          </cell>
          <cell r="C914" t="str">
            <v>m</v>
          </cell>
          <cell r="D914">
            <v>28.31</v>
          </cell>
          <cell r="E914" t="str">
            <v>A incluir</v>
          </cell>
          <cell r="F914" t="e">
            <v>#N/A</v>
          </cell>
          <cell r="G914" t="e">
            <v>#N/A</v>
          </cell>
        </row>
        <row r="915">
          <cell r="A915">
            <v>40099</v>
          </cell>
          <cell r="B915" t="str">
            <v>Reparo de muros de arrimo</v>
          </cell>
          <cell r="C915" t="str">
            <v>m³</v>
          </cell>
          <cell r="D915">
            <v>684.19</v>
          </cell>
          <cell r="E915" t="str">
            <v>A incluir</v>
          </cell>
          <cell r="F915" t="e">
            <v>#N/A</v>
          </cell>
          <cell r="G915" t="e">
            <v>#N/A</v>
          </cell>
        </row>
        <row r="916">
          <cell r="A916">
            <v>40091</v>
          </cell>
          <cell r="B916" t="str">
            <v>Reparo de sarjeta, inclusive caiação</v>
          </cell>
          <cell r="C916" t="str">
            <v>m</v>
          </cell>
          <cell r="D916">
            <v>38.35</v>
          </cell>
          <cell r="E916" t="str">
            <v>A incluir</v>
          </cell>
          <cell r="F916" t="e">
            <v>#N/A</v>
          </cell>
          <cell r="G916" t="e">
            <v>#N/A</v>
          </cell>
        </row>
        <row r="917">
          <cell r="A917">
            <v>40093</v>
          </cell>
          <cell r="B917" t="str">
            <v>Retirada de placas de sinalização</v>
          </cell>
          <cell r="C917" t="str">
            <v>m²</v>
          </cell>
          <cell r="D917">
            <v>67.11</v>
          </cell>
          <cell r="E917">
            <v>0</v>
          </cell>
          <cell r="F917" t="e">
            <v>#N/A</v>
          </cell>
          <cell r="G917" t="e">
            <v>#N/A</v>
          </cell>
        </row>
        <row r="918">
          <cell r="A918">
            <v>43353</v>
          </cell>
          <cell r="B918" t="str">
            <v>Roçada manual com roçadeira costal, ferramentas manuais, inclusive limpeza e remoção com retroescavadeira (conservação)</v>
          </cell>
          <cell r="C918" t="str">
            <v>m²</v>
          </cell>
          <cell r="D918">
            <v>0.59</v>
          </cell>
          <cell r="E918">
            <v>0</v>
          </cell>
          <cell r="F918" t="e">
            <v>#N/A</v>
          </cell>
          <cell r="G918" t="e">
            <v>#N/A</v>
          </cell>
        </row>
        <row r="919">
          <cell r="A919">
            <v>43337</v>
          </cell>
          <cell r="B919" t="str">
            <v>Roçada manual com roçadeira costal, ferramentas manuais, inclusive limpeza manual ( conservação)</v>
          </cell>
          <cell r="C919" t="str">
            <v>m²</v>
          </cell>
          <cell r="D919">
            <v>0.51</v>
          </cell>
          <cell r="E919">
            <v>0</v>
          </cell>
          <cell r="F919" t="e">
            <v>#N/A</v>
          </cell>
          <cell r="G919" t="e">
            <v>#N/A</v>
          </cell>
        </row>
        <row r="920">
          <cell r="A920">
            <v>40077</v>
          </cell>
          <cell r="B920" t="str">
            <v>Roçada mecanizada</v>
          </cell>
          <cell r="C920" t="str">
            <v>m²</v>
          </cell>
          <cell r="D920">
            <v>0.18</v>
          </cell>
          <cell r="E920">
            <v>0</v>
          </cell>
          <cell r="F920" t="e">
            <v>#N/A</v>
          </cell>
          <cell r="G920" t="e">
            <v>#N/A</v>
          </cell>
        </row>
        <row r="921">
          <cell r="A921">
            <v>40142</v>
          </cell>
          <cell r="B921" t="str">
            <v>Sarjeta em concreto fck=10,0 MPa inclusive caiação, tudo incluído</v>
          </cell>
          <cell r="C921" t="str">
            <v>m</v>
          </cell>
          <cell r="D921">
            <v>89.76</v>
          </cell>
          <cell r="E921" t="str">
            <v>A incluir</v>
          </cell>
          <cell r="F921" t="e">
            <v>#N/A</v>
          </cell>
          <cell r="G921" t="e">
            <v>#N/A</v>
          </cell>
        </row>
        <row r="922">
          <cell r="A922">
            <v>40124</v>
          </cell>
          <cell r="B922" t="str">
            <v>Selagem de trincas, inclusive transporte de areia e emulsão</v>
          </cell>
          <cell r="C922" t="str">
            <v>m²</v>
          </cell>
          <cell r="D922">
            <v>7.79</v>
          </cell>
          <cell r="E922" t="str">
            <v>A incluir</v>
          </cell>
          <cell r="F922" t="e">
            <v>#N/A</v>
          </cell>
          <cell r="G922" t="e">
            <v>#N/A</v>
          </cell>
        </row>
        <row r="923">
          <cell r="A923">
            <v>40146</v>
          </cell>
          <cell r="B923" t="str">
            <v>Sinalização horizontal - taxa 0,6 l/m², tudo incluído</v>
          </cell>
          <cell r="C923" t="str">
            <v>m²</v>
          </cell>
          <cell r="D923">
            <v>15.23</v>
          </cell>
          <cell r="E923" t="str">
            <v>A incluir</v>
          </cell>
          <cell r="F923" t="e">
            <v>#N/A</v>
          </cell>
          <cell r="G923" t="e">
            <v>#N/A</v>
          </cell>
        </row>
        <row r="924">
          <cell r="A924">
            <v>40145</v>
          </cell>
          <cell r="B924" t="str">
            <v>Sinalização vertical, inclusive transporte de placa sinalização e madeira</v>
          </cell>
          <cell r="C924" t="str">
            <v>m²</v>
          </cell>
          <cell r="D924">
            <v>412.18</v>
          </cell>
          <cell r="E924" t="str">
            <v>A incluir</v>
          </cell>
          <cell r="F924" t="e">
            <v>#N/A</v>
          </cell>
          <cell r="G924" t="e">
            <v>#N/A</v>
          </cell>
        </row>
        <row r="925">
          <cell r="A925">
            <v>40109</v>
          </cell>
          <cell r="B925" t="str">
            <v>Sub-base de solo estabilizada granulométricamente sem mistura inclusive escavação e carga</v>
          </cell>
          <cell r="C925" t="str">
            <v>m³</v>
          </cell>
          <cell r="D925">
            <v>24.91</v>
          </cell>
          <cell r="E925">
            <v>0</v>
          </cell>
          <cell r="F925" t="e">
            <v>#N/A</v>
          </cell>
          <cell r="G925" t="e">
            <v>#N/A</v>
          </cell>
        </row>
        <row r="926">
          <cell r="A926">
            <v>40125</v>
          </cell>
          <cell r="B926" t="str">
            <v>Tapa-panela, inclusive transporte de material de 1ª categoria</v>
          </cell>
          <cell r="C926" t="str">
            <v>m²</v>
          </cell>
          <cell r="D926">
            <v>10.64</v>
          </cell>
          <cell r="E926" t="str">
            <v>A incluir</v>
          </cell>
          <cell r="F926" t="e">
            <v>#N/A</v>
          </cell>
          <cell r="G926" t="e">
            <v>#N/A</v>
          </cell>
        </row>
        <row r="927">
          <cell r="A927">
            <v>40113</v>
          </cell>
          <cell r="B927" t="str">
            <v>TSD - Tratamento superficial duplo incl. transporte dos materiais</v>
          </cell>
          <cell r="C927" t="str">
            <v>m²</v>
          </cell>
          <cell r="D927">
            <v>12.15</v>
          </cell>
          <cell r="E927" t="str">
            <v>A incluir</v>
          </cell>
          <cell r="F927" t="e">
            <v>#N/A</v>
          </cell>
          <cell r="G927" t="e">
            <v>#N/A</v>
          </cell>
        </row>
        <row r="928">
          <cell r="A928">
            <v>40140</v>
          </cell>
          <cell r="B928" t="str">
            <v>Valeta em concreto fck=10,0 MPa, tudo incluído</v>
          </cell>
          <cell r="C928" t="str">
            <v>m</v>
          </cell>
          <cell r="D928">
            <v>90.99</v>
          </cell>
          <cell r="E928" t="str">
            <v>A incluir</v>
          </cell>
          <cell r="F928" t="e">
            <v>#N/A</v>
          </cell>
          <cell r="G928" t="e">
            <v>#N/A</v>
          </cell>
        </row>
        <row r="929">
          <cell r="A929">
            <v>40139</v>
          </cell>
          <cell r="B929" t="str">
            <v>Valeta não revestida</v>
          </cell>
          <cell r="C929" t="str">
            <v>m</v>
          </cell>
          <cell r="D929">
            <v>9.52</v>
          </cell>
          <cell r="E929">
            <v>0</v>
          </cell>
          <cell r="F929" t="e">
            <v>#N/A</v>
          </cell>
          <cell r="G929" t="e">
            <v>#N/A</v>
          </cell>
        </row>
        <row r="930">
          <cell r="A930">
            <v>0</v>
          </cell>
          <cell r="B930">
            <v>0</v>
          </cell>
          <cell r="C930">
            <v>0</v>
          </cell>
          <cell r="D930">
            <v>0</v>
          </cell>
          <cell r="E930" t="e">
            <v>#N/A</v>
          </cell>
          <cell r="F930" t="e">
            <v>#N/A</v>
          </cell>
        </row>
        <row r="931">
          <cell r="A931" t="str">
            <v>Grupo de Serviço: 18 - ALUGUEL DE EQUIPAMENTOS</v>
          </cell>
          <cell r="B931">
            <v>0</v>
          </cell>
          <cell r="C931">
            <v>0</v>
          </cell>
          <cell r="D931">
            <v>0</v>
          </cell>
          <cell r="E931" t="e">
            <v>#N/A</v>
          </cell>
          <cell r="F931" t="e">
            <v>#N/A</v>
          </cell>
        </row>
        <row r="932">
          <cell r="A932">
            <v>42186</v>
          </cell>
          <cell r="B932" t="str">
            <v>Aluguel mensal de barco de alumínio 4,20 m com motor 15 HP (equipamentos)</v>
          </cell>
          <cell r="C932" t="str">
            <v>mês</v>
          </cell>
          <cell r="D932">
            <v>2372.67</v>
          </cell>
          <cell r="E932">
            <v>0</v>
          </cell>
          <cell r="F932" t="e">
            <v>#N/A</v>
          </cell>
          <cell r="G932" t="e">
            <v>#N/A</v>
          </cell>
        </row>
        <row r="933">
          <cell r="A933">
            <v>0</v>
          </cell>
          <cell r="B933">
            <v>0</v>
          </cell>
          <cell r="C933">
            <v>0</v>
          </cell>
          <cell r="D933">
            <v>0</v>
          </cell>
          <cell r="E933">
            <v>0</v>
          </cell>
          <cell r="F933" t="e">
            <v>#N/A</v>
          </cell>
        </row>
        <row r="934">
          <cell r="A934" t="str">
            <v>Grupo de Serviço: 32 - INFRA E MESO-ESTRUTURA</v>
          </cell>
          <cell r="B934">
            <v>0</v>
          </cell>
          <cell r="C934">
            <v>0</v>
          </cell>
          <cell r="D934">
            <v>0</v>
          </cell>
          <cell r="E934">
            <v>0</v>
          </cell>
          <cell r="F934" t="e">
            <v>#N/A</v>
          </cell>
        </row>
        <row r="935">
          <cell r="A935">
            <v>41352</v>
          </cell>
          <cell r="B935" t="str">
            <v>Arrasamento estaca concreto D = 0,80 m com martelete pneumático</v>
          </cell>
          <cell r="C935" t="str">
            <v>un</v>
          </cell>
          <cell r="D935">
            <v>127.3</v>
          </cell>
          <cell r="E935">
            <v>0</v>
          </cell>
          <cell r="F935" t="e">
            <v>#N/A</v>
          </cell>
          <cell r="G935" t="e">
            <v>#N/A</v>
          </cell>
        </row>
        <row r="936">
          <cell r="A936">
            <v>41340</v>
          </cell>
          <cell r="B936" t="str">
            <v>Encamisamento metálico de estacas, diâmetro 380mm em chapa de 6.3mm, preenchido c/ concreto auto adensável (20MPa)</v>
          </cell>
          <cell r="C936" t="str">
            <v>m</v>
          </cell>
          <cell r="D936">
            <v>622.4</v>
          </cell>
          <cell r="E936">
            <v>0</v>
          </cell>
          <cell r="F936" t="e">
            <v>#N/A</v>
          </cell>
          <cell r="G936" t="e">
            <v>#N/A</v>
          </cell>
        </row>
        <row r="937">
          <cell r="A937">
            <v>40331</v>
          </cell>
          <cell r="B937" t="str">
            <v>Escoramento para blocos submersos, inclusive transporte da madeira</v>
          </cell>
          <cell r="C937" t="str">
            <v>m²</v>
          </cell>
          <cell r="D937">
            <v>78.27</v>
          </cell>
          <cell r="E937" t="str">
            <v>A incluir</v>
          </cell>
          <cell r="F937" t="e">
            <v>#N/A</v>
          </cell>
          <cell r="G937" t="e">
            <v>#N/A</v>
          </cell>
        </row>
        <row r="938">
          <cell r="A938">
            <v>40403</v>
          </cell>
          <cell r="B938" t="str">
            <v>Estaca de eucalipto D= 0,20 m, fornecimento, transporte, cravação e perda</v>
          </cell>
          <cell r="C938" t="str">
            <v>m</v>
          </cell>
          <cell r="D938">
            <v>163.15</v>
          </cell>
          <cell r="E938" t="str">
            <v>A incluir</v>
          </cell>
          <cell r="F938" t="e">
            <v>#N/A</v>
          </cell>
          <cell r="G938" t="e">
            <v>#N/A</v>
          </cell>
        </row>
        <row r="939">
          <cell r="A939">
            <v>40405</v>
          </cell>
          <cell r="B939" t="str">
            <v>Estaca metálica dupla exclusive fornecimento de trilhos</v>
          </cell>
          <cell r="C939" t="str">
            <v>m</v>
          </cell>
          <cell r="D939">
            <v>221.47</v>
          </cell>
          <cell r="E939">
            <v>0</v>
          </cell>
          <cell r="F939" t="e">
            <v>#N/A</v>
          </cell>
          <cell r="G939" t="e">
            <v>#N/A</v>
          </cell>
        </row>
        <row r="940">
          <cell r="A940">
            <v>40408</v>
          </cell>
          <cell r="B940" t="str">
            <v>Estaca metálica, fornecimento, transporte, perdas, solda, emenda, corte e cravação de TR- 68</v>
          </cell>
          <cell r="C940" t="str">
            <v>m</v>
          </cell>
          <cell r="D940">
            <v>409.21</v>
          </cell>
          <cell r="E940" t="str">
            <v>A incluir</v>
          </cell>
          <cell r="F940" t="e">
            <v>#N/A</v>
          </cell>
          <cell r="G940" t="e">
            <v>#N/A</v>
          </cell>
        </row>
        <row r="941">
          <cell r="A941">
            <v>40406</v>
          </cell>
          <cell r="B941" t="str">
            <v>Estaca metálica, fornecimento, transporte, perdas, solda, emenda, corte e cravação de trilho TR- 57</v>
          </cell>
          <cell r="C941" t="str">
            <v>m</v>
          </cell>
          <cell r="D941">
            <v>373.32</v>
          </cell>
          <cell r="E941" t="str">
            <v>A incluir</v>
          </cell>
          <cell r="F941" t="e">
            <v>#N/A</v>
          </cell>
          <cell r="G941" t="e">
            <v>#N/A</v>
          </cell>
        </row>
        <row r="942">
          <cell r="A942">
            <v>40407</v>
          </cell>
          <cell r="B942" t="str">
            <v>Estaca metálica, fornecimento, transporte, perdas, solda, emenda, corte e cravação de 2 TR- 57</v>
          </cell>
          <cell r="C942" t="str">
            <v>m</v>
          </cell>
          <cell r="D942">
            <v>638.97</v>
          </cell>
          <cell r="E942" t="str">
            <v>A incluir</v>
          </cell>
          <cell r="F942" t="e">
            <v>#N/A</v>
          </cell>
          <cell r="G942" t="e">
            <v>#N/A</v>
          </cell>
        </row>
        <row r="943">
          <cell r="A943">
            <v>40409</v>
          </cell>
          <cell r="B943" t="str">
            <v>Estaca metálica, fornecimento, transporte, perdas, solda, emenda, corte e cravação de 2 TR- 68</v>
          </cell>
          <cell r="C943" t="str">
            <v>m</v>
          </cell>
          <cell r="D943">
            <v>710.75</v>
          </cell>
          <cell r="E943" t="str">
            <v>A incluir</v>
          </cell>
          <cell r="F943" t="e">
            <v>#N/A</v>
          </cell>
          <cell r="G943" t="e">
            <v>#N/A</v>
          </cell>
        </row>
        <row r="944">
          <cell r="A944">
            <v>40404</v>
          </cell>
          <cell r="B944" t="str">
            <v>Estaca metálica simples exclusive fornecimento de trilhos</v>
          </cell>
          <cell r="C944" t="str">
            <v>m</v>
          </cell>
          <cell r="D944">
            <v>151.41999999999999</v>
          </cell>
          <cell r="E944">
            <v>0</v>
          </cell>
          <cell r="F944" t="e">
            <v>#N/A</v>
          </cell>
          <cell r="G944" t="e">
            <v>#N/A</v>
          </cell>
        </row>
        <row r="945">
          <cell r="A945">
            <v>42051</v>
          </cell>
          <cell r="B945" t="str">
            <v>Estaca raiz perfurada em rocha, diâm. 310mm com injeção de arg. incl. fornecimento de todos materiais</v>
          </cell>
          <cell r="C945" t="str">
            <v>m</v>
          </cell>
          <cell r="D945">
            <v>1007.47</v>
          </cell>
          <cell r="E945" t="str">
            <v>A incluir</v>
          </cell>
          <cell r="F945" t="e">
            <v>#N/A</v>
          </cell>
          <cell r="G945" t="e">
            <v>#N/A</v>
          </cell>
        </row>
        <row r="946">
          <cell r="A946">
            <v>42052</v>
          </cell>
          <cell r="B946" t="str">
            <v>Estaca raiz perfurada em solo, diâm. 410mm com injeção de arg. incl. fornecimento de todos materiais</v>
          </cell>
          <cell r="C946" t="str">
            <v>m</v>
          </cell>
          <cell r="D946">
            <v>569.72</v>
          </cell>
          <cell r="E946" t="str">
            <v>A incluir</v>
          </cell>
          <cell r="F946" t="e">
            <v>#N/A</v>
          </cell>
          <cell r="G946" t="e">
            <v>#N/A</v>
          </cell>
        </row>
        <row r="947">
          <cell r="A947">
            <v>40410</v>
          </cell>
          <cell r="B947" t="str">
            <v>Estaca tipo Franki D = 520 mm</v>
          </cell>
          <cell r="C947" t="str">
            <v>m</v>
          </cell>
          <cell r="D947">
            <v>366.37</v>
          </cell>
          <cell r="E947" t="str">
            <v>A incluir</v>
          </cell>
          <cell r="F947" t="e">
            <v>#N/A</v>
          </cell>
          <cell r="G947" t="e">
            <v>#N/A</v>
          </cell>
        </row>
        <row r="948">
          <cell r="A948">
            <v>40309</v>
          </cell>
          <cell r="B948" t="str">
            <v>Formas planas de madeira sem reaproveitamento (fundações), inclusive fornecimento e transporte das madeiras</v>
          </cell>
          <cell r="C948" t="str">
            <v>m²</v>
          </cell>
          <cell r="D948">
            <v>164.69</v>
          </cell>
          <cell r="E948" t="str">
            <v>A incluir</v>
          </cell>
          <cell r="F948" t="e">
            <v>#N/A</v>
          </cell>
          <cell r="G948" t="e">
            <v>#N/A</v>
          </cell>
        </row>
        <row r="949">
          <cell r="A949">
            <v>41258</v>
          </cell>
          <cell r="B949" t="str">
            <v>Perfuração rotativa inclinada, em solo, com coroa de Widia, diâmetro 150mm</v>
          </cell>
          <cell r="C949" t="str">
            <v>m</v>
          </cell>
          <cell r="D949">
            <v>196.14</v>
          </cell>
          <cell r="E949">
            <v>0</v>
          </cell>
          <cell r="F949" t="e">
            <v>#N/A</v>
          </cell>
          <cell r="G949" t="e">
            <v>#N/A</v>
          </cell>
        </row>
        <row r="950">
          <cell r="A950">
            <v>41034</v>
          </cell>
          <cell r="B950" t="str">
            <v>Perfuração rotativa inclinada, em solo, com coroa de Widia, diâmetro 75mm</v>
          </cell>
          <cell r="C950" t="str">
            <v>m</v>
          </cell>
          <cell r="D950">
            <v>150.86000000000001</v>
          </cell>
          <cell r="E950">
            <v>0</v>
          </cell>
          <cell r="F950" t="e">
            <v>#N/A</v>
          </cell>
          <cell r="G950" t="e">
            <v>#N/A</v>
          </cell>
        </row>
        <row r="951">
          <cell r="A951">
            <v>41026</v>
          </cell>
          <cell r="B951" t="str">
            <v>Perfuração rotativa vertical, em solo, com coroa de Widia ou similar, diâmetro H(99mm), inclusive deslocamento e posicionamento em cada furo</v>
          </cell>
          <cell r="C951" t="str">
            <v>m</v>
          </cell>
          <cell r="D951">
            <v>127.57</v>
          </cell>
          <cell r="E951">
            <v>0</v>
          </cell>
          <cell r="F951" t="e">
            <v>#N/A</v>
          </cell>
          <cell r="G951" t="e">
            <v>#N/A</v>
          </cell>
        </row>
        <row r="952">
          <cell r="A952">
            <v>41022</v>
          </cell>
          <cell r="B952" t="str">
            <v>Perfuração rotativa vertical, em solo, com coroa de Widia ou similar, diâmetro N(75mm), inclusive deslocamento e posicionamento em cada furo</v>
          </cell>
          <cell r="C952" t="str">
            <v>m</v>
          </cell>
          <cell r="D952">
            <v>119.07</v>
          </cell>
          <cell r="E952">
            <v>0</v>
          </cell>
          <cell r="F952" t="e">
            <v>#N/A</v>
          </cell>
          <cell r="G952" t="e">
            <v>#N/A</v>
          </cell>
        </row>
        <row r="953">
          <cell r="A953">
            <v>0</v>
          </cell>
          <cell r="B953">
            <v>0</v>
          </cell>
          <cell r="C953">
            <v>0</v>
          </cell>
          <cell r="D953">
            <v>0</v>
          </cell>
          <cell r="E953" t="e">
            <v>#N/A</v>
          </cell>
          <cell r="F953" t="e">
            <v>#N/A</v>
          </cell>
          <cell r="G953" t="e">
            <v>#N/A</v>
          </cell>
        </row>
        <row r="954">
          <cell r="A954" t="str">
            <v>Grupo de Serviço: 33 - SUPER-ESTRUTURA</v>
          </cell>
          <cell r="B954">
            <v>0</v>
          </cell>
          <cell r="C954">
            <v>0</v>
          </cell>
          <cell r="E954" t="e">
            <v>#N/A</v>
          </cell>
          <cell r="F954" t="e">
            <v>#N/A</v>
          </cell>
          <cell r="G954" t="e">
            <v>#N/A</v>
          </cell>
        </row>
        <row r="955">
          <cell r="A955">
            <v>41403</v>
          </cell>
          <cell r="B955" t="str">
            <v>Passarela metálica p/ pontes rodoviárias com 1,0m de largura, piso em chapa xadez esp 1/4", em perfis laminados, inclusive pintura</v>
          </cell>
          <cell r="C955" t="str">
            <v>m</v>
          </cell>
          <cell r="D955">
            <v>756.17</v>
          </cell>
          <cell r="E955">
            <v>0</v>
          </cell>
          <cell r="F955" t="e">
            <v>#N/A</v>
          </cell>
          <cell r="G955" t="e">
            <v>#N/A</v>
          </cell>
        </row>
        <row r="956">
          <cell r="A956">
            <v>40398</v>
          </cell>
          <cell r="B956" t="str">
            <v>Placas pré-moldadas para forma de tabuleiro de ponte</v>
          </cell>
          <cell r="C956" t="str">
            <v>m²</v>
          </cell>
          <cell r="D956">
            <v>170.09</v>
          </cell>
          <cell r="E956">
            <v>0</v>
          </cell>
          <cell r="F956" t="e">
            <v>#N/A</v>
          </cell>
          <cell r="G956" t="e">
            <v>#N/A</v>
          </cell>
        </row>
        <row r="957">
          <cell r="A957">
            <v>41036</v>
          </cell>
          <cell r="B957" t="str">
            <v>Remoção de superestrutura de pontes com auxilio de guindaste para 40 toneladas</v>
          </cell>
          <cell r="C957" t="str">
            <v>t</v>
          </cell>
          <cell r="D957">
            <v>99.11</v>
          </cell>
          <cell r="E957">
            <v>0</v>
          </cell>
          <cell r="F957" t="e">
            <v>#N/A</v>
          </cell>
          <cell r="G957" t="e">
            <v>#N/A</v>
          </cell>
        </row>
        <row r="958">
          <cell r="A958">
            <v>41423</v>
          </cell>
          <cell r="B958" t="str">
            <v>Tabuleiro em vigas pré-moldadas CL.45, com ou sem laje entre vigas, vão de 10,00 m, inclusive descarga e assentamento das vigas</v>
          </cell>
          <cell r="C958" t="str">
            <v>m²</v>
          </cell>
          <cell r="D958">
            <v>2818.86</v>
          </cell>
          <cell r="E958">
            <v>0</v>
          </cell>
          <cell r="F958" t="e">
            <v>#N/A</v>
          </cell>
          <cell r="G958" t="e">
            <v>#N/A</v>
          </cell>
        </row>
        <row r="959">
          <cell r="A959">
            <v>41424</v>
          </cell>
          <cell r="B959" t="str">
            <v>Tabuleiro em vigas pré-moldadas CL.45, com ou sem laje entre vigas, vão de 11,00 m, inclusive descarga e assentamento das vigas</v>
          </cell>
          <cell r="C959" t="str">
            <v>m²</v>
          </cell>
          <cell r="D959">
            <v>2774.2</v>
          </cell>
          <cell r="E959">
            <v>0</v>
          </cell>
          <cell r="F959" t="e">
            <v>#N/A</v>
          </cell>
          <cell r="G959" t="e">
            <v>#N/A</v>
          </cell>
        </row>
        <row r="960">
          <cell r="A960">
            <v>41425</v>
          </cell>
          <cell r="B960" t="str">
            <v>Tabuleiro em vigas pré-moldadas CL.45, com ou sem laje entre vigas, vão de 12,00 m, inclusive descarga e assentamento das vigas</v>
          </cell>
          <cell r="C960" t="str">
            <v>m²</v>
          </cell>
          <cell r="D960">
            <v>3047.68</v>
          </cell>
          <cell r="E960">
            <v>0</v>
          </cell>
          <cell r="F960" t="e">
            <v>#N/A</v>
          </cell>
          <cell r="G960" t="e">
            <v>#N/A</v>
          </cell>
        </row>
        <row r="961">
          <cell r="A961">
            <v>41426</v>
          </cell>
          <cell r="B961" t="str">
            <v>Tabuleiro em vigas pré-moldadas CL.45, com ou sem laje entre vigas, vão de 13,00 m, inclusive descarga e assentamento das vigas</v>
          </cell>
          <cell r="C961" t="str">
            <v>m²</v>
          </cell>
          <cell r="D961">
            <v>3182.92</v>
          </cell>
          <cell r="E961">
            <v>0</v>
          </cell>
          <cell r="F961" t="e">
            <v>#N/A</v>
          </cell>
          <cell r="G961" t="e">
            <v>#N/A</v>
          </cell>
        </row>
        <row r="962">
          <cell r="A962">
            <v>41428</v>
          </cell>
          <cell r="B962" t="str">
            <v>Tabuleiro em vigas pré-moldadas CL.45, com ou sem laje entre vigas, vão de 15,00 m, inclusive descarga e assentamento das vigas</v>
          </cell>
          <cell r="C962" t="str">
            <v>m²</v>
          </cell>
          <cell r="D962">
            <v>3304.21</v>
          </cell>
          <cell r="E962">
            <v>0</v>
          </cell>
          <cell r="F962" t="e">
            <v>#N/A</v>
          </cell>
          <cell r="G962" t="e">
            <v>#N/A</v>
          </cell>
        </row>
        <row r="963">
          <cell r="A963">
            <v>41417</v>
          </cell>
          <cell r="B963" t="str">
            <v>Tabuleiro em vigas pré-moldadas CL.45, com ou sem laje entre vigas, vão de 4,00 m, inclusive descarga e assentamento das vigas</v>
          </cell>
          <cell r="C963" t="str">
            <v>m²</v>
          </cell>
          <cell r="D963">
            <v>2111.67</v>
          </cell>
          <cell r="E963">
            <v>0</v>
          </cell>
          <cell r="F963" t="e">
            <v>#N/A</v>
          </cell>
          <cell r="G963" t="e">
            <v>#N/A</v>
          </cell>
        </row>
        <row r="964">
          <cell r="A964">
            <v>41418</v>
          </cell>
          <cell r="B964" t="str">
            <v>Tabuleiro em vigas pré-moldadas CL.45, com ou sem laje entre vigas, vão de 5,00 m, inclusive descarga e assentamento das vigas</v>
          </cell>
          <cell r="C964" t="str">
            <v>m²</v>
          </cell>
          <cell r="D964">
            <v>2149.4499999999998</v>
          </cell>
          <cell r="E964">
            <v>0</v>
          </cell>
          <cell r="F964" t="e">
            <v>#N/A</v>
          </cell>
          <cell r="G964" t="e">
            <v>#N/A</v>
          </cell>
        </row>
        <row r="965">
          <cell r="A965">
            <v>41419</v>
          </cell>
          <cell r="B965" t="str">
            <v>Tabuleiro em vigas pré-moldadas CL.45, com ou sem laje entre vigas, vão de 6,00 m, inclusive descarga e assentamento das vigas</v>
          </cell>
          <cell r="C965" t="str">
            <v>m²</v>
          </cell>
          <cell r="D965">
            <v>2220.1999999999998</v>
          </cell>
          <cell r="E965">
            <v>0</v>
          </cell>
          <cell r="F965" t="e">
            <v>#N/A</v>
          </cell>
          <cell r="G965" t="e">
            <v>#N/A</v>
          </cell>
        </row>
        <row r="966">
          <cell r="A966">
            <v>41420</v>
          </cell>
          <cell r="B966" t="str">
            <v>Tabuleiro em vigas pré-moldadas CL.45, com ou sem laje entre vigas, vão de 7,00 m, inclusive descarga e assentamento das vigas</v>
          </cell>
          <cell r="C966" t="str">
            <v>m²</v>
          </cell>
          <cell r="D966">
            <v>2476.84</v>
          </cell>
          <cell r="E966">
            <v>0</v>
          </cell>
          <cell r="F966" t="e">
            <v>#N/A</v>
          </cell>
          <cell r="G966" t="e">
            <v>#N/A</v>
          </cell>
        </row>
        <row r="967">
          <cell r="A967">
            <v>41421</v>
          </cell>
          <cell r="B967" t="str">
            <v>Tabuleiro em vigas pré-moldadas CL.45, com ou sem laje entre vigas, vão de 8,00 m, inclusive descarga e assentamento das vigas</v>
          </cell>
          <cell r="C967" t="str">
            <v>m²</v>
          </cell>
          <cell r="D967">
            <v>2734.22</v>
          </cell>
          <cell r="E967">
            <v>0</v>
          </cell>
          <cell r="F967" t="e">
            <v>#N/A</v>
          </cell>
          <cell r="G967" t="e">
            <v>#N/A</v>
          </cell>
        </row>
        <row r="968">
          <cell r="A968">
            <v>41422</v>
          </cell>
          <cell r="B968" t="str">
            <v>Tabuleiro em vigas pré-moldadas CL.45, com ou sem laje entre vigas, vão de 9,00 m, inclusive descarga e assentamento das vigas</v>
          </cell>
          <cell r="C968" t="str">
            <v>m²</v>
          </cell>
          <cell r="D968">
            <v>2823.22</v>
          </cell>
          <cell r="E968">
            <v>0</v>
          </cell>
          <cell r="F968" t="e">
            <v>#N/A</v>
          </cell>
          <cell r="G968" t="e">
            <v>#N/A</v>
          </cell>
        </row>
        <row r="969">
          <cell r="A969">
            <v>41427</v>
          </cell>
          <cell r="B969" t="str">
            <v>Tabuleiro em vigas pré-moldadas CL.45, com ou sem laje entre vigas, vão 14,00 m, inclusive descarga e assentamento das vigas</v>
          </cell>
          <cell r="C969" t="str">
            <v>m²</v>
          </cell>
          <cell r="D969">
            <v>3267.72</v>
          </cell>
          <cell r="E969">
            <v>0</v>
          </cell>
          <cell r="F969" t="e">
            <v>#N/A</v>
          </cell>
          <cell r="G969" t="e">
            <v>#N/A</v>
          </cell>
        </row>
        <row r="970">
          <cell r="A970">
            <v>0</v>
          </cell>
          <cell r="B970">
            <v>0</v>
          </cell>
          <cell r="C970">
            <v>0</v>
          </cell>
          <cell r="D970">
            <v>0</v>
          </cell>
          <cell r="E970" t="e">
            <v>#N/A</v>
          </cell>
          <cell r="F970" t="e">
            <v>#N/A</v>
          </cell>
          <cell r="G970" t="e">
            <v>#N/A</v>
          </cell>
        </row>
        <row r="971">
          <cell r="A971" t="str">
            <v>Grupo de Serviço: 37 - OBRAS DE ARTE ESPECIAIS</v>
          </cell>
          <cell r="B971">
            <v>0</v>
          </cell>
          <cell r="C971">
            <v>0</v>
          </cell>
          <cell r="E971" t="e">
            <v>#N/A</v>
          </cell>
          <cell r="F971" t="e">
            <v>#N/A</v>
          </cell>
          <cell r="G971" t="e">
            <v>#N/A</v>
          </cell>
        </row>
        <row r="972">
          <cell r="A972">
            <v>40381</v>
          </cell>
          <cell r="B972" t="str">
            <v>Acabamento em concreto fresco (15,0 MPA), para pavimento, inclusive endurecedor químico de superfície</v>
          </cell>
          <cell r="C972" t="str">
            <v>m²</v>
          </cell>
          <cell r="D972">
            <v>18.55</v>
          </cell>
          <cell r="E972">
            <v>0</v>
          </cell>
          <cell r="F972" t="e">
            <v>#N/A</v>
          </cell>
          <cell r="G972" t="e">
            <v>#N/A</v>
          </cell>
        </row>
        <row r="973">
          <cell r="A973">
            <v>41260</v>
          </cell>
          <cell r="B973" t="str">
            <v>Acessório para tirante protendido de aço Rocsolo ou similar diâmetro 29,3 mm</v>
          </cell>
          <cell r="C973" t="str">
            <v>un</v>
          </cell>
          <cell r="D973">
            <v>782.93</v>
          </cell>
          <cell r="E973" t="str">
            <v>A incluir</v>
          </cell>
          <cell r="F973" t="e">
            <v>#N/A</v>
          </cell>
          <cell r="G973" t="e">
            <v>#N/A</v>
          </cell>
        </row>
        <row r="974">
          <cell r="A974">
            <v>41045</v>
          </cell>
          <cell r="B974" t="str">
            <v>Acessório para tirante protendido de aço ST 85/105</v>
          </cell>
          <cell r="C974" t="str">
            <v>un</v>
          </cell>
          <cell r="D974">
            <v>779.61</v>
          </cell>
          <cell r="E974" t="str">
            <v>A incluir</v>
          </cell>
          <cell r="F974" t="e">
            <v>#N/A</v>
          </cell>
          <cell r="G974" t="e">
            <v>#N/A</v>
          </cell>
        </row>
        <row r="975">
          <cell r="A975">
            <v>40387</v>
          </cell>
          <cell r="B975" t="str">
            <v>Aparelho de apoio de neoprene fretado, fornecimento e assentamento, inclusive grauteamento e transporte do neoprene</v>
          </cell>
          <cell r="C975" t="str">
            <v>dm³</v>
          </cell>
          <cell r="D975">
            <v>139.96</v>
          </cell>
          <cell r="E975" t="str">
            <v>A incluir</v>
          </cell>
          <cell r="F975" t="e">
            <v>#N/A</v>
          </cell>
          <cell r="G975" t="e">
            <v>#N/A</v>
          </cell>
        </row>
        <row r="976">
          <cell r="A976">
            <v>40339</v>
          </cell>
          <cell r="B976" t="str">
            <v>Cantoneiras (2 1/2" x 2 1/2" x 5/16") para extremidade de laje, fornecimento, montagem e pintura</v>
          </cell>
          <cell r="C976" t="str">
            <v>m</v>
          </cell>
          <cell r="D976">
            <v>62.7</v>
          </cell>
          <cell r="E976">
            <v>0</v>
          </cell>
          <cell r="F976" t="e">
            <v>#N/A</v>
          </cell>
          <cell r="G976" t="e">
            <v>#N/A</v>
          </cell>
        </row>
        <row r="977">
          <cell r="A977">
            <v>40379</v>
          </cell>
          <cell r="B977" t="str">
            <v>Chapas de aço SAC 41 de 1/4" para passarelas, fornecimento, soldagem e montagem</v>
          </cell>
          <cell r="C977" t="str">
            <v>kg</v>
          </cell>
          <cell r="D977">
            <v>8.1300000000000008</v>
          </cell>
          <cell r="E977" t="str">
            <v>A incluir</v>
          </cell>
          <cell r="F977" t="e">
            <v>#N/A</v>
          </cell>
          <cell r="G977" t="e">
            <v>#N/A</v>
          </cell>
        </row>
        <row r="978">
          <cell r="A978">
            <v>42875</v>
          </cell>
          <cell r="B978" t="str">
            <v>Chumbador de aço de 25 mm, inclusive proteção anticorrosiva, exclusive a injeção e a perfuração</v>
          </cell>
          <cell r="C978" t="str">
            <v>m</v>
          </cell>
          <cell r="D978">
            <v>36.020000000000003</v>
          </cell>
          <cell r="E978">
            <v>0</v>
          </cell>
          <cell r="F978" t="e">
            <v>#N/A</v>
          </cell>
          <cell r="G978" t="e">
            <v>#N/A</v>
          </cell>
        </row>
        <row r="979">
          <cell r="A979">
            <v>40991</v>
          </cell>
          <cell r="B979" t="str">
            <v>Colagem das mantas de borracha nos berços de apoio das placas, com Sikadur 32 ou equivalente, fornecimento e aplicação</v>
          </cell>
          <cell r="C979" t="str">
            <v>kg</v>
          </cell>
          <cell r="D979">
            <v>106.11</v>
          </cell>
          <cell r="E979">
            <v>0</v>
          </cell>
          <cell r="F979" t="e">
            <v>#N/A</v>
          </cell>
          <cell r="G979" t="e">
            <v>#N/A</v>
          </cell>
        </row>
        <row r="980">
          <cell r="A980">
            <v>40382</v>
          </cell>
          <cell r="B980" t="str">
            <v>Concreto projetado com cimento especial</v>
          </cell>
          <cell r="C980" t="str">
            <v>m³</v>
          </cell>
          <cell r="D980">
            <v>617.21</v>
          </cell>
          <cell r="E980">
            <v>0</v>
          </cell>
          <cell r="F980" t="e">
            <v>#N/A</v>
          </cell>
          <cell r="G980" t="e">
            <v>#N/A</v>
          </cell>
        </row>
        <row r="981">
          <cell r="A981">
            <v>42660</v>
          </cell>
          <cell r="B981" t="str">
            <v>Concreto projetado com cimento especial, inclusive aditivo de pega Sigunit STM-35 AF</v>
          </cell>
          <cell r="C981" t="str">
            <v>m³</v>
          </cell>
          <cell r="D981">
            <v>658.8</v>
          </cell>
          <cell r="E981">
            <v>0</v>
          </cell>
          <cell r="F981" t="e">
            <v>#N/A</v>
          </cell>
          <cell r="G981" t="e">
            <v>#N/A</v>
          </cell>
        </row>
        <row r="982">
          <cell r="A982">
            <v>40401</v>
          </cell>
          <cell r="B982" t="str">
            <v>Cone de ancoragem de cabo de aço com 12 cordoalhas de 1/2", inclusive protensão dos cabos</v>
          </cell>
          <cell r="C982" t="str">
            <v>un</v>
          </cell>
          <cell r="D982">
            <v>1822.44</v>
          </cell>
          <cell r="E982" t="str">
            <v>A incluir</v>
          </cell>
          <cell r="F982" t="e">
            <v>#N/A</v>
          </cell>
          <cell r="G982" t="e">
            <v>#N/A</v>
          </cell>
        </row>
        <row r="983">
          <cell r="A983">
            <v>41200</v>
          </cell>
          <cell r="B983" t="str">
            <v>Conectores diâmetro 16mm (h=10cm), fornecimento e soldagem</v>
          </cell>
          <cell r="C983" t="str">
            <v>un</v>
          </cell>
          <cell r="D983">
            <v>24.03</v>
          </cell>
          <cell r="E983">
            <v>0</v>
          </cell>
          <cell r="F983" t="e">
            <v>#N/A</v>
          </cell>
          <cell r="G983" t="e">
            <v>#N/A</v>
          </cell>
        </row>
        <row r="984">
          <cell r="A984">
            <v>42876</v>
          </cell>
          <cell r="B984" t="str">
            <v>Escoramento contínuo de cavas em estaca prancha de largura até 4000 mm</v>
          </cell>
          <cell r="C984" t="str">
            <v>m²</v>
          </cell>
          <cell r="D984">
            <v>120.45</v>
          </cell>
          <cell r="E984">
            <v>0</v>
          </cell>
          <cell r="F984" t="e">
            <v>#N/A</v>
          </cell>
          <cell r="G984" t="e">
            <v>#N/A</v>
          </cell>
        </row>
        <row r="985">
          <cell r="A985">
            <v>42239</v>
          </cell>
          <cell r="B985" t="str">
            <v>Escoramento de O.A.E. diretamente sobre o solo, inclusive fornecimento e transporte das madeiras</v>
          </cell>
          <cell r="C985" t="str">
            <v>m³</v>
          </cell>
          <cell r="D985">
            <v>133.96</v>
          </cell>
          <cell r="E985" t="str">
            <v>A incluir</v>
          </cell>
          <cell r="F985" t="e">
            <v>#N/A</v>
          </cell>
          <cell r="G985" t="e">
            <v>#N/A</v>
          </cell>
        </row>
        <row r="986">
          <cell r="A986">
            <v>40329</v>
          </cell>
          <cell r="B986" t="str">
            <v>Escoramento e cimbramento (pontes e pontilhões), inclusive fornecimento e transporte das madeiras</v>
          </cell>
          <cell r="C986" t="str">
            <v>m³</v>
          </cell>
          <cell r="D986">
            <v>155.22</v>
          </cell>
          <cell r="E986" t="str">
            <v>A incluir</v>
          </cell>
          <cell r="F986" t="e">
            <v>#N/A</v>
          </cell>
          <cell r="G986" t="e">
            <v>#N/A</v>
          </cell>
        </row>
        <row r="987">
          <cell r="A987">
            <v>41195</v>
          </cell>
          <cell r="B987" t="str">
            <v>Estrutura metálica provisória para macaqueamento de laje de ponte</v>
          </cell>
          <cell r="C987" t="str">
            <v>kg</v>
          </cell>
          <cell r="D987">
            <v>8.08</v>
          </cell>
          <cell r="E987">
            <v>0</v>
          </cell>
          <cell r="F987" t="e">
            <v>#N/A</v>
          </cell>
          <cell r="G987" t="e">
            <v>#N/A</v>
          </cell>
        </row>
        <row r="988">
          <cell r="A988">
            <v>40315</v>
          </cell>
          <cell r="B988" t="str">
            <v>Formas curvas de madeira sem reutilização, inclusive fornecimento e transporte das madeiras</v>
          </cell>
          <cell r="C988" t="str">
            <v>m²</v>
          </cell>
          <cell r="D988">
            <v>265.92</v>
          </cell>
          <cell r="E988" t="str">
            <v>A incluir</v>
          </cell>
          <cell r="F988" t="e">
            <v>#N/A</v>
          </cell>
          <cell r="G988" t="e">
            <v>#N/A</v>
          </cell>
        </row>
        <row r="989">
          <cell r="A989">
            <v>40314</v>
          </cell>
          <cell r="B989" t="str">
            <v>Formas planas de madeira com 05 (cinco) utilizações (guarda-corpo de pontes), inclusive fornecimento e transportes das madeiras</v>
          </cell>
          <cell r="C989" t="str">
            <v>m²</v>
          </cell>
          <cell r="D989">
            <v>108.52</v>
          </cell>
          <cell r="E989" t="str">
            <v>A incluir</v>
          </cell>
          <cell r="F989" t="e">
            <v>#N/A</v>
          </cell>
          <cell r="G989" t="e">
            <v>#N/A</v>
          </cell>
        </row>
        <row r="990">
          <cell r="A990">
            <v>40321</v>
          </cell>
          <cell r="B990" t="str">
            <v>Formas planas de madeirit meso e superestrutura com 1 reaproveitamento esp. = 14 mm, inclusive fornecimento e transporte das madeiras</v>
          </cell>
          <cell r="C990" t="str">
            <v>m²</v>
          </cell>
          <cell r="D990">
            <v>76.52</v>
          </cell>
          <cell r="E990" t="str">
            <v>A incluir</v>
          </cell>
          <cell r="F990" t="e">
            <v>#N/A</v>
          </cell>
          <cell r="G990" t="e">
            <v>#N/A</v>
          </cell>
        </row>
        <row r="991">
          <cell r="A991">
            <v>40323</v>
          </cell>
          <cell r="B991" t="str">
            <v>Formas planas de madeirit meso e superestrutura com 1 reaproveitamento esp. = 17 mm, inclusive fornecimento e transporte das madeiras</v>
          </cell>
          <cell r="C991" t="str">
            <v>m²</v>
          </cell>
          <cell r="D991">
            <v>79.38</v>
          </cell>
          <cell r="E991" t="str">
            <v>A incluir</v>
          </cell>
          <cell r="F991" t="e">
            <v>#N/A</v>
          </cell>
          <cell r="G991" t="e">
            <v>#N/A</v>
          </cell>
        </row>
        <row r="992">
          <cell r="A992">
            <v>40324</v>
          </cell>
          <cell r="B992" t="str">
            <v>Formas planas de madeirit meso e superestrutura com 2 reaproveitamentos esp. = 17 mm, inclusive fornecimento e transporte das madeiras</v>
          </cell>
          <cell r="C992" t="str">
            <v>m²</v>
          </cell>
          <cell r="D992">
            <v>68.94</v>
          </cell>
          <cell r="E992" t="str">
            <v>A incluir</v>
          </cell>
          <cell r="F992">
            <v>69.33</v>
          </cell>
          <cell r="G992">
            <v>1.0056570931244599</v>
          </cell>
        </row>
        <row r="993">
          <cell r="A993">
            <v>40325</v>
          </cell>
          <cell r="B993" t="str">
            <v>Formas planas de madeirit meso e superestrutura com 4 reaproveitamentos esp. = 17 mm, inclusive fornecimento e transporte das madeiras</v>
          </cell>
          <cell r="C993" t="str">
            <v>m²</v>
          </cell>
          <cell r="D993">
            <v>59.88</v>
          </cell>
          <cell r="E993" t="str">
            <v>A incluir</v>
          </cell>
          <cell r="F993" t="e">
            <v>#N/A</v>
          </cell>
          <cell r="G993" t="e">
            <v>#N/A</v>
          </cell>
        </row>
        <row r="994">
          <cell r="A994">
            <v>40319</v>
          </cell>
          <cell r="B994" t="str">
            <v>Formas planas de madeirit meso e superestrutura sem reaproveitamento esp. = 10 mm, inclusive fornecimento e transporte das madeiras</v>
          </cell>
          <cell r="C994" t="str">
            <v>m²</v>
          </cell>
          <cell r="D994">
            <v>96.52</v>
          </cell>
          <cell r="E994" t="str">
            <v>A incluir</v>
          </cell>
          <cell r="F994" t="e">
            <v>#N/A</v>
          </cell>
          <cell r="G994" t="e">
            <v>#N/A</v>
          </cell>
        </row>
        <row r="995">
          <cell r="A995">
            <v>40320</v>
          </cell>
          <cell r="B995" t="str">
            <v>Formas planas de madeirit meso e superestrutura sem reaproveitamento esp. = 14 mm, inclusive fornecimento e transporte das madeiras</v>
          </cell>
          <cell r="C995" t="str">
            <v>m²</v>
          </cell>
          <cell r="D995">
            <v>107.69</v>
          </cell>
          <cell r="E995" t="str">
            <v>A incluir</v>
          </cell>
          <cell r="F995" t="e">
            <v>#N/A</v>
          </cell>
          <cell r="G995" t="e">
            <v>#N/A</v>
          </cell>
        </row>
        <row r="996">
          <cell r="A996">
            <v>40322</v>
          </cell>
          <cell r="B996" t="str">
            <v>Formas planas de madeirit meso e superestrutura sem reaproveitamento esp. = 17 mm, inclusive fornecimento e transporte das madeiras</v>
          </cell>
          <cell r="C996" t="str">
            <v>m²</v>
          </cell>
          <cell r="D996">
            <v>112.54</v>
          </cell>
          <cell r="E996" t="str">
            <v>A incluir</v>
          </cell>
          <cell r="F996" t="e">
            <v>#N/A</v>
          </cell>
          <cell r="G996" t="e">
            <v>#N/A</v>
          </cell>
        </row>
        <row r="997">
          <cell r="A997">
            <v>40342</v>
          </cell>
          <cell r="B997" t="str">
            <v>Furação, fornecimento e fixação de grampos diam.16 mm com resina epoxi (prof. 50 cm)</v>
          </cell>
          <cell r="C997" t="str">
            <v>un</v>
          </cell>
          <cell r="D997">
            <v>35.36</v>
          </cell>
          <cell r="E997">
            <v>0</v>
          </cell>
          <cell r="F997" t="e">
            <v>#N/A</v>
          </cell>
          <cell r="G997" t="e">
            <v>#N/A</v>
          </cell>
        </row>
        <row r="998">
          <cell r="A998">
            <v>40338</v>
          </cell>
          <cell r="B998" t="str">
            <v>Furação, fornecimento e fixação de grampos 10 mm com resina epoxi</v>
          </cell>
          <cell r="C998" t="str">
            <v>un</v>
          </cell>
          <cell r="D998">
            <v>26.46</v>
          </cell>
          <cell r="E998">
            <v>0</v>
          </cell>
          <cell r="F998" t="e">
            <v>#N/A</v>
          </cell>
          <cell r="G998" t="e">
            <v>#N/A</v>
          </cell>
        </row>
        <row r="999">
          <cell r="A999">
            <v>40341</v>
          </cell>
          <cell r="B999" t="str">
            <v>Furação, fornecimento e fixação de grampos 12,5 mm com resina epoxi em vigas pré- moldadas</v>
          </cell>
          <cell r="C999" t="str">
            <v>un</v>
          </cell>
          <cell r="D999">
            <v>7.1</v>
          </cell>
          <cell r="E999">
            <v>0</v>
          </cell>
          <cell r="F999" t="e">
            <v>#N/A</v>
          </cell>
          <cell r="G999" t="e">
            <v>#N/A</v>
          </cell>
        </row>
        <row r="1000">
          <cell r="A1000">
            <v>40416</v>
          </cell>
          <cell r="B1000" t="str">
            <v>Guarda corpo em toras de eucalipto conf. projeto</v>
          </cell>
          <cell r="C1000" t="str">
            <v>m</v>
          </cell>
          <cell r="D1000">
            <v>265.08</v>
          </cell>
          <cell r="E1000">
            <v>0</v>
          </cell>
          <cell r="F1000" t="e">
            <v>#N/A</v>
          </cell>
          <cell r="G1000" t="e">
            <v>#N/A</v>
          </cell>
        </row>
        <row r="1001">
          <cell r="A1001">
            <v>40389</v>
          </cell>
          <cell r="B1001" t="str">
            <v>Guarda corpo metálico</v>
          </cell>
          <cell r="C1001" t="str">
            <v>m</v>
          </cell>
          <cell r="D1001">
            <v>64.59</v>
          </cell>
          <cell r="E1001">
            <v>0</v>
          </cell>
          <cell r="F1001" t="e">
            <v>#N/A</v>
          </cell>
          <cell r="G1001" t="e">
            <v>#N/A</v>
          </cell>
        </row>
        <row r="1002">
          <cell r="A1002">
            <v>40388</v>
          </cell>
          <cell r="B1002" t="str">
            <v>Guarda corpo padrão (tipo DNIT)</v>
          </cell>
          <cell r="C1002" t="str">
            <v>m</v>
          </cell>
          <cell r="D1002">
            <v>256.7</v>
          </cell>
          <cell r="E1002">
            <v>0</v>
          </cell>
          <cell r="F1002" t="e">
            <v>#N/A</v>
          </cell>
          <cell r="G1002" t="e">
            <v>#N/A</v>
          </cell>
        </row>
        <row r="1003">
          <cell r="A1003">
            <v>41232</v>
          </cell>
          <cell r="B1003" t="str">
            <v>Hidrojateamento de superfícies de concreto</v>
          </cell>
          <cell r="C1003" t="str">
            <v>m²</v>
          </cell>
          <cell r="D1003">
            <v>10.49</v>
          </cell>
          <cell r="E1003">
            <v>0</v>
          </cell>
          <cell r="F1003" t="e">
            <v>#N/A</v>
          </cell>
          <cell r="G1003" t="e">
            <v>#N/A</v>
          </cell>
        </row>
        <row r="1004">
          <cell r="A1004">
            <v>40402</v>
          </cell>
          <cell r="B1004" t="str">
            <v>Hidrojateamento de superfícies metálicas</v>
          </cell>
          <cell r="C1004" t="str">
            <v>m²</v>
          </cell>
          <cell r="D1004">
            <v>27.58</v>
          </cell>
          <cell r="E1004">
            <v>0</v>
          </cell>
          <cell r="F1004" t="e">
            <v>#N/A</v>
          </cell>
          <cell r="G1004" t="e">
            <v>#N/A</v>
          </cell>
        </row>
        <row r="1005">
          <cell r="A1005">
            <v>41033</v>
          </cell>
          <cell r="B1005" t="str">
            <v>Injeção de calda de cimento para chumbamento de tirantes</v>
          </cell>
          <cell r="C1005" t="str">
            <v>sc</v>
          </cell>
          <cell r="D1005">
            <v>45.09</v>
          </cell>
          <cell r="E1005">
            <v>0</v>
          </cell>
          <cell r="F1005" t="e">
            <v>#N/A</v>
          </cell>
          <cell r="G1005" t="e">
            <v>#N/A</v>
          </cell>
        </row>
        <row r="1006">
          <cell r="A1006">
            <v>41233</v>
          </cell>
          <cell r="B1006" t="str">
            <v>Injeção de epoxi em fissuras, inclusive preparo e montagem de bicos de injeção</v>
          </cell>
          <cell r="C1006" t="str">
            <v>kg</v>
          </cell>
          <cell r="D1006">
            <v>640.64</v>
          </cell>
          <cell r="E1006">
            <v>0</v>
          </cell>
          <cell r="F1006" t="e">
            <v>#N/A</v>
          </cell>
          <cell r="G1006" t="e">
            <v>#N/A</v>
          </cell>
        </row>
        <row r="1007">
          <cell r="A1007">
            <v>40386</v>
          </cell>
          <cell r="B1007" t="str">
            <v>Junta de cantoneira L de 4" x 4" x 3/8"</v>
          </cell>
          <cell r="C1007" t="str">
            <v>m</v>
          </cell>
          <cell r="D1007">
            <v>142.84</v>
          </cell>
          <cell r="E1007" t="str">
            <v>A incluir</v>
          </cell>
          <cell r="F1007" t="e">
            <v>#N/A</v>
          </cell>
          <cell r="G1007" t="e">
            <v>#N/A</v>
          </cell>
        </row>
        <row r="1008">
          <cell r="A1008">
            <v>41199</v>
          </cell>
          <cell r="B1008" t="str">
            <v>Junta de dilatação elástica pré-moldada p/ concreto, tipo fungenband em perfil O-12 de PVC alta densidade, Uniontech ou equival. fornecim./colocação</v>
          </cell>
          <cell r="C1008" t="str">
            <v>m</v>
          </cell>
          <cell r="D1008">
            <v>47.05</v>
          </cell>
          <cell r="E1008">
            <v>0</v>
          </cell>
          <cell r="F1008" t="e">
            <v>#N/A</v>
          </cell>
          <cell r="G1008" t="e">
            <v>#N/A</v>
          </cell>
        </row>
        <row r="1009">
          <cell r="A1009">
            <v>42529</v>
          </cell>
          <cell r="B1009" t="str">
            <v>Junta perfil elastomérico de vedação p/pontes c/abertura média de 25mm ± 10 mm, inclus. lábios poliméricos-Marca Ref JEENE-JJ2540 VV (constr.)</v>
          </cell>
          <cell r="C1009" t="str">
            <v>m</v>
          </cell>
          <cell r="D1009">
            <v>760.53</v>
          </cell>
          <cell r="E1009">
            <v>0</v>
          </cell>
          <cell r="F1009" t="e">
            <v>#N/A</v>
          </cell>
          <cell r="G1009" t="e">
            <v>#N/A</v>
          </cell>
        </row>
        <row r="1010">
          <cell r="A1010">
            <v>40384</v>
          </cell>
          <cell r="B1010" t="str">
            <v>Junta perfil elastomérico de vedação p/pontes c/abertura média de 50 mm ±  25 mm, inclus. lábios poliméricos-Marca Ref.JEENE mod.JJ-5070 (constr.)</v>
          </cell>
          <cell r="C1010" t="str">
            <v>m</v>
          </cell>
          <cell r="D1010">
            <v>1307.19</v>
          </cell>
          <cell r="E1010">
            <v>0</v>
          </cell>
          <cell r="F1010" t="e">
            <v>#N/A</v>
          </cell>
          <cell r="G1010" t="e">
            <v>#N/A</v>
          </cell>
        </row>
        <row r="1011">
          <cell r="A1011">
            <v>40385</v>
          </cell>
          <cell r="B1011" t="str">
            <v>Junta perfil elastomérico de vedação p/pontes c/abertura média de 50mm ± 25mm,inclus. lábios poliméricos-Marca Ref JEENE mod.JJ-5070 VV(substituição)</v>
          </cell>
          <cell r="C1011" t="str">
            <v>m</v>
          </cell>
          <cell r="D1011">
            <v>1342.91</v>
          </cell>
          <cell r="E1011">
            <v>0</v>
          </cell>
          <cell r="F1011" t="e">
            <v>#N/A</v>
          </cell>
          <cell r="G1011" t="e">
            <v>#N/A</v>
          </cell>
        </row>
        <row r="1012">
          <cell r="A1012">
            <v>40393</v>
          </cell>
          <cell r="B1012" t="str">
            <v>Perfuração de concreto</v>
          </cell>
          <cell r="C1012" t="str">
            <v>m</v>
          </cell>
          <cell r="D1012">
            <v>16.079999999999998</v>
          </cell>
          <cell r="E1012">
            <v>0</v>
          </cell>
          <cell r="F1012" t="e">
            <v>#N/A</v>
          </cell>
          <cell r="G1012" t="e">
            <v>#N/A</v>
          </cell>
        </row>
        <row r="1013">
          <cell r="A1013">
            <v>40394</v>
          </cell>
          <cell r="B1013" t="str">
            <v>Perfuração de rocha para fixação de chumbadores</v>
          </cell>
          <cell r="C1013" t="str">
            <v>m</v>
          </cell>
          <cell r="D1013">
            <v>19.18</v>
          </cell>
          <cell r="E1013">
            <v>0</v>
          </cell>
          <cell r="F1013" t="e">
            <v>#N/A</v>
          </cell>
          <cell r="G1013" t="e">
            <v>#N/A</v>
          </cell>
        </row>
        <row r="1014">
          <cell r="A1014">
            <v>40390</v>
          </cell>
          <cell r="B1014" t="str">
            <v>Pintura a cal em pontes (2 demãos)</v>
          </cell>
          <cell r="C1014" t="str">
            <v>m²</v>
          </cell>
          <cell r="D1014">
            <v>3.58</v>
          </cell>
          <cell r="E1014">
            <v>0</v>
          </cell>
          <cell r="F1014" t="e">
            <v>#N/A</v>
          </cell>
          <cell r="G1014" t="e">
            <v>#N/A</v>
          </cell>
        </row>
        <row r="1015">
          <cell r="A1015">
            <v>42256</v>
          </cell>
          <cell r="B1015" t="str">
            <v>Ponte provisoria para movimentação de equipamentos de execução de fundação composta de passadiço de madeira sobre estacas de madeira</v>
          </cell>
          <cell r="C1015" t="str">
            <v>m²</v>
          </cell>
          <cell r="D1015">
            <v>3559.92</v>
          </cell>
          <cell r="E1015" t="str">
            <v>A incluir</v>
          </cell>
          <cell r="F1015" t="e">
            <v>#N/A</v>
          </cell>
          <cell r="G1015" t="e">
            <v>#N/A</v>
          </cell>
        </row>
        <row r="1016">
          <cell r="A1016">
            <v>40400</v>
          </cell>
          <cell r="B1016" t="str">
            <v>Preparo e colocação de 12 cordoalhas de 1/2" (Aço CP-190 RB) nas formas, inclusive injeção de nata de cimento</v>
          </cell>
          <cell r="C1016" t="str">
            <v>kg</v>
          </cell>
          <cell r="D1016">
            <v>10.83</v>
          </cell>
          <cell r="E1016" t="str">
            <v>A incluir</v>
          </cell>
          <cell r="F1016" t="e">
            <v>#N/A</v>
          </cell>
          <cell r="G1016" t="e">
            <v>#N/A</v>
          </cell>
        </row>
        <row r="1017">
          <cell r="A1017">
            <v>41201</v>
          </cell>
          <cell r="B1017" t="str">
            <v>Recuperação estrutural com uso de argamassa polimérica (espessura média=3,5cm)</v>
          </cell>
          <cell r="C1017" t="str">
            <v>m²</v>
          </cell>
          <cell r="D1017">
            <v>766.52</v>
          </cell>
          <cell r="E1017">
            <v>0</v>
          </cell>
          <cell r="F1017" t="e">
            <v>#N/A</v>
          </cell>
          <cell r="G1017" t="e">
            <v>#N/A</v>
          </cell>
        </row>
        <row r="1018">
          <cell r="A1018">
            <v>41035</v>
          </cell>
          <cell r="B1018" t="str">
            <v>Tirante de Aço CA-50, diâmetro de 25mm (1"), para comprimentos até 6m</v>
          </cell>
          <cell r="C1018" t="str">
            <v>m</v>
          </cell>
          <cell r="D1018">
            <v>90.06</v>
          </cell>
          <cell r="E1018">
            <v>0</v>
          </cell>
          <cell r="F1018" t="e">
            <v>#N/A</v>
          </cell>
          <cell r="G1018" t="e">
            <v>#N/A</v>
          </cell>
        </row>
        <row r="1019">
          <cell r="A1019">
            <v>41263</v>
          </cell>
          <cell r="B1019" t="str">
            <v>Tirante de aço Rocsolo ou similar, diâmetro 29,3mm, incluindo fornecimento da barra e da bainha proteção anticorrosiva, preparo e colocação no furo</v>
          </cell>
          <cell r="C1019" t="str">
            <v>m</v>
          </cell>
          <cell r="D1019">
            <v>157.57</v>
          </cell>
          <cell r="E1019">
            <v>0</v>
          </cell>
          <cell r="F1019" t="e">
            <v>#N/A</v>
          </cell>
          <cell r="G1019" t="e">
            <v>#N/A</v>
          </cell>
        </row>
        <row r="1020">
          <cell r="A1020">
            <v>41089</v>
          </cell>
          <cell r="B1020" t="str">
            <v>Tirante de aço ST 50/55, para carga trab. até 22 t, diam.32mm, incluindo fornecimento da bainha proteção anticorrosiva, preparo e colocação no furo.</v>
          </cell>
          <cell r="C1020" t="str">
            <v>m</v>
          </cell>
          <cell r="D1020">
            <v>155.77000000000001</v>
          </cell>
          <cell r="E1020">
            <v>0</v>
          </cell>
          <cell r="F1020" t="e">
            <v>#N/A</v>
          </cell>
          <cell r="G1020" t="e">
            <v>#N/A</v>
          </cell>
        </row>
        <row r="1021">
          <cell r="A1021">
            <v>41039</v>
          </cell>
          <cell r="B1021" t="str">
            <v>Tirante de aço ST 85/105, incluindo fornecimento da barra e da bainha proteção anticorrosiva, preparo e colocação no furo</v>
          </cell>
          <cell r="C1021" t="str">
            <v>m</v>
          </cell>
          <cell r="D1021">
            <v>168.36</v>
          </cell>
          <cell r="E1021">
            <v>0</v>
          </cell>
          <cell r="F1021" t="e">
            <v>#N/A</v>
          </cell>
          <cell r="G1021" t="e">
            <v>#N/A</v>
          </cell>
        </row>
        <row r="1022">
          <cell r="A1022">
            <v>41030</v>
          </cell>
          <cell r="B1022" t="str">
            <v>Tirante protendido em Aço GEWI 50/55 ou similar, diâmetro de 32mm</v>
          </cell>
          <cell r="C1022" t="str">
            <v>m</v>
          </cell>
          <cell r="D1022">
            <v>147.13999999999999</v>
          </cell>
          <cell r="E1022">
            <v>0</v>
          </cell>
          <cell r="F1022" t="e">
            <v>#N/A</v>
          </cell>
          <cell r="G1022" t="e">
            <v>#N/A</v>
          </cell>
        </row>
        <row r="1023">
          <cell r="A1023">
            <v>0</v>
          </cell>
          <cell r="B1023">
            <v>0</v>
          </cell>
          <cell r="C1023">
            <v>0</v>
          </cell>
          <cell r="E1023" t="e">
            <v>#N/A</v>
          </cell>
          <cell r="F1023" t="e">
            <v>#N/A</v>
          </cell>
          <cell r="G1023" t="e">
            <v>#N/A</v>
          </cell>
        </row>
        <row r="1024">
          <cell r="A1024" t="str">
            <v>Grupo de Serviço: 44 - MATERIAIS</v>
          </cell>
          <cell r="B1024">
            <v>0</v>
          </cell>
          <cell r="C1024">
            <v>0</v>
          </cell>
          <cell r="D1024">
            <v>0</v>
          </cell>
          <cell r="E1024" t="e">
            <v>#N/A</v>
          </cell>
          <cell r="F1024" t="e">
            <v>#N/A</v>
          </cell>
          <cell r="G1024" t="e">
            <v>#N/A</v>
          </cell>
        </row>
        <row r="1025">
          <cell r="A1025">
            <v>42045</v>
          </cell>
          <cell r="B1025" t="str">
            <v>Aquisição de solo de jazida comercial (saibreira)</v>
          </cell>
          <cell r="C1025" t="str">
            <v>m³</v>
          </cell>
          <cell r="D1025">
            <v>5.79</v>
          </cell>
          <cell r="E1025">
            <v>0</v>
          </cell>
          <cell r="F1025">
            <v>5.8</v>
          </cell>
          <cell r="G1025">
            <v>1.00172711571675</v>
          </cell>
        </row>
        <row r="1026">
          <cell r="A1026">
            <v>42043</v>
          </cell>
          <cell r="B1026" t="str">
            <v>Bonificação de 15,28% sobre aquisição de materiais</v>
          </cell>
          <cell r="C1026" t="str">
            <v>%</v>
          </cell>
          <cell r="D1026">
            <v>0</v>
          </cell>
          <cell r="E1026">
            <v>0</v>
          </cell>
          <cell r="F1026" t="e">
            <v>#N/A</v>
          </cell>
          <cell r="G1026" t="e">
            <v>#N/A</v>
          </cell>
        </row>
        <row r="1027">
          <cell r="A1027">
            <v>0</v>
          </cell>
          <cell r="B1027">
            <v>0</v>
          </cell>
          <cell r="C1027">
            <v>0</v>
          </cell>
          <cell r="E1027" t="e">
            <v>#N/A</v>
          </cell>
          <cell r="F1027" t="e">
            <v>#N/A</v>
          </cell>
          <cell r="G1027" t="e">
            <v>#N/A</v>
          </cell>
        </row>
        <row r="1028">
          <cell r="A1028" t="str">
            <v>Grupo de Serviço: 61 - TERRAPLENAGEM - VIAS URBANAS</v>
          </cell>
          <cell r="B1028">
            <v>0</v>
          </cell>
          <cell r="C1028">
            <v>0</v>
          </cell>
          <cell r="E1028" t="e">
            <v>#N/A</v>
          </cell>
          <cell r="F1028" t="e">
            <v>#N/A</v>
          </cell>
          <cell r="G1028" t="e">
            <v>#N/A</v>
          </cell>
        </row>
        <row r="1029">
          <cell r="A1029">
            <v>42512</v>
          </cell>
          <cell r="B1029" t="str">
            <v>Carga de material de 1ª categoria em Vias Urbanas</v>
          </cell>
          <cell r="C1029" t="str">
            <v>m³</v>
          </cell>
          <cell r="D1029">
            <v>2.88</v>
          </cell>
          <cell r="E1029">
            <v>0</v>
          </cell>
          <cell r="F1029" t="e">
            <v>#N/A</v>
          </cell>
          <cell r="G1029" t="e">
            <v>#N/A</v>
          </cell>
        </row>
        <row r="1030">
          <cell r="A1030">
            <v>42513</v>
          </cell>
          <cell r="B1030" t="str">
            <v>Carga de material de 2ª categoria (solo, areia, brita, excl. rocha escavada) em Vias Urbanas</v>
          </cell>
          <cell r="C1030" t="str">
            <v>m³</v>
          </cell>
          <cell r="D1030">
            <v>3.74</v>
          </cell>
          <cell r="E1030">
            <v>0</v>
          </cell>
          <cell r="F1030" t="e">
            <v>#N/A</v>
          </cell>
          <cell r="G1030" t="e">
            <v>#N/A</v>
          </cell>
        </row>
        <row r="1031">
          <cell r="A1031">
            <v>42514</v>
          </cell>
          <cell r="B1031" t="str">
            <v>Carga de material de 3ª categoria (rocha) em Vias Urbanas</v>
          </cell>
          <cell r="C1031" t="str">
            <v>m³</v>
          </cell>
          <cell r="D1031">
            <v>5.51</v>
          </cell>
          <cell r="E1031">
            <v>0</v>
          </cell>
          <cell r="F1031" t="e">
            <v>#N/A</v>
          </cell>
          <cell r="G1031" t="e">
            <v>#N/A</v>
          </cell>
        </row>
        <row r="1032">
          <cell r="A1032">
            <v>43349</v>
          </cell>
          <cell r="B1032" t="str">
            <v>Compactação de aterros 100% PI em Vias Urbanas</v>
          </cell>
          <cell r="C1032" t="str">
            <v>m³</v>
          </cell>
          <cell r="D1032">
            <v>6.01</v>
          </cell>
          <cell r="E1032">
            <v>0</v>
          </cell>
          <cell r="F1032" t="e">
            <v>#N/A</v>
          </cell>
          <cell r="G1032" t="e">
            <v>#N/A</v>
          </cell>
        </row>
        <row r="1033">
          <cell r="A1033">
            <v>42515</v>
          </cell>
          <cell r="B1033" t="str">
            <v>Compactação de aterros 100% PN em Vias Urbanas</v>
          </cell>
          <cell r="C1033" t="str">
            <v>m³</v>
          </cell>
          <cell r="D1033">
            <v>4.63</v>
          </cell>
          <cell r="E1033">
            <v>0</v>
          </cell>
          <cell r="F1033" t="e">
            <v>#N/A</v>
          </cell>
          <cell r="G1033" t="e">
            <v>#N/A</v>
          </cell>
        </row>
        <row r="1034">
          <cell r="A1034">
            <v>42523</v>
          </cell>
          <cell r="B1034" t="str">
            <v>Escalonamento de taludes com escavadeira em Vias Urbanas</v>
          </cell>
          <cell r="C1034" t="str">
            <v>m³</v>
          </cell>
          <cell r="D1034">
            <v>7.34</v>
          </cell>
          <cell r="E1034">
            <v>0</v>
          </cell>
          <cell r="F1034" t="e">
            <v>#N/A</v>
          </cell>
          <cell r="G1034" t="e">
            <v>#N/A</v>
          </cell>
        </row>
        <row r="1035">
          <cell r="A1035">
            <v>42525</v>
          </cell>
          <cell r="B1035" t="str">
            <v>Escavação a fogo em material de 3ª categoria, rocha viva, a céu aberto, perfuração a ar comprimido em Vias Urbanas</v>
          </cell>
          <cell r="C1035" t="str">
            <v>m³</v>
          </cell>
          <cell r="D1035">
            <v>56.11</v>
          </cell>
          <cell r="E1035">
            <v>0</v>
          </cell>
          <cell r="F1035" t="e">
            <v>#N/A</v>
          </cell>
          <cell r="G1035" t="e">
            <v>#N/A</v>
          </cell>
        </row>
        <row r="1036">
          <cell r="A1036">
            <v>42576</v>
          </cell>
          <cell r="B1036" t="str">
            <v>Escavação, carga de material de 3ª categoria (fogo controlado) em Vias Urbanas</v>
          </cell>
          <cell r="C1036" t="str">
            <v>m³</v>
          </cell>
          <cell r="D1036">
            <v>97.41</v>
          </cell>
          <cell r="E1036">
            <v>0</v>
          </cell>
          <cell r="F1036" t="e">
            <v>#N/A</v>
          </cell>
          <cell r="G1036" t="e">
            <v>#N/A</v>
          </cell>
        </row>
        <row r="1037">
          <cell r="A1037">
            <v>42577</v>
          </cell>
          <cell r="B1037" t="str">
            <v>Escavação e carga de material de barreira (remoção) em Vias Urbanas</v>
          </cell>
          <cell r="C1037" t="str">
            <v>m³</v>
          </cell>
          <cell r="D1037">
            <v>7.26</v>
          </cell>
          <cell r="E1037">
            <v>0</v>
          </cell>
          <cell r="F1037" t="e">
            <v>#N/A</v>
          </cell>
          <cell r="G1037" t="e">
            <v>#N/A</v>
          </cell>
        </row>
        <row r="1038">
          <cell r="A1038">
            <v>42578</v>
          </cell>
          <cell r="B1038" t="str">
            <v>Escavação e carga de material de 1ª categoria com escavadeira em Vias Urbanas</v>
          </cell>
          <cell r="C1038" t="str">
            <v>m³</v>
          </cell>
          <cell r="D1038">
            <v>3.15</v>
          </cell>
          <cell r="E1038">
            <v>0</v>
          </cell>
          <cell r="F1038" t="e">
            <v>#N/A</v>
          </cell>
          <cell r="G1038" t="e">
            <v>#N/A</v>
          </cell>
        </row>
        <row r="1039">
          <cell r="A1039">
            <v>42580</v>
          </cell>
          <cell r="B1039" t="str">
            <v>Escavação e carga de material de 2ª categoria com escavadeira em Vias Urbanas</v>
          </cell>
          <cell r="C1039" t="str">
            <v>m³</v>
          </cell>
          <cell r="D1039">
            <v>4.66</v>
          </cell>
          <cell r="E1039">
            <v>0</v>
          </cell>
          <cell r="F1039" t="e">
            <v>#N/A</v>
          </cell>
          <cell r="G1039" t="e">
            <v>#N/A</v>
          </cell>
        </row>
        <row r="1040">
          <cell r="A1040">
            <v>42582</v>
          </cell>
          <cell r="B1040" t="str">
            <v>Escavação e carga de material de 3ª categoria (H bancada &gt;1,0 m) em Vias Urbanas</v>
          </cell>
          <cell r="C1040" t="str">
            <v>m³</v>
          </cell>
          <cell r="D1040">
            <v>42.39</v>
          </cell>
          <cell r="E1040">
            <v>0</v>
          </cell>
          <cell r="F1040" t="e">
            <v>#N/A</v>
          </cell>
          <cell r="G1040" t="e">
            <v>#N/A</v>
          </cell>
        </row>
        <row r="1041">
          <cell r="A1041">
            <v>42586</v>
          </cell>
          <cell r="B1041" t="str">
            <v>Fragmentação de rocha (fogacheamento) em Vias Urbanas</v>
          </cell>
          <cell r="C1041" t="str">
            <v>m³</v>
          </cell>
          <cell r="D1041">
            <v>62.32</v>
          </cell>
          <cell r="E1041">
            <v>0</v>
          </cell>
          <cell r="F1041" t="e">
            <v>#N/A</v>
          </cell>
          <cell r="G1041" t="e">
            <v>#N/A</v>
          </cell>
        </row>
        <row r="1042">
          <cell r="A1042">
            <v>42587</v>
          </cell>
          <cell r="B1042" t="str">
            <v>Limpeza de acostamento em Vias Urbanas</v>
          </cell>
          <cell r="C1042" t="str">
            <v>m²</v>
          </cell>
          <cell r="D1042">
            <v>0.65</v>
          </cell>
          <cell r="E1042">
            <v>0</v>
          </cell>
          <cell r="F1042" t="e">
            <v>#N/A</v>
          </cell>
          <cell r="G1042" t="e">
            <v>#N/A</v>
          </cell>
        </row>
        <row r="1043">
          <cell r="A1043">
            <v>42590</v>
          </cell>
          <cell r="B1043" t="str">
            <v>Limpeza e desmatamento em área alagada (pântano) com ferr. man., incl. moto serra em Vias Urbanas</v>
          </cell>
          <cell r="C1043" t="str">
            <v>m²</v>
          </cell>
          <cell r="D1043">
            <v>9.4</v>
          </cell>
          <cell r="E1043">
            <v>0</v>
          </cell>
          <cell r="F1043" t="e">
            <v>#N/A</v>
          </cell>
          <cell r="G1043" t="e">
            <v>#N/A</v>
          </cell>
        </row>
        <row r="1044">
          <cell r="A1044">
            <v>42591</v>
          </cell>
          <cell r="B1044" t="str">
            <v>Pré-fissuramento de taludes de rocha em Vias Urbanas</v>
          </cell>
          <cell r="C1044" t="str">
            <v>m²</v>
          </cell>
          <cell r="D1044">
            <v>34.549999999999997</v>
          </cell>
          <cell r="E1044">
            <v>0</v>
          </cell>
          <cell r="F1044" t="e">
            <v>#N/A</v>
          </cell>
          <cell r="G1044" t="e">
            <v>#N/A</v>
          </cell>
        </row>
        <row r="1045">
          <cell r="A1045">
            <v>42592</v>
          </cell>
          <cell r="B1045" t="str">
            <v>Recomposição vegetal de jazidas, empréstimos e bota-fora em Vias Urbanas</v>
          </cell>
          <cell r="C1045" t="str">
            <v>m²</v>
          </cell>
          <cell r="D1045">
            <v>14.07</v>
          </cell>
          <cell r="E1045" t="str">
            <v>A incluir</v>
          </cell>
          <cell r="F1045" t="e">
            <v>#N/A</v>
          </cell>
          <cell r="G1045" t="e">
            <v>#N/A</v>
          </cell>
        </row>
        <row r="1046">
          <cell r="A1046">
            <v>42593</v>
          </cell>
          <cell r="B1046" t="str">
            <v>Remoção de solos moles, incluindo carregamento mecânico com escavadeira hidráulica em Vias Urbanas</v>
          </cell>
          <cell r="C1046" t="str">
            <v>m³</v>
          </cell>
          <cell r="D1046">
            <v>24.13</v>
          </cell>
          <cell r="E1046">
            <v>0</v>
          </cell>
          <cell r="F1046" t="e">
            <v>#N/A</v>
          </cell>
          <cell r="G1046" t="e">
            <v>#N/A</v>
          </cell>
        </row>
        <row r="1047">
          <cell r="A1047">
            <v>42596</v>
          </cell>
          <cell r="B1047" t="str">
            <v>Transporte horizontal com trator de lâmina de material de 1ª cat. DMTaté 50m em Vias Urbanas</v>
          </cell>
          <cell r="C1047" t="str">
            <v>m³</v>
          </cell>
          <cell r="D1047">
            <v>5.14</v>
          </cell>
          <cell r="E1047">
            <v>0</v>
          </cell>
          <cell r="F1047" t="e">
            <v>#N/A</v>
          </cell>
          <cell r="G1047" t="e">
            <v>#N/A</v>
          </cell>
        </row>
        <row r="1048">
          <cell r="A1048">
            <v>0</v>
          </cell>
          <cell r="B1048">
            <v>0</v>
          </cell>
          <cell r="C1048">
            <v>0</v>
          </cell>
          <cell r="E1048" t="e">
            <v>#N/A</v>
          </cell>
          <cell r="F1048" t="e">
            <v>#N/A</v>
          </cell>
          <cell r="G1048" t="e">
            <v>#N/A</v>
          </cell>
        </row>
        <row r="1049">
          <cell r="A1049" t="str">
            <v>Grupo de Serviço: 62 - PAVIMENTAÇÃO - VIAS URBANAS</v>
          </cell>
          <cell r="B1049">
            <v>0</v>
          </cell>
          <cell r="C1049">
            <v>0</v>
          </cell>
          <cell r="E1049" t="e">
            <v>#N/A</v>
          </cell>
          <cell r="F1049" t="e">
            <v>#N/A</v>
          </cell>
          <cell r="G1049" t="e">
            <v>#N/A</v>
          </cell>
        </row>
        <row r="1050">
          <cell r="A1050">
            <v>42483</v>
          </cell>
          <cell r="B1050" t="str">
            <v>Base de brita graduada, inclusive fornecimento, exclusive transporte da brita em Vias Urbanas</v>
          </cell>
          <cell r="C1050" t="str">
            <v>m³</v>
          </cell>
          <cell r="D1050">
            <v>110.55</v>
          </cell>
          <cell r="E1050">
            <v>0</v>
          </cell>
          <cell r="F1050" t="e">
            <v>#N/A</v>
          </cell>
          <cell r="G1050" t="e">
            <v>#N/A</v>
          </cell>
        </row>
        <row r="1051">
          <cell r="A1051">
            <v>42695</v>
          </cell>
          <cell r="B1051" t="str">
            <v>Base de brita 1, inclusive fornecimento, exclusive transporte da brita em Vias Urbanas</v>
          </cell>
          <cell r="C1051" t="str">
            <v>m³</v>
          </cell>
          <cell r="D1051">
            <v>105.89</v>
          </cell>
          <cell r="E1051">
            <v>0</v>
          </cell>
          <cell r="F1051" t="e">
            <v>#N/A</v>
          </cell>
          <cell r="G1051" t="e">
            <v>#N/A</v>
          </cell>
        </row>
        <row r="1052">
          <cell r="A1052">
            <v>42481</v>
          </cell>
          <cell r="B1052" t="str">
            <v>Base de solo brita, 50% em peso, inclusive fornecimento, exclusive transporte da brita em Vias Urbanas</v>
          </cell>
          <cell r="C1052" t="str">
            <v>m³</v>
          </cell>
          <cell r="D1052">
            <v>73.62</v>
          </cell>
          <cell r="E1052">
            <v>0</v>
          </cell>
          <cell r="F1052" t="e">
            <v>#N/A</v>
          </cell>
          <cell r="G1052" t="e">
            <v>#N/A</v>
          </cell>
        </row>
        <row r="1053">
          <cell r="A1053">
            <v>42508</v>
          </cell>
          <cell r="B1053" t="str">
            <v>CBUQ (massa asfáltica) inclusive fornecimento e transporte comercial do CAP, em Vias Urbanas</v>
          </cell>
          <cell r="C1053" t="str">
            <v>t</v>
          </cell>
          <cell r="D1053">
            <v>255.11</v>
          </cell>
          <cell r="E1053" t="str">
            <v>A incluir</v>
          </cell>
          <cell r="F1053" t="e">
            <v>#N/A</v>
          </cell>
          <cell r="G1053" t="e">
            <v>#N/A</v>
          </cell>
        </row>
        <row r="1054">
          <cell r="A1054">
            <v>42496</v>
          </cell>
          <cell r="B1054" t="str">
            <v>Demolição e remoção de pavimento asfáltico em Vias Urbanas</v>
          </cell>
          <cell r="C1054" t="str">
            <v>m²</v>
          </cell>
          <cell r="D1054">
            <v>3.05</v>
          </cell>
          <cell r="E1054">
            <v>0</v>
          </cell>
          <cell r="F1054" t="e">
            <v>#N/A</v>
          </cell>
          <cell r="G1054" t="e">
            <v>#N/A</v>
          </cell>
        </row>
        <row r="1055">
          <cell r="A1055">
            <v>41133</v>
          </cell>
          <cell r="B1055" t="str">
            <v>Fresagem de pavimento asfáltico a frio, esp. até 15cm, exclusive transporte de materiais, em Vias Urbanas</v>
          </cell>
          <cell r="C1055" t="str">
            <v>m²</v>
          </cell>
          <cell r="D1055">
            <v>10.220000000000001</v>
          </cell>
          <cell r="E1055">
            <v>0</v>
          </cell>
          <cell r="F1055" t="e">
            <v>#N/A</v>
          </cell>
          <cell r="G1055" t="e">
            <v>#N/A</v>
          </cell>
        </row>
        <row r="1056">
          <cell r="A1056">
            <v>42479</v>
          </cell>
          <cell r="B1056" t="str">
            <v>Fresagem de pavimento asfáltico a frio, esp=5cm, exclusive transporte de materiais em Vias Urbanas</v>
          </cell>
          <cell r="C1056" t="str">
            <v>m²</v>
          </cell>
          <cell r="D1056">
            <v>7.25</v>
          </cell>
          <cell r="E1056">
            <v>0</v>
          </cell>
          <cell r="F1056" t="e">
            <v>#N/A</v>
          </cell>
          <cell r="G1056" t="e">
            <v>#N/A</v>
          </cell>
        </row>
        <row r="1057">
          <cell r="A1057">
            <v>43333</v>
          </cell>
          <cell r="B1057" t="str">
            <v>Imprimação exclusive fornecimento e transporte comercial do material betuminoso em Vias Urbanas</v>
          </cell>
          <cell r="C1057" t="str">
            <v>m²</v>
          </cell>
          <cell r="D1057">
            <v>1.02</v>
          </cell>
          <cell r="E1057">
            <v>0</v>
          </cell>
          <cell r="F1057" t="e">
            <v>#N/A</v>
          </cell>
          <cell r="G1057" t="e">
            <v>#N/A</v>
          </cell>
        </row>
        <row r="1058">
          <cell r="A1058">
            <v>42484</v>
          </cell>
          <cell r="B1058" t="str">
            <v>Imprimação inclusive fornecimento e transporte comercial do material betuminoso em Vias Urbanas</v>
          </cell>
          <cell r="C1058" t="str">
            <v>m²</v>
          </cell>
          <cell r="D1058">
            <v>5.73</v>
          </cell>
          <cell r="E1058" t="str">
            <v>A incluir</v>
          </cell>
          <cell r="F1058" t="e">
            <v>#N/A</v>
          </cell>
          <cell r="G1058" t="e">
            <v>#N/A</v>
          </cell>
        </row>
        <row r="1059">
          <cell r="A1059">
            <v>42497</v>
          </cell>
          <cell r="B1059" t="str">
            <v>Micro revestimento asfáltico à frio inclusive fornecimento e transporte comercial do material betuminoso, em Vias Urbanas</v>
          </cell>
          <cell r="C1059" t="str">
            <v>m²</v>
          </cell>
          <cell r="D1059">
            <v>12.55</v>
          </cell>
          <cell r="E1059" t="str">
            <v>A incluir</v>
          </cell>
          <cell r="F1059" t="e">
            <v>#N/A</v>
          </cell>
          <cell r="G1059" t="e">
            <v>#N/A</v>
          </cell>
        </row>
        <row r="1060">
          <cell r="A1060">
            <v>42493</v>
          </cell>
          <cell r="B1060" t="str">
            <v>Obturação de buracos c/ CBUQ inclusive fornecimento e transporte comercial dos materiais betuminosos em Vias Urbanas</v>
          </cell>
          <cell r="C1060" t="str">
            <v>m²</v>
          </cell>
          <cell r="D1060">
            <v>69.92</v>
          </cell>
          <cell r="E1060" t="str">
            <v>A incluir</v>
          </cell>
          <cell r="F1060" t="e">
            <v>#N/A</v>
          </cell>
          <cell r="G1060" t="e">
            <v>#N/A</v>
          </cell>
        </row>
        <row r="1061">
          <cell r="A1061">
            <v>42494</v>
          </cell>
          <cell r="B1061" t="str">
            <v>Obturação de buracos c/ CBUQ inclusive fornecimento e transporte dos materiais betuminosos em Vias Urbanas</v>
          </cell>
          <cell r="C1061" t="str">
            <v>t</v>
          </cell>
          <cell r="D1061">
            <v>370.73</v>
          </cell>
          <cell r="E1061" t="str">
            <v>A incluir</v>
          </cell>
          <cell r="F1061" t="e">
            <v>#N/A</v>
          </cell>
          <cell r="G1061" t="e">
            <v>#N/A</v>
          </cell>
        </row>
        <row r="1062">
          <cell r="A1062">
            <v>42498</v>
          </cell>
          <cell r="B1062" t="str">
            <v>Pavimentação com blocos de concreto (35 MPa), esp.=06cm, sobre colchão areia esp.=5cm, inclusive fornecim. e transporte blocos e areia,  Vias Urbanas</v>
          </cell>
          <cell r="C1062" t="str">
            <v>m²</v>
          </cell>
          <cell r="D1062">
            <v>73.23</v>
          </cell>
          <cell r="E1062" t="str">
            <v>A incluir</v>
          </cell>
          <cell r="F1062" t="e">
            <v>#N/A</v>
          </cell>
          <cell r="G1062" t="e">
            <v>#N/A</v>
          </cell>
        </row>
        <row r="1063">
          <cell r="A1063">
            <v>42499</v>
          </cell>
          <cell r="B1063" t="str">
            <v>Pavimentação com blocos de concreto (35 MPa), esp.=08cm, sobre colchão de areia 5cm, inclusive fornecim. e transporte blocos e areia, em Vias Urbanas</v>
          </cell>
          <cell r="C1063" t="str">
            <v>m²</v>
          </cell>
          <cell r="D1063">
            <v>79.75</v>
          </cell>
          <cell r="E1063" t="str">
            <v>A incluir</v>
          </cell>
          <cell r="F1063" t="e">
            <v>#N/A</v>
          </cell>
          <cell r="G1063" t="e">
            <v>#N/A</v>
          </cell>
        </row>
        <row r="1064">
          <cell r="A1064">
            <v>42500</v>
          </cell>
          <cell r="B1064" t="str">
            <v>Pavimentação com blocos de concreto (35 MPa), esp.=10cm, sobre colchão de areia esp.= 5cm, inclusive fornecim.e transporte blocos e areia,Vias Urbanas</v>
          </cell>
          <cell r="C1064" t="str">
            <v>m²</v>
          </cell>
          <cell r="D1064">
            <v>94.74</v>
          </cell>
          <cell r="E1064" t="str">
            <v>A incluir</v>
          </cell>
          <cell r="F1064" t="e">
            <v>#N/A</v>
          </cell>
          <cell r="G1064" t="e">
            <v>#N/A</v>
          </cell>
        </row>
        <row r="1065">
          <cell r="A1065">
            <v>42501</v>
          </cell>
          <cell r="B1065" t="str">
            <v>Pavimentação com paralelepípedo, colchão areia 5cm, inclusive fornecimento e transporte do paralelepípedo e areia, em Vias Urbanas</v>
          </cell>
          <cell r="C1065" t="str">
            <v>m²</v>
          </cell>
          <cell r="D1065">
            <v>91.84</v>
          </cell>
          <cell r="E1065" t="str">
            <v>A incluir</v>
          </cell>
          <cell r="F1065" t="e">
            <v>#N/A</v>
          </cell>
          <cell r="G1065" t="e">
            <v>#N/A</v>
          </cell>
        </row>
        <row r="1066">
          <cell r="A1066">
            <v>42502</v>
          </cell>
          <cell r="B1066" t="str">
            <v>Pavimentação com paralelepípedo sobre colchão pó de pedra esp.=5cm, inclusive fornecimento e transporte do paralelepípedo e pó de pedra, Vias Urbanas</v>
          </cell>
          <cell r="C1066" t="str">
            <v>m²</v>
          </cell>
          <cell r="D1066">
            <v>90.04</v>
          </cell>
          <cell r="E1066" t="str">
            <v>A incluir</v>
          </cell>
          <cell r="F1066" t="e">
            <v>#N/A</v>
          </cell>
          <cell r="G1066" t="e">
            <v>#N/A</v>
          </cell>
        </row>
        <row r="1067">
          <cell r="A1067">
            <v>42503</v>
          </cell>
          <cell r="B1067" t="str">
            <v>Pavimentação com pedra portuguesa, inclusive fornecimento e transporte do cimento, areia e pedra portuguesa em Vias Urbanas</v>
          </cell>
          <cell r="C1067" t="str">
            <v>m²</v>
          </cell>
          <cell r="D1067">
            <v>125.03</v>
          </cell>
          <cell r="E1067" t="str">
            <v>A incluir</v>
          </cell>
          <cell r="F1067" t="e">
            <v>#N/A</v>
          </cell>
          <cell r="G1067" t="e">
            <v>#N/A</v>
          </cell>
        </row>
        <row r="1068">
          <cell r="A1068">
            <v>43334</v>
          </cell>
          <cell r="B1068" t="str">
            <v>Pintura de ligação exclusive fornecimento e transporte comercial do material betuminoso em Vias Urbanas</v>
          </cell>
          <cell r="C1068" t="str">
            <v>m²</v>
          </cell>
          <cell r="D1068">
            <v>0.85</v>
          </cell>
          <cell r="E1068">
            <v>0</v>
          </cell>
          <cell r="F1068" t="e">
            <v>#N/A</v>
          </cell>
          <cell r="G1068" t="e">
            <v>#N/A</v>
          </cell>
        </row>
        <row r="1069">
          <cell r="A1069">
            <v>42485</v>
          </cell>
          <cell r="B1069" t="str">
            <v>Pintura de ligação inclusive fornecimento e transporte comercial do material betuminoso em Vias Urbanas</v>
          </cell>
          <cell r="C1069" t="str">
            <v>m²</v>
          </cell>
          <cell r="D1069">
            <v>2.0299999999999998</v>
          </cell>
          <cell r="E1069" t="str">
            <v>A incluir</v>
          </cell>
          <cell r="F1069" t="e">
            <v>#N/A</v>
          </cell>
          <cell r="G1069" t="e">
            <v>#N/A</v>
          </cell>
        </row>
        <row r="1070">
          <cell r="A1070">
            <v>42478</v>
          </cell>
          <cell r="B1070" t="str">
            <v>Regularização e compactação do sub-leito (100% P.N.) H=0,15m em Vias Urbanas</v>
          </cell>
          <cell r="C1070" t="str">
            <v>m²</v>
          </cell>
          <cell r="D1070">
            <v>2.88</v>
          </cell>
          <cell r="E1070">
            <v>0</v>
          </cell>
          <cell r="F1070" t="e">
            <v>#N/A</v>
          </cell>
          <cell r="G1070" t="e">
            <v>#N/A</v>
          </cell>
        </row>
        <row r="1071">
          <cell r="A1071">
            <v>42477</v>
          </cell>
          <cell r="B1071" t="str">
            <v>Regularização e compactação do sub-leito (100% P.N.) H=0,20m Vias Urbanas</v>
          </cell>
          <cell r="C1071" t="str">
            <v>m²</v>
          </cell>
          <cell r="D1071">
            <v>3.81</v>
          </cell>
          <cell r="E1071">
            <v>0</v>
          </cell>
          <cell r="F1071" t="e">
            <v>#N/A</v>
          </cell>
          <cell r="G1071" t="e">
            <v>#N/A</v>
          </cell>
        </row>
        <row r="1072">
          <cell r="A1072">
            <v>42495</v>
          </cell>
          <cell r="B1072" t="str">
            <v>Remoção de capa asfáltica em TSS, TSD, ou TST exclusive transporte em Vias Urbanas</v>
          </cell>
          <cell r="C1072" t="str">
            <v>m²</v>
          </cell>
          <cell r="D1072">
            <v>0.98</v>
          </cell>
          <cell r="E1072">
            <v>0</v>
          </cell>
          <cell r="F1072" t="e">
            <v>#N/A</v>
          </cell>
          <cell r="G1072" t="e">
            <v>#N/A</v>
          </cell>
        </row>
        <row r="1073">
          <cell r="A1073">
            <v>42507</v>
          </cell>
          <cell r="B1073" t="str">
            <v>Remoção de meio fio em Vias Urbanas</v>
          </cell>
          <cell r="C1073" t="str">
            <v>m</v>
          </cell>
          <cell r="D1073">
            <v>23.6</v>
          </cell>
          <cell r="E1073">
            <v>0</v>
          </cell>
          <cell r="F1073" t="e">
            <v>#N/A</v>
          </cell>
          <cell r="G1073" t="e">
            <v>#N/A</v>
          </cell>
        </row>
        <row r="1074">
          <cell r="A1074">
            <v>42505</v>
          </cell>
          <cell r="B1074" t="str">
            <v>Remoção de pavimentação poliédrica em Vias Urbanas</v>
          </cell>
          <cell r="C1074" t="str">
            <v>m²</v>
          </cell>
          <cell r="D1074">
            <v>19.149999999999999</v>
          </cell>
          <cell r="E1074">
            <v>0</v>
          </cell>
          <cell r="F1074" t="e">
            <v>#N/A</v>
          </cell>
          <cell r="G1074" t="e">
            <v>#N/A</v>
          </cell>
        </row>
        <row r="1075">
          <cell r="A1075">
            <v>42504</v>
          </cell>
          <cell r="B1075" t="str">
            <v>Remoção e reassentamento de blocos de concreto, inclusive perdas em Vias Urbanas</v>
          </cell>
          <cell r="C1075" t="str">
            <v>m²</v>
          </cell>
          <cell r="D1075">
            <v>45.44</v>
          </cell>
          <cell r="E1075" t="str">
            <v>A incluir</v>
          </cell>
          <cell r="F1075" t="e">
            <v>#N/A</v>
          </cell>
          <cell r="G1075" t="e">
            <v>#N/A</v>
          </cell>
        </row>
        <row r="1076">
          <cell r="A1076">
            <v>42506</v>
          </cell>
          <cell r="B1076" t="str">
            <v>Remoção e reassentamento de paralelepípedos, inclusive perdas em Vias Urbanas</v>
          </cell>
          <cell r="C1076" t="str">
            <v>m²</v>
          </cell>
          <cell r="D1076">
            <v>45.15</v>
          </cell>
          <cell r="E1076" t="str">
            <v>A incluir</v>
          </cell>
          <cell r="F1076" t="e">
            <v>#N/A</v>
          </cell>
          <cell r="G1076" t="e">
            <v>#N/A</v>
          </cell>
        </row>
        <row r="1077">
          <cell r="A1077">
            <v>42482</v>
          </cell>
          <cell r="B1077" t="str">
            <v>Sub-base de brita graduada, inclusive fornecimento e transporte da brita em Vias Urbanas</v>
          </cell>
          <cell r="C1077" t="str">
            <v>m³</v>
          </cell>
          <cell r="D1077">
            <v>105.93</v>
          </cell>
          <cell r="E1077" t="str">
            <v>A incluir</v>
          </cell>
          <cell r="F1077" t="e">
            <v>#N/A</v>
          </cell>
          <cell r="G1077" t="e">
            <v>#N/A</v>
          </cell>
        </row>
        <row r="1078">
          <cell r="A1078">
            <v>42702</v>
          </cell>
          <cell r="B1078" t="str">
            <v>Sub-base de brita 1, inclusive fornecimento, exclusive transporte da brita em Vias Urbanas</v>
          </cell>
          <cell r="C1078" t="str">
            <v>m³</v>
          </cell>
          <cell r="D1078">
            <v>105.89</v>
          </cell>
          <cell r="E1078">
            <v>0</v>
          </cell>
          <cell r="F1078" t="e">
            <v>#N/A</v>
          </cell>
          <cell r="G1078" t="e">
            <v>#N/A</v>
          </cell>
        </row>
        <row r="1079">
          <cell r="A1079">
            <v>42480</v>
          </cell>
          <cell r="B1079" t="str">
            <v>Sub-base solo brita, 50% em peso, inclusive fornecimento e transporte da brita em Vias Urbanas</v>
          </cell>
          <cell r="C1079" t="str">
            <v>m³</v>
          </cell>
          <cell r="D1079">
            <v>73.62</v>
          </cell>
          <cell r="E1079" t="str">
            <v>A incluir</v>
          </cell>
          <cell r="F1079" t="e">
            <v>#N/A</v>
          </cell>
          <cell r="G1079" t="e">
            <v>#N/A</v>
          </cell>
        </row>
        <row r="1080">
          <cell r="A1080">
            <v>42489</v>
          </cell>
          <cell r="B1080" t="str">
            <v>T.S.B.D. com capa selante, executado com Multidistribuidor inclusive fornecimento e transporte da emulsão, areia, brita e lavagem da brita -V. Urbanas</v>
          </cell>
          <cell r="C1080" t="str">
            <v>m²</v>
          </cell>
          <cell r="D1080">
            <v>10.61</v>
          </cell>
          <cell r="E1080" t="str">
            <v>A incluir</v>
          </cell>
          <cell r="F1080" t="e">
            <v>#N/A</v>
          </cell>
          <cell r="G1080" t="e">
            <v>#N/A</v>
          </cell>
        </row>
        <row r="1081">
          <cell r="A1081">
            <v>42487</v>
          </cell>
          <cell r="B1081" t="str">
            <v>T.S.B.D. com capa selante inclusive fornec. areia/brita/emulsão, transporte comerc. emulsão e lavagem brita, exclus. transp. areia e brita - V.Urbana</v>
          </cell>
          <cell r="C1081" t="str">
            <v>m²</v>
          </cell>
          <cell r="D1081">
            <v>15.48</v>
          </cell>
          <cell r="E1081" t="str">
            <v>A incluir</v>
          </cell>
          <cell r="F1081" t="e">
            <v>#N/A</v>
          </cell>
          <cell r="G1081" t="e">
            <v>#N/A</v>
          </cell>
        </row>
        <row r="1082">
          <cell r="A1082">
            <v>42847</v>
          </cell>
          <cell r="B1082" t="str">
            <v>T.S.B.D. com capa selante inclusive fornec.areia/brita/emulsão, transp.comercial emulsão e lavagem brita, exclus. transp. areia e brita- Vias Urbanas</v>
          </cell>
          <cell r="C1082" t="str">
            <v>m²</v>
          </cell>
          <cell r="D1082">
            <v>16.510000000000002</v>
          </cell>
          <cell r="E1082" t="str">
            <v>A incluir</v>
          </cell>
          <cell r="F1082" t="e">
            <v>#N/A</v>
          </cell>
          <cell r="G1082" t="e">
            <v>#N/A</v>
          </cell>
        </row>
        <row r="1083">
          <cell r="A1083">
            <v>42486</v>
          </cell>
          <cell r="B1083" t="str">
            <v>T.S.B.D. sem capa selante, inclusive fornecimento e transporte comercial do material betuminoso e lavagem da brita em Vias Urbanas</v>
          </cell>
          <cell r="C1083" t="str">
            <v>m²</v>
          </cell>
          <cell r="D1083">
            <v>10.01</v>
          </cell>
          <cell r="E1083" t="str">
            <v>A incluir</v>
          </cell>
          <cell r="F1083" t="e">
            <v>#N/A</v>
          </cell>
          <cell r="G1083" t="e">
            <v>#N/A</v>
          </cell>
        </row>
        <row r="1084">
          <cell r="A1084">
            <v>42488</v>
          </cell>
          <cell r="B1084" t="str">
            <v>T.S.B.D. sem capa selante executado com Multidistribuidor excl. forn.e transp. com. da emulsão, inclus. fornecim., transp.e lavagem brita, V.Urbanas</v>
          </cell>
          <cell r="C1084" t="str">
            <v>m²</v>
          </cell>
          <cell r="D1084">
            <v>7.32</v>
          </cell>
          <cell r="E1084" t="str">
            <v>A incluir</v>
          </cell>
          <cell r="F1084" t="e">
            <v>#N/A</v>
          </cell>
          <cell r="G1084" t="e">
            <v>#N/A</v>
          </cell>
        </row>
        <row r="1085">
          <cell r="A1085">
            <v>0</v>
          </cell>
          <cell r="B1085">
            <v>0</v>
          </cell>
          <cell r="C1085">
            <v>0</v>
          </cell>
          <cell r="D1085">
            <v>0</v>
          </cell>
          <cell r="E1085" t="e">
            <v>#N/A</v>
          </cell>
          <cell r="F1085" t="e">
            <v>#N/A</v>
          </cell>
          <cell r="G1085" t="e">
            <v>#N/A</v>
          </cell>
        </row>
        <row r="1086">
          <cell r="A1086" t="str">
            <v>Grupo de Serviço: 63 - OBRAS DE ARTE CORRENTES E DRENAGEM - VIAS URBANAS</v>
          </cell>
          <cell r="B1086">
            <v>0</v>
          </cell>
          <cell r="C1086">
            <v>0</v>
          </cell>
          <cell r="E1086" t="e">
            <v>#N/A</v>
          </cell>
          <cell r="F1086" t="e">
            <v>#N/A</v>
          </cell>
          <cell r="G1086" t="e">
            <v>#N/A</v>
          </cell>
        </row>
        <row r="1087">
          <cell r="A1087">
            <v>42601</v>
          </cell>
          <cell r="B1087" t="str">
            <v>Alvenaria de bloco (39 x 19 x 09) cm espessura 09 cm em Vias Urbanas, inclusive transporte, areia, cimento e bloco</v>
          </cell>
          <cell r="C1087" t="str">
            <v>m²</v>
          </cell>
          <cell r="D1087">
            <v>53.02</v>
          </cell>
          <cell r="E1087" t="str">
            <v>A incluir</v>
          </cell>
          <cell r="F1087" t="e">
            <v>#N/A</v>
          </cell>
          <cell r="G1087" t="e">
            <v>#N/A</v>
          </cell>
        </row>
        <row r="1088">
          <cell r="A1088">
            <v>43602</v>
          </cell>
          <cell r="B1088" t="str">
            <v>Alvenaria de bloco (39 x 19 x 19) cm espessura 19 cm em Vias Urbanas</v>
          </cell>
          <cell r="C1088" t="str">
            <v>m²</v>
          </cell>
          <cell r="D1088">
            <v>80.290000000000006</v>
          </cell>
          <cell r="E1088" t="str">
            <v>A incluir</v>
          </cell>
          <cell r="F1088" t="e">
            <v>#N/A</v>
          </cell>
          <cell r="G1088" t="e">
            <v>#N/A</v>
          </cell>
        </row>
        <row r="1089">
          <cell r="A1089">
            <v>42602</v>
          </cell>
          <cell r="B1089" t="str">
            <v>Alvenaria de bloco (39 x 19 x 19) cm espessura 19 cm, inclusive transporte de areia, cimento e bloco em Vias Urbanas</v>
          </cell>
          <cell r="C1089" t="str">
            <v>m²</v>
          </cell>
          <cell r="D1089">
            <v>87.64</v>
          </cell>
          <cell r="E1089" t="str">
            <v>A incluir</v>
          </cell>
          <cell r="F1089" t="e">
            <v>#N/A</v>
          </cell>
          <cell r="G1089" t="e">
            <v>#N/A</v>
          </cell>
        </row>
        <row r="1090">
          <cell r="A1090">
            <v>42603</v>
          </cell>
          <cell r="B1090" t="str">
            <v>Alvenaria de lajota (20 x 20 x 10) cm espessura 10 cm , inclusive transporte de areia, lajota e cimento, em Vias Urbanas</v>
          </cell>
          <cell r="C1090" t="str">
            <v>m²</v>
          </cell>
          <cell r="D1090">
            <v>62.75</v>
          </cell>
          <cell r="E1090" t="str">
            <v>A incluir</v>
          </cell>
          <cell r="F1090" t="e">
            <v>#N/A</v>
          </cell>
          <cell r="G1090" t="e">
            <v>#N/A</v>
          </cell>
        </row>
        <row r="1091">
          <cell r="A1091">
            <v>42604</v>
          </cell>
          <cell r="B1091" t="str">
            <v>Alvenaria de pedra de mão (junta seca), inclusive transporte da pedra em Vias Urbanas</v>
          </cell>
          <cell r="C1091" t="str">
            <v>m³</v>
          </cell>
          <cell r="D1091">
            <v>251.72</v>
          </cell>
          <cell r="E1091" t="str">
            <v>A incluir</v>
          </cell>
          <cell r="F1091" t="e">
            <v>#N/A</v>
          </cell>
          <cell r="G1091" t="e">
            <v>#N/A</v>
          </cell>
        </row>
        <row r="1092">
          <cell r="A1092">
            <v>42605</v>
          </cell>
          <cell r="B1092" t="str">
            <v>Alvenaria de pedra de mão argamassada (argamassa cimento areia 1:4) inclusive transporte da pedra de mão, em Vias Urbanas</v>
          </cell>
          <cell r="C1092" t="str">
            <v>m³</v>
          </cell>
          <cell r="D1092">
            <v>364.16</v>
          </cell>
          <cell r="E1092" t="str">
            <v>A incluir</v>
          </cell>
          <cell r="F1092" t="e">
            <v>#N/A</v>
          </cell>
          <cell r="G1092" t="e">
            <v>#N/A</v>
          </cell>
        </row>
        <row r="1093">
          <cell r="A1093">
            <v>42606</v>
          </cell>
          <cell r="B1093" t="str">
            <v>Andaime de madeira para altura até 7 m, compreendendo montagem e desmontagem em Vias Urbanas</v>
          </cell>
          <cell r="C1093" t="str">
            <v>m³</v>
          </cell>
          <cell r="D1093">
            <v>21.67</v>
          </cell>
          <cell r="E1093">
            <v>0</v>
          </cell>
          <cell r="F1093" t="e">
            <v>#N/A</v>
          </cell>
          <cell r="G1093" t="e">
            <v>#N/A</v>
          </cell>
        </row>
        <row r="1094">
          <cell r="A1094">
            <v>42607</v>
          </cell>
          <cell r="B1094" t="str">
            <v>Andaime suspenso em madeira, inclusive montagem e desmontagem em Vias Urbanas</v>
          </cell>
          <cell r="C1094" t="str">
            <v>m²</v>
          </cell>
          <cell r="D1094">
            <v>112.75</v>
          </cell>
          <cell r="E1094">
            <v>0</v>
          </cell>
          <cell r="F1094" t="e">
            <v>#N/A</v>
          </cell>
          <cell r="G1094" t="e">
            <v>#N/A</v>
          </cell>
        </row>
        <row r="1095">
          <cell r="A1095">
            <v>42608</v>
          </cell>
          <cell r="B1095" t="str">
            <v>Apicoamento manual de superfície de concreto em Vias Urbanas</v>
          </cell>
          <cell r="C1095" t="str">
            <v>m²</v>
          </cell>
          <cell r="D1095">
            <v>23.67</v>
          </cell>
          <cell r="E1095">
            <v>0</v>
          </cell>
          <cell r="F1095" t="e">
            <v>#N/A</v>
          </cell>
          <cell r="G1095" t="e">
            <v>#N/A</v>
          </cell>
        </row>
        <row r="1096">
          <cell r="A1096">
            <v>42609</v>
          </cell>
          <cell r="B1096" t="str">
            <v>Apiloamento manual em Vias Urbanas</v>
          </cell>
          <cell r="C1096" t="str">
            <v>m³</v>
          </cell>
          <cell r="D1096">
            <v>50.57</v>
          </cell>
          <cell r="E1096">
            <v>0</v>
          </cell>
          <cell r="F1096" t="e">
            <v>#N/A</v>
          </cell>
          <cell r="G1096" t="e">
            <v>#N/A</v>
          </cell>
        </row>
        <row r="1097">
          <cell r="A1097">
            <v>42611</v>
          </cell>
          <cell r="B1097" t="str">
            <v>Argamassa cimento e areia traço 1:4 em Vias Urbanas</v>
          </cell>
          <cell r="C1097" t="str">
            <v>m³</v>
          </cell>
          <cell r="D1097">
            <v>519.21</v>
          </cell>
          <cell r="E1097" t="str">
            <v>A incluir</v>
          </cell>
          <cell r="F1097" t="e">
            <v>#N/A</v>
          </cell>
          <cell r="G1097" t="e">
            <v>#N/A</v>
          </cell>
        </row>
        <row r="1098">
          <cell r="A1098">
            <v>42612</v>
          </cell>
          <cell r="B1098" t="str">
            <v>Argamassa cimento (nata) em Vias Urbanas</v>
          </cell>
          <cell r="C1098" t="str">
            <v>m³</v>
          </cell>
          <cell r="D1098">
            <v>968.86</v>
          </cell>
          <cell r="E1098" t="str">
            <v>A incluir</v>
          </cell>
          <cell r="F1098" t="e">
            <v>#N/A</v>
          </cell>
          <cell r="G1098" t="e">
            <v>#N/A</v>
          </cell>
        </row>
        <row r="1099">
          <cell r="A1099">
            <v>42613</v>
          </cell>
          <cell r="B1099" t="str">
            <v>Argamassa de cimento e areia, traço 1:4, consumo de cimento 400 kg/m³ em Vias Urbanas</v>
          </cell>
          <cell r="C1099" t="str">
            <v>m³</v>
          </cell>
          <cell r="D1099">
            <v>538.45000000000005</v>
          </cell>
          <cell r="E1099" t="str">
            <v>A incluir</v>
          </cell>
          <cell r="F1099" t="e">
            <v>#N/A</v>
          </cell>
          <cell r="G1099" t="e">
            <v>#N/A</v>
          </cell>
        </row>
        <row r="1100">
          <cell r="A1100">
            <v>42615</v>
          </cell>
          <cell r="B1100" t="str">
            <v>Berço de concreto ciclópico para BDTC diâmetro 0,60 m em Via Urbanas</v>
          </cell>
          <cell r="C1100" t="str">
            <v>m</v>
          </cell>
          <cell r="D1100">
            <v>254.52</v>
          </cell>
          <cell r="E1100" t="str">
            <v>A incluir</v>
          </cell>
          <cell r="F1100" t="e">
            <v>#N/A</v>
          </cell>
          <cell r="G1100" t="e">
            <v>#N/A</v>
          </cell>
        </row>
        <row r="1101">
          <cell r="A1101">
            <v>41173</v>
          </cell>
          <cell r="B1101" t="str">
            <v>Berço em brita para BSTC diâm. = 0,30 m em Vias Urbanas</v>
          </cell>
          <cell r="C1101" t="str">
            <v>m</v>
          </cell>
          <cell r="D1101">
            <v>16.149999999999999</v>
          </cell>
          <cell r="E1101" t="str">
            <v>A incluir</v>
          </cell>
          <cell r="F1101" t="e">
            <v>#N/A</v>
          </cell>
          <cell r="G1101" t="e">
            <v>#N/A</v>
          </cell>
        </row>
        <row r="1102">
          <cell r="A1102">
            <v>41174</v>
          </cell>
          <cell r="B1102" t="str">
            <v>Berço em brita para BSTC diâm. = 0,40 m em Vias Urbanas</v>
          </cell>
          <cell r="C1102" t="str">
            <v>m</v>
          </cell>
          <cell r="D1102">
            <v>17.2</v>
          </cell>
          <cell r="E1102" t="str">
            <v>A incluir</v>
          </cell>
          <cell r="F1102" t="e">
            <v>#N/A</v>
          </cell>
          <cell r="G1102" t="e">
            <v>#N/A</v>
          </cell>
        </row>
        <row r="1103">
          <cell r="A1103">
            <v>41175</v>
          </cell>
          <cell r="B1103" t="str">
            <v>Berço em brita para BSTC diâm. = 0,60 m em Vias Urbanas</v>
          </cell>
          <cell r="C1103" t="str">
            <v>m</v>
          </cell>
          <cell r="D1103">
            <v>21.34</v>
          </cell>
          <cell r="E1103" t="str">
            <v>A incluir</v>
          </cell>
          <cell r="F1103" t="e">
            <v>#N/A</v>
          </cell>
          <cell r="G1103" t="e">
            <v>#N/A</v>
          </cell>
        </row>
        <row r="1104">
          <cell r="A1104">
            <v>41176</v>
          </cell>
          <cell r="B1104" t="str">
            <v>Berço em brita para BSTC diam. = 0,80 m em Vias Urbanas</v>
          </cell>
          <cell r="C1104" t="str">
            <v>m</v>
          </cell>
          <cell r="D1104">
            <v>31.71</v>
          </cell>
          <cell r="E1104" t="str">
            <v>A incluir</v>
          </cell>
          <cell r="F1104" t="e">
            <v>#N/A</v>
          </cell>
          <cell r="G1104" t="e">
            <v>#N/A</v>
          </cell>
        </row>
        <row r="1105">
          <cell r="A1105">
            <v>42635</v>
          </cell>
          <cell r="B1105" t="str">
            <v>Boca de BDCC 2,00 x 1,20m conforme projeto em Vias Urbanas</v>
          </cell>
          <cell r="C1105" t="str">
            <v>un</v>
          </cell>
          <cell r="D1105">
            <v>12945.99</v>
          </cell>
          <cell r="E1105">
            <v>0</v>
          </cell>
          <cell r="F1105" t="e">
            <v>#N/A</v>
          </cell>
          <cell r="G1105" t="e">
            <v>#N/A</v>
          </cell>
        </row>
        <row r="1106">
          <cell r="A1106">
            <v>40628</v>
          </cell>
          <cell r="B1106" t="str">
            <v>Boca de BDCC 2,00 x 2,50 m em Vias Urbanas</v>
          </cell>
          <cell r="C1106" t="str">
            <v>un</v>
          </cell>
          <cell r="D1106">
            <v>26106.48</v>
          </cell>
          <cell r="E1106">
            <v>0</v>
          </cell>
          <cell r="F1106" t="e">
            <v>#N/A</v>
          </cell>
          <cell r="G1106" t="e">
            <v>#N/A</v>
          </cell>
        </row>
        <row r="1107">
          <cell r="A1107">
            <v>40619</v>
          </cell>
          <cell r="B1107" t="str">
            <v>Boca de BSCC 2,50 x 2,50 m, projeto DNIT em Vias Urbanas</v>
          </cell>
          <cell r="C1107" t="str">
            <v>un</v>
          </cell>
          <cell r="D1107">
            <v>24190.04</v>
          </cell>
          <cell r="E1107">
            <v>0</v>
          </cell>
          <cell r="F1107" t="e">
            <v>#N/A</v>
          </cell>
          <cell r="G1107" t="e">
            <v>#N/A</v>
          </cell>
        </row>
        <row r="1108">
          <cell r="A1108">
            <v>41087</v>
          </cell>
          <cell r="B1108" t="str">
            <v>Boca de lobo simples em blocos pré-moldados CR(0,40 x 0,80 m) em Vias Urbanas</v>
          </cell>
          <cell r="C1108" t="str">
            <v>un</v>
          </cell>
          <cell r="D1108">
            <v>1284.8900000000001</v>
          </cell>
          <cell r="E1108">
            <v>0</v>
          </cell>
          <cell r="F1108" t="e">
            <v>#N/A</v>
          </cell>
          <cell r="G1108" t="e">
            <v>#N/A</v>
          </cell>
        </row>
        <row r="1109">
          <cell r="A1109">
            <v>42676</v>
          </cell>
          <cell r="B1109" t="str">
            <v>Bueiro Metálico BSTM - D= 3,00 m - T.L. com tratamento epóxi e=2,7 mm - método não destrutivo em Vias Urbanas</v>
          </cell>
          <cell r="C1109" t="str">
            <v>m</v>
          </cell>
          <cell r="D1109">
            <v>10098.94</v>
          </cell>
          <cell r="E1109" t="str">
            <v>A incluir</v>
          </cell>
          <cell r="F1109" t="e">
            <v>#N/A</v>
          </cell>
          <cell r="G1109" t="e">
            <v>#N/A</v>
          </cell>
        </row>
        <row r="1110">
          <cell r="A1110">
            <v>42677</v>
          </cell>
          <cell r="B1110" t="str">
            <v>Bueiro Metálico BSTM - D=3,05m - MP-152 com tratamento epóxi e=2,7mm - método destrutivo, inclusive lastro de brita em Vias Urbanas</v>
          </cell>
          <cell r="C1110" t="str">
            <v>m</v>
          </cell>
          <cell r="D1110">
            <v>7055.45</v>
          </cell>
          <cell r="E1110" t="str">
            <v>A incluir</v>
          </cell>
          <cell r="F1110" t="e">
            <v>#N/A</v>
          </cell>
          <cell r="G1110" t="e">
            <v>#N/A</v>
          </cell>
        </row>
        <row r="1111">
          <cell r="A1111">
            <v>42678</v>
          </cell>
          <cell r="B1111" t="str">
            <v>Caiação de meio fios, sarjetas, etc. em Vias Urbanas</v>
          </cell>
          <cell r="C1111" t="str">
            <v>m²</v>
          </cell>
          <cell r="D1111">
            <v>6.01</v>
          </cell>
          <cell r="E1111">
            <v>0</v>
          </cell>
          <cell r="F1111" t="e">
            <v>#N/A</v>
          </cell>
          <cell r="G1111" t="e">
            <v>#N/A</v>
          </cell>
        </row>
        <row r="1112">
          <cell r="A1112">
            <v>41159</v>
          </cell>
          <cell r="B1112" t="str">
            <v>Caixa Boca de Lobo em bloco pré-moldado de concreto para diâm.=1,00m (1,30 x 1,30m) em Vias Urbanas</v>
          </cell>
          <cell r="C1112" t="str">
            <v>un</v>
          </cell>
          <cell r="D1112">
            <v>2983.23</v>
          </cell>
          <cell r="E1112">
            <v>0</v>
          </cell>
          <cell r="F1112" t="e">
            <v>#N/A</v>
          </cell>
          <cell r="G1112" t="e">
            <v>#N/A</v>
          </cell>
        </row>
        <row r="1113">
          <cell r="A1113">
            <v>41144</v>
          </cell>
          <cell r="B1113" t="str">
            <v>Caixa Boca de Lobo em bloco pré-moldado para diâm. = 0,60m (1,00 x 1,00m) CBL2 (Vias Urbanas)</v>
          </cell>
          <cell r="C1113" t="str">
            <v>un</v>
          </cell>
          <cell r="D1113">
            <v>2191.59</v>
          </cell>
          <cell r="E1113">
            <v>0</v>
          </cell>
          <cell r="F1113" t="e">
            <v>#N/A</v>
          </cell>
          <cell r="G1113" t="e">
            <v>#N/A</v>
          </cell>
        </row>
        <row r="1114">
          <cell r="A1114">
            <v>41158</v>
          </cell>
          <cell r="B1114" t="str">
            <v>Caixa Boca de Lobo em bloco pré-moldado para diâm. = 0,80m (1,20 x 1,20m) (Vias Urbanas)</v>
          </cell>
          <cell r="C1114" t="str">
            <v>un</v>
          </cell>
          <cell r="D1114">
            <v>2557.41</v>
          </cell>
          <cell r="E1114">
            <v>0</v>
          </cell>
          <cell r="F1114" t="e">
            <v>#N/A</v>
          </cell>
          <cell r="G1114" t="e">
            <v>#N/A</v>
          </cell>
        </row>
        <row r="1115">
          <cell r="A1115">
            <v>41160</v>
          </cell>
          <cell r="B1115" t="str">
            <v>Caixa Boca de Lobo em bloco pré-moldado para diâm. = 1,20m(1,50 x 1,50m) (Vias Urbanas)</v>
          </cell>
          <cell r="C1115" t="str">
            <v>un</v>
          </cell>
          <cell r="D1115">
            <v>3799.34</v>
          </cell>
          <cell r="E1115">
            <v>0</v>
          </cell>
          <cell r="F1115" t="e">
            <v>#N/A</v>
          </cell>
          <cell r="G1115" t="e">
            <v>#N/A</v>
          </cell>
        </row>
        <row r="1116">
          <cell r="A1116">
            <v>41101</v>
          </cell>
          <cell r="B1116" t="str">
            <v>Caixa Boca de Lobo em bloco pré-moldado para diâm.= 0,30m e 0,40m (0,80 x 0,80m) (Vias Urbanas)</v>
          </cell>
          <cell r="C1116" t="str">
            <v>un</v>
          </cell>
          <cell r="D1116">
            <v>1838.07</v>
          </cell>
          <cell r="E1116">
            <v>0</v>
          </cell>
          <cell r="F1116" t="e">
            <v>#N/A</v>
          </cell>
          <cell r="G1116" t="e">
            <v>#N/A</v>
          </cell>
        </row>
        <row r="1117">
          <cell r="A1117">
            <v>42679</v>
          </cell>
          <cell r="B1117" t="str">
            <v>Caixa Boca de Lobo em bloco pré-moldado 1,20 x 1,20m em Vias Urbanas</v>
          </cell>
          <cell r="C1117" t="str">
            <v>un</v>
          </cell>
          <cell r="D1117">
            <v>4108.88</v>
          </cell>
          <cell r="E1117">
            <v>0</v>
          </cell>
          <cell r="F1117" t="e">
            <v>#N/A</v>
          </cell>
          <cell r="G1117" t="e">
            <v>#N/A</v>
          </cell>
        </row>
        <row r="1118">
          <cell r="A1118">
            <v>42680</v>
          </cell>
          <cell r="B1118" t="str">
            <v>Caixa coletora concreto armado H= 2,00m, inclusive escavação em Vias Urbanas</v>
          </cell>
          <cell r="C1118" t="str">
            <v>un</v>
          </cell>
          <cell r="D1118">
            <v>4331.59</v>
          </cell>
          <cell r="E1118">
            <v>0</v>
          </cell>
          <cell r="F1118" t="e">
            <v>#N/A</v>
          </cell>
          <cell r="G1118" t="e">
            <v>#N/A</v>
          </cell>
        </row>
        <row r="1119">
          <cell r="A1119">
            <v>42681</v>
          </cell>
          <cell r="B1119" t="str">
            <v>Caixa coletora concreto armado H= 2,50m, inclusive escavação em Vias Urbanas</v>
          </cell>
          <cell r="C1119" t="str">
            <v>un</v>
          </cell>
          <cell r="D1119">
            <v>5317.43</v>
          </cell>
          <cell r="E1119">
            <v>0</v>
          </cell>
          <cell r="F1119" t="e">
            <v>#N/A</v>
          </cell>
          <cell r="G1119" t="e">
            <v>#N/A</v>
          </cell>
        </row>
        <row r="1120">
          <cell r="A1120">
            <v>42682</v>
          </cell>
          <cell r="B1120" t="str">
            <v>Caixa coletora em bloco pré-moldado para d=0,60m (1,00 x 1,00m) em Vias Urbanas</v>
          </cell>
          <cell r="C1120" t="str">
            <v>un</v>
          </cell>
          <cell r="D1120">
            <v>2089.1</v>
          </cell>
          <cell r="E1120" t="str">
            <v>A incluir</v>
          </cell>
          <cell r="F1120" t="e">
            <v>#N/A</v>
          </cell>
          <cell r="G1120" t="e">
            <v>#N/A</v>
          </cell>
        </row>
        <row r="1121">
          <cell r="A1121">
            <v>41334</v>
          </cell>
          <cell r="B1121" t="str">
            <v>Caixa coletora em bloco pré-moldado para d=0,80m (1,20 x 1,20m) em Vias Urbanas</v>
          </cell>
          <cell r="C1121" t="str">
            <v>un</v>
          </cell>
          <cell r="D1121">
            <v>2633.48</v>
          </cell>
          <cell r="E1121" t="str">
            <v>A incluir</v>
          </cell>
          <cell r="F1121" t="e">
            <v>#N/A</v>
          </cell>
          <cell r="G1121" t="e">
            <v>#N/A</v>
          </cell>
        </row>
        <row r="1122">
          <cell r="A1122">
            <v>42683</v>
          </cell>
          <cell r="B1122" t="str">
            <v>Caixa de concreto para BSTC diâmetro 0,40 m H=1,60 m em Vias Urbanas</v>
          </cell>
          <cell r="C1122" t="str">
            <v>un</v>
          </cell>
          <cell r="D1122">
            <v>2000.17</v>
          </cell>
          <cell r="E1122" t="str">
            <v>A incluir</v>
          </cell>
          <cell r="F1122" t="e">
            <v>#N/A</v>
          </cell>
          <cell r="G1122" t="e">
            <v>#N/A</v>
          </cell>
        </row>
        <row r="1123">
          <cell r="A1123">
            <v>42684</v>
          </cell>
          <cell r="B1123" t="str">
            <v>Caixa de concreto para BSTC diâmetro 0,60m H=2,00m em Vias Urbanas</v>
          </cell>
          <cell r="C1123" t="str">
            <v>un</v>
          </cell>
          <cell r="D1123">
            <v>3103.07</v>
          </cell>
          <cell r="E1123" t="str">
            <v>A incluir</v>
          </cell>
          <cell r="F1123" t="e">
            <v>#N/A</v>
          </cell>
          <cell r="G1123" t="e">
            <v>#N/A</v>
          </cell>
        </row>
        <row r="1124">
          <cell r="A1124">
            <v>42685</v>
          </cell>
          <cell r="B1124" t="str">
            <v>Caixa de concreto para BSTC diâmetro 0,80m H=2,50m em Vias Urbanas</v>
          </cell>
          <cell r="C1124" t="str">
            <v>un</v>
          </cell>
          <cell r="D1124">
            <v>3849.37</v>
          </cell>
          <cell r="E1124" t="str">
            <v>A incluir</v>
          </cell>
          <cell r="F1124" t="e">
            <v>#N/A</v>
          </cell>
          <cell r="G1124" t="e">
            <v>#N/A</v>
          </cell>
        </row>
        <row r="1125">
          <cell r="A1125">
            <v>42686</v>
          </cell>
          <cell r="B1125" t="str">
            <v>Caixa de concreto para BSTC diâmetro 1,00m H=3,00m em Vias Urbanas</v>
          </cell>
          <cell r="C1125" t="str">
            <v>un</v>
          </cell>
          <cell r="D1125">
            <v>4569.59</v>
          </cell>
          <cell r="E1125" t="str">
            <v>A incluir</v>
          </cell>
          <cell r="F1125" t="e">
            <v>#N/A</v>
          </cell>
          <cell r="G1125" t="e">
            <v>#N/A</v>
          </cell>
        </row>
        <row r="1126">
          <cell r="A1126">
            <v>41162</v>
          </cell>
          <cell r="B1126" t="str">
            <v>Caixa de passagem em bloco pré-moldado para d=0,30 e 0,40m (0,80x0,80m) em Vias Urbanas</v>
          </cell>
          <cell r="C1126" t="str">
            <v>un</v>
          </cell>
          <cell r="D1126">
            <v>1937.13</v>
          </cell>
          <cell r="E1126">
            <v>0</v>
          </cell>
          <cell r="F1126" t="e">
            <v>#N/A</v>
          </cell>
          <cell r="G1126" t="e">
            <v>#N/A</v>
          </cell>
        </row>
        <row r="1127">
          <cell r="A1127">
            <v>41163</v>
          </cell>
          <cell r="B1127" t="str">
            <v>Caixa de passagem em bloco pré-moldado para d=0,60m (1,00x1,00m) em Vias Urbanas</v>
          </cell>
          <cell r="C1127" t="str">
            <v>un</v>
          </cell>
          <cell r="D1127">
            <v>2319.94</v>
          </cell>
          <cell r="E1127">
            <v>0</v>
          </cell>
          <cell r="F1127" t="e">
            <v>#N/A</v>
          </cell>
          <cell r="G1127" t="e">
            <v>#N/A</v>
          </cell>
        </row>
        <row r="1128">
          <cell r="A1128">
            <v>41164</v>
          </cell>
          <cell r="B1128" t="str">
            <v>Caixa de passagem em bloco pré-moldado para d=0,80m (1,20 x 1,20m) em Vias Urbanas</v>
          </cell>
          <cell r="C1128" t="str">
            <v>un</v>
          </cell>
          <cell r="D1128">
            <v>2826.97</v>
          </cell>
          <cell r="E1128">
            <v>0</v>
          </cell>
          <cell r="F1128" t="e">
            <v>#N/A</v>
          </cell>
          <cell r="G1128" t="e">
            <v>#N/A</v>
          </cell>
        </row>
        <row r="1129">
          <cell r="A1129">
            <v>41165</v>
          </cell>
          <cell r="B1129" t="str">
            <v>Caixa de passagem em bloco pré-moldado para d=1,00m (1,30 x 1,30m) em Vias Urbanas</v>
          </cell>
          <cell r="C1129" t="str">
            <v>un</v>
          </cell>
          <cell r="D1129">
            <v>3155.86</v>
          </cell>
          <cell r="E1129">
            <v>0</v>
          </cell>
          <cell r="F1129" t="e">
            <v>#N/A</v>
          </cell>
          <cell r="G1129" t="e">
            <v>#N/A</v>
          </cell>
        </row>
        <row r="1130">
          <cell r="A1130">
            <v>41166</v>
          </cell>
          <cell r="B1130" t="str">
            <v>Caixa de passagem em bloco pré-moldado para d=1,20m (1,50 x 1,50m) em Vias Urbanas</v>
          </cell>
          <cell r="C1130" t="str">
            <v>un</v>
          </cell>
          <cell r="D1130">
            <v>3867.73</v>
          </cell>
          <cell r="E1130">
            <v>0</v>
          </cell>
          <cell r="F1130" t="e">
            <v>#N/A</v>
          </cell>
          <cell r="G1130" t="e">
            <v>#N/A</v>
          </cell>
        </row>
        <row r="1131">
          <cell r="A1131">
            <v>42687</v>
          </cell>
          <cell r="B1131" t="str">
            <v>Caixa de passagem para tubos de D=0,40m H=1,10m em Vias Urbanas</v>
          </cell>
          <cell r="C1131" t="str">
            <v>un</v>
          </cell>
          <cell r="D1131">
            <v>1338.67</v>
          </cell>
          <cell r="E1131">
            <v>0</v>
          </cell>
          <cell r="F1131" t="e">
            <v>#N/A</v>
          </cell>
          <cell r="G1131" t="e">
            <v>#N/A</v>
          </cell>
        </row>
        <row r="1132">
          <cell r="A1132">
            <v>42688</v>
          </cell>
          <cell r="B1132" t="str">
            <v>Caixa de passagem para tubos de D=0,60m H=1,30m em Vias Urbanas</v>
          </cell>
          <cell r="C1132" t="str">
            <v>un</v>
          </cell>
          <cell r="D1132">
            <v>1690.76</v>
          </cell>
          <cell r="E1132">
            <v>0</v>
          </cell>
          <cell r="F1132" t="e">
            <v>#N/A</v>
          </cell>
          <cell r="G1132" t="e">
            <v>#N/A</v>
          </cell>
        </row>
        <row r="1133">
          <cell r="A1133">
            <v>42689</v>
          </cell>
          <cell r="B1133" t="str">
            <v>Caixa de passagem para tubos de D=0,80m H=1,50m em Vias Urbanas</v>
          </cell>
          <cell r="C1133" t="str">
            <v>un</v>
          </cell>
          <cell r="D1133">
            <v>2126.8000000000002</v>
          </cell>
          <cell r="E1133">
            <v>0</v>
          </cell>
          <cell r="F1133" t="e">
            <v>#N/A</v>
          </cell>
          <cell r="G1133" t="e">
            <v>#N/A</v>
          </cell>
        </row>
        <row r="1134">
          <cell r="A1134">
            <v>42690</v>
          </cell>
          <cell r="B1134" t="str">
            <v>Caixa de passagem para tubos de D=1,00m H=1,80m em Vias Urbanas</v>
          </cell>
          <cell r="C1134" t="str">
            <v>un</v>
          </cell>
          <cell r="D1134">
            <v>3383.04</v>
          </cell>
          <cell r="E1134">
            <v>0</v>
          </cell>
          <cell r="F1134" t="e">
            <v>#N/A</v>
          </cell>
          <cell r="G1134" t="e">
            <v>#N/A</v>
          </cell>
        </row>
        <row r="1135">
          <cell r="A1135">
            <v>42691</v>
          </cell>
          <cell r="B1135" t="str">
            <v>Caixa de passagem (2,50 x 2,50m) em Vias Urbanas</v>
          </cell>
          <cell r="C1135" t="str">
            <v>un</v>
          </cell>
          <cell r="D1135">
            <v>7418.68</v>
          </cell>
          <cell r="E1135" t="str">
            <v>A incluir</v>
          </cell>
          <cell r="F1135" t="e">
            <v>#N/A</v>
          </cell>
          <cell r="G1135" t="e">
            <v>#N/A</v>
          </cell>
        </row>
        <row r="1136">
          <cell r="A1136">
            <v>42693</v>
          </cell>
          <cell r="B1136" t="str">
            <v>Caixa para rede de dutos dimensões 100 x100 x100 cm, em Vias Urbanas</v>
          </cell>
          <cell r="C1136" t="str">
            <v>m</v>
          </cell>
          <cell r="D1136">
            <v>3644.79</v>
          </cell>
          <cell r="E1136">
            <v>0</v>
          </cell>
          <cell r="F1136" t="e">
            <v>#N/A</v>
          </cell>
          <cell r="G1136" t="e">
            <v>#N/A</v>
          </cell>
        </row>
        <row r="1137">
          <cell r="A1137">
            <v>42692</v>
          </cell>
          <cell r="B1137" t="str">
            <v>Caixa para rede de dutos dimensões 60 x 60 x 60 cm, em Vias Urbanas</v>
          </cell>
          <cell r="C1137" t="str">
            <v>un</v>
          </cell>
          <cell r="D1137">
            <v>594.55999999999995</v>
          </cell>
          <cell r="E1137">
            <v>0</v>
          </cell>
          <cell r="F1137" t="e">
            <v>#N/A</v>
          </cell>
          <cell r="G1137" t="e">
            <v>#N/A</v>
          </cell>
        </row>
        <row r="1138">
          <cell r="A1138">
            <v>41085</v>
          </cell>
          <cell r="B1138" t="str">
            <v>Caixa ralo com grelha de concreto em blocos pré-moldados - CRG - Vias Urbanas</v>
          </cell>
          <cell r="C1138" t="str">
            <v>un</v>
          </cell>
          <cell r="D1138">
            <v>1373.47</v>
          </cell>
          <cell r="E1138">
            <v>0</v>
          </cell>
          <cell r="F1138" t="e">
            <v>#N/A</v>
          </cell>
          <cell r="G1138" t="e">
            <v>#N/A</v>
          </cell>
        </row>
        <row r="1139">
          <cell r="A1139">
            <v>42694</v>
          </cell>
          <cell r="B1139" t="str">
            <v>Caixa ralo de elementos pré-moldados em concreto (tudo incluído) em Vias Urbanas</v>
          </cell>
          <cell r="C1139" t="str">
            <v>un</v>
          </cell>
          <cell r="D1139">
            <v>737.84</v>
          </cell>
          <cell r="E1139" t="str">
            <v>A incluir</v>
          </cell>
          <cell r="F1139" t="e">
            <v>#N/A</v>
          </cell>
          <cell r="G1139" t="e">
            <v>#N/A</v>
          </cell>
        </row>
        <row r="1140">
          <cell r="A1140">
            <v>41241</v>
          </cell>
          <cell r="B1140" t="str">
            <v>Caixa ralo em blocos pré-moldados e grelha articulada em FFA em Vias Urbanas</v>
          </cell>
          <cell r="C1140" t="str">
            <v>un</v>
          </cell>
          <cell r="D1140">
            <v>1299.44</v>
          </cell>
          <cell r="E1140" t="str">
            <v>A incluir</v>
          </cell>
          <cell r="F1140">
            <v>1386.91</v>
          </cell>
          <cell r="G1140">
            <v>1.06731361201748</v>
          </cell>
        </row>
        <row r="1141">
          <cell r="A1141">
            <v>42697</v>
          </cell>
          <cell r="B1141" t="str">
            <v>Canaleta com grelha DP-1, inclusive transporte da grelha em Vias Urbanas</v>
          </cell>
          <cell r="C1141" t="str">
            <v>m</v>
          </cell>
          <cell r="D1141">
            <v>636.6</v>
          </cell>
          <cell r="E1141" t="str">
            <v>A incluir</v>
          </cell>
          <cell r="F1141" t="e">
            <v>#N/A</v>
          </cell>
          <cell r="G1141" t="e">
            <v>#N/A</v>
          </cell>
        </row>
        <row r="1142">
          <cell r="A1142">
            <v>42698</v>
          </cell>
          <cell r="B1142" t="str">
            <v>Canaleta de concreto, com forma retangular inclusive caiação - parede 12 cm em Vias Urbanas</v>
          </cell>
          <cell r="C1142" t="str">
            <v>m</v>
          </cell>
          <cell r="D1142">
            <v>193.82</v>
          </cell>
          <cell r="E1142" t="str">
            <v>A incluir</v>
          </cell>
          <cell r="F1142" t="e">
            <v>#N/A</v>
          </cell>
          <cell r="G1142" t="e">
            <v>#N/A</v>
          </cell>
        </row>
        <row r="1143">
          <cell r="A1143">
            <v>42699</v>
          </cell>
          <cell r="B1143" t="str">
            <v>Canaleta de concreto retangular (0,130m³/m) inclusive caiação em Vias Urbanas</v>
          </cell>
          <cell r="C1143" t="str">
            <v>m</v>
          </cell>
          <cell r="D1143">
            <v>245.64</v>
          </cell>
          <cell r="E1143">
            <v>0</v>
          </cell>
          <cell r="F1143" t="e">
            <v>#N/A</v>
          </cell>
          <cell r="G1143" t="e">
            <v>#N/A</v>
          </cell>
        </row>
        <row r="1144">
          <cell r="A1144">
            <v>42700</v>
          </cell>
          <cell r="B1144" t="str">
            <v>Canaleta de concreto (0,130m³/m) forma trapezoidal inclusive caiação em Vias Urbanas</v>
          </cell>
          <cell r="C1144" t="str">
            <v>m</v>
          </cell>
          <cell r="D1144">
            <v>172.88</v>
          </cell>
          <cell r="E1144" t="str">
            <v>A incluir</v>
          </cell>
          <cell r="F1144" t="e">
            <v>#N/A</v>
          </cell>
          <cell r="G1144" t="e">
            <v>#N/A</v>
          </cell>
        </row>
        <row r="1145">
          <cell r="A1145">
            <v>42701</v>
          </cell>
          <cell r="B1145" t="str">
            <v>Cerca de tela de arame galvanizado h=1,20m em Vias Urbanas</v>
          </cell>
          <cell r="C1145" t="str">
            <v>m²</v>
          </cell>
          <cell r="D1145">
            <v>30.55</v>
          </cell>
          <cell r="E1145">
            <v>0</v>
          </cell>
          <cell r="F1145" t="e">
            <v>#N/A</v>
          </cell>
          <cell r="G1145" t="e">
            <v>#N/A</v>
          </cell>
        </row>
        <row r="1146">
          <cell r="A1146">
            <v>42703</v>
          </cell>
          <cell r="B1146" t="str">
            <v>Cerca em tela revestida em PVC com mourões de concreto, fornecimento e execução em Vias Urbanas</v>
          </cell>
          <cell r="C1146" t="str">
            <v>m²</v>
          </cell>
          <cell r="D1146">
            <v>77.53</v>
          </cell>
          <cell r="E1146">
            <v>0</v>
          </cell>
          <cell r="F1146" t="e">
            <v>#N/A</v>
          </cell>
          <cell r="G1146" t="e">
            <v>#N/A</v>
          </cell>
        </row>
        <row r="1147">
          <cell r="A1147">
            <v>42704</v>
          </cell>
          <cell r="B1147" t="str">
            <v>Chapisco com argamassa de cimento e areia 1:3 em Vias Urbanas</v>
          </cell>
          <cell r="C1147" t="str">
            <v>m²</v>
          </cell>
          <cell r="D1147">
            <v>6.32</v>
          </cell>
          <cell r="E1147">
            <v>0</v>
          </cell>
          <cell r="F1147" t="e">
            <v>#N/A</v>
          </cell>
          <cell r="G1147" t="e">
            <v>#N/A</v>
          </cell>
        </row>
        <row r="1148">
          <cell r="A1148">
            <v>42705</v>
          </cell>
          <cell r="B1148" t="str">
            <v>Chapisco com argamassa de cimento e pedrisco 1:4 em Vias Urbanas</v>
          </cell>
          <cell r="C1148" t="str">
            <v>m²</v>
          </cell>
          <cell r="D1148">
            <v>10.08</v>
          </cell>
          <cell r="E1148">
            <v>0</v>
          </cell>
          <cell r="F1148" t="e">
            <v>#N/A</v>
          </cell>
          <cell r="G1148" t="e">
            <v>#N/A</v>
          </cell>
        </row>
        <row r="1149">
          <cell r="A1149">
            <v>42706</v>
          </cell>
          <cell r="B1149" t="str">
            <v>Colchão drenante de areia para fundação de aterros, exclusive o fornecimento de areia em Vias Urbanas</v>
          </cell>
          <cell r="C1149" t="str">
            <v>m³</v>
          </cell>
          <cell r="D1149">
            <v>4.8499999999999996</v>
          </cell>
          <cell r="E1149">
            <v>0</v>
          </cell>
          <cell r="F1149" t="e">
            <v>#N/A</v>
          </cell>
          <cell r="G1149" t="e">
            <v>#N/A</v>
          </cell>
        </row>
        <row r="1150">
          <cell r="A1150">
            <v>42707</v>
          </cell>
          <cell r="B1150" t="str">
            <v>Colchão drenante de areia para fundação de aterros, inclusive fornecimento e transporte da areia em Vias Urbanas</v>
          </cell>
          <cell r="C1150" t="str">
            <v>m³</v>
          </cell>
          <cell r="D1150">
            <v>89.64</v>
          </cell>
          <cell r="E1150" t="str">
            <v>A incluir</v>
          </cell>
          <cell r="F1150" t="e">
            <v>#N/A</v>
          </cell>
          <cell r="G1150" t="e">
            <v>#N/A</v>
          </cell>
        </row>
        <row r="1151">
          <cell r="A1151">
            <v>42708</v>
          </cell>
          <cell r="B1151" t="str">
            <v>Colchão drenante de brita 1 inclusive fornecimento, espalhamento, compactação e transporte da brita em Vias Urbanas</v>
          </cell>
          <cell r="C1151" t="str">
            <v>m³</v>
          </cell>
          <cell r="D1151">
            <v>96.15</v>
          </cell>
          <cell r="E1151" t="str">
            <v>A incluir</v>
          </cell>
          <cell r="F1151" t="e">
            <v>#N/A</v>
          </cell>
          <cell r="G1151" t="e">
            <v>#N/A</v>
          </cell>
        </row>
        <row r="1152">
          <cell r="A1152">
            <v>42709</v>
          </cell>
          <cell r="B1152" t="str">
            <v>Colchão drenante de brita 2 inclusive fornecimento, espalhamento, compactação e transporte da brita em Vias Urbanas</v>
          </cell>
          <cell r="C1152" t="str">
            <v>m³</v>
          </cell>
          <cell r="D1152">
            <v>94.08</v>
          </cell>
          <cell r="E1152" t="str">
            <v>A incluir</v>
          </cell>
          <cell r="F1152" t="e">
            <v>#N/A</v>
          </cell>
          <cell r="G1152" t="e">
            <v>#N/A</v>
          </cell>
        </row>
        <row r="1153">
          <cell r="A1153">
            <v>42710</v>
          </cell>
          <cell r="B1153" t="str">
            <v>Colchão drenante de brita 3 inclusive fornecimento, espalhamento, compactação e transporte da brita em Vias Urbanas</v>
          </cell>
          <cell r="C1153" t="str">
            <v>m³</v>
          </cell>
          <cell r="D1153">
            <v>101.19</v>
          </cell>
          <cell r="E1153" t="str">
            <v>A incluir</v>
          </cell>
          <cell r="F1153" t="e">
            <v>#N/A</v>
          </cell>
          <cell r="G1153" t="e">
            <v>#N/A</v>
          </cell>
        </row>
        <row r="1154">
          <cell r="A1154">
            <v>42711</v>
          </cell>
          <cell r="B1154" t="str">
            <v>Coleta drenante (1,00x1,00) m c/ geotêxtil não tecido RT 16kn/m, inclusive transporte da brita em Vias Urbanas</v>
          </cell>
          <cell r="C1154" t="str">
            <v>m</v>
          </cell>
          <cell r="D1154">
            <v>349.45</v>
          </cell>
          <cell r="E1154" t="str">
            <v>A incluir</v>
          </cell>
          <cell r="F1154" t="e">
            <v>#N/A</v>
          </cell>
          <cell r="G1154" t="e">
            <v>#N/A</v>
          </cell>
        </row>
        <row r="1155">
          <cell r="A1155">
            <v>42712</v>
          </cell>
          <cell r="B1155" t="str">
            <v>Concreto armado, dosado para resist. 20 Mpa,  incluindo 60 kg aço CA-50 A, mão de obra p/ corte, dobragem e montagem, exclusive forma em Vias Urbanas</v>
          </cell>
          <cell r="C1155" t="str">
            <v>m³</v>
          </cell>
          <cell r="D1155">
            <v>832.95</v>
          </cell>
          <cell r="E1155">
            <v>0</v>
          </cell>
          <cell r="F1155" t="e">
            <v>#N/A</v>
          </cell>
          <cell r="G1155" t="e">
            <v>#N/A</v>
          </cell>
        </row>
        <row r="1156">
          <cell r="A1156">
            <v>42714</v>
          </cell>
          <cell r="B1156" t="str">
            <v>Concreto de regularização em Vias Urbanas</v>
          </cell>
          <cell r="C1156" t="str">
            <v>m³</v>
          </cell>
          <cell r="D1156">
            <v>473.56</v>
          </cell>
          <cell r="E1156" t="str">
            <v>A incluir</v>
          </cell>
          <cell r="F1156" t="e">
            <v>#N/A</v>
          </cell>
          <cell r="G1156" t="e">
            <v>#N/A</v>
          </cell>
        </row>
        <row r="1157">
          <cell r="A1157">
            <v>42717</v>
          </cell>
          <cell r="B1157" t="str">
            <v>Concreto estrutural fck = 20,0 MPa com plastificante em Vias Urbanas</v>
          </cell>
          <cell r="C1157" t="str">
            <v>m³</v>
          </cell>
          <cell r="D1157">
            <v>657.93</v>
          </cell>
          <cell r="E1157" t="str">
            <v>A incluir</v>
          </cell>
          <cell r="F1157" t="e">
            <v>#N/A</v>
          </cell>
          <cell r="G1157" t="e">
            <v>#N/A</v>
          </cell>
        </row>
        <row r="1158">
          <cell r="A1158">
            <v>42716</v>
          </cell>
          <cell r="B1158" t="str">
            <v>Concreto estrutural fck = 20,0 MPa em Vias Urbanas</v>
          </cell>
          <cell r="C1158" t="str">
            <v>m³</v>
          </cell>
          <cell r="D1158">
            <v>655</v>
          </cell>
          <cell r="E1158" t="str">
            <v>A incluir</v>
          </cell>
          <cell r="F1158" t="e">
            <v>#N/A</v>
          </cell>
          <cell r="G1158" t="e">
            <v>#N/A</v>
          </cell>
        </row>
        <row r="1159">
          <cell r="A1159">
            <v>42719</v>
          </cell>
          <cell r="B1159" t="str">
            <v>Concreto estrutural fck = 25,0 MPa com plastificante em Vias Urbanas</v>
          </cell>
          <cell r="C1159" t="str">
            <v>m³</v>
          </cell>
          <cell r="D1159">
            <v>685.64</v>
          </cell>
          <cell r="E1159" t="str">
            <v>A incluir</v>
          </cell>
          <cell r="F1159" t="e">
            <v>#N/A</v>
          </cell>
          <cell r="G1159" t="e">
            <v>#N/A</v>
          </cell>
        </row>
        <row r="1160">
          <cell r="A1160">
            <v>42718</v>
          </cell>
          <cell r="B1160" t="str">
            <v>Concreto estrutural fck = 25,0 MPa em Vias Urbanas</v>
          </cell>
          <cell r="C1160" t="str">
            <v>m³</v>
          </cell>
          <cell r="D1160">
            <v>682.35</v>
          </cell>
          <cell r="E1160" t="str">
            <v>A incluir</v>
          </cell>
          <cell r="F1160" t="e">
            <v>#N/A</v>
          </cell>
          <cell r="G1160" t="e">
            <v>#N/A</v>
          </cell>
        </row>
        <row r="1161">
          <cell r="A1161">
            <v>42722</v>
          </cell>
          <cell r="B1161" t="str">
            <v>Concreto estrutural fck = 30,0 MPa com micro-silica e Sikacrete BR ou equivalente em Vias Urbanas</v>
          </cell>
          <cell r="C1161" t="str">
            <v>m³</v>
          </cell>
          <cell r="D1161">
            <v>857.03</v>
          </cell>
          <cell r="E1161" t="str">
            <v>A incluir</v>
          </cell>
          <cell r="F1161" t="e">
            <v>#N/A</v>
          </cell>
          <cell r="G1161" t="e">
            <v>#N/A</v>
          </cell>
        </row>
        <row r="1162">
          <cell r="A1162">
            <v>42721</v>
          </cell>
          <cell r="B1162" t="str">
            <v>Concreto estrutural fck = 30,0 MPa com plastificante em Vias Urbanas</v>
          </cell>
          <cell r="C1162" t="str">
            <v>m³</v>
          </cell>
          <cell r="D1162">
            <v>711.17</v>
          </cell>
          <cell r="E1162" t="str">
            <v>A incluir</v>
          </cell>
          <cell r="F1162" t="e">
            <v>#N/A</v>
          </cell>
          <cell r="G1162" t="e">
            <v>#N/A</v>
          </cell>
        </row>
        <row r="1163">
          <cell r="A1163">
            <v>42720</v>
          </cell>
          <cell r="B1163" t="str">
            <v>Concreto estrutural fck = 30,0 MPa em Vias Urbanas</v>
          </cell>
          <cell r="C1163" t="str">
            <v>m³</v>
          </cell>
          <cell r="D1163">
            <v>707.54</v>
          </cell>
          <cell r="E1163" t="str">
            <v>A incluir</v>
          </cell>
          <cell r="F1163" t="e">
            <v>#N/A</v>
          </cell>
          <cell r="G1163" t="e">
            <v>#N/A</v>
          </cell>
        </row>
        <row r="1164">
          <cell r="A1164">
            <v>42723</v>
          </cell>
          <cell r="B1164" t="str">
            <v>Concreto estrutural fck = 35,0 MPa com micro-silica e Sikacrete ou equivalente em Vias Urbanas</v>
          </cell>
          <cell r="C1164" t="str">
            <v>m³</v>
          </cell>
          <cell r="D1164">
            <v>791.77</v>
          </cell>
          <cell r="E1164" t="str">
            <v>A incluir</v>
          </cell>
          <cell r="F1164" t="e">
            <v>#N/A</v>
          </cell>
          <cell r="G1164" t="e">
            <v>#N/A</v>
          </cell>
        </row>
        <row r="1165">
          <cell r="A1165">
            <v>42724</v>
          </cell>
          <cell r="B1165" t="str">
            <v>Concreto submerso fck = 20,0 MPa em Vias Urbanas</v>
          </cell>
          <cell r="C1165" t="str">
            <v>m³</v>
          </cell>
          <cell r="D1165">
            <v>1288.57</v>
          </cell>
          <cell r="E1165" t="str">
            <v>A incluir</v>
          </cell>
          <cell r="F1165" t="e">
            <v>#N/A</v>
          </cell>
          <cell r="G1165" t="e">
            <v>#N/A</v>
          </cell>
        </row>
        <row r="1166">
          <cell r="A1166">
            <v>42725</v>
          </cell>
          <cell r="B1166" t="str">
            <v>Conjunto Moto-bomba submersível de 15CV, fornecimento e assentamento em Vias Urbanas</v>
          </cell>
          <cell r="C1166" t="str">
            <v>un</v>
          </cell>
          <cell r="D1166">
            <v>32727.68</v>
          </cell>
          <cell r="E1166">
            <v>0</v>
          </cell>
          <cell r="F1166" t="e">
            <v>#N/A</v>
          </cell>
          <cell r="G1166" t="e">
            <v>#N/A</v>
          </cell>
        </row>
        <row r="1167">
          <cell r="A1167">
            <v>42726</v>
          </cell>
          <cell r="B1167" t="str">
            <v>Corpo BDTC (grota) diâmetro 0,60 m CA-1 MF exclusive escavação e reaterro, inclusive transporte do tubo em Vias Urbanas</v>
          </cell>
          <cell r="C1167" t="str">
            <v>m</v>
          </cell>
          <cell r="D1167">
            <v>324.04000000000002</v>
          </cell>
          <cell r="E1167" t="str">
            <v>A incluir</v>
          </cell>
          <cell r="F1167" t="e">
            <v>#N/A</v>
          </cell>
          <cell r="G1167" t="e">
            <v>#N/A</v>
          </cell>
        </row>
        <row r="1168">
          <cell r="A1168">
            <v>42727</v>
          </cell>
          <cell r="B1168" t="str">
            <v>Corpo BDTC (grota) diâmetro 0,60 m CA-1 PB exclusive escavação e reaterro, inclusive transporte do tubo em Vias Urbanas</v>
          </cell>
          <cell r="C1168" t="str">
            <v>m</v>
          </cell>
          <cell r="D1168">
            <v>327.79</v>
          </cell>
          <cell r="E1168" t="str">
            <v>A incluir</v>
          </cell>
          <cell r="F1168" t="e">
            <v>#N/A</v>
          </cell>
          <cell r="G1168" t="e">
            <v>#N/A</v>
          </cell>
        </row>
        <row r="1169">
          <cell r="A1169">
            <v>42728</v>
          </cell>
          <cell r="B1169" t="str">
            <v>Corpo BDTC (grota) diâmetro 0,60 m CA-2 MF exclusive escavação e reaterro, inclusive transporte do tubo em Vias Urbanas</v>
          </cell>
          <cell r="C1169" t="str">
            <v>m</v>
          </cell>
          <cell r="D1169">
            <v>311.64</v>
          </cell>
          <cell r="E1169" t="str">
            <v>A incluir</v>
          </cell>
          <cell r="F1169" t="e">
            <v>#N/A</v>
          </cell>
          <cell r="G1169" t="e">
            <v>#N/A</v>
          </cell>
        </row>
        <row r="1170">
          <cell r="A1170">
            <v>42729</v>
          </cell>
          <cell r="B1170" t="str">
            <v>Corpo BDTC (grota) diâmetro 0,60 m CA-2 PB exclusive escavação e reaterro, inclusive transporte do tubo em Vias Urbanas</v>
          </cell>
          <cell r="C1170" t="str">
            <v>m</v>
          </cell>
          <cell r="D1170">
            <v>318.3</v>
          </cell>
          <cell r="E1170" t="str">
            <v>A incluir</v>
          </cell>
          <cell r="F1170" t="e">
            <v>#N/A</v>
          </cell>
          <cell r="G1170" t="e">
            <v>#N/A</v>
          </cell>
        </row>
        <row r="1171">
          <cell r="A1171">
            <v>42730</v>
          </cell>
          <cell r="B1171" t="str">
            <v>Corpo BDTC (grota) diâmetro 0,80 m CA-1 MF exclusive escavação e reaterro, inclusive transporte do tubo em Vias Urbanas</v>
          </cell>
          <cell r="C1171" t="str">
            <v>m</v>
          </cell>
          <cell r="D1171">
            <v>666.39</v>
          </cell>
          <cell r="E1171" t="str">
            <v>A incluir</v>
          </cell>
          <cell r="F1171" t="e">
            <v>#N/A</v>
          </cell>
          <cell r="G1171" t="e">
            <v>#N/A</v>
          </cell>
        </row>
        <row r="1172">
          <cell r="A1172">
            <v>42731</v>
          </cell>
          <cell r="B1172" t="str">
            <v>Corpo BDTC (grota) diâmetro 0,80 m CA-1 PB exclusive escavação e reaterro, inclusive transporte do tubo em Vias Urbanas</v>
          </cell>
          <cell r="C1172" t="str">
            <v>m</v>
          </cell>
          <cell r="D1172">
            <v>670.91</v>
          </cell>
          <cell r="E1172" t="str">
            <v>A incluir</v>
          </cell>
          <cell r="F1172" t="e">
            <v>#N/A</v>
          </cell>
          <cell r="G1172" t="e">
            <v>#N/A</v>
          </cell>
        </row>
        <row r="1173">
          <cell r="A1173">
            <v>42732</v>
          </cell>
          <cell r="B1173" t="str">
            <v>Corpo BDTC (grota) diâmetro 0,80 m CA-2 MF exclusive escavação e reaterro, inclusive transporte do tubo em Vias Urbanas</v>
          </cell>
          <cell r="C1173" t="str">
            <v>m</v>
          </cell>
          <cell r="D1173">
            <v>653.80999999999995</v>
          </cell>
          <cell r="E1173" t="str">
            <v>A incluir</v>
          </cell>
          <cell r="F1173" t="e">
            <v>#N/A</v>
          </cell>
          <cell r="G1173" t="e">
            <v>#N/A</v>
          </cell>
        </row>
        <row r="1174">
          <cell r="A1174">
            <v>42733</v>
          </cell>
          <cell r="B1174" t="str">
            <v>Corpo BDTC (grota) diâmetro 0,80 m CA-2 PB exclusive escavação e reaterro, inclusive transporte do tubo em Vias Urbanas</v>
          </cell>
          <cell r="C1174" t="str">
            <v>m</v>
          </cell>
          <cell r="D1174">
            <v>693.92</v>
          </cell>
          <cell r="E1174" t="str">
            <v>A incluir</v>
          </cell>
          <cell r="F1174" t="e">
            <v>#N/A</v>
          </cell>
          <cell r="G1174" t="e">
            <v>#N/A</v>
          </cell>
        </row>
        <row r="1175">
          <cell r="A1175">
            <v>42734</v>
          </cell>
          <cell r="B1175" t="str">
            <v>Corpo BDTC (grota) diâmetro 1,00 m CA-1 MF exclusive escavação e reaterro, inclusive transporte do tubo em Vias Urbanas</v>
          </cell>
          <cell r="C1175" t="str">
            <v>m</v>
          </cell>
          <cell r="D1175">
            <v>832.82</v>
          </cell>
          <cell r="E1175" t="str">
            <v>A incluir</v>
          </cell>
          <cell r="F1175" t="e">
            <v>#N/A</v>
          </cell>
          <cell r="G1175" t="e">
            <v>#N/A</v>
          </cell>
        </row>
        <row r="1176">
          <cell r="A1176">
            <v>42735</v>
          </cell>
          <cell r="B1176" t="str">
            <v>Corpo BDTC (grota) diâmetro 1,00 m CA-1 PB exclusive escavação e reaterro, inclusive transporte do tubo em Vias Urbanas</v>
          </cell>
          <cell r="C1176" t="str">
            <v>m</v>
          </cell>
          <cell r="D1176">
            <v>769.61</v>
          </cell>
          <cell r="E1176" t="str">
            <v>A incluir</v>
          </cell>
          <cell r="F1176" t="e">
            <v>#N/A</v>
          </cell>
          <cell r="G1176" t="e">
            <v>#N/A</v>
          </cell>
        </row>
        <row r="1177">
          <cell r="A1177">
            <v>42736</v>
          </cell>
          <cell r="B1177" t="str">
            <v>Corpo BDTC (grota) diâmetro 1,00 m CA-2 MF exclusive escavação e reaterro, inclusive transporte do tubo em Vias Urbanas</v>
          </cell>
          <cell r="C1177" t="str">
            <v>m</v>
          </cell>
          <cell r="D1177">
            <v>906.82</v>
          </cell>
          <cell r="E1177" t="str">
            <v>A incluir</v>
          </cell>
          <cell r="F1177" t="e">
            <v>#N/A</v>
          </cell>
          <cell r="G1177" t="e">
            <v>#N/A</v>
          </cell>
        </row>
        <row r="1178">
          <cell r="A1178">
            <v>42737</v>
          </cell>
          <cell r="B1178" t="str">
            <v>Corpo BDTC (grota) diâmetro 1,00 m CA-2 PB exclusive escavação e reaterro, inclusive transporte do tubo em Vias Urbanas</v>
          </cell>
          <cell r="C1178" t="str">
            <v>m</v>
          </cell>
          <cell r="D1178">
            <v>874.36</v>
          </cell>
          <cell r="E1178" t="str">
            <v>A incluir</v>
          </cell>
          <cell r="F1178" t="e">
            <v>#N/A</v>
          </cell>
          <cell r="G1178" t="e">
            <v>#N/A</v>
          </cell>
        </row>
        <row r="1179">
          <cell r="A1179">
            <v>42738</v>
          </cell>
          <cell r="B1179" t="str">
            <v>Corpo BDTC (grota) diâmetro 1,00 m CA-3 MF exclusive escavação e reaterro, inclusive transporte do tubo em Vias Urbanas</v>
          </cell>
          <cell r="C1179" t="str">
            <v>m</v>
          </cell>
          <cell r="D1179">
            <v>906.57</v>
          </cell>
          <cell r="E1179" t="str">
            <v>A incluir</v>
          </cell>
          <cell r="F1179" t="e">
            <v>#N/A</v>
          </cell>
          <cell r="G1179" t="e">
            <v>#N/A</v>
          </cell>
        </row>
        <row r="1180">
          <cell r="A1180">
            <v>42739</v>
          </cell>
          <cell r="B1180" t="str">
            <v>Corpo BDTC (grota) diâmetro 1,20 m CA-1 MF exclusive escavação e reaterro, inclusive transporte do tubo em Vias Urbanas</v>
          </cell>
          <cell r="C1180" t="str">
            <v>m</v>
          </cell>
          <cell r="D1180">
            <v>1223.18</v>
          </cell>
          <cell r="E1180" t="str">
            <v>A incluir</v>
          </cell>
          <cell r="F1180" t="e">
            <v>#N/A</v>
          </cell>
          <cell r="G1180" t="e">
            <v>#N/A</v>
          </cell>
        </row>
        <row r="1181">
          <cell r="A1181">
            <v>42740</v>
          </cell>
          <cell r="B1181" t="str">
            <v>Corpo BDTC (grota) diâmetro 1,20 m CA-2 MF exclusive escavação e reaterro, inclusive transporte do tubo em Vias Urbanas</v>
          </cell>
          <cell r="C1181" t="str">
            <v>m</v>
          </cell>
          <cell r="D1181">
            <v>1203.55</v>
          </cell>
          <cell r="E1181" t="str">
            <v>A incluir</v>
          </cell>
          <cell r="F1181" t="e">
            <v>#N/A</v>
          </cell>
          <cell r="G1181" t="e">
            <v>#N/A</v>
          </cell>
        </row>
        <row r="1182">
          <cell r="A1182">
            <v>42741</v>
          </cell>
          <cell r="B1182" t="str">
            <v>Corpo BDTC (grota) diâmetro 1,20 m CA-2 PB exclusive escavação e reaterro, inclusive transporte do tubo em Vias Urbanas</v>
          </cell>
          <cell r="C1182" t="str">
            <v>m</v>
          </cell>
          <cell r="D1182">
            <v>1283.8499999999999</v>
          </cell>
          <cell r="E1182" t="str">
            <v>A incluir</v>
          </cell>
          <cell r="F1182" t="e">
            <v>#N/A</v>
          </cell>
          <cell r="G1182" t="e">
            <v>#N/A</v>
          </cell>
        </row>
        <row r="1183">
          <cell r="A1183">
            <v>42742</v>
          </cell>
          <cell r="B1183" t="str">
            <v>Corpo BDTC (grota) diâmetro 1,20 m CA-3 MF exclusive escavação e reaterro, inclusive transporte do tubo em Vias Urbanas</v>
          </cell>
          <cell r="C1183" t="str">
            <v>m</v>
          </cell>
          <cell r="D1183">
            <v>1253.2</v>
          </cell>
          <cell r="E1183" t="str">
            <v>A incluir</v>
          </cell>
          <cell r="F1183" t="e">
            <v>#N/A</v>
          </cell>
          <cell r="G1183" t="e">
            <v>#N/A</v>
          </cell>
        </row>
        <row r="1184">
          <cell r="A1184">
            <v>42743</v>
          </cell>
          <cell r="B1184" t="str">
            <v>Corpo BDTC (grota) diâmetro 1,50 m CA-1 MF exclusive escavação e reaterro, inclusive transporte do tubo em Vias Urbanas</v>
          </cell>
          <cell r="C1184" t="str">
            <v>m</v>
          </cell>
          <cell r="D1184">
            <v>1967.89</v>
          </cell>
          <cell r="E1184" t="str">
            <v>A incluir</v>
          </cell>
          <cell r="F1184" t="e">
            <v>#N/A</v>
          </cell>
          <cell r="G1184" t="e">
            <v>#N/A</v>
          </cell>
        </row>
        <row r="1185">
          <cell r="A1185">
            <v>42744</v>
          </cell>
          <cell r="B1185" t="str">
            <v>Corpo BDTC (grota) diâmetro 1,50 m CA-1 PB exclusive escavação e reaterro, inclusive transporte do tubo em Vias Urbanas</v>
          </cell>
          <cell r="C1185" t="str">
            <v>m</v>
          </cell>
          <cell r="D1185">
            <v>1712.15</v>
          </cell>
          <cell r="E1185" t="str">
            <v>A incluir</v>
          </cell>
          <cell r="F1185" t="e">
            <v>#N/A</v>
          </cell>
          <cell r="G1185" t="e">
            <v>#N/A</v>
          </cell>
        </row>
        <row r="1186">
          <cell r="A1186">
            <v>42745</v>
          </cell>
          <cell r="B1186" t="str">
            <v>Corpo BDTC (grota) diâmetro 1,50 m CA-2 MF exclusive escavação e reaterro, inclusive transporte do tubo em Vias Urbanas</v>
          </cell>
          <cell r="C1186" t="str">
            <v>m</v>
          </cell>
          <cell r="D1186">
            <v>1968.5</v>
          </cell>
          <cell r="E1186" t="str">
            <v>A incluir</v>
          </cell>
          <cell r="F1186" t="e">
            <v>#N/A</v>
          </cell>
          <cell r="G1186" t="e">
            <v>#N/A</v>
          </cell>
        </row>
        <row r="1187">
          <cell r="A1187">
            <v>42746</v>
          </cell>
          <cell r="B1187" t="str">
            <v>Corpo BDTC (grota) diâmetro 1,50 m CA-2 PB exclusive escavação e reaterro, inclusive transporte do tubo em Vias Urbanas</v>
          </cell>
          <cell r="C1187" t="str">
            <v>m</v>
          </cell>
          <cell r="D1187">
            <v>1794.77</v>
          </cell>
          <cell r="E1187" t="str">
            <v>A incluir</v>
          </cell>
          <cell r="F1187" t="e">
            <v>#N/A</v>
          </cell>
          <cell r="G1187" t="e">
            <v>#N/A</v>
          </cell>
        </row>
        <row r="1188">
          <cell r="A1188">
            <v>42747</v>
          </cell>
          <cell r="B1188" t="str">
            <v>Corpo BDTC (grota) diâmetro 1,50 m CA-3 MF exclusive escavação e reaterro, inclusive transporte do tubo em Vias Urbanas</v>
          </cell>
          <cell r="C1188" t="str">
            <v>m</v>
          </cell>
          <cell r="D1188">
            <v>1548.5</v>
          </cell>
          <cell r="E1188" t="str">
            <v>A incluir</v>
          </cell>
          <cell r="F1188" t="e">
            <v>#N/A</v>
          </cell>
          <cell r="G1188" t="e">
            <v>#N/A</v>
          </cell>
        </row>
        <row r="1189">
          <cell r="A1189">
            <v>42748</v>
          </cell>
          <cell r="B1189" t="str">
            <v>Corpo BSTC diâmetro 0,20 m C.S. MF inclusive escavação, reaterro e transporte do tubo em Vias Urbanas</v>
          </cell>
          <cell r="C1189" t="str">
            <v>m</v>
          </cell>
          <cell r="D1189">
            <v>89.06</v>
          </cell>
          <cell r="E1189" t="str">
            <v>A incluir</v>
          </cell>
          <cell r="F1189" t="e">
            <v>#N/A</v>
          </cell>
          <cell r="G1189" t="e">
            <v>#N/A</v>
          </cell>
        </row>
        <row r="1190">
          <cell r="A1190">
            <v>42749</v>
          </cell>
          <cell r="B1190" t="str">
            <v>Corpo BSTC diâmetro 0,20 m C.S. PB inclusive escavação, reaterro e transporte do tubo em Vias Urbanas</v>
          </cell>
          <cell r="C1190" t="str">
            <v>m</v>
          </cell>
          <cell r="D1190">
            <v>89.06</v>
          </cell>
          <cell r="E1190" t="str">
            <v>A incluir</v>
          </cell>
          <cell r="F1190" t="e">
            <v>#N/A</v>
          </cell>
          <cell r="G1190" t="e">
            <v>#N/A</v>
          </cell>
        </row>
        <row r="1191">
          <cell r="A1191">
            <v>42750</v>
          </cell>
          <cell r="B1191" t="str">
            <v>Corpo BSTC diâmetro 0,30 m C.S. MF inclusive escavação, reaterro e transporte do tubo em Vias Urbanas</v>
          </cell>
          <cell r="C1191" t="str">
            <v>m</v>
          </cell>
          <cell r="D1191">
            <v>114.09</v>
          </cell>
          <cell r="E1191" t="str">
            <v>A incluir</v>
          </cell>
          <cell r="F1191" t="e">
            <v>#N/A</v>
          </cell>
          <cell r="G1191" t="e">
            <v>#N/A</v>
          </cell>
        </row>
        <row r="1192">
          <cell r="A1192">
            <v>42751</v>
          </cell>
          <cell r="B1192" t="str">
            <v>Corpo BSTC diâmetro 0,30 m C.S. PB inclusive escavação, reaterro e transporte do tubo em Vias Urbanas</v>
          </cell>
          <cell r="C1192" t="str">
            <v>m</v>
          </cell>
          <cell r="D1192">
            <v>113.51</v>
          </cell>
          <cell r="E1192" t="str">
            <v>A incluir</v>
          </cell>
          <cell r="F1192" t="e">
            <v>#N/A</v>
          </cell>
          <cell r="G1192" t="e">
            <v>#N/A</v>
          </cell>
        </row>
        <row r="1193">
          <cell r="A1193">
            <v>42752</v>
          </cell>
          <cell r="B1193" t="str">
            <v>Corpo BSTC diâmetro 0,40 m C.S. MF inclusive escavação, reaterro e transporte do tubo em Vias Urbanas</v>
          </cell>
          <cell r="C1193" t="str">
            <v>m</v>
          </cell>
          <cell r="D1193">
            <v>153.33000000000001</v>
          </cell>
          <cell r="E1193" t="str">
            <v>A incluir</v>
          </cell>
          <cell r="F1193" t="e">
            <v>#N/A</v>
          </cell>
          <cell r="G1193" t="e">
            <v>#N/A</v>
          </cell>
        </row>
        <row r="1194">
          <cell r="A1194">
            <v>42753</v>
          </cell>
          <cell r="B1194" t="str">
            <v>Corpo BSTC diâmetro 0,40 m C.S. PB inclusive escavação, reaterro e transporte do tubo em Vias Urbanas</v>
          </cell>
          <cell r="C1194" t="str">
            <v>m</v>
          </cell>
          <cell r="D1194">
            <v>148.21</v>
          </cell>
          <cell r="E1194" t="str">
            <v>A incluir</v>
          </cell>
          <cell r="F1194" t="e">
            <v>#N/A</v>
          </cell>
          <cell r="G1194" t="e">
            <v>#N/A</v>
          </cell>
        </row>
        <row r="1195">
          <cell r="A1195">
            <v>42754</v>
          </cell>
          <cell r="B1195" t="str">
            <v>Corpo BSTC diâmetro 0,60 m C.S. MF inclusive escavação, reaterro e transporte do tubo em Vias Urbanas</v>
          </cell>
          <cell r="C1195" t="str">
            <v>m</v>
          </cell>
          <cell r="D1195">
            <v>247.72</v>
          </cell>
          <cell r="E1195" t="str">
            <v>A incluir</v>
          </cell>
          <cell r="F1195" t="e">
            <v>#N/A</v>
          </cell>
          <cell r="G1195" t="e">
            <v>#N/A</v>
          </cell>
        </row>
        <row r="1196">
          <cell r="A1196">
            <v>42755</v>
          </cell>
          <cell r="B1196" t="str">
            <v>Corpo BSTC diâmetro 0,60 m C.S. PB inclusive escavação, reaterro e transporte do tubo em Vias Urbanas</v>
          </cell>
          <cell r="C1196" t="str">
            <v>m</v>
          </cell>
          <cell r="D1196">
            <v>240.01</v>
          </cell>
          <cell r="E1196" t="str">
            <v>A incluir</v>
          </cell>
          <cell r="F1196" t="e">
            <v>#N/A</v>
          </cell>
          <cell r="G1196" t="e">
            <v>#N/A</v>
          </cell>
        </row>
        <row r="1197">
          <cell r="A1197">
            <v>42756</v>
          </cell>
          <cell r="B1197" t="str">
            <v>Corpo BSTC (greide) diâmetro 0,30 m CA-1 MF inclusive escavação, reaterro e transporte do tubo em Vias Urbanas</v>
          </cell>
          <cell r="C1197" t="str">
            <v>m</v>
          </cell>
          <cell r="D1197">
            <v>116.56</v>
          </cell>
          <cell r="E1197" t="str">
            <v>A incluir</v>
          </cell>
          <cell r="F1197" t="e">
            <v>#N/A</v>
          </cell>
          <cell r="G1197" t="e">
            <v>#N/A</v>
          </cell>
        </row>
        <row r="1198">
          <cell r="A1198">
            <v>42757</v>
          </cell>
          <cell r="B1198" t="str">
            <v>Corpo BSTC (greide) diâmetro 0,40 m CA-1 MF inclusive escavação, reaterro e transporte do tubo em Vias Urbanas</v>
          </cell>
          <cell r="C1198" t="str">
            <v>m</v>
          </cell>
          <cell r="D1198">
            <v>163.19999999999999</v>
          </cell>
          <cell r="E1198" t="str">
            <v>A incluir</v>
          </cell>
          <cell r="F1198" t="e">
            <v>#N/A</v>
          </cell>
          <cell r="G1198" t="e">
            <v>#N/A</v>
          </cell>
        </row>
        <row r="1199">
          <cell r="A1199">
            <v>42759</v>
          </cell>
          <cell r="B1199" t="str">
            <v>Corpo BSTC (greide) diâmetro 0,40 m CA-2 MF inclusive escavação, reaterro e transporte do tubo em Vias Urbanas</v>
          </cell>
          <cell r="C1199" t="str">
            <v>m</v>
          </cell>
          <cell r="D1199">
            <v>169.98</v>
          </cell>
          <cell r="E1199" t="str">
            <v>A incluir</v>
          </cell>
          <cell r="F1199" t="e">
            <v>#N/A</v>
          </cell>
          <cell r="G1199" t="e">
            <v>#N/A</v>
          </cell>
        </row>
        <row r="1200">
          <cell r="A1200">
            <v>42760</v>
          </cell>
          <cell r="B1200" t="str">
            <v>Corpo BSTC (greide) diâmetro 0,60 m CA-1 MF inclusive escavação, reaterro e transporte do tubo em Vias Urbanas</v>
          </cell>
          <cell r="C1200" t="str">
            <v>m</v>
          </cell>
          <cell r="D1200">
            <v>260.08999999999997</v>
          </cell>
          <cell r="E1200" t="str">
            <v>A incluir</v>
          </cell>
          <cell r="F1200" t="e">
            <v>#N/A</v>
          </cell>
          <cell r="G1200" t="e">
            <v>#N/A</v>
          </cell>
        </row>
        <row r="1201">
          <cell r="A1201">
            <v>42761</v>
          </cell>
          <cell r="B1201" t="str">
            <v>Corpo BSTC (greide) diâmetro 0,60 m CA-1 PB inclusive escavação, reaterro e transporte do tubo em Vias Urbanas</v>
          </cell>
          <cell r="C1201" t="str">
            <v>m</v>
          </cell>
          <cell r="D1201">
            <v>261.95999999999998</v>
          </cell>
          <cell r="E1201" t="str">
            <v>A incluir</v>
          </cell>
          <cell r="F1201" t="e">
            <v>#N/A</v>
          </cell>
          <cell r="G1201" t="e">
            <v>#N/A</v>
          </cell>
        </row>
        <row r="1202">
          <cell r="A1202">
            <v>42762</v>
          </cell>
          <cell r="B1202" t="str">
            <v>Corpo BSTC (greide) diâmetro 0,60 m CA-2 MF inclusive escavação, reaterro e transporte do tubo em Vias Urbanas</v>
          </cell>
          <cell r="C1202" t="str">
            <v>m</v>
          </cell>
          <cell r="D1202">
            <v>253.89</v>
          </cell>
          <cell r="E1202" t="str">
            <v>A incluir</v>
          </cell>
          <cell r="F1202" t="e">
            <v>#N/A</v>
          </cell>
          <cell r="G1202" t="e">
            <v>#N/A</v>
          </cell>
        </row>
        <row r="1203">
          <cell r="A1203">
            <v>42763</v>
          </cell>
          <cell r="B1203" t="str">
            <v>Corpo BSTC (greide) diâmetro 0,60 m CA-2 PB inclusive escavação, reaterro e transporte do tubo em Vias Urbanas</v>
          </cell>
          <cell r="C1203" t="str">
            <v>m</v>
          </cell>
          <cell r="D1203">
            <v>257.22000000000003</v>
          </cell>
          <cell r="E1203" t="str">
            <v>A incluir</v>
          </cell>
          <cell r="F1203" t="e">
            <v>#N/A</v>
          </cell>
          <cell r="G1203" t="e">
            <v>#N/A</v>
          </cell>
        </row>
        <row r="1204">
          <cell r="A1204">
            <v>42764</v>
          </cell>
          <cell r="B1204" t="str">
            <v>Corpo BSTC (greide) diâmetro 0,80 m CA-1 MF inclusive escavação, reaterro e transporte do tubo em Vias Urbanas</v>
          </cell>
          <cell r="C1204" t="str">
            <v>m</v>
          </cell>
          <cell r="D1204">
            <v>510.98</v>
          </cell>
          <cell r="E1204" t="str">
            <v>A incluir</v>
          </cell>
          <cell r="F1204" t="e">
            <v>#N/A</v>
          </cell>
          <cell r="G1204" t="e">
            <v>#N/A</v>
          </cell>
        </row>
        <row r="1205">
          <cell r="A1205">
            <v>42765</v>
          </cell>
          <cell r="B1205" t="str">
            <v>Corpo BSTC (greide) diâmetro 0,80 m CA-1 PB inclusive escavação, reaterro e transporte do tubo em Vias Urbanas</v>
          </cell>
          <cell r="C1205" t="str">
            <v>m</v>
          </cell>
          <cell r="D1205">
            <v>513.24</v>
          </cell>
          <cell r="E1205" t="str">
            <v>A incluir</v>
          </cell>
          <cell r="F1205" t="e">
            <v>#N/A</v>
          </cell>
          <cell r="G1205" t="e">
            <v>#N/A</v>
          </cell>
        </row>
        <row r="1206">
          <cell r="A1206">
            <v>42766</v>
          </cell>
          <cell r="B1206" t="str">
            <v>Corpo BSTC (greide) diâmetro 0,80 m CA-2 MF inclusive escavação, reaterro e transporte do tubo em Vias Urbanas</v>
          </cell>
          <cell r="C1206" t="str">
            <v>m</v>
          </cell>
          <cell r="D1206">
            <v>504.69</v>
          </cell>
          <cell r="E1206" t="str">
            <v>A incluir</v>
          </cell>
          <cell r="F1206" t="e">
            <v>#N/A</v>
          </cell>
          <cell r="G1206" t="e">
            <v>#N/A</v>
          </cell>
        </row>
        <row r="1207">
          <cell r="A1207">
            <v>42767</v>
          </cell>
          <cell r="B1207" t="str">
            <v>Corpo BSTC (greide) diâmetro 0,80 m CA-2 PB inclusive escavação, reaterro e transporte do tubo em Vias Urbanas</v>
          </cell>
          <cell r="C1207" t="str">
            <v>m</v>
          </cell>
          <cell r="D1207">
            <v>524.75</v>
          </cell>
          <cell r="E1207" t="str">
            <v>A incluir</v>
          </cell>
          <cell r="F1207" t="e">
            <v>#N/A</v>
          </cell>
          <cell r="G1207" t="e">
            <v>#N/A</v>
          </cell>
        </row>
        <row r="1208">
          <cell r="A1208">
            <v>42768</v>
          </cell>
          <cell r="B1208" t="str">
            <v>Corpo BSTC (greide) diâmetro 1,00 m CA-1 MF inclusive escavação, reaterro e transporte do tubo em Vias Urbanas</v>
          </cell>
          <cell r="C1208" t="str">
            <v>m</v>
          </cell>
          <cell r="D1208">
            <v>675.75</v>
          </cell>
          <cell r="E1208" t="str">
            <v>A incluir</v>
          </cell>
          <cell r="F1208" t="e">
            <v>#N/A</v>
          </cell>
          <cell r="G1208" t="e">
            <v>#N/A</v>
          </cell>
        </row>
        <row r="1209">
          <cell r="A1209">
            <v>42769</v>
          </cell>
          <cell r="B1209" t="str">
            <v>Corpo BSTC (greide) diâmetro 1,00 m CA-1 PB inclusive escavação, reaterro e transporte do tubo em Vias Urbanas</v>
          </cell>
          <cell r="C1209" t="str">
            <v>m</v>
          </cell>
          <cell r="D1209">
            <v>674.56</v>
          </cell>
          <cell r="E1209" t="str">
            <v>A incluir</v>
          </cell>
          <cell r="F1209" t="e">
            <v>#N/A</v>
          </cell>
          <cell r="G1209" t="e">
            <v>#N/A</v>
          </cell>
        </row>
        <row r="1210">
          <cell r="A1210">
            <v>42770</v>
          </cell>
          <cell r="B1210" t="str">
            <v>Corpo BSTC (greide) diâmetro 1,00 m CA-2 MF inclusive escavação, reaterro e transporte do tubo em Vias Urbanas</v>
          </cell>
          <cell r="C1210" t="str">
            <v>m</v>
          </cell>
          <cell r="D1210">
            <v>712.75</v>
          </cell>
          <cell r="E1210" t="str">
            <v>A incluir</v>
          </cell>
          <cell r="F1210" t="e">
            <v>#N/A</v>
          </cell>
          <cell r="G1210" t="e">
            <v>#N/A</v>
          </cell>
        </row>
        <row r="1211">
          <cell r="A1211">
            <v>42771</v>
          </cell>
          <cell r="B1211" t="str">
            <v>Corpo BSTC (greide) diâmetro 1,00 m CA-2 PB inclusive escavação, reaterro e transporte do tubo em Vias Urbanas</v>
          </cell>
          <cell r="C1211" t="str">
            <v>m</v>
          </cell>
          <cell r="D1211">
            <v>696.52</v>
          </cell>
          <cell r="E1211" t="str">
            <v>A incluir</v>
          </cell>
          <cell r="F1211" t="e">
            <v>#N/A</v>
          </cell>
          <cell r="G1211" t="e">
            <v>#N/A</v>
          </cell>
        </row>
        <row r="1212">
          <cell r="A1212">
            <v>42772</v>
          </cell>
          <cell r="B1212" t="str">
            <v>Corpo BSTC (greide) diâmetro 1,20 m CA-1 MF inclusive escavação, reaterro e transporte do tubo em Vias Urbanas</v>
          </cell>
          <cell r="C1212" t="str">
            <v>m</v>
          </cell>
          <cell r="D1212">
            <v>935.56</v>
          </cell>
          <cell r="E1212" t="str">
            <v>A incluir</v>
          </cell>
          <cell r="F1212" t="e">
            <v>#N/A</v>
          </cell>
          <cell r="G1212" t="e">
            <v>#N/A</v>
          </cell>
        </row>
        <row r="1213">
          <cell r="A1213">
            <v>42773</v>
          </cell>
          <cell r="B1213" t="str">
            <v>Corpo BSTC (greide) diâmetro 1,20 m CA-1 PB inclusive escavação, reaterro e transporte do tubo em Vias Urbanas</v>
          </cell>
          <cell r="C1213" t="str">
            <v>m</v>
          </cell>
          <cell r="D1213">
            <v>951.38</v>
          </cell>
          <cell r="E1213" t="str">
            <v>A incluir</v>
          </cell>
          <cell r="F1213" t="e">
            <v>#N/A</v>
          </cell>
          <cell r="G1213" t="e">
            <v>#N/A</v>
          </cell>
        </row>
        <row r="1214">
          <cell r="A1214">
            <v>42774</v>
          </cell>
          <cell r="B1214" t="str">
            <v>Corpo BSTC (greide) diâmetro 1,20 m CA-2 MF inclusive escavação, reaterro e transporte do tubo, em Vias Urbanas</v>
          </cell>
          <cell r="C1214" t="str">
            <v>m</v>
          </cell>
          <cell r="D1214">
            <v>941.57</v>
          </cell>
          <cell r="E1214" t="str">
            <v>A incluir</v>
          </cell>
          <cell r="F1214" t="e">
            <v>#N/A</v>
          </cell>
          <cell r="G1214" t="e">
            <v>#N/A</v>
          </cell>
        </row>
        <row r="1215">
          <cell r="A1215">
            <v>42775</v>
          </cell>
          <cell r="B1215" t="str">
            <v>Corpo BSTC (greide) diâmetro 1,20 m CA-2 PB inclusive escavação, reaterro e transporte do tubo em Vias Urbanas</v>
          </cell>
          <cell r="C1215" t="str">
            <v>m</v>
          </cell>
          <cell r="D1215">
            <v>981.72</v>
          </cell>
          <cell r="E1215" t="str">
            <v>A incluir</v>
          </cell>
          <cell r="F1215" t="e">
            <v>#N/A</v>
          </cell>
          <cell r="G1215" t="e">
            <v>#N/A</v>
          </cell>
        </row>
        <row r="1216">
          <cell r="A1216">
            <v>42776</v>
          </cell>
          <cell r="B1216" t="str">
            <v>Corpo BSTC (grota) diâmetro 0,60 m CA-1 MF exclusive escavação e reaterro, inclusive transporte do tubo em Vias Urbanas</v>
          </cell>
          <cell r="C1216" t="str">
            <v>m</v>
          </cell>
          <cell r="D1216">
            <v>163.81</v>
          </cell>
          <cell r="E1216" t="str">
            <v>A incluir</v>
          </cell>
          <cell r="F1216" t="e">
            <v>#N/A</v>
          </cell>
          <cell r="G1216" t="e">
            <v>#N/A</v>
          </cell>
        </row>
        <row r="1217">
          <cell r="A1217">
            <v>42777</v>
          </cell>
          <cell r="B1217" t="str">
            <v>Corpo BSTC (grota) diâmetro 0,60 m CA-1 PB exclusive escavação e reaterro, inclusive transporte do tubo em Vias Urbanas</v>
          </cell>
          <cell r="C1217" t="str">
            <v>m</v>
          </cell>
          <cell r="D1217">
            <v>165.69</v>
          </cell>
          <cell r="E1217" t="str">
            <v>A incluir</v>
          </cell>
          <cell r="F1217" t="e">
            <v>#N/A</v>
          </cell>
          <cell r="G1217" t="e">
            <v>#N/A</v>
          </cell>
        </row>
        <row r="1218">
          <cell r="A1218">
            <v>42778</v>
          </cell>
          <cell r="B1218" t="str">
            <v>Corpo BSTC (grota) diâmetro 0,60 m CA-2 MF exclusive escavação e reaterro, inclusive transporte do tubo em Vias Urbanas</v>
          </cell>
          <cell r="C1218" t="str">
            <v>m</v>
          </cell>
          <cell r="D1218">
            <v>157.61000000000001</v>
          </cell>
          <cell r="E1218" t="str">
            <v>A incluir</v>
          </cell>
          <cell r="F1218" t="e">
            <v>#N/A</v>
          </cell>
          <cell r="G1218" t="e">
            <v>#N/A</v>
          </cell>
        </row>
        <row r="1219">
          <cell r="A1219">
            <v>42779</v>
          </cell>
          <cell r="B1219" t="str">
            <v>Corpo BSTC (grota) diâmetro 0,60 m CA-2 PB exclusive escavação e reaterro, inclusive transporte do tubo em Vias Urbanas</v>
          </cell>
          <cell r="C1219" t="str">
            <v>m</v>
          </cell>
          <cell r="D1219">
            <v>160.94</v>
          </cell>
          <cell r="E1219" t="str">
            <v>A incluir</v>
          </cell>
          <cell r="F1219" t="e">
            <v>#N/A</v>
          </cell>
          <cell r="G1219" t="e">
            <v>#N/A</v>
          </cell>
        </row>
        <row r="1220">
          <cell r="A1220">
            <v>42780</v>
          </cell>
          <cell r="B1220" t="str">
            <v>Corpo BSTC (grota) diâmetro 0,80 m CA-1 MF exclusive escavação e reaterro, inclusive transporte do tubo em Vias Urbanas</v>
          </cell>
          <cell r="C1220" t="str">
            <v>m</v>
          </cell>
          <cell r="D1220">
            <v>375.33</v>
          </cell>
          <cell r="E1220" t="str">
            <v>A incluir</v>
          </cell>
          <cell r="F1220" t="e">
            <v>#N/A</v>
          </cell>
          <cell r="G1220" t="e">
            <v>#N/A</v>
          </cell>
        </row>
        <row r="1221">
          <cell r="A1221">
            <v>42781</v>
          </cell>
          <cell r="B1221" t="str">
            <v>Corpo BSTC (grota) diâmetro 0,80 m CA-1 PB exclusive escavação e reaterro, inclusive transporte do tubo em Vias Urbanas</v>
          </cell>
          <cell r="C1221" t="str">
            <v>m</v>
          </cell>
          <cell r="D1221">
            <v>377.59</v>
          </cell>
          <cell r="E1221" t="str">
            <v>A incluir</v>
          </cell>
          <cell r="F1221" t="e">
            <v>#N/A</v>
          </cell>
          <cell r="G1221" t="e">
            <v>#N/A</v>
          </cell>
        </row>
        <row r="1222">
          <cell r="A1222">
            <v>42782</v>
          </cell>
          <cell r="B1222" t="str">
            <v>Corpo BSTC (grota) diâmetro 0,80 m CA-2 MF exclusive escavação e reaterro, inclusive transporte do tubo em Vias Urbanas</v>
          </cell>
          <cell r="C1222" t="str">
            <v>m</v>
          </cell>
          <cell r="D1222">
            <v>369.04</v>
          </cell>
          <cell r="E1222" t="str">
            <v>A incluir</v>
          </cell>
          <cell r="F1222" t="e">
            <v>#N/A</v>
          </cell>
          <cell r="G1222" t="e">
            <v>#N/A</v>
          </cell>
        </row>
        <row r="1223">
          <cell r="A1223">
            <v>42783</v>
          </cell>
          <cell r="B1223" t="str">
            <v>Corpo BSTC (grota) diâmetro 0,80 m CA-2 PB exclusive escavação e reaterro, inclusive transporte do tubo em Vias Urbanas</v>
          </cell>
          <cell r="C1223" t="str">
            <v>m</v>
          </cell>
          <cell r="D1223">
            <v>389.09</v>
          </cell>
          <cell r="E1223" t="str">
            <v>A incluir</v>
          </cell>
          <cell r="F1223" t="e">
            <v>#N/A</v>
          </cell>
          <cell r="G1223" t="e">
            <v>#N/A</v>
          </cell>
        </row>
        <row r="1224">
          <cell r="A1224">
            <v>42784</v>
          </cell>
          <cell r="B1224" t="str">
            <v>Corpo BSTC (grota) diâmetro 1,00 m CA-1 MF exclusive escavação e reaterro, inclusive transporte do tubo em Vias Urbanas</v>
          </cell>
          <cell r="C1224" t="str">
            <v>m</v>
          </cell>
          <cell r="D1224">
            <v>457.56</v>
          </cell>
          <cell r="E1224" t="str">
            <v>A incluir</v>
          </cell>
          <cell r="F1224" t="e">
            <v>#N/A</v>
          </cell>
          <cell r="G1224" t="e">
            <v>#N/A</v>
          </cell>
        </row>
        <row r="1225">
          <cell r="A1225">
            <v>42785</v>
          </cell>
          <cell r="B1225" t="str">
            <v>Corpo BSTC (grota) diâmetro 1,00 m CA-1 PB exclusive escavação e reaterro, inclusive transporte do tubo em Vias Urbanas</v>
          </cell>
          <cell r="C1225" t="str">
            <v>m</v>
          </cell>
          <cell r="D1225">
            <v>456.37</v>
          </cell>
          <cell r="E1225" t="str">
            <v>A incluir</v>
          </cell>
          <cell r="F1225" t="e">
            <v>#N/A</v>
          </cell>
          <cell r="G1225" t="e">
            <v>#N/A</v>
          </cell>
        </row>
        <row r="1226">
          <cell r="A1226">
            <v>42786</v>
          </cell>
          <cell r="B1226" t="str">
            <v>Corpo BSTC (grota) diâmetro 1,00 m CA-2 MF exclusive escavação e reaterro, inclusive transporte do tubo em Vias Urbanas</v>
          </cell>
          <cell r="C1226" t="str">
            <v>m</v>
          </cell>
          <cell r="D1226">
            <v>494.56</v>
          </cell>
          <cell r="E1226" t="str">
            <v>A incluir</v>
          </cell>
          <cell r="F1226" t="e">
            <v>#N/A</v>
          </cell>
          <cell r="G1226" t="e">
            <v>#N/A</v>
          </cell>
        </row>
        <row r="1227">
          <cell r="A1227">
            <v>42787</v>
          </cell>
          <cell r="B1227" t="str">
            <v>Corpo BSTC (grota) diâmetro 1,00 m CA-2 PB exclusive escavação e reaterro, inclusive transporte do tubo em Vias Urbanas</v>
          </cell>
          <cell r="C1227" t="str">
            <v>m</v>
          </cell>
          <cell r="D1227">
            <v>478.33</v>
          </cell>
          <cell r="E1227" t="str">
            <v>A incluir</v>
          </cell>
          <cell r="F1227" t="e">
            <v>#N/A</v>
          </cell>
          <cell r="G1227" t="e">
            <v>#N/A</v>
          </cell>
        </row>
        <row r="1228">
          <cell r="A1228">
            <v>42788</v>
          </cell>
          <cell r="B1228" t="str">
            <v>Corpo BSTC (grota) diâmetro 1,00 m CA-3 MF exclusive escavação e reaterro, inclusive transporte do tubo em Vias Urbanas</v>
          </cell>
          <cell r="C1228" t="str">
            <v>m</v>
          </cell>
          <cell r="D1228">
            <v>494.43</v>
          </cell>
          <cell r="E1228" t="str">
            <v>A incluir</v>
          </cell>
          <cell r="F1228" t="e">
            <v>#N/A</v>
          </cell>
          <cell r="G1228" t="e">
            <v>#N/A</v>
          </cell>
        </row>
        <row r="1229">
          <cell r="A1229">
            <v>42789</v>
          </cell>
          <cell r="B1229" t="str">
            <v>Corpo BSTC (grota) diâmetro 1,20 m CA-1 MF exclusive escavação e reaterro, inclusive transporte do tubo em Vias Urbanas</v>
          </cell>
          <cell r="C1229" t="str">
            <v>m</v>
          </cell>
          <cell r="D1229">
            <v>640.51</v>
          </cell>
          <cell r="E1229" t="str">
            <v>A incluir</v>
          </cell>
          <cell r="F1229" t="e">
            <v>#N/A</v>
          </cell>
          <cell r="G1229" t="e">
            <v>#N/A</v>
          </cell>
        </row>
        <row r="1230">
          <cell r="A1230">
            <v>42790</v>
          </cell>
          <cell r="B1230" t="str">
            <v>Corpo BSTC (grota) diâmetro 1,20 m CA-1 PB exclusive escavação e reaterro, inclusive transporte do tubo em Vias Urbanas</v>
          </cell>
          <cell r="C1230" t="str">
            <v>m</v>
          </cell>
          <cell r="D1230">
            <v>656.33</v>
          </cell>
          <cell r="E1230" t="str">
            <v>A incluir</v>
          </cell>
          <cell r="F1230" t="e">
            <v>#N/A</v>
          </cell>
          <cell r="G1230" t="e">
            <v>#N/A</v>
          </cell>
        </row>
        <row r="1231">
          <cell r="A1231">
            <v>42791</v>
          </cell>
          <cell r="B1231" t="str">
            <v>Corpo BSTC (grota) diâmetro 1,20 m CA-2 MF exclusive escavação e reaterro, inclusive transporte do tubo em Vias Urbanas</v>
          </cell>
          <cell r="C1231" t="str">
            <v>m</v>
          </cell>
          <cell r="D1231">
            <v>646.51</v>
          </cell>
          <cell r="E1231" t="str">
            <v>A incluir</v>
          </cell>
          <cell r="F1231" t="e">
            <v>#N/A</v>
          </cell>
          <cell r="G1231" t="e">
            <v>#N/A</v>
          </cell>
        </row>
        <row r="1232">
          <cell r="A1232">
            <v>42792</v>
          </cell>
          <cell r="B1232" t="str">
            <v>Corpo BSTC (grota) diâmetro 1,20 m CA-2 PB exclusive escavação e reaterro, inclusive transporte do tubo em Vias Urbanas</v>
          </cell>
          <cell r="C1232" t="str">
            <v>m</v>
          </cell>
          <cell r="D1232">
            <v>686.67</v>
          </cell>
          <cell r="E1232" t="str">
            <v>A incluir</v>
          </cell>
          <cell r="F1232" t="e">
            <v>#N/A</v>
          </cell>
          <cell r="G1232" t="e">
            <v>#N/A</v>
          </cell>
        </row>
        <row r="1233">
          <cell r="A1233">
            <v>42793</v>
          </cell>
          <cell r="B1233" t="str">
            <v>Corpo BSTC (grota) diâmetro 1,20 m CA-3 MF exclusive escavação e reaterro, inclusive transporte do tubo em Vias Urbanas</v>
          </cell>
          <cell r="C1233" t="str">
            <v>m</v>
          </cell>
          <cell r="D1233">
            <v>671.34</v>
          </cell>
          <cell r="E1233" t="str">
            <v>A incluir</v>
          </cell>
          <cell r="F1233" t="e">
            <v>#N/A</v>
          </cell>
          <cell r="G1233" t="e">
            <v>#N/A</v>
          </cell>
        </row>
        <row r="1234">
          <cell r="A1234">
            <v>42794</v>
          </cell>
          <cell r="B1234" t="str">
            <v>Corpo BSTC (grota) diâmetro 1,50 m CA-1 MF exclusive escavação e reaterro, inclusive transporte do tubo em Vias Urbanas</v>
          </cell>
          <cell r="C1234" t="str">
            <v>m</v>
          </cell>
          <cell r="D1234">
            <v>1025.0899999999999</v>
          </cell>
          <cell r="E1234" t="str">
            <v>A incluir</v>
          </cell>
          <cell r="F1234" t="e">
            <v>#N/A</v>
          </cell>
          <cell r="G1234" t="e">
            <v>#N/A</v>
          </cell>
        </row>
        <row r="1235">
          <cell r="A1235">
            <v>42758</v>
          </cell>
          <cell r="B1235" t="str">
            <v>Corpo BSTC (grota) diâmetro 1,50 m CA-1 PB exclusive escavação e reaterro, inclusive transporte do tubo em Vias Urbanas</v>
          </cell>
          <cell r="C1235" t="str">
            <v>m</v>
          </cell>
          <cell r="D1235">
            <v>897.22</v>
          </cell>
          <cell r="E1235" t="str">
            <v>A incluir</v>
          </cell>
          <cell r="F1235" t="e">
            <v>#N/A</v>
          </cell>
          <cell r="G1235" t="e">
            <v>#N/A</v>
          </cell>
        </row>
        <row r="1236">
          <cell r="A1236">
            <v>42795</v>
          </cell>
          <cell r="B1236" t="str">
            <v>Corpo BSTC (grota) diâmetro 1,50 m CA-2 MF exclusive escavação e reaterro, inclusive transporte do tubo em Vias Urbanas</v>
          </cell>
          <cell r="C1236" t="str">
            <v>m</v>
          </cell>
          <cell r="D1236">
            <v>1025.4000000000001</v>
          </cell>
          <cell r="E1236" t="str">
            <v>A incluir</v>
          </cell>
          <cell r="F1236" t="e">
            <v>#N/A</v>
          </cell>
          <cell r="G1236" t="e">
            <v>#N/A</v>
          </cell>
        </row>
        <row r="1237">
          <cell r="A1237">
            <v>42796</v>
          </cell>
          <cell r="B1237" t="str">
            <v>Corpo BSTC (grota) diâmetro 1,50 m CA-2 PB exclusive escavação e reaterro, inclusive transporte do tubo em Vias Urbanas</v>
          </cell>
          <cell r="C1237" t="str">
            <v>m</v>
          </cell>
          <cell r="D1237">
            <v>938.53</v>
          </cell>
          <cell r="E1237" t="str">
            <v>A incluir</v>
          </cell>
          <cell r="F1237" t="e">
            <v>#N/A</v>
          </cell>
          <cell r="G1237" t="e">
            <v>#N/A</v>
          </cell>
        </row>
        <row r="1238">
          <cell r="A1238">
            <v>42797</v>
          </cell>
          <cell r="B1238" t="str">
            <v>Corpo BSTC (grota) diâmetro 1,50 m CA-3 MF exclusive escavação e reaterro, inclusive transporte do tubo em Vias Urbanas</v>
          </cell>
          <cell r="C1238" t="str">
            <v>m</v>
          </cell>
          <cell r="D1238">
            <v>815.4</v>
          </cell>
          <cell r="E1238" t="str">
            <v>A incluir</v>
          </cell>
          <cell r="F1238" t="e">
            <v>#N/A</v>
          </cell>
          <cell r="G1238" t="e">
            <v>#N/A</v>
          </cell>
        </row>
        <row r="1239">
          <cell r="A1239">
            <v>42798</v>
          </cell>
          <cell r="B1239" t="str">
            <v>Corpo BTTC (grota) diâmetro 0,60 m CA-1 MF exclusive escavação e reaterro, inclusive transporte do tubo em Vias Urbanas</v>
          </cell>
          <cell r="C1239" t="str">
            <v>m</v>
          </cell>
          <cell r="D1239">
            <v>487.9</v>
          </cell>
          <cell r="E1239" t="str">
            <v>A incluir</v>
          </cell>
          <cell r="F1239" t="e">
            <v>#N/A</v>
          </cell>
          <cell r="G1239" t="e">
            <v>#N/A</v>
          </cell>
        </row>
        <row r="1240">
          <cell r="A1240">
            <v>42799</v>
          </cell>
          <cell r="B1240" t="str">
            <v>Corpo BTTC (grota) diâmetro 0,60 m CA-1 PB exclusive escavação e reaterro, inclusive transporte do tubo em Vias Urbanas</v>
          </cell>
          <cell r="C1240" t="str">
            <v>m</v>
          </cell>
          <cell r="D1240">
            <v>493.52</v>
          </cell>
          <cell r="E1240" t="str">
            <v>A incluir</v>
          </cell>
          <cell r="F1240" t="e">
            <v>#N/A</v>
          </cell>
          <cell r="G1240" t="e">
            <v>#N/A</v>
          </cell>
        </row>
        <row r="1241">
          <cell r="A1241">
            <v>42800</v>
          </cell>
          <cell r="B1241" t="str">
            <v>Corpo BTTC (grota) diâmetro 0,60 m CA-2 MF exclusive escavação e reaterro, inclusive transporte do tubo em Vias Urbanas</v>
          </cell>
          <cell r="C1241" t="str">
            <v>m</v>
          </cell>
          <cell r="D1241">
            <v>469.29</v>
          </cell>
          <cell r="E1241" t="str">
            <v>A incluir</v>
          </cell>
          <cell r="F1241" t="e">
            <v>#N/A</v>
          </cell>
          <cell r="G1241" t="e">
            <v>#N/A</v>
          </cell>
        </row>
        <row r="1242">
          <cell r="A1242">
            <v>42801</v>
          </cell>
          <cell r="B1242" t="str">
            <v>Corpo BTTC (grota) diâmetro 0,60 m CA-2 PB exclusive escavação e reaterro, inclusive transporte do tubo em Vias Urbanas</v>
          </cell>
          <cell r="C1242" t="str">
            <v>m</v>
          </cell>
          <cell r="D1242">
            <v>479.28</v>
          </cell>
          <cell r="E1242" t="str">
            <v>A incluir</v>
          </cell>
          <cell r="F1242" t="e">
            <v>#N/A</v>
          </cell>
          <cell r="G1242" t="e">
            <v>#N/A</v>
          </cell>
        </row>
        <row r="1243">
          <cell r="A1243">
            <v>42802</v>
          </cell>
          <cell r="B1243" t="str">
            <v>Corpo BTTC (grota) diâmetro 0,80 m CA-1 MF exclusive escavação e reaterro, inclusive transporte do tubo em Vias Urbanas</v>
          </cell>
          <cell r="C1243" t="str">
            <v>m</v>
          </cell>
          <cell r="D1243">
            <v>961.41</v>
          </cell>
          <cell r="E1243" t="str">
            <v>A incluir</v>
          </cell>
          <cell r="F1243" t="e">
            <v>#N/A</v>
          </cell>
          <cell r="G1243" t="e">
            <v>#N/A</v>
          </cell>
        </row>
        <row r="1244">
          <cell r="A1244">
            <v>42803</v>
          </cell>
          <cell r="B1244" t="str">
            <v>Corpo BTTC (grota) diâmetro 0,80 m CA-1 PB exclusive escavação e reaterro, inclusive transporte do tubo em Vias Urbanas</v>
          </cell>
          <cell r="C1244" t="str">
            <v>m</v>
          </cell>
          <cell r="D1244">
            <v>968.18</v>
          </cell>
          <cell r="E1244" t="str">
            <v>A incluir</v>
          </cell>
          <cell r="F1244" t="e">
            <v>#N/A</v>
          </cell>
          <cell r="G1244" t="e">
            <v>#N/A</v>
          </cell>
        </row>
        <row r="1245">
          <cell r="A1245">
            <v>42804</v>
          </cell>
          <cell r="B1245" t="str">
            <v>Corpo BTTC (grota) diâmetro 0,80 m CA-2 MF exclusive escavação e reaterro, inclusive transporte do tubo em Vias Urbanas</v>
          </cell>
          <cell r="C1245" t="str">
            <v>m</v>
          </cell>
          <cell r="D1245">
            <v>942.54</v>
          </cell>
          <cell r="E1245" t="str">
            <v>A incluir</v>
          </cell>
          <cell r="F1245" t="e">
            <v>#N/A</v>
          </cell>
          <cell r="G1245" t="e">
            <v>#N/A</v>
          </cell>
        </row>
        <row r="1246">
          <cell r="A1246">
            <v>42805</v>
          </cell>
          <cell r="B1246" t="str">
            <v>Corpo BTTC (grota) diâmetro 0,80 m CA-2 PB exclusive escavação e reaterro, inclusive transporte do tubo em Vias Urbanas</v>
          </cell>
          <cell r="C1246" t="str">
            <v>m</v>
          </cell>
          <cell r="D1246">
            <v>1002.7</v>
          </cell>
          <cell r="E1246" t="str">
            <v>A incluir</v>
          </cell>
          <cell r="F1246" t="e">
            <v>#N/A</v>
          </cell>
          <cell r="G1246" t="e">
            <v>#N/A</v>
          </cell>
        </row>
        <row r="1247">
          <cell r="A1247">
            <v>42806</v>
          </cell>
          <cell r="B1247" t="str">
            <v>Corpo BTTC (grota) diâmetro 1,00 m CA-1 MF exclusive escavação e reaterro, inclusive transporte do tubo em Vias Urbanas</v>
          </cell>
          <cell r="C1247" t="str">
            <v>m</v>
          </cell>
          <cell r="D1247">
            <v>1208.0899999999999</v>
          </cell>
          <cell r="E1247" t="str">
            <v>A incluir</v>
          </cell>
          <cell r="F1247" t="e">
            <v>#N/A</v>
          </cell>
          <cell r="G1247" t="e">
            <v>#N/A</v>
          </cell>
        </row>
        <row r="1248">
          <cell r="A1248">
            <v>42807</v>
          </cell>
          <cell r="B1248" t="str">
            <v>Corpo BTTC (grota) diâmetro 1,00 m CA-1 PB exclusive escavação e reaterro, inclusive transporte do tubo em Vias Urbanas</v>
          </cell>
          <cell r="C1248" t="str">
            <v>m</v>
          </cell>
          <cell r="D1248">
            <v>1204.5</v>
          </cell>
          <cell r="E1248" t="str">
            <v>A incluir</v>
          </cell>
          <cell r="F1248" t="e">
            <v>#N/A</v>
          </cell>
          <cell r="G1248" t="e">
            <v>#N/A</v>
          </cell>
        </row>
        <row r="1249">
          <cell r="A1249">
            <v>42808</v>
          </cell>
          <cell r="B1249" t="str">
            <v>Corpo BTTC (grota) diâmetro 1,00 m CA-2 MF exclusive escavação e reaterro, inclusive transporte do tubo em Vias Urbanas</v>
          </cell>
          <cell r="C1249" t="str">
            <v>m</v>
          </cell>
          <cell r="D1249">
            <v>1319.08</v>
          </cell>
          <cell r="E1249" t="str">
            <v>A incluir</v>
          </cell>
          <cell r="F1249" t="e">
            <v>#N/A</v>
          </cell>
          <cell r="G1249" t="e">
            <v>#N/A</v>
          </cell>
        </row>
        <row r="1250">
          <cell r="A1250">
            <v>42809</v>
          </cell>
          <cell r="B1250" t="str">
            <v>Corpo BTTC (grota) diâmetro 1,00 m CA-2 PB exclusive escavação e reaterro, inclusive transporte do tubo em Vias Urbanas</v>
          </cell>
          <cell r="C1250" t="str">
            <v>m</v>
          </cell>
          <cell r="D1250">
            <v>1270.3900000000001</v>
          </cell>
          <cell r="E1250" t="str">
            <v>A incluir</v>
          </cell>
          <cell r="F1250" t="e">
            <v>#N/A</v>
          </cell>
          <cell r="G1250" t="e">
            <v>#N/A</v>
          </cell>
        </row>
        <row r="1251">
          <cell r="A1251">
            <v>42810</v>
          </cell>
          <cell r="B1251" t="str">
            <v>Corpo BTTC (grota) diâmetro 1,00 m CA-3 MF exclusive escavação e reaterro, inclusive transporte do tubo em Vias Urbanas</v>
          </cell>
          <cell r="C1251" t="str">
            <v>m</v>
          </cell>
          <cell r="D1251">
            <v>1318.71</v>
          </cell>
          <cell r="E1251" t="str">
            <v>A incluir</v>
          </cell>
          <cell r="F1251" t="e">
            <v>#N/A</v>
          </cell>
          <cell r="G1251" t="e">
            <v>#N/A</v>
          </cell>
        </row>
        <row r="1252">
          <cell r="A1252">
            <v>42811</v>
          </cell>
          <cell r="B1252" t="str">
            <v>Corpo BTTC (grota) diâmetro 1,20 m CA-1 MF exclusive escavação e reaterro, inclusive transporte do tubo em Vias Urbanas</v>
          </cell>
          <cell r="C1252" t="str">
            <v>m</v>
          </cell>
          <cell r="D1252">
            <v>1757</v>
          </cell>
          <cell r="E1252" t="str">
            <v>A incluir</v>
          </cell>
          <cell r="F1252" t="e">
            <v>#N/A</v>
          </cell>
          <cell r="G1252" t="e">
            <v>#N/A</v>
          </cell>
        </row>
        <row r="1253">
          <cell r="A1253">
            <v>42812</v>
          </cell>
          <cell r="B1253" t="str">
            <v>Corpo BTTC (grota) diâmetro 1,20 m CA-1 PB exclusive escavação e reaterro, inclusive transporte do tubo em Vias Urbanas</v>
          </cell>
          <cell r="C1253" t="str">
            <v>m</v>
          </cell>
          <cell r="D1253">
            <v>1804.46</v>
          </cell>
          <cell r="E1253" t="str">
            <v>A incluir</v>
          </cell>
          <cell r="F1253" t="e">
            <v>#N/A</v>
          </cell>
          <cell r="G1253" t="e">
            <v>#N/A</v>
          </cell>
        </row>
        <row r="1254">
          <cell r="A1254">
            <v>42813</v>
          </cell>
          <cell r="B1254" t="str">
            <v>Corpo BTTC (grota) diâmetro 1,20 m CA-2 MF exclusive escavação e reaterro, inclusive transporte do tubo em Vias Urbanas</v>
          </cell>
          <cell r="C1254" t="str">
            <v>m</v>
          </cell>
          <cell r="D1254">
            <v>1775.01</v>
          </cell>
          <cell r="E1254" t="str">
            <v>A incluir</v>
          </cell>
          <cell r="F1254" t="e">
            <v>#N/A</v>
          </cell>
          <cell r="G1254" t="e">
            <v>#N/A</v>
          </cell>
        </row>
        <row r="1255">
          <cell r="A1255">
            <v>42814</v>
          </cell>
          <cell r="B1255" t="str">
            <v>Corpo BTTC (grota) diâmetro 1,20 m CA-2 PB exclusive escavação e reaterro, inclusive transporte do tubo em Vias Urbanas</v>
          </cell>
          <cell r="C1255" t="str">
            <v>m</v>
          </cell>
          <cell r="D1255">
            <v>1895.47</v>
          </cell>
          <cell r="E1255" t="str">
            <v>A incluir</v>
          </cell>
          <cell r="F1255" t="e">
            <v>#N/A</v>
          </cell>
          <cell r="G1255" t="e">
            <v>#N/A</v>
          </cell>
        </row>
        <row r="1256">
          <cell r="A1256">
            <v>42815</v>
          </cell>
          <cell r="B1256" t="str">
            <v>Corpo BTTC (grota) diâmetro 1,20 m CA-3 MF exclusive escavação e reaterro, inclusive transporte do tubo em Vias Urbanas</v>
          </cell>
          <cell r="C1256" t="str">
            <v>m</v>
          </cell>
          <cell r="D1256">
            <v>1849.49</v>
          </cell>
          <cell r="E1256" t="str">
            <v>A incluir</v>
          </cell>
          <cell r="F1256" t="e">
            <v>#N/A</v>
          </cell>
          <cell r="G1256" t="e">
            <v>#N/A</v>
          </cell>
        </row>
        <row r="1257">
          <cell r="A1257">
            <v>42816</v>
          </cell>
          <cell r="B1257" t="str">
            <v>Corpo BTTC (grota) diâmetro 1,50 m CA-1 MF exclusive escavação e reaterro, inclusive transporte do tubo em Vias Urbanas</v>
          </cell>
          <cell r="C1257" t="str">
            <v>m</v>
          </cell>
          <cell r="D1257">
            <v>2910.64</v>
          </cell>
          <cell r="E1257" t="str">
            <v>A incluir</v>
          </cell>
          <cell r="F1257" t="e">
            <v>#N/A</v>
          </cell>
          <cell r="G1257" t="e">
            <v>#N/A</v>
          </cell>
        </row>
        <row r="1258">
          <cell r="A1258">
            <v>42817</v>
          </cell>
          <cell r="B1258" t="str">
            <v>Corpo BTTC (grota) diâmetro 1,50 m CA-1 PB exclusive escavação e reaterro, inclusive transporte do tubo em Vias Urbanas</v>
          </cell>
          <cell r="C1258" t="str">
            <v>m</v>
          </cell>
          <cell r="D1258">
            <v>2527.0300000000002</v>
          </cell>
          <cell r="E1258" t="str">
            <v>A incluir</v>
          </cell>
          <cell r="F1258" t="e">
            <v>#N/A</v>
          </cell>
          <cell r="G1258" t="e">
            <v>#N/A</v>
          </cell>
        </row>
        <row r="1259">
          <cell r="A1259">
            <v>42818</v>
          </cell>
          <cell r="B1259" t="str">
            <v>Corpo BTTC (grota) diâmetro 1,50 m CA-2 MF exclusive escavação e reaterro, inclusive transporte do tubo em Vias Urbanas</v>
          </cell>
          <cell r="C1259" t="str">
            <v>m</v>
          </cell>
          <cell r="D1259">
            <v>2911.57</v>
          </cell>
          <cell r="E1259" t="str">
            <v>A incluir</v>
          </cell>
          <cell r="F1259" t="e">
            <v>#N/A</v>
          </cell>
          <cell r="G1259" t="e">
            <v>#N/A</v>
          </cell>
        </row>
        <row r="1260">
          <cell r="A1260">
            <v>42819</v>
          </cell>
          <cell r="B1260" t="str">
            <v>Corpo BTTC (grota) diâmetro 1,50 m CA-2 PB exclusive escavação e reaterro, inclusive transporte do tubo em Vias Urbanas</v>
          </cell>
          <cell r="C1260" t="str">
            <v>m</v>
          </cell>
          <cell r="D1260">
            <v>2650.97</v>
          </cell>
          <cell r="E1260" t="str">
            <v>A incluir</v>
          </cell>
          <cell r="F1260" t="e">
            <v>#N/A</v>
          </cell>
          <cell r="G1260" t="e">
            <v>#N/A</v>
          </cell>
        </row>
        <row r="1261">
          <cell r="A1261">
            <v>42820</v>
          </cell>
          <cell r="B1261" t="str">
            <v>Corpo BTTC (grota) diâmetro 1,50 m CA-3 MF exclusive escavação e reaterro, inclusive transporte do tubo em Vias Urbanas</v>
          </cell>
          <cell r="C1261" t="str">
            <v>m</v>
          </cell>
          <cell r="D1261">
            <v>2281.56</v>
          </cell>
          <cell r="E1261" t="str">
            <v>A incluir</v>
          </cell>
          <cell r="F1261" t="e">
            <v>#N/A</v>
          </cell>
          <cell r="G1261" t="e">
            <v>#N/A</v>
          </cell>
        </row>
        <row r="1262">
          <cell r="A1262">
            <v>41321</v>
          </cell>
          <cell r="B1262" t="str">
            <v>Corpo de BDCC 1,00 x 1,00 m em Vias Urbanas</v>
          </cell>
          <cell r="C1262" t="str">
            <v>m</v>
          </cell>
          <cell r="D1262">
            <v>5261.15</v>
          </cell>
          <cell r="E1262">
            <v>0</v>
          </cell>
          <cell r="F1262" t="e">
            <v>#N/A</v>
          </cell>
          <cell r="G1262" t="e">
            <v>#N/A</v>
          </cell>
        </row>
        <row r="1263">
          <cell r="A1263">
            <v>42821</v>
          </cell>
          <cell r="B1263" t="str">
            <v>Corpo de BDCC 1,50 x 1,50 m projeto DNIT para H &lt; = 2,50 m em Vias Urbanas</v>
          </cell>
          <cell r="C1263" t="str">
            <v>m</v>
          </cell>
          <cell r="D1263">
            <v>3901.8</v>
          </cell>
          <cell r="E1263">
            <v>0</v>
          </cell>
          <cell r="F1263" t="e">
            <v>#N/A</v>
          </cell>
          <cell r="G1263" t="e">
            <v>#N/A</v>
          </cell>
        </row>
        <row r="1264">
          <cell r="A1264">
            <v>42822</v>
          </cell>
          <cell r="B1264" t="str">
            <v>Corpo de BDCC 1,50 x 1,50 m projeto DNIT para 2,50 &lt; H &lt; 5,00 m em Vias Urbanas</v>
          </cell>
          <cell r="C1264" t="str">
            <v>m</v>
          </cell>
          <cell r="D1264">
            <v>4069.76</v>
          </cell>
          <cell r="E1264">
            <v>0</v>
          </cell>
          <cell r="F1264" t="e">
            <v>#N/A</v>
          </cell>
          <cell r="G1264" t="e">
            <v>#N/A</v>
          </cell>
        </row>
        <row r="1265">
          <cell r="A1265">
            <v>42823</v>
          </cell>
          <cell r="B1265" t="str">
            <v>Corpo de BDCC 2,00 x 1,20 m - tudo incluido conforme projeto em Vias Urbanas</v>
          </cell>
          <cell r="C1265" t="str">
            <v>m</v>
          </cell>
          <cell r="D1265">
            <v>5661.85</v>
          </cell>
          <cell r="E1265">
            <v>0</v>
          </cell>
          <cell r="F1265" t="e">
            <v>#N/A</v>
          </cell>
          <cell r="G1265" t="e">
            <v>#N/A</v>
          </cell>
        </row>
        <row r="1266">
          <cell r="A1266">
            <v>42824</v>
          </cell>
          <cell r="B1266" t="str">
            <v>Corpo de BDCC 2,00 x 2,00 m projeto DNIT para H &lt; = 2,50 m em Vias Urbanas</v>
          </cell>
          <cell r="C1266" t="str">
            <v>m</v>
          </cell>
          <cell r="D1266">
            <v>5600.18</v>
          </cell>
          <cell r="E1266">
            <v>0</v>
          </cell>
          <cell r="F1266" t="e">
            <v>#N/A</v>
          </cell>
          <cell r="G1266" t="e">
            <v>#N/A</v>
          </cell>
        </row>
        <row r="1267">
          <cell r="A1267">
            <v>42825</v>
          </cell>
          <cell r="B1267" t="str">
            <v>Corpo de BDCC 2,00 x 2,00 m projeto DNIT para 2,50 &lt; H &lt; 5,00 m em Vias Urbanas</v>
          </cell>
          <cell r="C1267" t="str">
            <v>m</v>
          </cell>
          <cell r="D1267">
            <v>6199.07</v>
          </cell>
          <cell r="E1267">
            <v>0</v>
          </cell>
          <cell r="F1267" t="e">
            <v>#N/A</v>
          </cell>
          <cell r="G1267" t="e">
            <v>#N/A</v>
          </cell>
        </row>
        <row r="1268">
          <cell r="A1268">
            <v>40600</v>
          </cell>
          <cell r="B1268" t="str">
            <v>Corpo de BDCC 2,00 x 2,50 m em Vias Urbanas</v>
          </cell>
          <cell r="C1268" t="str">
            <v>m</v>
          </cell>
          <cell r="D1268">
            <v>8332.1200000000008</v>
          </cell>
          <cell r="E1268">
            <v>0</v>
          </cell>
          <cell r="F1268" t="e">
            <v>#N/A</v>
          </cell>
          <cell r="G1268" t="e">
            <v>#N/A</v>
          </cell>
        </row>
        <row r="1269">
          <cell r="A1269">
            <v>42827</v>
          </cell>
          <cell r="B1269" t="str">
            <v>Corpo de BDCC 2,00 x 3,00 m projeto DNIT p/ 2,50 &lt; H &lt; 5,00 m em Vias Urbanas</v>
          </cell>
          <cell r="C1269" t="str">
            <v>m</v>
          </cell>
          <cell r="D1269">
            <v>9305.86</v>
          </cell>
          <cell r="E1269">
            <v>0</v>
          </cell>
          <cell r="F1269" t="e">
            <v>#N/A</v>
          </cell>
          <cell r="G1269" t="e">
            <v>#N/A</v>
          </cell>
        </row>
        <row r="1270">
          <cell r="A1270">
            <v>42826</v>
          </cell>
          <cell r="B1270" t="str">
            <v>Corpo de BDCC 2,00 x 3,00 m projeto DNIT para H &lt; = 2,50 m em Vias Urbanas</v>
          </cell>
          <cell r="C1270" t="str">
            <v>m</v>
          </cell>
          <cell r="D1270">
            <v>7991</v>
          </cell>
          <cell r="E1270">
            <v>0</v>
          </cell>
          <cell r="F1270" t="e">
            <v>#N/A</v>
          </cell>
          <cell r="G1270" t="e">
            <v>#N/A</v>
          </cell>
        </row>
        <row r="1271">
          <cell r="A1271">
            <v>42828</v>
          </cell>
          <cell r="B1271" t="str">
            <v>Corpo de BDCC 2,50 x 2,00m - tudo incluído conforme projeto em Vias Urbanas</v>
          </cell>
          <cell r="C1271" t="str">
            <v>m</v>
          </cell>
          <cell r="D1271">
            <v>8166.31</v>
          </cell>
          <cell r="E1271">
            <v>0</v>
          </cell>
          <cell r="F1271" t="e">
            <v>#N/A</v>
          </cell>
          <cell r="G1271" t="e">
            <v>#N/A</v>
          </cell>
        </row>
        <row r="1272">
          <cell r="A1272">
            <v>42830</v>
          </cell>
          <cell r="B1272" t="str">
            <v>Corpo de BDCC 2,50 x 2,50 m projeto DNIT p/ 2,50&lt; H &lt;5,00 m em Vias Urbanas</v>
          </cell>
          <cell r="C1272" t="str">
            <v>m</v>
          </cell>
          <cell r="D1272">
            <v>8417.0400000000009</v>
          </cell>
          <cell r="E1272">
            <v>0</v>
          </cell>
          <cell r="F1272" t="e">
            <v>#N/A</v>
          </cell>
          <cell r="G1272" t="e">
            <v>#N/A</v>
          </cell>
        </row>
        <row r="1273">
          <cell r="A1273">
            <v>42829</v>
          </cell>
          <cell r="B1273" t="str">
            <v>Corpo de BDCC 2,50 x 2,50 m projeto DNIT para H&lt;=2,50m em Vias Urbanas</v>
          </cell>
          <cell r="C1273" t="str">
            <v>m</v>
          </cell>
          <cell r="D1273">
            <v>7534.59</v>
          </cell>
          <cell r="E1273">
            <v>0</v>
          </cell>
          <cell r="F1273" t="e">
            <v>#N/A</v>
          </cell>
          <cell r="G1273" t="e">
            <v>#N/A</v>
          </cell>
        </row>
        <row r="1274">
          <cell r="A1274">
            <v>42831</v>
          </cell>
          <cell r="B1274" t="str">
            <v>Corpo de BDCC 2,50 x 3,00 m projeto DNIT p/ H &lt;= 2,50 m em Vias Urbanas</v>
          </cell>
          <cell r="C1274" t="str">
            <v>m</v>
          </cell>
          <cell r="D1274">
            <v>9129.39</v>
          </cell>
          <cell r="E1274">
            <v>0</v>
          </cell>
          <cell r="F1274" t="e">
            <v>#N/A</v>
          </cell>
          <cell r="G1274" t="e">
            <v>#N/A</v>
          </cell>
        </row>
        <row r="1275">
          <cell r="A1275">
            <v>42832</v>
          </cell>
          <cell r="B1275" t="str">
            <v>Corpo de BDCC 2,50 x 3,00 m projeto DNIT p/ 2,50 &lt; H &lt; 5,00 m em Vias Urbanas</v>
          </cell>
          <cell r="C1275" t="str">
            <v>m</v>
          </cell>
          <cell r="D1275">
            <v>10105.92</v>
          </cell>
          <cell r="E1275">
            <v>0</v>
          </cell>
          <cell r="F1275" t="e">
            <v>#N/A</v>
          </cell>
          <cell r="G1275" t="e">
            <v>#N/A</v>
          </cell>
        </row>
        <row r="1276">
          <cell r="A1276">
            <v>42834</v>
          </cell>
          <cell r="B1276" t="str">
            <v>Corpo de BDCC 3,00 x 3,00 m projeto DNIT p/ 2,50 &lt; H &lt; 5,00 m em Vias Urbanas</v>
          </cell>
          <cell r="C1276" t="str">
            <v>m</v>
          </cell>
          <cell r="D1276">
            <v>10818.76</v>
          </cell>
          <cell r="E1276">
            <v>0</v>
          </cell>
          <cell r="F1276" t="e">
            <v>#N/A</v>
          </cell>
          <cell r="G1276" t="e">
            <v>#N/A</v>
          </cell>
        </row>
        <row r="1277">
          <cell r="A1277">
            <v>42833</v>
          </cell>
          <cell r="B1277" t="str">
            <v>Corpo de BDCC 3,00 x 3,00 m projeto DNIT para H &lt;= 2,50 m em Vias Urbanas</v>
          </cell>
          <cell r="C1277" t="str">
            <v>m</v>
          </cell>
          <cell r="D1277">
            <v>10020.99</v>
          </cell>
          <cell r="E1277">
            <v>0</v>
          </cell>
          <cell r="F1277" t="e">
            <v>#N/A</v>
          </cell>
          <cell r="G1277" t="e">
            <v>#N/A</v>
          </cell>
        </row>
        <row r="1278">
          <cell r="A1278">
            <v>42835</v>
          </cell>
          <cell r="B1278" t="str">
            <v>Corpo de BSCC 1,50 x 1,50 m projeto DNIT p/ H &lt;= 2,50 m em Vias Urbanas</v>
          </cell>
          <cell r="C1278" t="str">
            <v>m</v>
          </cell>
          <cell r="D1278">
            <v>2370.58</v>
          </cell>
          <cell r="E1278">
            <v>0</v>
          </cell>
          <cell r="F1278" t="e">
            <v>#N/A</v>
          </cell>
          <cell r="G1278" t="e">
            <v>#N/A</v>
          </cell>
        </row>
        <row r="1279">
          <cell r="A1279">
            <v>42836</v>
          </cell>
          <cell r="B1279" t="str">
            <v>Corpo de BSCC 1,50x1,50m projeto DNIT p/ 2,50&lt; H &lt;5,00m em Vias Urbanas</v>
          </cell>
          <cell r="C1279" t="str">
            <v>m</v>
          </cell>
          <cell r="D1279">
            <v>2496.5500000000002</v>
          </cell>
          <cell r="E1279">
            <v>0</v>
          </cell>
          <cell r="F1279" t="e">
            <v>#N/A</v>
          </cell>
          <cell r="G1279" t="e">
            <v>#N/A</v>
          </cell>
        </row>
        <row r="1280">
          <cell r="A1280">
            <v>42837</v>
          </cell>
          <cell r="B1280" t="str">
            <v>Corpo de BSCC 2,00 x 2,00m projeto DNIT para 5,00 &lt; H &lt; 7,50 m em Vias Urbanas</v>
          </cell>
          <cell r="C1280" t="str">
            <v>m</v>
          </cell>
          <cell r="D1280">
            <v>4065.9</v>
          </cell>
          <cell r="E1280">
            <v>0</v>
          </cell>
          <cell r="F1280" t="e">
            <v>#N/A</v>
          </cell>
          <cell r="G1280" t="e">
            <v>#N/A</v>
          </cell>
        </row>
        <row r="1281">
          <cell r="A1281">
            <v>42838</v>
          </cell>
          <cell r="B1281" t="str">
            <v>Corpo de BSCC 2,00x2,00m projeto DNIT p/ H&lt;=2,50m em Vias Urbanas</v>
          </cell>
          <cell r="C1281" t="str">
            <v>m</v>
          </cell>
          <cell r="D1281">
            <v>3350.72</v>
          </cell>
          <cell r="E1281">
            <v>0</v>
          </cell>
          <cell r="F1281" t="e">
            <v>#N/A</v>
          </cell>
          <cell r="G1281" t="e">
            <v>#N/A</v>
          </cell>
        </row>
        <row r="1282">
          <cell r="A1282">
            <v>42839</v>
          </cell>
          <cell r="B1282" t="str">
            <v>Corpo de BSCC 2,00x2,00m projeto DNIT p/ 2,50&lt; H &lt;5,00m em Vias Urbanas</v>
          </cell>
          <cell r="C1282" t="str">
            <v>m</v>
          </cell>
          <cell r="D1282">
            <v>3771.97</v>
          </cell>
          <cell r="E1282">
            <v>0</v>
          </cell>
          <cell r="F1282" t="e">
            <v>#N/A</v>
          </cell>
          <cell r="G1282" t="e">
            <v>#N/A</v>
          </cell>
        </row>
        <row r="1283">
          <cell r="A1283">
            <v>42840</v>
          </cell>
          <cell r="B1283" t="str">
            <v>Corpo de BSCC 2,00x3,00m projeto DNIT p/ H&lt;=2,50m em Vias Urbanas</v>
          </cell>
          <cell r="C1283" t="str">
            <v>m</v>
          </cell>
          <cell r="D1283">
            <v>4853.59</v>
          </cell>
          <cell r="E1283">
            <v>0</v>
          </cell>
          <cell r="F1283" t="e">
            <v>#N/A</v>
          </cell>
          <cell r="G1283" t="e">
            <v>#N/A</v>
          </cell>
        </row>
        <row r="1284">
          <cell r="A1284">
            <v>42841</v>
          </cell>
          <cell r="B1284" t="str">
            <v>Corpo de BSCC 2,00x3,00m projeto DNIT p/ 2,50&lt; H &lt;5,00m em Vias Urbanas</v>
          </cell>
          <cell r="C1284" t="str">
            <v>m</v>
          </cell>
          <cell r="D1284">
            <v>6107.37</v>
          </cell>
          <cell r="E1284">
            <v>0</v>
          </cell>
          <cell r="F1284" t="e">
            <v>#N/A</v>
          </cell>
          <cell r="G1284" t="e">
            <v>#N/A</v>
          </cell>
        </row>
        <row r="1285">
          <cell r="A1285">
            <v>40585</v>
          </cell>
          <cell r="B1285" t="str">
            <v>Corpo de BSCC 2,50 x 2,50 m, para H &lt; = 2,50 m em Vias Urbanas</v>
          </cell>
          <cell r="C1285" t="str">
            <v>m</v>
          </cell>
          <cell r="D1285">
            <v>5205.75</v>
          </cell>
          <cell r="E1285">
            <v>0</v>
          </cell>
          <cell r="F1285" t="e">
            <v>#N/A</v>
          </cell>
          <cell r="G1285" t="e">
            <v>#N/A</v>
          </cell>
        </row>
        <row r="1286">
          <cell r="A1286">
            <v>42843</v>
          </cell>
          <cell r="B1286" t="str">
            <v>Corpo de BSCC 2,50x2,50m projeto DNIT para 2,50&lt; H &lt;5,00m em Vias Urbanas</v>
          </cell>
          <cell r="C1286" t="str">
            <v>m</v>
          </cell>
          <cell r="D1286">
            <v>5203.2700000000004</v>
          </cell>
          <cell r="E1286">
            <v>0</v>
          </cell>
          <cell r="F1286" t="e">
            <v>#N/A</v>
          </cell>
          <cell r="G1286" t="e">
            <v>#N/A</v>
          </cell>
        </row>
        <row r="1287">
          <cell r="A1287">
            <v>42844</v>
          </cell>
          <cell r="B1287" t="str">
            <v>Corpo de BSCC 2,50x3,00m projeto DNIT para H&lt;=2,50m em Vias Urbanas</v>
          </cell>
          <cell r="C1287" t="str">
            <v>m</v>
          </cell>
          <cell r="D1287">
            <v>5991.37</v>
          </cell>
          <cell r="E1287">
            <v>0</v>
          </cell>
          <cell r="F1287" t="e">
            <v>#N/A</v>
          </cell>
          <cell r="G1287" t="e">
            <v>#N/A</v>
          </cell>
        </row>
        <row r="1288">
          <cell r="A1288">
            <v>42845</v>
          </cell>
          <cell r="B1288" t="str">
            <v>Corpo de BSCC 2,50x3,00m projeto DNIT para 2,50&lt; H &lt;5,00m em Vias Urbanas</v>
          </cell>
          <cell r="C1288" t="str">
            <v>m</v>
          </cell>
          <cell r="D1288">
            <v>7127.3</v>
          </cell>
          <cell r="E1288">
            <v>0</v>
          </cell>
          <cell r="F1288" t="e">
            <v>#N/A</v>
          </cell>
          <cell r="G1288" t="e">
            <v>#N/A</v>
          </cell>
        </row>
        <row r="1289">
          <cell r="A1289">
            <v>41179</v>
          </cell>
          <cell r="B1289" t="str">
            <v>Corpo de BSCC 3,00x1,50 para 2,50m&lt; H &lt; 5,00m , em Vias Urbanas</v>
          </cell>
          <cell r="C1289" t="str">
            <v>m</v>
          </cell>
          <cell r="D1289">
            <v>6267.67</v>
          </cell>
          <cell r="E1289">
            <v>0</v>
          </cell>
          <cell r="F1289" t="e">
            <v>#N/A</v>
          </cell>
          <cell r="G1289" t="e">
            <v>#N/A</v>
          </cell>
        </row>
        <row r="1290">
          <cell r="A1290">
            <v>42842</v>
          </cell>
          <cell r="B1290" t="str">
            <v>Corpo de BSCC 3,00x3,00m projeto DNIT para H&lt;=2,50m em Vias Urbanas</v>
          </cell>
          <cell r="C1290" t="str">
            <v>m</v>
          </cell>
          <cell r="D1290">
            <v>6525.77</v>
          </cell>
          <cell r="E1290">
            <v>0</v>
          </cell>
          <cell r="F1290" t="e">
            <v>#N/A</v>
          </cell>
          <cell r="G1290" t="e">
            <v>#N/A</v>
          </cell>
        </row>
        <row r="1291">
          <cell r="A1291">
            <v>42848</v>
          </cell>
          <cell r="B1291" t="str">
            <v>Corpo de BSCC 3,00x3,00m projeto DNIT para 2,50&lt; H &lt;5,00m em Vias Urbanas</v>
          </cell>
          <cell r="C1291" t="str">
            <v>m</v>
          </cell>
          <cell r="D1291">
            <v>7452.84</v>
          </cell>
          <cell r="E1291">
            <v>0</v>
          </cell>
          <cell r="F1291" t="e">
            <v>#N/A</v>
          </cell>
          <cell r="G1291" t="e">
            <v>#N/A</v>
          </cell>
        </row>
        <row r="1292">
          <cell r="A1292">
            <v>42849</v>
          </cell>
          <cell r="B1292" t="str">
            <v>Corpo de BTCC 1,50 x 1,50 m projeto DNIT para H &lt;= 2,50 m em Vias Urbanas</v>
          </cell>
          <cell r="C1292" t="str">
            <v>m</v>
          </cell>
          <cell r="D1292">
            <v>5468.19</v>
          </cell>
          <cell r="E1292">
            <v>0</v>
          </cell>
          <cell r="F1292" t="e">
            <v>#N/A</v>
          </cell>
          <cell r="G1292" t="e">
            <v>#N/A</v>
          </cell>
        </row>
        <row r="1293">
          <cell r="A1293">
            <v>42850</v>
          </cell>
          <cell r="B1293" t="str">
            <v>Corpo de BTCC 1,50 x 1,50 m projeto DNIT para 2,50 &lt; H &lt; 5,00 m em Vias Urbanas</v>
          </cell>
          <cell r="C1293" t="str">
            <v>m</v>
          </cell>
          <cell r="D1293">
            <v>5778.92</v>
          </cell>
          <cell r="E1293">
            <v>0</v>
          </cell>
          <cell r="F1293" t="e">
            <v>#N/A</v>
          </cell>
          <cell r="G1293" t="e">
            <v>#N/A</v>
          </cell>
        </row>
        <row r="1294">
          <cell r="A1294">
            <v>42851</v>
          </cell>
          <cell r="B1294" t="str">
            <v>Corpo de BTCC 2,00 x 2,00 m projeto DNIT para H &lt;= 2,50 m em Vias Urbanas</v>
          </cell>
          <cell r="C1294" t="str">
            <v>m</v>
          </cell>
          <cell r="D1294">
            <v>7967.59</v>
          </cell>
          <cell r="E1294">
            <v>0</v>
          </cell>
          <cell r="F1294" t="e">
            <v>#N/A</v>
          </cell>
          <cell r="G1294" t="e">
            <v>#N/A</v>
          </cell>
        </row>
        <row r="1295">
          <cell r="A1295">
            <v>42852</v>
          </cell>
          <cell r="B1295" t="str">
            <v>Corpo de BTCC 2,00 x 2,00 m projeto DNIT para 2,50 &lt; H &lt; 5,00 m em Vias Urbanas</v>
          </cell>
          <cell r="C1295" t="str">
            <v>m</v>
          </cell>
          <cell r="D1295">
            <v>8477.25</v>
          </cell>
          <cell r="E1295">
            <v>0</v>
          </cell>
          <cell r="F1295" t="e">
            <v>#N/A</v>
          </cell>
          <cell r="G1295" t="e">
            <v>#N/A</v>
          </cell>
        </row>
        <row r="1296">
          <cell r="A1296">
            <v>42853</v>
          </cell>
          <cell r="B1296" t="str">
            <v>Corpo de BTCC 2,00 x 3,00 m projeto DNIT para H &lt; = 2,50 m em Vias Urbanas</v>
          </cell>
          <cell r="C1296" t="str">
            <v>m</v>
          </cell>
          <cell r="D1296">
            <v>11571.06</v>
          </cell>
          <cell r="E1296">
            <v>0</v>
          </cell>
          <cell r="F1296" t="e">
            <v>#N/A</v>
          </cell>
          <cell r="G1296" t="e">
            <v>#N/A</v>
          </cell>
        </row>
        <row r="1297">
          <cell r="A1297">
            <v>42854</v>
          </cell>
          <cell r="B1297" t="str">
            <v>Corpo de BTCC 2,00 x 3,00 m projeto DNIT para 2,50 &lt; H &lt; 5,00 m em Vias Urbanas</v>
          </cell>
          <cell r="C1297" t="str">
            <v>m</v>
          </cell>
          <cell r="D1297">
            <v>13091.12</v>
          </cell>
          <cell r="E1297">
            <v>0</v>
          </cell>
          <cell r="F1297" t="e">
            <v>#N/A</v>
          </cell>
          <cell r="G1297" t="e">
            <v>#N/A</v>
          </cell>
        </row>
        <row r="1298">
          <cell r="A1298">
            <v>42855</v>
          </cell>
          <cell r="B1298" t="str">
            <v>Corpo de BTCC 2,50 x 2,50 m projeto DNIT para H &lt; = 2,50 m em Vias Urbanas</v>
          </cell>
          <cell r="C1298" t="str">
            <v>m</v>
          </cell>
          <cell r="D1298">
            <v>10430.06</v>
          </cell>
          <cell r="E1298">
            <v>0</v>
          </cell>
          <cell r="F1298" t="e">
            <v>#N/A</v>
          </cell>
          <cell r="G1298" t="e">
            <v>#N/A</v>
          </cell>
        </row>
        <row r="1299">
          <cell r="A1299">
            <v>42856</v>
          </cell>
          <cell r="B1299" t="str">
            <v>Corpo de BTCC 2,50 x 2,50 m projeto DNIT para 2,50 &lt; H &lt; 5,00 m em Vias Urbanas</v>
          </cell>
          <cell r="C1299" t="str">
            <v>m</v>
          </cell>
          <cell r="D1299">
            <v>11687.33</v>
          </cell>
          <cell r="E1299">
            <v>0</v>
          </cell>
          <cell r="F1299" t="e">
            <v>#N/A</v>
          </cell>
          <cell r="G1299" t="e">
            <v>#N/A</v>
          </cell>
        </row>
        <row r="1300">
          <cell r="A1300">
            <v>42858</v>
          </cell>
          <cell r="B1300" t="str">
            <v>Corpo de BTCC 2,50 x 3,00 m projeto DNIT para H &lt; = 2,50 m em Vias Urbanas</v>
          </cell>
          <cell r="C1300" t="str">
            <v>m</v>
          </cell>
          <cell r="D1300">
            <v>12946.91</v>
          </cell>
          <cell r="E1300">
            <v>0</v>
          </cell>
          <cell r="F1300" t="e">
            <v>#N/A</v>
          </cell>
          <cell r="G1300" t="e">
            <v>#N/A</v>
          </cell>
        </row>
        <row r="1301">
          <cell r="A1301">
            <v>42857</v>
          </cell>
          <cell r="B1301" t="str">
            <v>Corpo de BTCC 2,50 x 3,00 m projeto DNIT para H &lt; = 2,50 m em vias Urbanas</v>
          </cell>
          <cell r="C1301" t="str">
            <v>m</v>
          </cell>
          <cell r="D1301">
            <v>12946.91</v>
          </cell>
          <cell r="E1301">
            <v>0</v>
          </cell>
          <cell r="F1301" t="e">
            <v>#N/A</v>
          </cell>
          <cell r="G1301" t="e">
            <v>#N/A</v>
          </cell>
        </row>
        <row r="1302">
          <cell r="A1302">
            <v>42859</v>
          </cell>
          <cell r="B1302" t="str">
            <v>Corpo de BTCC 2,50 x 3,00 m projeto DNIT para 2,50 &lt; H &lt; 5,00 m em Vias Urbanas</v>
          </cell>
          <cell r="C1302" t="str">
            <v>m</v>
          </cell>
          <cell r="D1302">
            <v>14645.95</v>
          </cell>
          <cell r="E1302">
            <v>0</v>
          </cell>
          <cell r="F1302" t="e">
            <v>#N/A</v>
          </cell>
          <cell r="G1302" t="e">
            <v>#N/A</v>
          </cell>
        </row>
        <row r="1303">
          <cell r="A1303">
            <v>42860</v>
          </cell>
          <cell r="B1303" t="str">
            <v>Corpo de BTCC 3,00 x 3,00 m projeto DNIT para H &lt; = 2,50 m em Vias Urbanas</v>
          </cell>
          <cell r="C1303" t="str">
            <v>m</v>
          </cell>
          <cell r="D1303">
            <v>13935.19</v>
          </cell>
          <cell r="E1303">
            <v>0</v>
          </cell>
          <cell r="F1303" t="e">
            <v>#N/A</v>
          </cell>
          <cell r="G1303" t="e">
            <v>#N/A</v>
          </cell>
        </row>
        <row r="1304">
          <cell r="A1304">
            <v>42861</v>
          </cell>
          <cell r="B1304" t="str">
            <v>Corpo de BTCC 3,00 x 3,00 m projeto DNIT para 2,50 &lt; H &lt; 5,00 m em Vias Urbanas</v>
          </cell>
          <cell r="C1304" t="str">
            <v>m</v>
          </cell>
          <cell r="D1304">
            <v>15594.65</v>
          </cell>
          <cell r="E1304">
            <v>0</v>
          </cell>
          <cell r="F1304" t="e">
            <v>#N/A</v>
          </cell>
          <cell r="G1304" t="e">
            <v>#N/A</v>
          </cell>
        </row>
        <row r="1305">
          <cell r="A1305">
            <v>42862</v>
          </cell>
          <cell r="B1305" t="str">
            <v>Corta-rio (escavação mecânica em material de 1ª cat.) H=1,50 a 3,00 m em Vias Urbanas</v>
          </cell>
          <cell r="C1305" t="str">
            <v>m³</v>
          </cell>
          <cell r="D1305">
            <v>13.72</v>
          </cell>
          <cell r="E1305">
            <v>0</v>
          </cell>
          <cell r="F1305" t="e">
            <v>#N/A</v>
          </cell>
          <cell r="G1305" t="e">
            <v>#N/A</v>
          </cell>
        </row>
        <row r="1306">
          <cell r="A1306">
            <v>42863</v>
          </cell>
          <cell r="B1306" t="str">
            <v>Corta-rio (escavação mecânica em material de 2ª cat.) H=1,50 a 3,00m em Vias Urbanas</v>
          </cell>
          <cell r="C1306" t="str">
            <v>m³</v>
          </cell>
          <cell r="D1306">
            <v>27.46</v>
          </cell>
          <cell r="E1306">
            <v>0</v>
          </cell>
          <cell r="F1306" t="e">
            <v>#N/A</v>
          </cell>
          <cell r="G1306" t="e">
            <v>#N/A</v>
          </cell>
        </row>
        <row r="1307">
          <cell r="A1307">
            <v>42864</v>
          </cell>
          <cell r="B1307" t="str">
            <v>Corta-rio (escavação mecânica em material de 3º cat.) H=0,00 a 1,50m em Vias Urbanas</v>
          </cell>
          <cell r="C1307" t="str">
            <v>m³</v>
          </cell>
          <cell r="D1307">
            <v>118.88</v>
          </cell>
          <cell r="E1307">
            <v>0</v>
          </cell>
          <cell r="F1307" t="e">
            <v>#N/A</v>
          </cell>
          <cell r="G1307" t="e">
            <v>#N/A</v>
          </cell>
        </row>
        <row r="1308">
          <cell r="A1308">
            <v>42865</v>
          </cell>
          <cell r="B1308" t="str">
            <v>Corte e esmerilhamento de pontas de tubo de ferro fundido DN 500 a 200mm em Vias Urbanas</v>
          </cell>
          <cell r="C1308" t="str">
            <v>m</v>
          </cell>
          <cell r="D1308">
            <v>21.7</v>
          </cell>
          <cell r="E1308">
            <v>0</v>
          </cell>
          <cell r="F1308" t="e">
            <v>#N/A</v>
          </cell>
          <cell r="G1308" t="e">
            <v>#N/A</v>
          </cell>
        </row>
        <row r="1309">
          <cell r="A1309">
            <v>42866</v>
          </cell>
          <cell r="B1309" t="str">
            <v>Curva 90° de PVC, junta elástica PBA, D=75mm, fornecimento e assentamento em Vias Urbanas</v>
          </cell>
          <cell r="C1309" t="str">
            <v>un</v>
          </cell>
          <cell r="D1309">
            <v>57.46</v>
          </cell>
          <cell r="E1309">
            <v>0</v>
          </cell>
          <cell r="F1309" t="e">
            <v>#N/A</v>
          </cell>
          <cell r="G1309" t="e">
            <v>#N/A</v>
          </cell>
        </row>
        <row r="1310">
          <cell r="A1310">
            <v>42867</v>
          </cell>
          <cell r="B1310" t="str">
            <v>Demolição manual alvenaria tijolo furado assentado com argamassa em Vias Urbanas</v>
          </cell>
          <cell r="C1310" t="str">
            <v>m³</v>
          </cell>
          <cell r="D1310">
            <v>195</v>
          </cell>
          <cell r="E1310">
            <v>0</v>
          </cell>
          <cell r="F1310" t="e">
            <v>#N/A</v>
          </cell>
          <cell r="G1310" t="e">
            <v>#N/A</v>
          </cell>
        </row>
        <row r="1311">
          <cell r="A1311">
            <v>42868</v>
          </cell>
          <cell r="B1311" t="str">
            <v>Demolição manual de concreto armado em Vias Urbanas</v>
          </cell>
          <cell r="C1311" t="str">
            <v>m³</v>
          </cell>
          <cell r="D1311">
            <v>287.8</v>
          </cell>
          <cell r="E1311">
            <v>0</v>
          </cell>
          <cell r="F1311" t="e">
            <v>#N/A</v>
          </cell>
          <cell r="G1311" t="e">
            <v>#N/A</v>
          </cell>
        </row>
        <row r="1312">
          <cell r="A1312">
            <v>42869</v>
          </cell>
          <cell r="B1312" t="str">
            <v>Demolição manual de concreto simples ou ciclópico em Vias Urbanas</v>
          </cell>
          <cell r="C1312" t="str">
            <v>m³</v>
          </cell>
          <cell r="D1312">
            <v>253.94</v>
          </cell>
          <cell r="E1312">
            <v>0</v>
          </cell>
          <cell r="F1312" t="e">
            <v>#N/A</v>
          </cell>
          <cell r="G1312" t="e">
            <v>#N/A</v>
          </cell>
        </row>
        <row r="1313">
          <cell r="A1313">
            <v>42870</v>
          </cell>
          <cell r="B1313" t="str">
            <v>Demolição mecânica de concreto em Vias Urbanas</v>
          </cell>
          <cell r="C1313" t="str">
            <v>m³</v>
          </cell>
          <cell r="D1313">
            <v>160.41999999999999</v>
          </cell>
          <cell r="E1313">
            <v>0</v>
          </cell>
          <cell r="F1313" t="e">
            <v>#N/A</v>
          </cell>
          <cell r="G1313" t="e">
            <v>#N/A</v>
          </cell>
        </row>
        <row r="1314">
          <cell r="A1314">
            <v>42880</v>
          </cell>
          <cell r="B1314" t="str">
            <v>Descida d'água concreto simples (degraus) c/ caiação (DSA-03) apoio em Vias Urbanas</v>
          </cell>
          <cell r="C1314" t="str">
            <v>un</v>
          </cell>
          <cell r="D1314">
            <v>706.16</v>
          </cell>
          <cell r="E1314">
            <v>0</v>
          </cell>
          <cell r="F1314" t="e">
            <v>#N/A</v>
          </cell>
          <cell r="G1314" t="e">
            <v>#N/A</v>
          </cell>
        </row>
        <row r="1315">
          <cell r="A1315">
            <v>42883</v>
          </cell>
          <cell r="B1315" t="str">
            <v>Deslocamento de cerca de tela galvanizada fio 12 malha 3" x 3", em Vias Urbanas</v>
          </cell>
          <cell r="C1315" t="str">
            <v>m</v>
          </cell>
          <cell r="D1315">
            <v>39.06</v>
          </cell>
          <cell r="E1315" t="str">
            <v>A incluir</v>
          </cell>
          <cell r="F1315" t="e">
            <v>#N/A</v>
          </cell>
          <cell r="G1315" t="e">
            <v>#N/A</v>
          </cell>
        </row>
        <row r="1316">
          <cell r="A1316">
            <v>42899</v>
          </cell>
          <cell r="B1316" t="str">
            <v>Dreno de alívio de pavimento (DP - DAP - 01), com tubo PVC d=50mm, geotêxtil não tecido RT 07 kN/m inclusive transporte da brita em Vias Urbanas</v>
          </cell>
          <cell r="C1316" t="str">
            <v>m</v>
          </cell>
          <cell r="D1316">
            <v>53.17</v>
          </cell>
          <cell r="E1316" t="str">
            <v>A incluir</v>
          </cell>
          <cell r="F1316" t="e">
            <v>#N/A</v>
          </cell>
          <cell r="G1316" t="e">
            <v>#N/A</v>
          </cell>
        </row>
        <row r="1317">
          <cell r="A1317">
            <v>42901</v>
          </cell>
          <cell r="B1317" t="str">
            <v>Dreno de PVC D = 100 mm em Vias Urbanas</v>
          </cell>
          <cell r="C1317" t="str">
            <v>m</v>
          </cell>
          <cell r="D1317">
            <v>32.119999999999997</v>
          </cell>
          <cell r="E1317">
            <v>0</v>
          </cell>
          <cell r="F1317" t="e">
            <v>#N/A</v>
          </cell>
          <cell r="G1317" t="e">
            <v>#N/A</v>
          </cell>
        </row>
        <row r="1318">
          <cell r="A1318">
            <v>42900</v>
          </cell>
          <cell r="B1318" t="str">
            <v>Dreno de PVC D = 50 mm em Vias Urbanas</v>
          </cell>
          <cell r="C1318" t="str">
            <v>m</v>
          </cell>
          <cell r="D1318">
            <v>19.48</v>
          </cell>
          <cell r="E1318">
            <v>0</v>
          </cell>
          <cell r="F1318" t="e">
            <v>#N/A</v>
          </cell>
          <cell r="G1318" t="e">
            <v>#N/A</v>
          </cell>
        </row>
        <row r="1319">
          <cell r="A1319">
            <v>41185</v>
          </cell>
          <cell r="B1319" t="str">
            <v>Dreno em PEAD perfurado diâm. = 100 mm, inclusive transporte do tubo, em Vias Urbanas</v>
          </cell>
          <cell r="C1319" t="str">
            <v>m</v>
          </cell>
          <cell r="D1319">
            <v>11.35</v>
          </cell>
          <cell r="E1319" t="str">
            <v>A incluir</v>
          </cell>
          <cell r="F1319" t="e">
            <v>#N/A</v>
          </cell>
          <cell r="G1319" t="e">
            <v>#N/A</v>
          </cell>
        </row>
        <row r="1320">
          <cell r="A1320">
            <v>42903</v>
          </cell>
          <cell r="B1320" t="str">
            <v>Dreno Longitudinal tipo Trincheira Drenante, H = 0,90 m com tubo poroso tipo PEAD d =100 mm, incluindo esc. mat. 3ª cat. e transporte do tubo em Vias Urbanas</v>
          </cell>
          <cell r="C1320" t="str">
            <v>m</v>
          </cell>
          <cell r="D1320">
            <v>106.86</v>
          </cell>
          <cell r="E1320" t="str">
            <v>A incluir</v>
          </cell>
          <cell r="F1320" t="e">
            <v>#N/A</v>
          </cell>
          <cell r="G1320" t="e">
            <v>#N/A</v>
          </cell>
        </row>
        <row r="1321">
          <cell r="A1321">
            <v>42904</v>
          </cell>
          <cell r="B1321" t="str">
            <v>Dreno Longitudinal tipo Trincheira Drenante, H = 0,90 m com tubo poroso tipo PEAD d=100 mm, inclusive esc. em mat. 1ª cat. e transporte do tubo em Vias Urbanas</v>
          </cell>
          <cell r="C1321" t="str">
            <v>m</v>
          </cell>
          <cell r="D1321">
            <v>87.39</v>
          </cell>
          <cell r="E1321" t="str">
            <v>A incluir</v>
          </cell>
          <cell r="F1321" t="e">
            <v>#N/A</v>
          </cell>
          <cell r="G1321" t="e">
            <v>#N/A</v>
          </cell>
        </row>
        <row r="1322">
          <cell r="A1322">
            <v>42902</v>
          </cell>
          <cell r="B1322" t="str">
            <v>Dreno Longitudinal tipo Trincheira Drenante, H=0,40m c/tubo poroso PEAD d = 65 mm, incl. esc. mat. 1ª cat., geotêxtil não tecido RT 07kN/m, V. Urbanas</v>
          </cell>
          <cell r="C1322" t="str">
            <v>m</v>
          </cell>
          <cell r="D1322">
            <v>89.82</v>
          </cell>
          <cell r="E1322">
            <v>0</v>
          </cell>
          <cell r="F1322" t="e">
            <v>#N/A</v>
          </cell>
          <cell r="G1322" t="e">
            <v>#N/A</v>
          </cell>
        </row>
        <row r="1323">
          <cell r="A1323">
            <v>42905</v>
          </cell>
          <cell r="B1323" t="str">
            <v>Dreno ou Barbacã em tubo PVC, diâmetro de 2" em Vias Urbanas</v>
          </cell>
          <cell r="C1323" t="str">
            <v>m</v>
          </cell>
          <cell r="D1323">
            <v>16.98</v>
          </cell>
          <cell r="E1323">
            <v>0</v>
          </cell>
          <cell r="F1323" t="e">
            <v>#N/A</v>
          </cell>
          <cell r="G1323" t="e">
            <v>#N/A</v>
          </cell>
        </row>
        <row r="1324">
          <cell r="A1324">
            <v>43120</v>
          </cell>
          <cell r="B1324" t="str">
            <v>Dreno profundo com enchimento de areia, escavação em material 1ª categoria, inclusive transporte da areia, em vias Urbanas</v>
          </cell>
          <cell r="C1324" t="str">
            <v>m</v>
          </cell>
          <cell r="D1324">
            <v>106.44</v>
          </cell>
          <cell r="E1324" t="str">
            <v>A incluir</v>
          </cell>
          <cell r="F1324" t="e">
            <v>#N/A</v>
          </cell>
          <cell r="G1324" t="e">
            <v>#N/A</v>
          </cell>
        </row>
        <row r="1325">
          <cell r="A1325">
            <v>42906</v>
          </cell>
          <cell r="B1325" t="str">
            <v>Dreno profundo com enchimento de brita e areia (1:1) escavação em material 1ª categoria, inclusive transporte da areia e da brita em Vias Urbanas</v>
          </cell>
          <cell r="C1325" t="str">
            <v>m</v>
          </cell>
          <cell r="D1325">
            <v>109.19</v>
          </cell>
          <cell r="E1325" t="str">
            <v>A incluir</v>
          </cell>
          <cell r="F1325" t="e">
            <v>#N/A</v>
          </cell>
          <cell r="G1325" t="e">
            <v>#N/A</v>
          </cell>
        </row>
        <row r="1326">
          <cell r="A1326">
            <v>42907</v>
          </cell>
          <cell r="B1326" t="str">
            <v>Dreno profundo com enchimento de brita e areia (1:1) escavação em material 2ª categoria, inclusive transporte da areia e da brita em Vias Urbanas</v>
          </cell>
          <cell r="C1326" t="str">
            <v>m</v>
          </cell>
          <cell r="D1326">
            <v>115.67</v>
          </cell>
          <cell r="E1326" t="str">
            <v>A incluir</v>
          </cell>
          <cell r="F1326" t="e">
            <v>#N/A</v>
          </cell>
          <cell r="G1326" t="e">
            <v>#N/A</v>
          </cell>
        </row>
        <row r="1327">
          <cell r="A1327">
            <v>42908</v>
          </cell>
          <cell r="B1327" t="str">
            <v>Dreno profundo com enchimento de brita, escavação em material 1ª categoria, inclusive transporte da brita em Vias Urbanas</v>
          </cell>
          <cell r="C1327" t="str">
            <v>m</v>
          </cell>
          <cell r="D1327">
            <v>103.66</v>
          </cell>
          <cell r="E1327" t="str">
            <v>A incluir</v>
          </cell>
          <cell r="F1327" t="e">
            <v>#N/A</v>
          </cell>
          <cell r="G1327" t="e">
            <v>#N/A</v>
          </cell>
        </row>
        <row r="1328">
          <cell r="A1328">
            <v>43122</v>
          </cell>
          <cell r="B1328" t="str">
            <v>Dreno profundo com tubo poroso, D=0,20 m com enchim. de brita, escav. material 3ª categoria (DPR-01),  inclus. transporte brita e tubo,  Vias Urbanas</v>
          </cell>
          <cell r="C1328" t="str">
            <v>m</v>
          </cell>
          <cell r="D1328">
            <v>94.77</v>
          </cell>
          <cell r="E1328" t="str">
            <v>A incluir</v>
          </cell>
          <cell r="F1328" t="e">
            <v>#N/A</v>
          </cell>
          <cell r="G1328" t="e">
            <v>#N/A</v>
          </cell>
        </row>
        <row r="1329">
          <cell r="A1329">
            <v>42913</v>
          </cell>
          <cell r="B1329" t="str">
            <v>Dreno profundo com tubo poroso, D=0,20m com enchim. de brita e areia, escav. material 2ª categoria, inclusi. transp. areia,brita e tubo Vias Urbanas</v>
          </cell>
          <cell r="C1329" t="str">
            <v>m</v>
          </cell>
          <cell r="D1329">
            <v>127.43</v>
          </cell>
          <cell r="E1329" t="str">
            <v>A incluir</v>
          </cell>
          <cell r="F1329" t="e">
            <v>#N/A</v>
          </cell>
          <cell r="G1329" t="e">
            <v>#N/A</v>
          </cell>
        </row>
        <row r="1330">
          <cell r="A1330">
            <v>42910</v>
          </cell>
          <cell r="B1330" t="str">
            <v>Dreno profundo D=0,10m c/ enchim.brita, areia (1:1) escav. em mat. 3ª categoria, incl.geotêxtil não tecido RT 16kn/m, e transp. brita, areia V.Urbanas</v>
          </cell>
          <cell r="C1330" t="str">
            <v>m</v>
          </cell>
          <cell r="D1330">
            <v>205.51</v>
          </cell>
          <cell r="E1330" t="str">
            <v>A incluir</v>
          </cell>
          <cell r="F1330" t="e">
            <v>#N/A</v>
          </cell>
          <cell r="G1330" t="e">
            <v>#N/A</v>
          </cell>
        </row>
        <row r="1331">
          <cell r="A1331">
            <v>42909</v>
          </cell>
          <cell r="B1331" t="str">
            <v>Dreno profundo D=0,10m c/ enchim.brita,areia (1:1) escav.mat. 1ª categoria, incl. geotêxtil não tecido RT16 kn/m e transp. areia,brita- Vias Urbanas</v>
          </cell>
          <cell r="C1331" t="str">
            <v>m</v>
          </cell>
          <cell r="D1331">
            <v>137.15</v>
          </cell>
          <cell r="E1331" t="str">
            <v>A incluir</v>
          </cell>
          <cell r="F1331" t="e">
            <v>#N/A</v>
          </cell>
          <cell r="G1331" t="e">
            <v>#N/A</v>
          </cell>
        </row>
        <row r="1332">
          <cell r="A1332">
            <v>42911</v>
          </cell>
          <cell r="B1332" t="str">
            <v>Dreno profundo D=0,20m com enchimento de areia, escavação em material 1ª categoria (DPS
-01), inclusive transporte da areia e do tubo em Vias Urbanas</v>
          </cell>
          <cell r="C1332" t="str">
            <v>m</v>
          </cell>
          <cell r="D1332">
            <v>125.51</v>
          </cell>
          <cell r="E1332" t="str">
            <v>A incluir</v>
          </cell>
          <cell r="F1332" t="e">
            <v>#N/A</v>
          </cell>
          <cell r="G1332" t="e">
            <v>#N/A</v>
          </cell>
        </row>
        <row r="1333">
          <cell r="A1333">
            <v>42912</v>
          </cell>
          <cell r="B1333" t="str">
            <v>Dreno profundo D=0,20m com enchimento de brita e areia, escavação em material 1ª categoria, inclusive transporte da brita e da areia, em Vias Urbanas</v>
          </cell>
          <cell r="C1333" t="str">
            <v>m</v>
          </cell>
          <cell r="D1333">
            <v>120.96</v>
          </cell>
          <cell r="E1333" t="str">
            <v>A incluir</v>
          </cell>
          <cell r="F1333" t="e">
            <v>#N/A</v>
          </cell>
          <cell r="G1333" t="e">
            <v>#N/A</v>
          </cell>
        </row>
        <row r="1334">
          <cell r="A1334">
            <v>42915</v>
          </cell>
          <cell r="B1334" t="str">
            <v>Dreno profundo para corte em solo, com enchimento em brita revestido com geotêxtil não tecido RT-16, inclusive transporte da brita em Vias Urbanas</v>
          </cell>
          <cell r="C1334" t="str">
            <v>m</v>
          </cell>
          <cell r="D1334">
            <v>125.63</v>
          </cell>
          <cell r="E1334" t="str">
            <v>A incluir</v>
          </cell>
          <cell r="F1334" t="e">
            <v>#N/A</v>
          </cell>
          <cell r="G1334" t="e">
            <v>#N/A</v>
          </cell>
        </row>
        <row r="1335">
          <cell r="A1335">
            <v>42914</v>
          </cell>
          <cell r="B1335" t="str">
            <v>Dreno profundo solo c/tubo PEAD perfur. D=100mm envolto geotêxtil não tecido RT16kn, preench.c/brita, inclus.transp.tubo exclus transp.brita V Urbanas</v>
          </cell>
          <cell r="C1335" t="str">
            <v>m</v>
          </cell>
          <cell r="D1335">
            <v>85.79</v>
          </cell>
          <cell r="E1335" t="str">
            <v>A incluir</v>
          </cell>
          <cell r="F1335" t="e">
            <v>#N/A</v>
          </cell>
          <cell r="G1335" t="e">
            <v>#N/A</v>
          </cell>
        </row>
        <row r="1336">
          <cell r="A1336">
            <v>42917</v>
          </cell>
          <cell r="B1336" t="str">
            <v>Dreno sub-horizontal D = 50 mm em PVC inclus. escavação em alteração de rocha, geotêxtil não tecido RT-16 exclusive transp. em Vias Urbanas</v>
          </cell>
          <cell r="C1336" t="str">
            <v>m</v>
          </cell>
          <cell r="D1336">
            <v>666.01</v>
          </cell>
          <cell r="E1336">
            <v>0</v>
          </cell>
          <cell r="F1336" t="e">
            <v>#N/A</v>
          </cell>
          <cell r="G1336" t="e">
            <v>#N/A</v>
          </cell>
        </row>
        <row r="1337">
          <cell r="A1337">
            <v>42918</v>
          </cell>
          <cell r="B1337" t="str">
            <v>Dreno sub-horizontal D = 50 mm em PVC inclus.escavação em rocha sã, geotêxtil não tecido RT-16, exclusive transportes em Vias Urbanas</v>
          </cell>
          <cell r="C1337" t="str">
            <v>m</v>
          </cell>
          <cell r="D1337">
            <v>859.81</v>
          </cell>
          <cell r="E1337">
            <v>0</v>
          </cell>
          <cell r="F1337" t="e">
            <v>#N/A</v>
          </cell>
          <cell r="G1337" t="e">
            <v>#N/A</v>
          </cell>
        </row>
        <row r="1338">
          <cell r="A1338">
            <v>42916</v>
          </cell>
          <cell r="B1338" t="str">
            <v>Dreno sub-horizontal D=50 mm inclusive geotêxtil não tecido RT 16 kn/m, em PVC, exclusive transportes em Vias Urbanas</v>
          </cell>
          <cell r="C1338" t="str">
            <v>m</v>
          </cell>
          <cell r="D1338">
            <v>462.33</v>
          </cell>
          <cell r="E1338">
            <v>0</v>
          </cell>
          <cell r="F1338" t="e">
            <v>#N/A</v>
          </cell>
          <cell r="G1338" t="e">
            <v>#N/A</v>
          </cell>
        </row>
        <row r="1339">
          <cell r="A1339">
            <v>42919</v>
          </cell>
          <cell r="B1339" t="str">
            <v>Dreno sub-superficial rocha (h=0,55m) c/tubo PEAD perfur.d=100mm, env. geotêxtil RT-16, preenc.c/ brita, incl. transp. tubo, excl. transp brita-Vias Urb</v>
          </cell>
          <cell r="C1339" t="str">
            <v>m</v>
          </cell>
          <cell r="D1339">
            <v>70.25</v>
          </cell>
          <cell r="E1339" t="str">
            <v>A incluir</v>
          </cell>
          <cell r="F1339" t="e">
            <v>#N/A</v>
          </cell>
          <cell r="G1339" t="e">
            <v>#N/A</v>
          </cell>
        </row>
        <row r="1340">
          <cell r="A1340">
            <v>42920</v>
          </cell>
          <cell r="B1340" t="str">
            <v>Dreno vertical D = 75 mm em PVC, inclusive geotêxtil não tecido RT-16, exclusive transportes, em Vias Urbanas</v>
          </cell>
          <cell r="C1340" t="str">
            <v>m</v>
          </cell>
          <cell r="D1340">
            <v>466.93</v>
          </cell>
          <cell r="E1340">
            <v>0</v>
          </cell>
          <cell r="F1340" t="e">
            <v>#N/A</v>
          </cell>
          <cell r="G1340" t="e">
            <v>#N/A</v>
          </cell>
        </row>
        <row r="1341">
          <cell r="A1341">
            <v>42921</v>
          </cell>
          <cell r="B1341" t="str">
            <v>Eletroduto de ferro galvanizado DN 4" , inclusive conexões, exclusive escavação e reaterro, fornecimento e assentamento, em Vias Urbanas</v>
          </cell>
          <cell r="C1341" t="str">
            <v>m</v>
          </cell>
          <cell r="D1341">
            <v>99.35</v>
          </cell>
          <cell r="E1341">
            <v>0</v>
          </cell>
          <cell r="F1341" t="e">
            <v>#N/A</v>
          </cell>
          <cell r="G1341" t="e">
            <v>#N/A</v>
          </cell>
        </row>
        <row r="1342">
          <cell r="A1342">
            <v>42922</v>
          </cell>
          <cell r="B1342" t="str">
            <v>Eletroduto para rede de lógica, inclusive conexões, em Vias Urbanas</v>
          </cell>
          <cell r="C1342" t="str">
            <v>m</v>
          </cell>
          <cell r="D1342">
            <v>21.01</v>
          </cell>
          <cell r="E1342">
            <v>0</v>
          </cell>
          <cell r="F1342" t="e">
            <v>#N/A</v>
          </cell>
          <cell r="G1342" t="e">
            <v>#N/A</v>
          </cell>
        </row>
        <row r="1343">
          <cell r="A1343">
            <v>42923</v>
          </cell>
          <cell r="B1343" t="str">
            <v>Eletroduto PVC diâmetro 75mm, fornecimento e assentamento em Vias Urbanas</v>
          </cell>
          <cell r="C1343" t="str">
            <v>m</v>
          </cell>
          <cell r="D1343">
            <v>25.52</v>
          </cell>
          <cell r="E1343">
            <v>0</v>
          </cell>
          <cell r="F1343" t="e">
            <v>#N/A</v>
          </cell>
          <cell r="G1343" t="e">
            <v>#N/A</v>
          </cell>
        </row>
        <row r="1344">
          <cell r="A1344">
            <v>42924</v>
          </cell>
          <cell r="B1344" t="str">
            <v>Eletroduto PVC rígido roscável diâm. 50 mm, fornecimento e assentamento em Vias Urbanas</v>
          </cell>
          <cell r="C1344" t="str">
            <v>m</v>
          </cell>
          <cell r="D1344">
            <v>12.51</v>
          </cell>
          <cell r="E1344">
            <v>0</v>
          </cell>
          <cell r="F1344" t="e">
            <v>#N/A</v>
          </cell>
          <cell r="G1344" t="e">
            <v>#N/A</v>
          </cell>
        </row>
        <row r="1345">
          <cell r="A1345">
            <v>42925</v>
          </cell>
          <cell r="B1345" t="str">
            <v>Eletroduto tipo Kanaflex diâmetro 1 1/4", fornecimento e assentamento em Vias Urbanas</v>
          </cell>
          <cell r="C1345" t="str">
            <v>m</v>
          </cell>
          <cell r="D1345">
            <v>12.13</v>
          </cell>
          <cell r="E1345">
            <v>0</v>
          </cell>
          <cell r="F1345" t="e">
            <v>#N/A</v>
          </cell>
          <cell r="G1345" t="e">
            <v>#N/A</v>
          </cell>
        </row>
        <row r="1346">
          <cell r="A1346">
            <v>42926</v>
          </cell>
          <cell r="B1346" t="str">
            <v>Eletroduto tipo Kanaflex diâmetro 1 1/2", fornecimento e assentamento em Vias Urbanas</v>
          </cell>
          <cell r="C1346" t="str">
            <v>m</v>
          </cell>
          <cell r="D1346">
            <v>14.88</v>
          </cell>
          <cell r="E1346">
            <v>0</v>
          </cell>
          <cell r="F1346" t="e">
            <v>#N/A</v>
          </cell>
          <cell r="G1346" t="e">
            <v>#N/A</v>
          </cell>
        </row>
        <row r="1347">
          <cell r="A1347">
            <v>42927</v>
          </cell>
          <cell r="B1347" t="str">
            <v>Eletroduto tipo Kanaflex diâmetro 2", fornecimento e assentamento em Vias Urbanas</v>
          </cell>
          <cell r="C1347" t="str">
            <v>m</v>
          </cell>
          <cell r="D1347">
            <v>20.28</v>
          </cell>
          <cell r="E1347">
            <v>0</v>
          </cell>
          <cell r="F1347" t="e">
            <v>#N/A</v>
          </cell>
          <cell r="G1347" t="e">
            <v>#N/A</v>
          </cell>
        </row>
        <row r="1348">
          <cell r="A1348">
            <v>42928</v>
          </cell>
          <cell r="B1348" t="str">
            <v>Eletroduto tipo Kanaflex diâmetro 4", fornecimento e assentamento em Vias Urbanas</v>
          </cell>
          <cell r="C1348" t="str">
            <v>m</v>
          </cell>
          <cell r="D1348">
            <v>33.24</v>
          </cell>
          <cell r="E1348">
            <v>0</v>
          </cell>
          <cell r="F1348" t="e">
            <v>#N/A</v>
          </cell>
          <cell r="G1348" t="e">
            <v>#N/A</v>
          </cell>
        </row>
        <row r="1349">
          <cell r="A1349">
            <v>42942</v>
          </cell>
          <cell r="B1349" t="str">
            <v>Escada de madeira executada sobre terreno inclinado, com 80 cm de largura mínima em Vias Urbanas</v>
          </cell>
          <cell r="C1349" t="str">
            <v>m</v>
          </cell>
          <cell r="D1349">
            <v>66.39</v>
          </cell>
          <cell r="E1349">
            <v>0</v>
          </cell>
          <cell r="F1349" t="e">
            <v>#N/A</v>
          </cell>
          <cell r="G1349" t="e">
            <v>#N/A</v>
          </cell>
        </row>
        <row r="1350">
          <cell r="A1350">
            <v>42944</v>
          </cell>
          <cell r="B1350" t="str">
            <v>Escavação manual em mat. 1ª cat. H= 0,00 a 1,50 m c/ esgotamento em Vias Urbanas</v>
          </cell>
          <cell r="C1350" t="str">
            <v>m³</v>
          </cell>
          <cell r="D1350">
            <v>65.03</v>
          </cell>
          <cell r="E1350">
            <v>0</v>
          </cell>
          <cell r="F1350" t="e">
            <v>#N/A</v>
          </cell>
          <cell r="G1350" t="e">
            <v>#N/A</v>
          </cell>
        </row>
        <row r="1351">
          <cell r="A1351">
            <v>42943</v>
          </cell>
          <cell r="B1351" t="str">
            <v>Escavação manual em mat. 1ª cat. H= 0,00 a 1,50 m em Vias Urbanas</v>
          </cell>
          <cell r="C1351" t="str">
            <v>m³</v>
          </cell>
          <cell r="D1351">
            <v>62.01</v>
          </cell>
          <cell r="E1351">
            <v>0</v>
          </cell>
          <cell r="F1351" t="e">
            <v>#N/A</v>
          </cell>
          <cell r="G1351" t="e">
            <v>#N/A</v>
          </cell>
        </row>
        <row r="1352">
          <cell r="A1352">
            <v>42946</v>
          </cell>
          <cell r="B1352" t="str">
            <v>Escavação manual em mat. 1ª cat. H= 1,50 a 3,00 m c/ esgotamento em Vias Urbanas</v>
          </cell>
          <cell r="C1352" t="str">
            <v>m³</v>
          </cell>
          <cell r="D1352">
            <v>92.07</v>
          </cell>
          <cell r="E1352">
            <v>0</v>
          </cell>
          <cell r="F1352" t="e">
            <v>#N/A</v>
          </cell>
          <cell r="G1352" t="e">
            <v>#N/A</v>
          </cell>
        </row>
        <row r="1353">
          <cell r="A1353">
            <v>42945</v>
          </cell>
          <cell r="B1353" t="str">
            <v>Escavação manual em mat. 1ª cat. H= 1,50 a 3,00 m em Vias Urbanas</v>
          </cell>
          <cell r="C1353" t="str">
            <v>m³</v>
          </cell>
          <cell r="D1353">
            <v>91.39</v>
          </cell>
          <cell r="E1353">
            <v>0</v>
          </cell>
          <cell r="F1353" t="e">
            <v>#N/A</v>
          </cell>
          <cell r="G1353" t="e">
            <v>#N/A</v>
          </cell>
        </row>
        <row r="1354">
          <cell r="A1354">
            <v>42948</v>
          </cell>
          <cell r="B1354" t="str">
            <v>Escavação manual em mat. 1ª cat. H= 3,00 a 4,50 m c/ esgotamento, em Vias Urbanas</v>
          </cell>
          <cell r="C1354" t="str">
            <v>m³</v>
          </cell>
          <cell r="D1354">
            <v>132.63</v>
          </cell>
          <cell r="E1354">
            <v>0</v>
          </cell>
          <cell r="F1354" t="e">
            <v>#N/A</v>
          </cell>
          <cell r="G1354" t="e">
            <v>#N/A</v>
          </cell>
        </row>
        <row r="1355">
          <cell r="A1355">
            <v>42947</v>
          </cell>
          <cell r="B1355" t="str">
            <v>Escavação manual em mat. 1ª cat. H= 3,00 a 4,50 m, em Vias Urbanas</v>
          </cell>
          <cell r="C1355" t="str">
            <v>m³</v>
          </cell>
          <cell r="D1355">
            <v>135.47</v>
          </cell>
          <cell r="E1355">
            <v>0</v>
          </cell>
          <cell r="F1355" t="e">
            <v>#N/A</v>
          </cell>
          <cell r="G1355" t="e">
            <v>#N/A</v>
          </cell>
        </row>
        <row r="1356">
          <cell r="A1356">
            <v>42949</v>
          </cell>
          <cell r="B1356" t="str">
            <v>Escavação manual em mat. 2ª cat. H= 0,00 a 1,50 m c/ esgotamento, em Vias Urbanas</v>
          </cell>
          <cell r="C1356" t="str">
            <v>m³</v>
          </cell>
          <cell r="D1356">
            <v>136.58000000000001</v>
          </cell>
          <cell r="E1356">
            <v>0</v>
          </cell>
          <cell r="F1356" t="e">
            <v>#N/A</v>
          </cell>
          <cell r="G1356" t="e">
            <v>#N/A</v>
          </cell>
        </row>
        <row r="1357">
          <cell r="A1357">
            <v>42950</v>
          </cell>
          <cell r="B1357" t="str">
            <v>Escavação manual em mat. 2ª cat. H= 0,00 a 1,50 m s/ detonação, em Vias Urbanas</v>
          </cell>
          <cell r="C1357" t="str">
            <v>m³</v>
          </cell>
          <cell r="D1357">
            <v>139.78</v>
          </cell>
          <cell r="E1357">
            <v>0</v>
          </cell>
          <cell r="F1357" t="e">
            <v>#N/A</v>
          </cell>
          <cell r="G1357" t="e">
            <v>#N/A</v>
          </cell>
        </row>
        <row r="1358">
          <cell r="A1358">
            <v>42951</v>
          </cell>
          <cell r="B1358" t="str">
            <v>Escavação manual em mat. 2ª cat. H= 1,50 a 3,00 m c/ esgotamento, em Vias Urbanas</v>
          </cell>
          <cell r="C1358" t="str">
            <v>m³</v>
          </cell>
          <cell r="D1358">
            <v>168.04</v>
          </cell>
          <cell r="E1358">
            <v>0</v>
          </cell>
          <cell r="F1358" t="e">
            <v>#N/A</v>
          </cell>
          <cell r="G1358" t="e">
            <v>#N/A</v>
          </cell>
        </row>
        <row r="1359">
          <cell r="A1359">
            <v>42952</v>
          </cell>
          <cell r="B1359" t="str">
            <v>Escavação manual em mat. 2ª cat. H= 1,50 a 3,00 m s/ detonação, em Vias Urbanas</v>
          </cell>
          <cell r="C1359" t="str">
            <v>m³</v>
          </cell>
          <cell r="D1359">
            <v>173.97</v>
          </cell>
          <cell r="E1359">
            <v>0</v>
          </cell>
          <cell r="F1359" t="e">
            <v>#N/A</v>
          </cell>
          <cell r="G1359" t="e">
            <v>#N/A</v>
          </cell>
        </row>
        <row r="1360">
          <cell r="A1360">
            <v>42953</v>
          </cell>
          <cell r="B1360" t="str">
            <v>Escavação manual em mat. 2ª cat. H= 3,00 a 4,50 m c/ esgotamento, em Vias Urbanas</v>
          </cell>
          <cell r="C1360" t="str">
            <v>m³</v>
          </cell>
          <cell r="D1360">
            <v>292.24</v>
          </cell>
          <cell r="E1360">
            <v>0</v>
          </cell>
          <cell r="F1360" t="e">
            <v>#N/A</v>
          </cell>
          <cell r="G1360" t="e">
            <v>#N/A</v>
          </cell>
        </row>
        <row r="1361">
          <cell r="A1361">
            <v>42954</v>
          </cell>
          <cell r="B1361" t="str">
            <v>Escavação manual em mat. 2ª cat. H= 3,00 a 4,50 m s/ detonação, em Vias Urbanas</v>
          </cell>
          <cell r="C1361" t="str">
            <v>m³</v>
          </cell>
          <cell r="D1361">
            <v>308.97000000000003</v>
          </cell>
          <cell r="E1361">
            <v>0</v>
          </cell>
          <cell r="F1361" t="e">
            <v>#N/A</v>
          </cell>
          <cell r="G1361" t="e">
            <v>#N/A</v>
          </cell>
        </row>
        <row r="1362">
          <cell r="A1362">
            <v>42955</v>
          </cell>
          <cell r="B1362" t="str">
            <v>Escavação manual em mat. 3ª cat. H= 0,00 a 1,50 m, a fogo, em Vias Urbanas</v>
          </cell>
          <cell r="C1362" t="str">
            <v>m³</v>
          </cell>
          <cell r="D1362">
            <v>374.86</v>
          </cell>
          <cell r="E1362">
            <v>0</v>
          </cell>
          <cell r="F1362" t="e">
            <v>#N/A</v>
          </cell>
          <cell r="G1362" t="e">
            <v>#N/A</v>
          </cell>
        </row>
        <row r="1363">
          <cell r="A1363">
            <v>42956</v>
          </cell>
          <cell r="B1363" t="str">
            <v>Escavação manual furos, valetas mat. 1ª cat. H= 0,00 a 1,50 m (dim. reduz.), em Vias Urbanas</v>
          </cell>
          <cell r="C1363" t="str">
            <v>m³</v>
          </cell>
          <cell r="D1363">
            <v>91.39</v>
          </cell>
          <cell r="E1363">
            <v>0</v>
          </cell>
          <cell r="F1363" t="e">
            <v>#N/A</v>
          </cell>
          <cell r="G1363" t="e">
            <v>#N/A</v>
          </cell>
        </row>
        <row r="1364">
          <cell r="A1364">
            <v>42957</v>
          </cell>
          <cell r="B1364" t="str">
            <v>Escavação manual furos, valetas mat. 2ª cat. H= 0,00 a 1,50 m s/detonação (dim. reduz.), em Vias Urbanas</v>
          </cell>
          <cell r="C1364" t="str">
            <v>m³</v>
          </cell>
          <cell r="D1364">
            <v>208.06</v>
          </cell>
          <cell r="E1364">
            <v>0</v>
          </cell>
          <cell r="F1364" t="e">
            <v>#N/A</v>
          </cell>
          <cell r="G1364" t="e">
            <v>#N/A</v>
          </cell>
        </row>
        <row r="1365">
          <cell r="A1365">
            <v>42958</v>
          </cell>
          <cell r="B1365" t="str">
            <v>Escavação mecânica de valas em material de 1ª categoria, 3,00 a 4,50 m, c/ esgotamento, carga do material, transp. material p/ bota-fora -Vias Urbanas</v>
          </cell>
          <cell r="C1365" t="str">
            <v>m³</v>
          </cell>
          <cell r="D1365">
            <v>199.16</v>
          </cell>
          <cell r="E1365" t="str">
            <v>A incluir</v>
          </cell>
          <cell r="F1365" t="e">
            <v>#N/A</v>
          </cell>
          <cell r="G1365" t="e">
            <v>#N/A</v>
          </cell>
        </row>
        <row r="1366">
          <cell r="A1366">
            <v>42959</v>
          </cell>
          <cell r="B1366" t="str">
            <v>Escavação mecânica de valas em 1ª categoria, profundidade de 4,50 a 6,00 m com esgotamento, transp. DMT=20km, descarga e espalhamento, em Vias Urbanas</v>
          </cell>
          <cell r="C1366" t="str">
            <v>m³</v>
          </cell>
          <cell r="D1366">
            <v>201.15</v>
          </cell>
          <cell r="E1366" t="str">
            <v>A incluir</v>
          </cell>
          <cell r="F1366" t="e">
            <v>#N/A</v>
          </cell>
          <cell r="G1366" t="e">
            <v>#N/A</v>
          </cell>
        </row>
        <row r="1367">
          <cell r="A1367">
            <v>42961</v>
          </cell>
          <cell r="B1367" t="str">
            <v>Escavação mecânica em material de 1ª cat. H= 0,00 a 1,50 m c/ esgotamento, em Vias Urbanas</v>
          </cell>
          <cell r="C1367" t="str">
            <v>m³</v>
          </cell>
          <cell r="D1367">
            <v>18.329999999999998</v>
          </cell>
          <cell r="E1367">
            <v>0</v>
          </cell>
          <cell r="F1367" t="e">
            <v>#N/A</v>
          </cell>
          <cell r="G1367" t="e">
            <v>#N/A</v>
          </cell>
        </row>
        <row r="1368">
          <cell r="A1368">
            <v>42962</v>
          </cell>
          <cell r="B1368" t="str">
            <v>Escavação mecânica em material de 1ª cat. H= 0,00 a 1,50 m c/ esgotamento, em Vias Urbanas</v>
          </cell>
          <cell r="C1368" t="str">
            <v>m³</v>
          </cell>
          <cell r="D1368">
            <v>18.329999999999998</v>
          </cell>
          <cell r="E1368">
            <v>0</v>
          </cell>
          <cell r="F1368" t="e">
            <v>#N/A</v>
          </cell>
          <cell r="G1368" t="e">
            <v>#N/A</v>
          </cell>
        </row>
        <row r="1369">
          <cell r="A1369">
            <v>42960</v>
          </cell>
          <cell r="B1369" t="str">
            <v>Escavação mecânica em material de 1ª cat. H= 0,00 a 1,50 m, em Vias Urbanas</v>
          </cell>
          <cell r="C1369" t="str">
            <v>m³</v>
          </cell>
          <cell r="D1369">
            <v>11.39</v>
          </cell>
          <cell r="E1369">
            <v>0</v>
          </cell>
          <cell r="F1369" t="e">
            <v>#N/A</v>
          </cell>
          <cell r="G1369" t="e">
            <v>#N/A</v>
          </cell>
        </row>
        <row r="1370">
          <cell r="A1370">
            <v>42964</v>
          </cell>
          <cell r="B1370" t="str">
            <v>Escavação mecânica em material de 1ª cat. H= 1,50 a 3,00 m c/ esgotamento, em Vias Urbanas</v>
          </cell>
          <cell r="C1370" t="str">
            <v>m³</v>
          </cell>
          <cell r="D1370">
            <v>19.37</v>
          </cell>
          <cell r="E1370">
            <v>0</v>
          </cell>
          <cell r="F1370" t="e">
            <v>#N/A</v>
          </cell>
          <cell r="G1370" t="e">
            <v>#N/A</v>
          </cell>
        </row>
        <row r="1371">
          <cell r="A1371">
            <v>42963</v>
          </cell>
          <cell r="B1371" t="str">
            <v>Escavação mecânica em material de 1ª cat. H= 1,50 a 3,00 m, em Vias Urbanas</v>
          </cell>
          <cell r="C1371" t="str">
            <v>m³</v>
          </cell>
          <cell r="D1371">
            <v>12.38</v>
          </cell>
          <cell r="E1371">
            <v>0</v>
          </cell>
          <cell r="F1371" t="e">
            <v>#N/A</v>
          </cell>
          <cell r="G1371" t="e">
            <v>#N/A</v>
          </cell>
        </row>
        <row r="1372">
          <cell r="A1372">
            <v>42966</v>
          </cell>
          <cell r="B1372" t="str">
            <v>Escavação mecânica em material de 1º cat. H= 3,00 a 4,50 m c/ esgotamento, em Vias Urbanas</v>
          </cell>
          <cell r="C1372" t="str">
            <v>m³</v>
          </cell>
          <cell r="D1372">
            <v>21.38</v>
          </cell>
          <cell r="E1372">
            <v>0</v>
          </cell>
          <cell r="F1372" t="e">
            <v>#N/A</v>
          </cell>
          <cell r="G1372" t="e">
            <v>#N/A</v>
          </cell>
        </row>
        <row r="1373">
          <cell r="A1373">
            <v>42965</v>
          </cell>
          <cell r="B1373" t="str">
            <v>Escavação mecânica em material de 1ª cat. H= 3,00 a 4,50 m, em Vias Urbanas</v>
          </cell>
          <cell r="C1373" t="str">
            <v>m³</v>
          </cell>
          <cell r="D1373">
            <v>14.37</v>
          </cell>
          <cell r="E1373">
            <v>0</v>
          </cell>
          <cell r="F1373" t="e">
            <v>#N/A</v>
          </cell>
          <cell r="G1373" t="e">
            <v>#N/A</v>
          </cell>
        </row>
        <row r="1374">
          <cell r="A1374">
            <v>42968</v>
          </cell>
          <cell r="B1374" t="str">
            <v>Escavação mecânica em material de 2ª cat. H= 0,00 a 1,50 m c/ esgotamento, em Vias Urbanas</v>
          </cell>
          <cell r="C1374" t="str">
            <v>m³</v>
          </cell>
          <cell r="D1374">
            <v>26.97</v>
          </cell>
          <cell r="E1374">
            <v>0</v>
          </cell>
          <cell r="F1374" t="e">
            <v>#N/A</v>
          </cell>
          <cell r="G1374" t="e">
            <v>#N/A</v>
          </cell>
        </row>
        <row r="1375">
          <cell r="A1375">
            <v>42967</v>
          </cell>
          <cell r="B1375" t="str">
            <v>Escavação mecânica em material de 2ª cat. H= 0,00 a 1,50 m, em Vias Urbanas</v>
          </cell>
          <cell r="C1375" t="str">
            <v>m³</v>
          </cell>
          <cell r="D1375">
            <v>20.71</v>
          </cell>
          <cell r="E1375">
            <v>0</v>
          </cell>
          <cell r="F1375" t="e">
            <v>#N/A</v>
          </cell>
          <cell r="G1375" t="e">
            <v>#N/A</v>
          </cell>
        </row>
        <row r="1376">
          <cell r="A1376">
            <v>42970</v>
          </cell>
          <cell r="B1376" t="str">
            <v>Escavação mecânica em material de 2ª cat. H= 1,50 a 3,00 m c/ esgotamento, em Vias Urbanas</v>
          </cell>
          <cell r="C1376" t="str">
            <v>m³</v>
          </cell>
          <cell r="D1376">
            <v>30.76</v>
          </cell>
          <cell r="E1376">
            <v>0</v>
          </cell>
          <cell r="F1376" t="e">
            <v>#N/A</v>
          </cell>
          <cell r="G1376" t="e">
            <v>#N/A</v>
          </cell>
        </row>
        <row r="1377">
          <cell r="A1377">
            <v>42969</v>
          </cell>
          <cell r="B1377" t="str">
            <v>Escavação mecânica em material de 2ª cat. H= 1,50 a 3,00 m, em Vias Urbanas</v>
          </cell>
          <cell r="C1377" t="str">
            <v>m³</v>
          </cell>
          <cell r="D1377">
            <v>24.77</v>
          </cell>
          <cell r="E1377">
            <v>0</v>
          </cell>
          <cell r="F1377" t="e">
            <v>#N/A</v>
          </cell>
          <cell r="G1377" t="e">
            <v>#N/A</v>
          </cell>
        </row>
        <row r="1378">
          <cell r="A1378">
            <v>42973</v>
          </cell>
          <cell r="B1378" t="str">
            <v>Escavação mecânica em material de 2ª cat. H= 3,00 a 4,50 m c/ esgotamento, em Vias Urbanas</v>
          </cell>
          <cell r="C1378" t="str">
            <v>m³</v>
          </cell>
          <cell r="D1378">
            <v>36.46</v>
          </cell>
          <cell r="E1378">
            <v>0</v>
          </cell>
          <cell r="F1378" t="e">
            <v>#N/A</v>
          </cell>
          <cell r="G1378" t="e">
            <v>#N/A</v>
          </cell>
        </row>
        <row r="1379">
          <cell r="A1379">
            <v>42979</v>
          </cell>
          <cell r="B1379" t="str">
            <v>Escavação mecânica em material de 2º cat. H= 3,00 a 4,50 m c/ esgotamento em Vias Urbanas</v>
          </cell>
          <cell r="C1379" t="str">
            <v>m³</v>
          </cell>
          <cell r="D1379">
            <v>36.46</v>
          </cell>
          <cell r="E1379">
            <v>0</v>
          </cell>
          <cell r="F1379" t="e">
            <v>#N/A</v>
          </cell>
          <cell r="G1379" t="e">
            <v>#N/A</v>
          </cell>
        </row>
        <row r="1380">
          <cell r="A1380">
            <v>42971</v>
          </cell>
          <cell r="B1380" t="str">
            <v>Escavação mecânica em material de 2ª cat. H= 3,00 a 4,50 m, em Vias Urbanas</v>
          </cell>
          <cell r="C1380" t="str">
            <v>m³</v>
          </cell>
          <cell r="D1380">
            <v>31.01</v>
          </cell>
          <cell r="E1380">
            <v>0</v>
          </cell>
          <cell r="F1380" t="e">
            <v>#N/A</v>
          </cell>
          <cell r="G1380" t="e">
            <v>#N/A</v>
          </cell>
        </row>
        <row r="1381">
          <cell r="A1381">
            <v>42981</v>
          </cell>
          <cell r="B1381" t="str">
            <v>Escoramento de cavas e valas, inclusive fornecimento e transporte das madeiras, em Vias Urbanas</v>
          </cell>
          <cell r="C1381" t="str">
            <v>m²</v>
          </cell>
          <cell r="D1381">
            <v>180.04</v>
          </cell>
          <cell r="E1381" t="str">
            <v>A incluir</v>
          </cell>
          <cell r="F1381" t="e">
            <v>#N/A</v>
          </cell>
          <cell r="G1381" t="e">
            <v>#N/A</v>
          </cell>
        </row>
        <row r="1382">
          <cell r="A1382">
            <v>42982</v>
          </cell>
          <cell r="B1382" t="str">
            <v>Escoramento e cimbramento (bueiro celular), inclusive fornecimento e transporte das madeiras
,  em Vias Urbanas</v>
          </cell>
          <cell r="C1382" t="str">
            <v>m³</v>
          </cell>
          <cell r="D1382">
            <v>126.73</v>
          </cell>
          <cell r="E1382" t="str">
            <v>A incluir</v>
          </cell>
          <cell r="F1382" t="e">
            <v>#N/A</v>
          </cell>
          <cell r="G1382" t="e">
            <v>#N/A</v>
          </cell>
        </row>
        <row r="1383">
          <cell r="A1383">
            <v>42987</v>
          </cell>
          <cell r="B1383" t="str">
            <v>Forma especial de madeira para meio fio, inclusive fornecimento e transporte das madeiras em Vias Urbanas</v>
          </cell>
          <cell r="C1383" t="str">
            <v>m²</v>
          </cell>
          <cell r="D1383">
            <v>73.040000000000006</v>
          </cell>
          <cell r="E1383" t="str">
            <v>A incluir</v>
          </cell>
          <cell r="F1383" t="e">
            <v>#N/A</v>
          </cell>
          <cell r="G1383" t="e">
            <v>#N/A</v>
          </cell>
        </row>
        <row r="1384">
          <cell r="A1384">
            <v>42988</v>
          </cell>
          <cell r="B1384" t="str">
            <v>Forma especial de madeira para sarjeta (gabarito), inclusive fornecimento e transporte das madeiras, em Vias Urbanas</v>
          </cell>
          <cell r="C1384" t="str">
            <v>m²</v>
          </cell>
          <cell r="D1384">
            <v>61.45</v>
          </cell>
          <cell r="E1384" t="str">
            <v>A incluir</v>
          </cell>
          <cell r="F1384" t="e">
            <v>#N/A</v>
          </cell>
          <cell r="G1384" t="e">
            <v>#N/A</v>
          </cell>
        </row>
        <row r="1385">
          <cell r="A1385">
            <v>42989</v>
          </cell>
          <cell r="B1385" t="str">
            <v>Forma metálica para meio fio, em Vias Urbanas</v>
          </cell>
          <cell r="C1385" t="str">
            <v>m²</v>
          </cell>
          <cell r="D1385">
            <v>7.44</v>
          </cell>
          <cell r="E1385">
            <v>0</v>
          </cell>
          <cell r="F1385" t="e">
            <v>#N/A</v>
          </cell>
          <cell r="G1385" t="e">
            <v>#N/A</v>
          </cell>
        </row>
        <row r="1386">
          <cell r="A1386">
            <v>42991</v>
          </cell>
          <cell r="B1386" t="str">
            <v>Formas planas de madeira com 01 (um) reaproveitamento, inclusive fornecimento e transporte das madeiras, em Vias Urbanas</v>
          </cell>
          <cell r="C1386" t="str">
            <v>m²</v>
          </cell>
          <cell r="D1386">
            <v>109.32</v>
          </cell>
          <cell r="E1386" t="str">
            <v>A incluir</v>
          </cell>
          <cell r="F1386" t="e">
            <v>#N/A</v>
          </cell>
          <cell r="G1386" t="e">
            <v>#N/A</v>
          </cell>
        </row>
        <row r="1387">
          <cell r="A1387">
            <v>42992</v>
          </cell>
          <cell r="B1387" t="str">
            <v>Formas planas de madeira com 02 (dois) reaproveitamentos, inclusive fornecimento e transporte das madeiras, em Vias Urbanas</v>
          </cell>
          <cell r="C1387" t="str">
            <v>m²</v>
          </cell>
          <cell r="D1387">
            <v>92.08</v>
          </cell>
          <cell r="E1387" t="str">
            <v>A incluir</v>
          </cell>
          <cell r="F1387" t="e">
            <v>#N/A</v>
          </cell>
          <cell r="G1387" t="e">
            <v>#N/A</v>
          </cell>
        </row>
        <row r="1388">
          <cell r="A1388">
            <v>42993</v>
          </cell>
          <cell r="B1388" t="str">
            <v>Formas planas de madeira com 04 (quatro) reaproveitamentos, inclusive fornecimento e transporte das madeiras, em Vias Urbanas</v>
          </cell>
          <cell r="C1388" t="str">
            <v>m²</v>
          </cell>
          <cell r="D1388">
            <v>77.45</v>
          </cell>
          <cell r="E1388" t="str">
            <v>A incluir</v>
          </cell>
          <cell r="F1388" t="e">
            <v>#N/A</v>
          </cell>
          <cell r="G1388" t="e">
            <v>#N/A</v>
          </cell>
        </row>
        <row r="1389">
          <cell r="A1389">
            <v>42994</v>
          </cell>
          <cell r="B1389" t="str">
            <v>Formas planas de madeira sem reaproveitamento (forma perdida), inclusive fornecimento e transporte das madeiras em Vias Urbanas</v>
          </cell>
          <cell r="C1389" t="str">
            <v>m²</v>
          </cell>
          <cell r="D1389">
            <v>158.86000000000001</v>
          </cell>
          <cell r="E1389" t="str">
            <v>A incluir</v>
          </cell>
          <cell r="F1389" t="e">
            <v>#N/A</v>
          </cell>
          <cell r="G1389" t="e">
            <v>#N/A</v>
          </cell>
        </row>
        <row r="1390">
          <cell r="A1390">
            <v>43070</v>
          </cell>
          <cell r="B1390" t="str">
            <v>Gabião manta/colchão, p/ revest. canal em malha hex 6x8mm Zn-Al/PVC, e=2,8mm,h=0,23m, inclus.aquis./assentam. pedra mão, exclus. transp., Vias Urbanas</v>
          </cell>
          <cell r="C1390" t="str">
            <v>m²</v>
          </cell>
          <cell r="D1390">
            <v>208</v>
          </cell>
          <cell r="E1390">
            <v>0</v>
          </cell>
          <cell r="F1390" t="e">
            <v>#N/A</v>
          </cell>
          <cell r="G1390" t="e">
            <v>#N/A</v>
          </cell>
        </row>
        <row r="1391">
          <cell r="A1391">
            <v>42995</v>
          </cell>
          <cell r="B1391" t="str">
            <v>Gabiões com caixas e sacos galvanizados, com geotêxtil não tecido RT 07 kN/m, em Vias Urbanas</v>
          </cell>
          <cell r="C1391" t="str">
            <v>m³</v>
          </cell>
          <cell r="D1391">
            <v>399.31</v>
          </cell>
          <cell r="E1391" t="str">
            <v>A incluir</v>
          </cell>
          <cell r="F1391" t="e">
            <v>#N/A</v>
          </cell>
          <cell r="G1391" t="e">
            <v>#N/A</v>
          </cell>
        </row>
        <row r="1392">
          <cell r="A1392">
            <v>42996</v>
          </cell>
          <cell r="B1392" t="str">
            <v>Gabiões com caixas galvanizadas, sem manta, em Vias Urbanas</v>
          </cell>
          <cell r="C1392" t="str">
            <v>m³</v>
          </cell>
          <cell r="D1392">
            <v>349.42</v>
          </cell>
          <cell r="E1392" t="str">
            <v>A incluir</v>
          </cell>
          <cell r="F1392" t="e">
            <v>#N/A</v>
          </cell>
          <cell r="G1392" t="e">
            <v>#N/A</v>
          </cell>
        </row>
        <row r="1393">
          <cell r="A1393">
            <v>43012</v>
          </cell>
          <cell r="B1393" t="str">
            <v>Geotêxtil não tecido RT-16 kn/m, fornecimento e aplicação em Vias Urbanas</v>
          </cell>
          <cell r="C1393" t="str">
            <v>m²</v>
          </cell>
          <cell r="D1393">
            <v>8.5299999999999994</v>
          </cell>
          <cell r="E1393">
            <v>0</v>
          </cell>
          <cell r="F1393" t="e">
            <v>#N/A</v>
          </cell>
          <cell r="G1393" t="e">
            <v>#N/A</v>
          </cell>
        </row>
        <row r="1394">
          <cell r="A1394">
            <v>43011</v>
          </cell>
          <cell r="B1394" t="str">
            <v>Geotêxtil não-tecido com resistência longitudinal a tração 10kN/m, fornecimento e aplicação em Vias Urbanas</v>
          </cell>
          <cell r="C1394" t="str">
            <v>m²</v>
          </cell>
          <cell r="D1394">
            <v>6.33</v>
          </cell>
          <cell r="E1394">
            <v>0</v>
          </cell>
          <cell r="F1394" t="e">
            <v>#N/A</v>
          </cell>
          <cell r="G1394" t="e">
            <v>#N/A</v>
          </cell>
        </row>
        <row r="1395">
          <cell r="A1395">
            <v>43003</v>
          </cell>
          <cell r="B1395" t="str">
            <v>Lastro de brita, inclusive transporte da brita em Vias Urbanas</v>
          </cell>
          <cell r="C1395" t="str">
            <v>m³</v>
          </cell>
          <cell r="D1395">
            <v>111.99</v>
          </cell>
          <cell r="E1395" t="str">
            <v>A incluir</v>
          </cell>
          <cell r="F1395" t="e">
            <v>#N/A</v>
          </cell>
          <cell r="G1395" t="e">
            <v>#N/A</v>
          </cell>
        </row>
        <row r="1396">
          <cell r="A1396">
            <v>43004</v>
          </cell>
          <cell r="B1396" t="str">
            <v>Limpeza e apicoamento manual de superfície de rocha em Vias Urbanas</v>
          </cell>
          <cell r="C1396" t="str">
            <v>m²</v>
          </cell>
          <cell r="D1396">
            <v>37.619999999999997</v>
          </cell>
          <cell r="E1396">
            <v>0</v>
          </cell>
          <cell r="F1396" t="e">
            <v>#N/A</v>
          </cell>
          <cell r="G1396" t="e">
            <v>#N/A</v>
          </cell>
        </row>
        <row r="1397">
          <cell r="A1397">
            <v>43005</v>
          </cell>
          <cell r="B1397" t="str">
            <v>Limpeza e desobstrução de BDTC e BDCC em Vias Urbanas</v>
          </cell>
          <cell r="C1397" t="str">
            <v>m</v>
          </cell>
          <cell r="D1397">
            <v>34.35</v>
          </cell>
          <cell r="E1397">
            <v>0</v>
          </cell>
          <cell r="F1397" t="e">
            <v>#N/A</v>
          </cell>
          <cell r="G1397" t="e">
            <v>#N/A</v>
          </cell>
        </row>
        <row r="1398">
          <cell r="A1398">
            <v>43006</v>
          </cell>
          <cell r="B1398" t="str">
            <v>Limpeza e desobstrução de BQTC em Vias Urbanas</v>
          </cell>
          <cell r="C1398" t="str">
            <v>m</v>
          </cell>
          <cell r="D1398">
            <v>55.55</v>
          </cell>
          <cell r="E1398">
            <v>0</v>
          </cell>
          <cell r="F1398" t="e">
            <v>#N/A</v>
          </cell>
          <cell r="G1398" t="e">
            <v>#N/A</v>
          </cell>
        </row>
        <row r="1399">
          <cell r="A1399">
            <v>43007</v>
          </cell>
          <cell r="B1399" t="str">
            <v>Limpeza e desobstrução de BSTC e BSCC em Vias Urbanas</v>
          </cell>
          <cell r="C1399" t="str">
            <v>m</v>
          </cell>
          <cell r="D1399">
            <v>18.059999999999999</v>
          </cell>
          <cell r="E1399">
            <v>0</v>
          </cell>
          <cell r="F1399" t="e">
            <v>#N/A</v>
          </cell>
          <cell r="G1399" t="e">
            <v>#N/A</v>
          </cell>
        </row>
        <row r="1400">
          <cell r="A1400">
            <v>43008</v>
          </cell>
          <cell r="B1400" t="str">
            <v>Limpeza e desobstrução de BTTC e BTCC em Vias Urbanas</v>
          </cell>
          <cell r="C1400" t="str">
            <v>m</v>
          </cell>
          <cell r="D1400">
            <v>50.64</v>
          </cell>
          <cell r="E1400">
            <v>0</v>
          </cell>
          <cell r="F1400" t="e">
            <v>#N/A</v>
          </cell>
          <cell r="G1400" t="e">
            <v>#N/A</v>
          </cell>
        </row>
        <row r="1401">
          <cell r="A1401">
            <v>43009</v>
          </cell>
          <cell r="B1401" t="str">
            <v>Limpeza e preparo de superfície de aço em Vias Urbanas</v>
          </cell>
          <cell r="C1401" t="str">
            <v>m²</v>
          </cell>
          <cell r="D1401">
            <v>89.98</v>
          </cell>
          <cell r="E1401">
            <v>0</v>
          </cell>
          <cell r="F1401" t="e">
            <v>#N/A</v>
          </cell>
          <cell r="G1401" t="e">
            <v>#N/A</v>
          </cell>
        </row>
        <row r="1402">
          <cell r="A1402">
            <v>43018</v>
          </cell>
          <cell r="B1402" t="str">
            <v>Meio fio de concreto pré-moldado (12 x 30 x 15) cm, inclusive caiação e transporte do meio fio em Vias Urbanas</v>
          </cell>
          <cell r="C1402" t="str">
            <v>m</v>
          </cell>
          <cell r="D1402">
            <v>53.95</v>
          </cell>
          <cell r="E1402" t="str">
            <v>A incluir</v>
          </cell>
          <cell r="F1402" t="e">
            <v>#N/A</v>
          </cell>
          <cell r="G1402" t="e">
            <v>#N/A</v>
          </cell>
        </row>
        <row r="1403">
          <cell r="A1403">
            <v>43016</v>
          </cell>
          <cell r="B1403" t="str">
            <v>Meio fio de concreto pré-moldado (1,20 m x 0,12 m x 0,15 m x 0,30 m),exclusive transporte, em Vias Urbanas</v>
          </cell>
          <cell r="C1403" t="str">
            <v>m</v>
          </cell>
          <cell r="D1403">
            <v>53.24</v>
          </cell>
          <cell r="E1403">
            <v>0</v>
          </cell>
          <cell r="F1403" t="e">
            <v>#N/A</v>
          </cell>
          <cell r="G1403" t="e">
            <v>#N/A</v>
          </cell>
        </row>
        <row r="1404">
          <cell r="A1404">
            <v>43019</v>
          </cell>
          <cell r="B1404" t="str">
            <v>Meio fio de pedra (fornecimento e assentamento), inclusive caiação e transporte do meio fio em Vias Urbanas</v>
          </cell>
          <cell r="C1404" t="str">
            <v>m</v>
          </cell>
          <cell r="D1404">
            <v>58.86</v>
          </cell>
          <cell r="E1404" t="str">
            <v>A incluir</v>
          </cell>
          <cell r="F1404" t="e">
            <v>#N/A</v>
          </cell>
          <cell r="G1404" t="e">
            <v>#N/A</v>
          </cell>
        </row>
        <row r="1405">
          <cell r="A1405">
            <v>43026</v>
          </cell>
          <cell r="B1405" t="str">
            <v>Montagem e desmontagem de escoramento tubular normal, em obras de arte na densidade de 5m de tubo por m³ de escoramento em Vias Urbanas</v>
          </cell>
          <cell r="C1405" t="str">
            <v>m</v>
          </cell>
          <cell r="D1405">
            <v>21.29</v>
          </cell>
          <cell r="E1405">
            <v>0</v>
          </cell>
          <cell r="F1405" t="e">
            <v>#N/A</v>
          </cell>
          <cell r="G1405" t="e">
            <v>#N/A</v>
          </cell>
        </row>
        <row r="1406">
          <cell r="A1406">
            <v>43033</v>
          </cell>
          <cell r="B1406" t="str">
            <v>Muro de testa em concreto para saída de dreno profundo em rocha, inclusive transporte do tubo em Vias Urbanas</v>
          </cell>
          <cell r="C1406" t="str">
            <v>un</v>
          </cell>
          <cell r="D1406">
            <v>1073.54</v>
          </cell>
          <cell r="E1406" t="str">
            <v>A incluir</v>
          </cell>
          <cell r="F1406" t="e">
            <v>#N/A</v>
          </cell>
          <cell r="G1406" t="e">
            <v>#N/A</v>
          </cell>
        </row>
        <row r="1407">
          <cell r="A1407">
            <v>43037</v>
          </cell>
          <cell r="B1407" t="str">
            <v>Pedra de mão p/ (concreto ciclópico ou alvenaria) rocha paga em medição em Vias Urbanas</v>
          </cell>
          <cell r="C1407" t="str">
            <v>m³</v>
          </cell>
          <cell r="D1407">
            <v>49.96</v>
          </cell>
          <cell r="E1407">
            <v>0</v>
          </cell>
          <cell r="F1407" t="e">
            <v>#N/A</v>
          </cell>
          <cell r="G1407" t="e">
            <v>#N/A</v>
          </cell>
        </row>
        <row r="1408">
          <cell r="A1408">
            <v>43038</v>
          </cell>
          <cell r="B1408" t="str">
            <v>Pescoço de poço de visita H=0,30m, diâm. = 0,60 m, fornecimento, assentamento e transporte em Vias Urbanas</v>
          </cell>
          <cell r="C1408" t="str">
            <v>un</v>
          </cell>
          <cell r="D1408">
            <v>134.04</v>
          </cell>
          <cell r="E1408" t="str">
            <v>A incluir</v>
          </cell>
          <cell r="F1408" t="e">
            <v>#N/A</v>
          </cell>
          <cell r="G1408" t="e">
            <v>#N/A</v>
          </cell>
        </row>
        <row r="1409">
          <cell r="A1409">
            <v>43039</v>
          </cell>
          <cell r="B1409" t="str">
            <v>Pintura com nata de cimento em Vias Urbanas</v>
          </cell>
          <cell r="C1409" t="str">
            <v>m²</v>
          </cell>
          <cell r="D1409">
            <v>5.1100000000000003</v>
          </cell>
          <cell r="E1409">
            <v>0</v>
          </cell>
          <cell r="F1409" t="e">
            <v>#N/A</v>
          </cell>
          <cell r="G1409" t="e">
            <v>#N/A</v>
          </cell>
        </row>
        <row r="1410">
          <cell r="A1410">
            <v>43040</v>
          </cell>
          <cell r="B1410" t="str">
            <v>Pintura interna ou externa sobre ferro, com tinta a base de resina de borracha clorada em Vias Urbanas</v>
          </cell>
          <cell r="C1410" t="str">
            <v>m²</v>
          </cell>
          <cell r="D1410">
            <v>44.17</v>
          </cell>
          <cell r="E1410">
            <v>0</v>
          </cell>
          <cell r="F1410" t="e">
            <v>#N/A</v>
          </cell>
          <cell r="G1410" t="e">
            <v>#N/A</v>
          </cell>
        </row>
        <row r="1411">
          <cell r="A1411">
            <v>43042</v>
          </cell>
          <cell r="B1411" t="str">
            <v>Plataforma ou passarela de pinho de 1ª ou similar, 1" x 12", em Vias Urbanas</v>
          </cell>
          <cell r="C1411" t="str">
            <v>m²</v>
          </cell>
          <cell r="D1411">
            <v>2.82</v>
          </cell>
          <cell r="E1411">
            <v>0</v>
          </cell>
          <cell r="F1411" t="e">
            <v>#N/A</v>
          </cell>
          <cell r="G1411" t="e">
            <v>#N/A</v>
          </cell>
        </row>
        <row r="1412">
          <cell r="A1412">
            <v>43043</v>
          </cell>
          <cell r="B1412" t="str">
            <v>Poço de visita em bloco pré-moldado para d=0,30 e 0,40 m (0,80 x 0,8 0m), em Vias Urbanas</v>
          </cell>
          <cell r="C1412" t="str">
            <v>un</v>
          </cell>
          <cell r="D1412">
            <v>2250.52</v>
          </cell>
          <cell r="E1412">
            <v>0</v>
          </cell>
          <cell r="F1412" t="e">
            <v>#N/A</v>
          </cell>
          <cell r="G1412" t="e">
            <v>#N/A</v>
          </cell>
        </row>
        <row r="1413">
          <cell r="A1413">
            <v>43044</v>
          </cell>
          <cell r="B1413" t="str">
            <v>Poço de visita em bloco pré-moldado para d=0,60 m (1,00 x 1,00 m), em Vias Urbanas</v>
          </cell>
          <cell r="C1413" t="str">
            <v>un</v>
          </cell>
          <cell r="D1413">
            <v>2633.33</v>
          </cell>
          <cell r="E1413">
            <v>0</v>
          </cell>
          <cell r="F1413" t="e">
            <v>#N/A</v>
          </cell>
          <cell r="G1413" t="e">
            <v>#N/A</v>
          </cell>
        </row>
        <row r="1414">
          <cell r="A1414">
            <v>41169</v>
          </cell>
          <cell r="B1414" t="str">
            <v>Poço de visita em bloco pré-moldado para d=0,80m (1,20x1,20m), em Vias Urbanas</v>
          </cell>
          <cell r="C1414" t="str">
            <v>un</v>
          </cell>
          <cell r="D1414">
            <v>3140.36</v>
          </cell>
          <cell r="E1414">
            <v>0</v>
          </cell>
          <cell r="F1414" t="e">
            <v>#N/A</v>
          </cell>
          <cell r="G1414" t="e">
            <v>#N/A</v>
          </cell>
        </row>
        <row r="1415">
          <cell r="A1415">
            <v>41170</v>
          </cell>
          <cell r="B1415" t="str">
            <v>Poço de visita em bloco pré-moldado para d=1,00m (1,30x1,30m) (Vias Urbanas)</v>
          </cell>
          <cell r="C1415" t="str">
            <v>un</v>
          </cell>
          <cell r="D1415">
            <v>3469.26</v>
          </cell>
          <cell r="E1415">
            <v>0</v>
          </cell>
          <cell r="F1415" t="e">
            <v>#N/A</v>
          </cell>
          <cell r="G1415" t="e">
            <v>#N/A</v>
          </cell>
        </row>
        <row r="1416">
          <cell r="A1416">
            <v>41171</v>
          </cell>
          <cell r="B1416" t="str">
            <v>Poço de visita em bloco pré-moldado para d=1,20m (1,50x1,50m), em Vias Urbanas</v>
          </cell>
          <cell r="C1416" t="str">
            <v>un</v>
          </cell>
          <cell r="D1416">
            <v>4171.33</v>
          </cell>
          <cell r="E1416">
            <v>0</v>
          </cell>
          <cell r="F1416" t="e">
            <v>#N/A</v>
          </cell>
          <cell r="G1416" t="e">
            <v>#N/A</v>
          </cell>
        </row>
        <row r="1417">
          <cell r="A1417">
            <v>43046</v>
          </cell>
          <cell r="B1417" t="str">
            <v>Poço de Visita para BSTC diâm. 0,40 m em blocos de concreto, em Vias Urbanas</v>
          </cell>
          <cell r="C1417" t="str">
            <v>un</v>
          </cell>
          <cell r="D1417">
            <v>1229.27</v>
          </cell>
          <cell r="E1417">
            <v>0</v>
          </cell>
          <cell r="F1417" t="e">
            <v>#N/A</v>
          </cell>
          <cell r="G1417" t="e">
            <v>#N/A</v>
          </cell>
        </row>
        <row r="1418">
          <cell r="A1418">
            <v>43047</v>
          </cell>
          <cell r="B1418" t="str">
            <v>Poço de visita para BSTC diâm. 0,60 m em blocos de concreto, em Vias Urbanas</v>
          </cell>
          <cell r="C1418" t="str">
            <v>un</v>
          </cell>
          <cell r="D1418">
            <v>1632.09</v>
          </cell>
          <cell r="E1418">
            <v>0</v>
          </cell>
          <cell r="F1418" t="e">
            <v>#N/A</v>
          </cell>
          <cell r="G1418" t="e">
            <v>#N/A</v>
          </cell>
        </row>
        <row r="1419">
          <cell r="A1419">
            <v>43048</v>
          </cell>
          <cell r="B1419" t="str">
            <v>Poço de visita para BSTC diâm. 0,80 m em blocos de concreto, em Vias Urbanas</v>
          </cell>
          <cell r="C1419" t="str">
            <v>un</v>
          </cell>
          <cell r="D1419">
            <v>2024.11</v>
          </cell>
          <cell r="E1419">
            <v>0</v>
          </cell>
          <cell r="F1419" t="e">
            <v>#N/A</v>
          </cell>
          <cell r="G1419" t="e">
            <v>#N/A</v>
          </cell>
        </row>
        <row r="1420">
          <cell r="A1420">
            <v>43050</v>
          </cell>
          <cell r="B1420" t="str">
            <v>Poço de visita (tubo D=0,40 m) H=1,50 m com tampão F.F.A.P., inclusive escavação e transporte do tampão, em Vias Urbanas</v>
          </cell>
          <cell r="C1420" t="str">
            <v>un</v>
          </cell>
          <cell r="D1420">
            <v>3527.59</v>
          </cell>
          <cell r="E1420" t="str">
            <v>A incluir</v>
          </cell>
          <cell r="F1420" t="e">
            <v>#N/A</v>
          </cell>
          <cell r="G1420" t="e">
            <v>#N/A</v>
          </cell>
        </row>
        <row r="1421">
          <cell r="A1421">
            <v>43051</v>
          </cell>
          <cell r="B1421" t="str">
            <v>Poço de visita (tubo D=0,60 m) H=1,70 m com tampão F.F.A.P., inclusive escavação e transporte do tampão, em Vias Urbanas</v>
          </cell>
          <cell r="C1421" t="str">
            <v>un</v>
          </cell>
          <cell r="D1421">
            <v>3923.01</v>
          </cell>
          <cell r="E1421" t="str">
            <v>A incluir</v>
          </cell>
          <cell r="F1421" t="e">
            <v>#N/A</v>
          </cell>
          <cell r="G1421" t="e">
            <v>#N/A</v>
          </cell>
        </row>
        <row r="1422">
          <cell r="A1422">
            <v>43052</v>
          </cell>
          <cell r="B1422" t="str">
            <v>Poço de visita (tubo D=0,80 m) H=1,90 m com tampão F.F.A.P., inclusive escavação e transporte do tampão, em Vias Urbanas</v>
          </cell>
          <cell r="C1422" t="str">
            <v>un</v>
          </cell>
          <cell r="D1422">
            <v>4318.4399999999996</v>
          </cell>
          <cell r="E1422" t="str">
            <v>A incluir</v>
          </cell>
          <cell r="F1422" t="e">
            <v>#N/A</v>
          </cell>
          <cell r="G1422" t="e">
            <v>#N/A</v>
          </cell>
        </row>
        <row r="1423">
          <cell r="A1423">
            <v>43053</v>
          </cell>
          <cell r="B1423" t="str">
            <v>Poço de visita (tubo D=1,00 m) H=2,10 m com tampão F.F.A.P., inclusive escavação e transporte do tampão, em Vias Urbanas</v>
          </cell>
          <cell r="C1423" t="str">
            <v>un</v>
          </cell>
          <cell r="D1423">
            <v>4713.8500000000004</v>
          </cell>
          <cell r="E1423" t="str">
            <v>A incluir</v>
          </cell>
          <cell r="F1423" t="e">
            <v>#N/A</v>
          </cell>
          <cell r="G1423" t="e">
            <v>#N/A</v>
          </cell>
        </row>
        <row r="1424">
          <cell r="A1424">
            <v>43054</v>
          </cell>
          <cell r="B1424" t="str">
            <v>Preparo manual de talude, compreendendo acerto, raspagem eventual de até 0,30 m de prof. e afastamento lateral, em Vias Urbanas</v>
          </cell>
          <cell r="C1424" t="str">
            <v>m²</v>
          </cell>
          <cell r="D1424">
            <v>10.42</v>
          </cell>
          <cell r="E1424">
            <v>0</v>
          </cell>
          <cell r="F1424" t="e">
            <v>#N/A</v>
          </cell>
          <cell r="G1424" t="e">
            <v>#N/A</v>
          </cell>
        </row>
        <row r="1425">
          <cell r="A1425">
            <v>43055</v>
          </cell>
          <cell r="B1425" t="str">
            <v>Preparo manual de terreno, compreendendo acerto raspagem até 25 cm de profundidade e afastamento lateral do material excedente, em Vias Urbanas</v>
          </cell>
          <cell r="C1425" t="str">
            <v>m²</v>
          </cell>
          <cell r="D1425">
            <v>8.3800000000000008</v>
          </cell>
          <cell r="E1425">
            <v>0</v>
          </cell>
          <cell r="F1425" t="e">
            <v>#N/A</v>
          </cell>
          <cell r="G1425" t="e">
            <v>#N/A</v>
          </cell>
        </row>
        <row r="1426">
          <cell r="A1426">
            <v>43056</v>
          </cell>
          <cell r="B1426" t="str">
            <v>Reaterro com areia, tudo incluído, em Vias Urbanas</v>
          </cell>
          <cell r="C1426" t="str">
            <v>m³</v>
          </cell>
          <cell r="D1426">
            <v>70.11</v>
          </cell>
          <cell r="E1426" t="str">
            <v>A incluir</v>
          </cell>
          <cell r="F1426" t="e">
            <v>#N/A</v>
          </cell>
          <cell r="G1426" t="e">
            <v>#N/A</v>
          </cell>
        </row>
        <row r="1427">
          <cell r="A1427">
            <v>43058</v>
          </cell>
          <cell r="B1427" t="str">
            <v>Reaterro de cavas c/ compactação manual (apiloamento) (dim. reduz.), em Vias Urbanas</v>
          </cell>
          <cell r="C1427" t="str">
            <v>m³</v>
          </cell>
          <cell r="D1427">
            <v>94.66</v>
          </cell>
          <cell r="E1427">
            <v>0</v>
          </cell>
          <cell r="F1427" t="e">
            <v>#N/A</v>
          </cell>
          <cell r="G1427" t="e">
            <v>#N/A</v>
          </cell>
        </row>
        <row r="1428">
          <cell r="A1428">
            <v>43057</v>
          </cell>
          <cell r="B1428" t="str">
            <v>Reaterro de cavas c/ compactação manual (apiloamento) em Vias Urbanas</v>
          </cell>
          <cell r="C1428" t="str">
            <v>m³</v>
          </cell>
          <cell r="D1428">
            <v>65.260000000000005</v>
          </cell>
          <cell r="E1428">
            <v>0</v>
          </cell>
          <cell r="F1428" t="e">
            <v>#N/A</v>
          </cell>
          <cell r="G1428" t="e">
            <v>#N/A</v>
          </cell>
        </row>
        <row r="1429">
          <cell r="A1429">
            <v>43059</v>
          </cell>
          <cell r="B1429" t="str">
            <v>Reaterro de cavas c/ compactação mecânica (compactador manual), em Vias Urbanas</v>
          </cell>
          <cell r="C1429" t="str">
            <v>m³</v>
          </cell>
          <cell r="D1429">
            <v>41.49</v>
          </cell>
          <cell r="E1429">
            <v>0</v>
          </cell>
          <cell r="F1429" t="e">
            <v>#N/A</v>
          </cell>
          <cell r="G1429" t="e">
            <v>#N/A</v>
          </cell>
        </row>
        <row r="1430">
          <cell r="A1430">
            <v>43060</v>
          </cell>
          <cell r="B1430" t="str">
            <v>Recuperação de poço de visita inclusive fornecimento tampão F.F.A.P., em Vias Urbanas</v>
          </cell>
          <cell r="C1430" t="str">
            <v>un</v>
          </cell>
          <cell r="D1430">
            <v>557.94000000000005</v>
          </cell>
          <cell r="E1430" t="str">
            <v>A incluir</v>
          </cell>
          <cell r="F1430" t="e">
            <v>#N/A</v>
          </cell>
          <cell r="G1430" t="e">
            <v>#N/A</v>
          </cell>
        </row>
        <row r="1431">
          <cell r="A1431">
            <v>41183</v>
          </cell>
          <cell r="B1431" t="str">
            <v>Rede de dutos - Vias Urbanas</v>
          </cell>
          <cell r="C1431" t="str">
            <v>m</v>
          </cell>
          <cell r="D1431">
            <v>77.05</v>
          </cell>
          <cell r="E1431">
            <v>0</v>
          </cell>
          <cell r="F1431" t="e">
            <v>#N/A</v>
          </cell>
          <cell r="G1431" t="e">
            <v>#N/A</v>
          </cell>
        </row>
        <row r="1432">
          <cell r="A1432">
            <v>43061</v>
          </cell>
          <cell r="B1432" t="str">
            <v>Rede de dutos 65mm (duplo), envelopada com brita 3, em Vias Urbanas</v>
          </cell>
          <cell r="C1432" t="str">
            <v>m</v>
          </cell>
          <cell r="D1432">
            <v>86.27</v>
          </cell>
          <cell r="E1432">
            <v>0</v>
          </cell>
          <cell r="F1432" t="e">
            <v>#N/A</v>
          </cell>
          <cell r="G1432" t="e">
            <v>#N/A</v>
          </cell>
        </row>
        <row r="1433">
          <cell r="A1433">
            <v>43062</v>
          </cell>
          <cell r="B1433" t="str">
            <v>Rede em PVC Vinilfort ou similar DN = 200 mm, em Vias Urbanas</v>
          </cell>
          <cell r="C1433" t="str">
            <v>m</v>
          </cell>
          <cell r="D1433">
            <v>238.25</v>
          </cell>
          <cell r="E1433">
            <v>0</v>
          </cell>
          <cell r="F1433" t="e">
            <v>#N/A</v>
          </cell>
          <cell r="G1433" t="e">
            <v>#N/A</v>
          </cell>
        </row>
        <row r="1434">
          <cell r="A1434">
            <v>43064</v>
          </cell>
          <cell r="B1434" t="str">
            <v>Religação de rede de água em PVC DN 20 mm, inclusive conexões, em Vias Urbanas</v>
          </cell>
          <cell r="C1434" t="str">
            <v>m</v>
          </cell>
          <cell r="D1434">
            <v>18.260000000000002</v>
          </cell>
          <cell r="E1434">
            <v>0</v>
          </cell>
          <cell r="F1434" t="e">
            <v>#N/A</v>
          </cell>
          <cell r="G1434" t="e">
            <v>#N/A</v>
          </cell>
        </row>
        <row r="1435">
          <cell r="A1435">
            <v>43065</v>
          </cell>
          <cell r="B1435" t="str">
            <v>Religação de rede de água em PVC DN 25 mm, inclusive conexões, em Vias Urbanas</v>
          </cell>
          <cell r="C1435" t="str">
            <v>m</v>
          </cell>
          <cell r="D1435">
            <v>22.06</v>
          </cell>
          <cell r="E1435">
            <v>0</v>
          </cell>
          <cell r="F1435" t="e">
            <v>#N/A</v>
          </cell>
          <cell r="G1435" t="e">
            <v>#N/A</v>
          </cell>
        </row>
        <row r="1436">
          <cell r="A1436">
            <v>43066</v>
          </cell>
          <cell r="B1436" t="str">
            <v>Religação de rede de água em PVC DN 32 mm, inclusive conexões, em Vias Urbanas</v>
          </cell>
          <cell r="C1436" t="str">
            <v>m</v>
          </cell>
          <cell r="D1436">
            <v>27.89</v>
          </cell>
          <cell r="E1436">
            <v>0</v>
          </cell>
          <cell r="F1436" t="e">
            <v>#N/A</v>
          </cell>
          <cell r="G1436" t="e">
            <v>#N/A</v>
          </cell>
        </row>
        <row r="1437">
          <cell r="A1437">
            <v>43067</v>
          </cell>
          <cell r="B1437" t="str">
            <v>Religação de rede de água em PVC DN 75 mm, inclusive conexões, em Vias Urbanas</v>
          </cell>
          <cell r="C1437" t="str">
            <v>m</v>
          </cell>
          <cell r="D1437">
            <v>55.38</v>
          </cell>
          <cell r="E1437">
            <v>0</v>
          </cell>
          <cell r="F1437" t="e">
            <v>#N/A</v>
          </cell>
          <cell r="G1437" t="e">
            <v>#N/A</v>
          </cell>
        </row>
        <row r="1438">
          <cell r="A1438">
            <v>43063</v>
          </cell>
          <cell r="B1438" t="str">
            <v>Religação de rede de água em PVC PBA CL 15 DN 100 mm, inclusive conexões, em Vias Urbanas</v>
          </cell>
          <cell r="C1438" t="str">
            <v>m</v>
          </cell>
          <cell r="D1438">
            <v>89.27</v>
          </cell>
          <cell r="E1438">
            <v>0</v>
          </cell>
          <cell r="F1438" t="e">
            <v>#N/A</v>
          </cell>
          <cell r="G1438" t="e">
            <v>#N/A</v>
          </cell>
        </row>
        <row r="1439">
          <cell r="A1439">
            <v>43068</v>
          </cell>
          <cell r="B1439" t="str">
            <v>Remanejamento de ligação e religação de redes de esgoto, em Vias Urbanas</v>
          </cell>
          <cell r="C1439" t="str">
            <v>m</v>
          </cell>
          <cell r="D1439">
            <v>73.790000000000006</v>
          </cell>
          <cell r="E1439">
            <v>0</v>
          </cell>
          <cell r="F1439" t="e">
            <v>#N/A</v>
          </cell>
          <cell r="G1439" t="e">
            <v>#N/A</v>
          </cell>
        </row>
        <row r="1440">
          <cell r="A1440">
            <v>43069</v>
          </cell>
          <cell r="B1440" t="str">
            <v>Remoção de bueiros existentes, em Vias Urbanas</v>
          </cell>
          <cell r="C1440" t="str">
            <v>m</v>
          </cell>
          <cell r="D1440">
            <v>132.94999999999999</v>
          </cell>
          <cell r="E1440" t="str">
            <v>A incluir</v>
          </cell>
          <cell r="F1440" t="e">
            <v>#N/A</v>
          </cell>
          <cell r="G1440" t="e">
            <v>#N/A</v>
          </cell>
        </row>
        <row r="1441">
          <cell r="A1441">
            <v>43071</v>
          </cell>
          <cell r="B1441" t="str">
            <v>Rip-rap c/ argamassa cimento areia 1:6, inclusive aquisição e transporte dos materiais, em Vias Urbanas</v>
          </cell>
          <cell r="C1441" t="str">
            <v>m³</v>
          </cell>
          <cell r="D1441">
            <v>339.61</v>
          </cell>
          <cell r="E1441" t="str">
            <v>A incluir</v>
          </cell>
          <cell r="F1441" t="e">
            <v>#N/A</v>
          </cell>
          <cell r="G1441" t="e">
            <v>#N/A</v>
          </cell>
        </row>
        <row r="1442">
          <cell r="A1442">
            <v>43078</v>
          </cell>
          <cell r="B1442" t="str">
            <v>Sarjeta de concreto DP-1 (0,081 m³/m) calha triangular, inclusive caiação, em Vias Urbanas</v>
          </cell>
          <cell r="C1442" t="str">
            <v>m</v>
          </cell>
          <cell r="D1442">
            <v>86.65</v>
          </cell>
          <cell r="E1442">
            <v>0</v>
          </cell>
          <cell r="F1442" t="e">
            <v>#N/A</v>
          </cell>
          <cell r="G1442" t="e">
            <v>#N/A</v>
          </cell>
        </row>
        <row r="1443">
          <cell r="A1443">
            <v>43079</v>
          </cell>
          <cell r="B1443" t="str">
            <v>Sarjeta de concreto DP-2 (0,085 m³/m) calha triangular, inclusive caiação, em Vias Urbanas</v>
          </cell>
          <cell r="C1443" t="str">
            <v>m</v>
          </cell>
          <cell r="D1443">
            <v>90.4</v>
          </cell>
          <cell r="E1443">
            <v>0</v>
          </cell>
          <cell r="F1443" t="e">
            <v>#N/A</v>
          </cell>
          <cell r="G1443" t="e">
            <v>#N/A</v>
          </cell>
        </row>
        <row r="1444">
          <cell r="A1444">
            <v>43080</v>
          </cell>
          <cell r="B1444" t="str">
            <v>Sarjeta de concreto SCA 40/10 - em Vias Urbanas</v>
          </cell>
          <cell r="C1444" t="str">
            <v>m</v>
          </cell>
          <cell r="D1444">
            <v>76.180000000000007</v>
          </cell>
          <cell r="E1444" t="str">
            <v>A incluir</v>
          </cell>
          <cell r="F1444" t="e">
            <v>#N/A</v>
          </cell>
          <cell r="G1444" t="e">
            <v>#N/A</v>
          </cell>
        </row>
        <row r="1445">
          <cell r="A1445">
            <v>43081</v>
          </cell>
          <cell r="B1445" t="str">
            <v>Sarjeta de concreto (SCA 70/15) calha triangular, inclusive caiação, em Vias Urbanas</v>
          </cell>
          <cell r="C1445" t="str">
            <v>m</v>
          </cell>
          <cell r="D1445">
            <v>99.5</v>
          </cell>
          <cell r="E1445">
            <v>0</v>
          </cell>
          <cell r="F1445" t="e">
            <v>#N/A</v>
          </cell>
          <cell r="G1445" t="e">
            <v>#N/A</v>
          </cell>
        </row>
        <row r="1446">
          <cell r="A1446">
            <v>43085</v>
          </cell>
          <cell r="B1446" t="str">
            <v>Sarjeta de concreto (SCA 90/10) calha triangular, inclusive caiação, em Vias Urbanas</v>
          </cell>
          <cell r="C1446" t="str">
            <v>m</v>
          </cell>
          <cell r="D1446">
            <v>172.82</v>
          </cell>
          <cell r="E1446">
            <v>0</v>
          </cell>
          <cell r="F1446" t="e">
            <v>#N/A</v>
          </cell>
          <cell r="G1446" t="e">
            <v>#N/A</v>
          </cell>
        </row>
        <row r="1447">
          <cell r="A1447">
            <v>43083</v>
          </cell>
          <cell r="B1447" t="str">
            <v>Sarjeta de concreto (STC - 02) calha triangular em corte/aterro, inclusive caiação, em Vias Urbanas</v>
          </cell>
          <cell r="C1447" t="str">
            <v>m</v>
          </cell>
          <cell r="D1447">
            <v>84.97</v>
          </cell>
          <cell r="E1447">
            <v>0</v>
          </cell>
          <cell r="F1447" t="e">
            <v>#N/A</v>
          </cell>
          <cell r="G1447" t="e">
            <v>#N/A</v>
          </cell>
        </row>
        <row r="1448">
          <cell r="A1448">
            <v>43084</v>
          </cell>
          <cell r="B1448" t="str">
            <v>Sarjeta de concreto (STC - 04) calha triangular de bancada em corte, inclusive caiação, em Vias Urbanas</v>
          </cell>
          <cell r="C1448" t="str">
            <v>m</v>
          </cell>
          <cell r="D1448">
            <v>63.91</v>
          </cell>
          <cell r="E1448">
            <v>0</v>
          </cell>
          <cell r="F1448" t="e">
            <v>#N/A</v>
          </cell>
          <cell r="G1448" t="e">
            <v>#N/A</v>
          </cell>
        </row>
        <row r="1449">
          <cell r="A1449">
            <v>43086</v>
          </cell>
          <cell r="B1449" t="str">
            <v>Tampa de concreto em grelha, fornecimento, assentamento e transporte, em Vias Urbanas</v>
          </cell>
          <cell r="C1449" t="str">
            <v>un</v>
          </cell>
          <cell r="D1449">
            <v>223.29</v>
          </cell>
          <cell r="E1449" t="str">
            <v>A incluir</v>
          </cell>
          <cell r="F1449" t="e">
            <v>#N/A</v>
          </cell>
          <cell r="G1449" t="e">
            <v>#N/A</v>
          </cell>
        </row>
        <row r="1450">
          <cell r="A1450">
            <v>43087</v>
          </cell>
          <cell r="B1450" t="str">
            <v>Tampão F.F.A.P. com 100 kg, fornecimento, assentamento e transporte em Vias Urbanas</v>
          </cell>
          <cell r="C1450" t="str">
            <v>un</v>
          </cell>
          <cell r="D1450">
            <v>310.75</v>
          </cell>
          <cell r="E1450" t="str">
            <v>A incluir</v>
          </cell>
          <cell r="F1450" t="e">
            <v>#N/A</v>
          </cell>
          <cell r="G1450" t="e">
            <v>#N/A</v>
          </cell>
        </row>
        <row r="1451">
          <cell r="A1451">
            <v>43089</v>
          </cell>
          <cell r="B1451" t="str">
            <v>Tapume de vedação e proteção, executado com chapas de compensado resinado com 6 mm de espessura, exclusive pintura, em Vias Urbanas</v>
          </cell>
          <cell r="C1451" t="str">
            <v>m²</v>
          </cell>
          <cell r="D1451">
            <v>39.770000000000003</v>
          </cell>
          <cell r="E1451">
            <v>0</v>
          </cell>
          <cell r="F1451" t="e">
            <v>#N/A</v>
          </cell>
          <cell r="G1451" t="e">
            <v>#N/A</v>
          </cell>
        </row>
        <row r="1452">
          <cell r="A1452">
            <v>43090</v>
          </cell>
          <cell r="B1452" t="str">
            <v>Tela de aço soldada Telcon Q-138 ou similar, fornecimento e assentamento em Vias Urbanas</v>
          </cell>
          <cell r="C1452" t="str">
            <v>m²</v>
          </cell>
          <cell r="D1452">
            <v>30.8</v>
          </cell>
          <cell r="E1452">
            <v>0</v>
          </cell>
          <cell r="F1452" t="e">
            <v>#N/A</v>
          </cell>
          <cell r="G1452" t="e">
            <v>#N/A</v>
          </cell>
        </row>
        <row r="1453">
          <cell r="A1453">
            <v>43088</v>
          </cell>
          <cell r="B1453" t="str">
            <v>Tela de proteção de segurança de PVC cor laranja com suporte para sinalização de obras em Vias Urbanas</v>
          </cell>
          <cell r="C1453" t="str">
            <v>m</v>
          </cell>
          <cell r="D1453">
            <v>22.49</v>
          </cell>
          <cell r="E1453" t="str">
            <v>A incluir</v>
          </cell>
          <cell r="F1453" t="e">
            <v>#N/A</v>
          </cell>
          <cell r="G1453" t="e">
            <v>#N/A</v>
          </cell>
        </row>
        <row r="1454">
          <cell r="A1454">
            <v>43091</v>
          </cell>
          <cell r="B1454" t="str">
            <v>Terminal de dreno de alívio de pavimento (DP - TDA - 01) em Vias Urbanas</v>
          </cell>
          <cell r="C1454" t="str">
            <v>un</v>
          </cell>
          <cell r="D1454">
            <v>363.02</v>
          </cell>
          <cell r="E1454" t="str">
            <v>A incluir</v>
          </cell>
          <cell r="F1454" t="e">
            <v>#N/A</v>
          </cell>
          <cell r="G1454" t="e">
            <v>#N/A</v>
          </cell>
        </row>
        <row r="1455">
          <cell r="A1455">
            <v>43092</v>
          </cell>
          <cell r="B1455" t="str">
            <v>Transporte de materiais encosta abaixo, serviço manual, inclusive carga e descarga em Vias Urbanas</v>
          </cell>
          <cell r="C1455" t="str">
            <v>t dam</v>
          </cell>
          <cell r="D1455">
            <v>23.77</v>
          </cell>
          <cell r="E1455">
            <v>0</v>
          </cell>
          <cell r="F1455" t="e">
            <v>#N/A</v>
          </cell>
          <cell r="G1455" t="e">
            <v>#N/A</v>
          </cell>
        </row>
        <row r="1456">
          <cell r="A1456">
            <v>43093</v>
          </cell>
          <cell r="B1456" t="str">
            <v>Transporte de materiais encosta acima, serviço manual, inclusive carga e descarga em Vias Urbanas</v>
          </cell>
          <cell r="C1456" t="str">
            <v>t dam</v>
          </cell>
          <cell r="D1456">
            <v>32.17</v>
          </cell>
          <cell r="E1456">
            <v>0</v>
          </cell>
          <cell r="F1456" t="e">
            <v>#N/A</v>
          </cell>
          <cell r="G1456" t="e">
            <v>#N/A</v>
          </cell>
        </row>
        <row r="1457">
          <cell r="A1457">
            <v>43094</v>
          </cell>
          <cell r="B1457" t="str">
            <v>Transposição de segmento de sarjeta - TSS 01, inclusive transporte do tubo de concreto em Vias Urbanas</v>
          </cell>
          <cell r="C1457" t="str">
            <v>m</v>
          </cell>
          <cell r="D1457">
            <v>293.77</v>
          </cell>
          <cell r="E1457" t="str">
            <v>A incluir</v>
          </cell>
          <cell r="F1457" t="e">
            <v>#N/A</v>
          </cell>
          <cell r="G1457" t="e">
            <v>#N/A</v>
          </cell>
        </row>
        <row r="1458">
          <cell r="A1458">
            <v>43095</v>
          </cell>
          <cell r="B1458" t="str">
            <v>Trincheira drenante cega (0,50 x 1,70) m, com utilização de geotêxtil não tecido Rt-16 kn/m, inclusive transporte da brita em Vias Urbanas</v>
          </cell>
          <cell r="C1458" t="str">
            <v>m</v>
          </cell>
          <cell r="D1458">
            <v>368.88</v>
          </cell>
          <cell r="E1458" t="str">
            <v>A incluir</v>
          </cell>
          <cell r="F1458" t="e">
            <v>#N/A</v>
          </cell>
          <cell r="G1458" t="e">
            <v>#N/A</v>
          </cell>
        </row>
        <row r="1459">
          <cell r="A1459">
            <v>43096</v>
          </cell>
          <cell r="B1459" t="str">
            <v>Trincheira drenante em madeira em Vias Urbanas</v>
          </cell>
          <cell r="C1459" t="str">
            <v>m</v>
          </cell>
          <cell r="D1459">
            <v>488.77</v>
          </cell>
          <cell r="E1459">
            <v>0</v>
          </cell>
          <cell r="F1459" t="e">
            <v>#N/A</v>
          </cell>
          <cell r="G1459" t="e">
            <v>#N/A</v>
          </cell>
        </row>
        <row r="1460">
          <cell r="A1460">
            <v>43098</v>
          </cell>
          <cell r="B1460" t="str">
            <v>Tubo de PVC NBR 5648 diâmetro 50 mm, fornecimento e assentamento em Vias Urbanas</v>
          </cell>
          <cell r="C1460" t="str">
            <v>m</v>
          </cell>
          <cell r="D1460">
            <v>16.690000000000001</v>
          </cell>
          <cell r="E1460">
            <v>0</v>
          </cell>
          <cell r="F1460" t="e">
            <v>#N/A</v>
          </cell>
          <cell r="G1460" t="e">
            <v>#N/A</v>
          </cell>
        </row>
        <row r="1461">
          <cell r="A1461">
            <v>43097</v>
          </cell>
          <cell r="B1461" t="str">
            <v>Tubo de PVC NBR 5648 diâmetro 75 mm, fornecimento e assentamento em Vias Urbanas</v>
          </cell>
          <cell r="C1461" t="str">
            <v>m</v>
          </cell>
          <cell r="D1461">
            <v>24.82</v>
          </cell>
          <cell r="E1461">
            <v>0</v>
          </cell>
          <cell r="F1461" t="e">
            <v>#N/A</v>
          </cell>
          <cell r="G1461" t="e">
            <v>#N/A</v>
          </cell>
        </row>
        <row r="1462">
          <cell r="A1462">
            <v>43099</v>
          </cell>
          <cell r="B1462" t="str">
            <v>Tubo de PVC PBA diâmetro 300 mm, fornecimento e assentamento em Vias Urbanas</v>
          </cell>
          <cell r="C1462" t="str">
            <v>m</v>
          </cell>
          <cell r="D1462">
            <v>192.82</v>
          </cell>
          <cell r="E1462">
            <v>0</v>
          </cell>
          <cell r="F1462" t="e">
            <v>#N/A</v>
          </cell>
          <cell r="G1462" t="e">
            <v>#N/A</v>
          </cell>
        </row>
        <row r="1463">
          <cell r="A1463">
            <v>43100</v>
          </cell>
          <cell r="B1463" t="str">
            <v>Tubo de PVC rígido série R diâmetro 100 mm, fornecimento e assentamento em Vias Urbanas</v>
          </cell>
          <cell r="C1463" t="str">
            <v>m</v>
          </cell>
          <cell r="D1463">
            <v>26.88</v>
          </cell>
          <cell r="E1463">
            <v>0</v>
          </cell>
          <cell r="F1463" t="e">
            <v>#N/A</v>
          </cell>
          <cell r="G1463" t="e">
            <v>#N/A</v>
          </cell>
        </row>
        <row r="1464">
          <cell r="A1464">
            <v>43101</v>
          </cell>
          <cell r="B1464" t="str">
            <v>Tubo irrifort agropecuário diâmetro 32 mm, fornecimento e assentamento em Vias Urbanas</v>
          </cell>
          <cell r="C1464" t="str">
            <v>m</v>
          </cell>
          <cell r="D1464">
            <v>6.93</v>
          </cell>
          <cell r="E1464">
            <v>0</v>
          </cell>
          <cell r="F1464" t="e">
            <v>#N/A</v>
          </cell>
          <cell r="G1464" t="e">
            <v>#N/A</v>
          </cell>
        </row>
        <row r="1465">
          <cell r="A1465">
            <v>43102</v>
          </cell>
          <cell r="B1465" t="str">
            <v>Tubo para irrigação linha fixa PN40 50 mm, fornecimento e assentamento em Vias Urbanas</v>
          </cell>
          <cell r="C1465" t="str">
            <v>m</v>
          </cell>
          <cell r="D1465">
            <v>8.6300000000000008</v>
          </cell>
          <cell r="E1465">
            <v>0</v>
          </cell>
          <cell r="F1465" t="e">
            <v>#N/A</v>
          </cell>
          <cell r="G1465" t="e">
            <v>#N/A</v>
          </cell>
        </row>
        <row r="1466">
          <cell r="A1466">
            <v>43103</v>
          </cell>
          <cell r="B1466" t="str">
            <v>Tubo PVC PBA diâmetro 150 mm, fornecimento e assentamento em Vias Urbanas</v>
          </cell>
          <cell r="C1466" t="str">
            <v>m</v>
          </cell>
          <cell r="D1466">
            <v>35.35</v>
          </cell>
          <cell r="E1466">
            <v>0</v>
          </cell>
          <cell r="F1466" t="e">
            <v>#N/A</v>
          </cell>
          <cell r="G1466" t="e">
            <v>#N/A</v>
          </cell>
        </row>
        <row r="1467">
          <cell r="A1467">
            <v>42614</v>
          </cell>
          <cell r="B1467" t="str">
            <v>Tubos de ferro fundido diâmetro 0,90 m, assentamento em Vias Urbanas</v>
          </cell>
          <cell r="C1467" t="str">
            <v>m</v>
          </cell>
          <cell r="D1467">
            <v>228.98</v>
          </cell>
          <cell r="E1467" t="str">
            <v>A incluir</v>
          </cell>
          <cell r="F1467" t="e">
            <v>#N/A</v>
          </cell>
          <cell r="G1467" t="e">
            <v>#N/A</v>
          </cell>
        </row>
        <row r="1468">
          <cell r="A1468">
            <v>43104</v>
          </cell>
          <cell r="B1468" t="str">
            <v>Tubos para irrigação Linha fixa PN40, diâmetro 75 mm, fornecimento e assentamento em Vias Urbanas</v>
          </cell>
          <cell r="C1468" t="str">
            <v>m</v>
          </cell>
          <cell r="D1468">
            <v>11.92</v>
          </cell>
          <cell r="E1468">
            <v>0</v>
          </cell>
          <cell r="F1468" t="e">
            <v>#N/A</v>
          </cell>
          <cell r="G1468" t="e">
            <v>#N/A</v>
          </cell>
        </row>
        <row r="1469">
          <cell r="A1469">
            <v>43105</v>
          </cell>
          <cell r="B1469" t="str">
            <v>Valeta de pedra argamassada VPAR em Vias Urbanas</v>
          </cell>
          <cell r="C1469" t="str">
            <v>m³</v>
          </cell>
          <cell r="D1469">
            <v>338.61</v>
          </cell>
          <cell r="E1469" t="str">
            <v>A incluir</v>
          </cell>
          <cell r="F1469" t="e">
            <v>#N/A</v>
          </cell>
          <cell r="G1469" t="e">
            <v>#N/A</v>
          </cell>
        </row>
        <row r="1470">
          <cell r="A1470">
            <v>43106</v>
          </cell>
          <cell r="B1470" t="str">
            <v>Valeta de pedra jogada VPJ, inclusive transporte da pedra em Vias Urbanas</v>
          </cell>
          <cell r="C1470" t="str">
            <v>m³</v>
          </cell>
          <cell r="D1470">
            <v>161.15</v>
          </cell>
          <cell r="E1470" t="str">
            <v>A incluir</v>
          </cell>
          <cell r="F1470" t="e">
            <v>#N/A</v>
          </cell>
          <cell r="G1470" t="e">
            <v>#N/A</v>
          </cell>
        </row>
        <row r="1471">
          <cell r="A1471">
            <v>43111</v>
          </cell>
          <cell r="B1471" t="str">
            <v>Valeta de proteção de corte - desobstrução e limpeza em Vias Urbanas</v>
          </cell>
          <cell r="C1471" t="str">
            <v>m</v>
          </cell>
          <cell r="D1471">
            <v>3.58</v>
          </cell>
          <cell r="E1471">
            <v>0</v>
          </cell>
          <cell r="F1471" t="e">
            <v>#N/A</v>
          </cell>
          <cell r="G1471" t="e">
            <v>#N/A</v>
          </cell>
        </row>
        <row r="1472">
          <cell r="A1472">
            <v>0</v>
          </cell>
          <cell r="B1472">
            <v>0</v>
          </cell>
          <cell r="C1472">
            <v>0</v>
          </cell>
          <cell r="D1472">
            <v>0</v>
          </cell>
          <cell r="E1472" t="e">
            <v>#N/A</v>
          </cell>
          <cell r="F1472" t="e">
            <v>#N/A</v>
          </cell>
          <cell r="G1472" t="e">
            <v>#N/A</v>
          </cell>
        </row>
        <row r="1473">
          <cell r="A1473" t="str">
            <v>Grupo de Serviço: 139 - INSTALAÇÃO DE CANTEIRO, MOBILIZAÇÃO E DESMOBILIZAÇÃO</v>
          </cell>
          <cell r="B1473">
            <v>0</v>
          </cell>
          <cell r="C1473">
            <v>0</v>
          </cell>
          <cell r="E1473" t="e">
            <v>#N/A</v>
          </cell>
          <cell r="F1473" t="e">
            <v>#N/A</v>
          </cell>
          <cell r="G1473" t="e">
            <v>#N/A</v>
          </cell>
        </row>
        <row r="1474">
          <cell r="A1474">
            <v>41578</v>
          </cell>
          <cell r="B1474" t="str">
            <v>Aluguel de container p/ escritório c/ ar condicionado e banheiro, isolam.térmico e acústico, 2 luminárias, janela de vidro, tomada p/ comput. e telef.</v>
          </cell>
          <cell r="C1474" t="str">
            <v>mês</v>
          </cell>
          <cell r="D1474">
            <v>1015.33</v>
          </cell>
          <cell r="E1474">
            <v>0</v>
          </cell>
          <cell r="F1474" t="e">
            <v>#N/A</v>
          </cell>
          <cell r="G1474" t="e">
            <v>#N/A</v>
          </cell>
        </row>
        <row r="1475">
          <cell r="A1475">
            <v>42511</v>
          </cell>
          <cell r="B1475" t="str">
            <v>Aluguel de container p/ escritório com ar condicionado, isolamento term/acust., 2 luminárias, janela de vidro, tomadas computador e telefone</v>
          </cell>
          <cell r="C1475" t="str">
            <v>mês</v>
          </cell>
          <cell r="D1475">
            <v>809.8</v>
          </cell>
          <cell r="E1475">
            <v>0</v>
          </cell>
          <cell r="F1475" t="e">
            <v>#N/A</v>
          </cell>
          <cell r="G1475" t="e">
            <v>#N/A</v>
          </cell>
        </row>
        <row r="1476">
          <cell r="A1476">
            <v>41579</v>
          </cell>
          <cell r="B1476" t="str">
            <v>Aluguel de container para almoxarifado</v>
          </cell>
          <cell r="C1476" t="str">
            <v>mês</v>
          </cell>
          <cell r="D1476">
            <v>408.49</v>
          </cell>
          <cell r="E1476">
            <v>0</v>
          </cell>
          <cell r="F1476" t="e">
            <v>#N/A</v>
          </cell>
          <cell r="G1476" t="e">
            <v>#N/A</v>
          </cell>
        </row>
        <row r="1477">
          <cell r="A1477">
            <v>41494</v>
          </cell>
          <cell r="B1477" t="str">
            <v>Aluguel de container tipo cozinha com isolamento térmico e acústico, 2 luminárias, piso especial e janela</v>
          </cell>
          <cell r="C1477" t="str">
            <v>mês</v>
          </cell>
          <cell r="D1477">
            <v>760.47</v>
          </cell>
          <cell r="E1477">
            <v>0</v>
          </cell>
          <cell r="F1477" t="e">
            <v>#N/A</v>
          </cell>
          <cell r="G1477" t="e">
            <v>#N/A</v>
          </cell>
        </row>
        <row r="1478">
          <cell r="A1478">
            <v>41678</v>
          </cell>
          <cell r="B1478" t="str">
            <v>Aluguel de container tipo refeitório simples, c/ 1 aparelho de ar condicionado, 2 luminárias e 2 janelas de vidro</v>
          </cell>
          <cell r="C1478" t="str">
            <v>mês</v>
          </cell>
          <cell r="D1478">
            <v>871.46</v>
          </cell>
          <cell r="E1478">
            <v>0</v>
          </cell>
          <cell r="F1478" t="e">
            <v>#N/A</v>
          </cell>
          <cell r="G1478" t="e">
            <v>#N/A</v>
          </cell>
        </row>
        <row r="1479">
          <cell r="A1479">
            <v>41455</v>
          </cell>
          <cell r="B1479" t="str">
            <v>Aluguel de container tipo refeitório (2 unidades acopladas), c/ 2 aparelhos de ar condicionado, 4 lumináriase 4 janelas de vidro</v>
          </cell>
          <cell r="C1479" t="str">
            <v>mês</v>
          </cell>
          <cell r="D1479">
            <v>1892.96</v>
          </cell>
          <cell r="E1479">
            <v>0</v>
          </cell>
          <cell r="F1479" t="e">
            <v>#N/A</v>
          </cell>
          <cell r="G1479" t="e">
            <v>#N/A</v>
          </cell>
        </row>
        <row r="1480">
          <cell r="A1480">
            <v>41456</v>
          </cell>
          <cell r="B1480" t="str">
            <v>Aluguel de container tipo refeitório (3 unidades acopladas), c/ 3 aparelhos de ar condiocionado
, 6 luminárias e 6 janelas de vidro</v>
          </cell>
          <cell r="C1480" t="str">
            <v>mês</v>
          </cell>
          <cell r="D1480">
            <v>4377.8599999999997</v>
          </cell>
          <cell r="E1480">
            <v>0</v>
          </cell>
          <cell r="F1480" t="e">
            <v>#N/A</v>
          </cell>
          <cell r="G1480" t="e">
            <v>#N/A</v>
          </cell>
        </row>
        <row r="1481">
          <cell r="A1481">
            <v>41580</v>
          </cell>
          <cell r="B1481" t="str">
            <v>Aluguel de container tipo sanitário com 3 vasos sanitários, lavatório, mictório, 5 chuveiros, 2 venezianas e piso especial</v>
          </cell>
          <cell r="C1481" t="str">
            <v>mês</v>
          </cell>
          <cell r="D1481">
            <v>739.92</v>
          </cell>
          <cell r="E1481">
            <v>0</v>
          </cell>
          <cell r="F1481" t="e">
            <v>#N/A</v>
          </cell>
          <cell r="G1481" t="e">
            <v>#N/A</v>
          </cell>
        </row>
        <row r="1482">
          <cell r="A1482">
            <v>41454</v>
          </cell>
          <cell r="B1482" t="str">
            <v>Aluguel de container tipo vestiário, 2 luminárias, piso especial e janela</v>
          </cell>
          <cell r="C1482" t="str">
            <v>mês</v>
          </cell>
          <cell r="D1482">
            <v>546.71</v>
          </cell>
          <cell r="E1482">
            <v>0</v>
          </cell>
          <cell r="F1482" t="e">
            <v>#N/A</v>
          </cell>
          <cell r="G1482" t="e">
            <v>#N/A</v>
          </cell>
        </row>
        <row r="1483">
          <cell r="A1483">
            <v>41498</v>
          </cell>
          <cell r="B1483" t="str">
            <v>Barracão com sanitário, em chapa compensada 12 mm e pont. 8x8cm, piso cimentado e cobertura em telha de fibroc. 6mm, incl. ponto de luz e cx. inspeção</v>
          </cell>
          <cell r="C1483" t="str">
            <v>m²</v>
          </cell>
          <cell r="D1483">
            <v>559.44000000000005</v>
          </cell>
          <cell r="E1483">
            <v>0</v>
          </cell>
          <cell r="F1483" t="e">
            <v>#N/A</v>
          </cell>
          <cell r="G1483" t="e">
            <v>#N/A</v>
          </cell>
        </row>
        <row r="1484">
          <cell r="A1484">
            <v>41531</v>
          </cell>
          <cell r="B1484" t="str">
            <v>Barracão em chapa compensada 12mm e pont. 8x8cm, piso cimentado e cobertura de telhas fibrocimento 6mm, incl. ponto de luz</v>
          </cell>
          <cell r="C1484" t="str">
            <v>m²</v>
          </cell>
          <cell r="D1484">
            <v>389.85</v>
          </cell>
          <cell r="E1484">
            <v>0</v>
          </cell>
          <cell r="F1484" t="e">
            <v>#N/A</v>
          </cell>
          <cell r="G1484" t="e">
            <v>#N/A</v>
          </cell>
        </row>
        <row r="1485">
          <cell r="A1485">
            <v>41557</v>
          </cell>
          <cell r="B1485" t="str">
            <v>Canaleta de concreto retangular com grelha em barra de aço</v>
          </cell>
          <cell r="C1485" t="str">
            <v>m</v>
          </cell>
          <cell r="D1485">
            <v>163.05000000000001</v>
          </cell>
          <cell r="E1485">
            <v>0</v>
          </cell>
          <cell r="F1485" t="e">
            <v>#N/A</v>
          </cell>
          <cell r="G1485" t="e">
            <v>#N/A</v>
          </cell>
        </row>
        <row r="1486">
          <cell r="A1486">
            <v>41506</v>
          </cell>
          <cell r="B1486" t="str">
            <v>Cobertura nova de telhas onduladas de fibrocimento 6,0mm, inclusive cumeeiras e acessórios de fixação</v>
          </cell>
          <cell r="C1486" t="str">
            <v>m²</v>
          </cell>
          <cell r="D1486">
            <v>45.34</v>
          </cell>
          <cell r="E1486">
            <v>0</v>
          </cell>
          <cell r="F1486" t="e">
            <v>#N/A</v>
          </cell>
          <cell r="G1486" t="e">
            <v>#N/A</v>
          </cell>
        </row>
        <row r="1487">
          <cell r="A1487">
            <v>41505</v>
          </cell>
          <cell r="B1487" t="str">
            <v>Estrutura de madeira lei para telhado de telha ondulada de fibroc. esp. 6mm, c/ pontaletes e caibros, incl. com cupinicida, excl. telhas</v>
          </cell>
          <cell r="C1487" t="str">
            <v>m²</v>
          </cell>
          <cell r="D1487">
            <v>79.25</v>
          </cell>
          <cell r="E1487">
            <v>0</v>
          </cell>
          <cell r="F1487" t="e">
            <v>#N/A</v>
          </cell>
          <cell r="G1487" t="e">
            <v>#N/A</v>
          </cell>
        </row>
        <row r="1488">
          <cell r="A1488">
            <v>41528</v>
          </cell>
          <cell r="B1488" t="str">
            <v>Galpão em peças de madeira 8x8cm e contravent. de 5x7cm, cobertura de telhas de fibroc. de 6mm, incl. ponto e cabo de alimentação da máquina</v>
          </cell>
          <cell r="C1488" t="str">
            <v>m²</v>
          </cell>
          <cell r="D1488">
            <v>155.56</v>
          </cell>
          <cell r="E1488">
            <v>0</v>
          </cell>
          <cell r="F1488">
            <v>155.57</v>
          </cell>
          <cell r="G1488">
            <v>1.0000642838775999</v>
          </cell>
        </row>
        <row r="1489">
          <cell r="A1489">
            <v>41546</v>
          </cell>
          <cell r="B1489" t="str">
            <v>Mobilização e desmobilização de caminhão basculante (máximo)</v>
          </cell>
          <cell r="C1489" t="str">
            <v>h</v>
          </cell>
          <cell r="D1489">
            <v>189.54</v>
          </cell>
          <cell r="E1489">
            <v>0</v>
          </cell>
          <cell r="F1489">
            <v>189.56</v>
          </cell>
          <cell r="G1489">
            <v>1.00010551862404</v>
          </cell>
        </row>
        <row r="1490">
          <cell r="A1490">
            <v>41545</v>
          </cell>
          <cell r="B1490" t="str">
            <v>Mobilização e desmobilização de caminhão carroceria (máximo)</v>
          </cell>
          <cell r="C1490" t="str">
            <v>h</v>
          </cell>
          <cell r="D1490">
            <v>158.94999999999999</v>
          </cell>
          <cell r="E1490">
            <v>0</v>
          </cell>
          <cell r="F1490">
            <v>158.96</v>
          </cell>
          <cell r="G1490">
            <v>1.0000629128656799</v>
          </cell>
        </row>
        <row r="1491">
          <cell r="A1491">
            <v>41547</v>
          </cell>
          <cell r="B1491" t="str">
            <v>Mobilização e desmobilização de caminhão tanque (6.000 L) (máximo)</v>
          </cell>
          <cell r="C1491" t="str">
            <v>h</v>
          </cell>
          <cell r="D1491">
            <v>155.02000000000001</v>
          </cell>
          <cell r="E1491">
            <v>0</v>
          </cell>
          <cell r="F1491">
            <v>155.03</v>
          </cell>
          <cell r="G1491">
            <v>1.00006450780544</v>
          </cell>
        </row>
        <row r="1492">
          <cell r="A1492">
            <v>41497</v>
          </cell>
          <cell r="B1492" t="str">
            <v>Mobilização e desmobilização de container acima de 150 km</v>
          </cell>
          <cell r="C1492" t="str">
            <v>un</v>
          </cell>
          <cell r="D1492">
            <v>1526.08</v>
          </cell>
          <cell r="E1492">
            <v>0</v>
          </cell>
          <cell r="F1492" t="e">
            <v>#N/A</v>
          </cell>
          <cell r="G1492" t="e">
            <v>#N/A</v>
          </cell>
        </row>
        <row r="1493">
          <cell r="A1493">
            <v>41495</v>
          </cell>
          <cell r="B1493" t="str">
            <v>Mobilização e desmobilização de container até 50 km</v>
          </cell>
          <cell r="C1493" t="str">
            <v>un</v>
          </cell>
          <cell r="D1493">
            <v>524.11</v>
          </cell>
          <cell r="E1493">
            <v>0</v>
          </cell>
          <cell r="F1493" t="e">
            <v>#N/A</v>
          </cell>
          <cell r="G1493" t="e">
            <v>#N/A</v>
          </cell>
        </row>
        <row r="1494">
          <cell r="A1494">
            <v>41496</v>
          </cell>
          <cell r="B1494" t="str">
            <v>Mobilização e desmobilização de container de 51 km até 150 km</v>
          </cell>
          <cell r="C1494" t="str">
            <v>un</v>
          </cell>
          <cell r="D1494">
            <v>924.9</v>
          </cell>
          <cell r="E1494">
            <v>0</v>
          </cell>
          <cell r="F1494" t="e">
            <v>#N/A</v>
          </cell>
          <cell r="G1494" t="e">
            <v>#N/A</v>
          </cell>
        </row>
        <row r="1495">
          <cell r="A1495">
            <v>41544</v>
          </cell>
          <cell r="B1495" t="str">
            <v>Mobilização e desmobilização de equipamentos com carreta prancha (máximo)</v>
          </cell>
          <cell r="C1495" t="str">
            <v>h</v>
          </cell>
          <cell r="D1495">
            <v>296.7</v>
          </cell>
          <cell r="E1495">
            <v>0</v>
          </cell>
          <cell r="F1495">
            <v>296.70999999999998</v>
          </cell>
          <cell r="G1495">
            <v>1.0000337040781899</v>
          </cell>
        </row>
        <row r="1496">
          <cell r="A1496">
            <v>41500</v>
          </cell>
          <cell r="B1496" t="str">
            <v>Placa de obra nas dimensões de 3,0 x 6,0 m, padrão DER-ES</v>
          </cell>
          <cell r="C1496" t="str">
            <v>m²</v>
          </cell>
          <cell r="D1496">
            <v>179.83</v>
          </cell>
          <cell r="E1496">
            <v>0</v>
          </cell>
          <cell r="F1496">
            <v>179.84</v>
          </cell>
          <cell r="G1496">
            <v>1.0000556080742899</v>
          </cell>
        </row>
        <row r="1497">
          <cell r="A1497">
            <v>41501</v>
          </cell>
          <cell r="B1497" t="str">
            <v>Rede de água c/ padrão de entrada d'água diâm. 3/4" conf. CESAN, incl. tubos e conexões p/ aliment., distrib., extravas. e limp., cons. o padrão a 25m</v>
          </cell>
          <cell r="C1497" t="str">
            <v>m</v>
          </cell>
          <cell r="D1497">
            <v>31.76</v>
          </cell>
          <cell r="E1497">
            <v>0</v>
          </cell>
          <cell r="F1497">
            <v>31.77</v>
          </cell>
          <cell r="G1497">
            <v>1.00031486146096</v>
          </cell>
        </row>
        <row r="1498">
          <cell r="A1498">
            <v>41499</v>
          </cell>
          <cell r="B1498" t="str">
            <v>Rede de esgoto, contendo fossa e filtro, incl. tubos e conexões de ligação entre caixas, considerando distância de 25m</v>
          </cell>
          <cell r="C1498" t="str">
            <v>m</v>
          </cell>
          <cell r="D1498">
            <v>283.06</v>
          </cell>
          <cell r="E1498">
            <v>0</v>
          </cell>
          <cell r="F1498">
            <v>283.07</v>
          </cell>
          <cell r="G1498">
            <v>1.00003532819897</v>
          </cell>
        </row>
        <row r="1499">
          <cell r="A1499">
            <v>41503</v>
          </cell>
          <cell r="B1499" t="str">
            <v>Rede de luz, incl. padrão entr. energia trifás. cabo ligação até barracões, quadro distrib., disj. e chave de força, cons. 20m entre padrão entr.e QDG</v>
          </cell>
          <cell r="C1499" t="str">
            <v>m</v>
          </cell>
          <cell r="D1499">
            <v>412.5</v>
          </cell>
          <cell r="E1499">
            <v>0</v>
          </cell>
          <cell r="F1499">
            <v>412.51</v>
          </cell>
          <cell r="G1499">
            <v>1.00002424242424</v>
          </cell>
        </row>
        <row r="1500">
          <cell r="A1500">
            <v>41530</v>
          </cell>
          <cell r="B1500" t="str">
            <v>Refeitório c/ paredes chapa de comp. 12mm e pont. 8x8cm, piso ciment. e cob. telhas fibroc. 6mm, incl. ponto de luz e cx. de insp. (1,21m²/func/turno)</v>
          </cell>
          <cell r="C1500" t="str">
            <v>m²</v>
          </cell>
          <cell r="D1500">
            <v>343.77</v>
          </cell>
          <cell r="E1500">
            <v>0</v>
          </cell>
          <cell r="F1500">
            <v>343.78</v>
          </cell>
          <cell r="G1500">
            <v>1.0000290892166299</v>
          </cell>
        </row>
        <row r="1501">
          <cell r="A1501">
            <v>41527</v>
          </cell>
          <cell r="B1501" t="str">
            <v>Reservatório de fibra de vidro de 1000 L, incl. suporte em madeira de 7x12cm, elevado de 4m</v>
          </cell>
          <cell r="C1501" t="str">
            <v>un</v>
          </cell>
          <cell r="D1501">
            <v>1470.33</v>
          </cell>
          <cell r="E1501">
            <v>0</v>
          </cell>
          <cell r="F1501">
            <v>1470.33</v>
          </cell>
          <cell r="G1501">
            <v>1</v>
          </cell>
        </row>
        <row r="1502">
          <cell r="A1502">
            <v>41529</v>
          </cell>
          <cell r="B1502" t="str">
            <v>Sanitário e vestiário de 40/60 func., c/ 33,90m², paredes chapa compens. 12mm e pont. 8x8cm
, piso ciment., cobert. telha fibroc., incl. luz e cx. insp</v>
          </cell>
          <cell r="C1502" t="str">
            <v>un</v>
          </cell>
          <cell r="D1502">
            <v>20236.28</v>
          </cell>
          <cell r="E1502">
            <v>0</v>
          </cell>
          <cell r="F1502">
            <v>20236.28</v>
          </cell>
          <cell r="G1502">
            <v>1</v>
          </cell>
        </row>
        <row r="1503">
          <cell r="A1503">
            <v>41555</v>
          </cell>
          <cell r="B1503" t="str">
            <v>Sistema separador de água e óleo</v>
          </cell>
          <cell r="C1503" t="str">
            <v>un</v>
          </cell>
          <cell r="D1503">
            <v>5526.45</v>
          </cell>
          <cell r="E1503">
            <v>0</v>
          </cell>
          <cell r="F1503">
            <v>5728.1</v>
          </cell>
          <cell r="G1503">
            <v>1.03648816147798</v>
          </cell>
        </row>
        <row r="1504">
          <cell r="A1504">
            <v>100883</v>
          </cell>
          <cell r="B1504" t="str">
            <v>Tapume madeira compensada resinada e= 12mm h=2,20m, estr. c/ mad reflorest., incl montagem e pintura esmalte sintético</v>
          </cell>
          <cell r="C1504" t="str">
            <v>m</v>
          </cell>
          <cell r="D1504">
            <v>150.93</v>
          </cell>
          <cell r="F1504" t="e">
            <v>#N/A</v>
          </cell>
          <cell r="G1504" t="e">
            <v>#N/A</v>
          </cell>
        </row>
        <row r="1505">
          <cell r="A1505">
            <v>100882</v>
          </cell>
          <cell r="B1505" t="str">
            <v>Tapume Telha Metálica Ondulada 0,50mm Branca h=2,20m, incl. montagem estr. mad. 8"x8", incl. faixas pint. esmalte sintético c/ h=40cm (Reaproveitamento 2x)</v>
          </cell>
          <cell r="C1505" t="str">
            <v>m</v>
          </cell>
          <cell r="D1505">
            <v>119.75</v>
          </cell>
          <cell r="F1505" t="e">
            <v>#N/A</v>
          </cell>
          <cell r="G1505" t="e">
            <v>#N/A</v>
          </cell>
        </row>
        <row r="1506">
          <cell r="F1506">
            <v>0</v>
          </cell>
        </row>
        <row r="1507">
          <cell r="F1507">
            <v>0</v>
          </cell>
        </row>
        <row r="1508">
          <cell r="F1508">
            <v>0</v>
          </cell>
        </row>
        <row r="1509">
          <cell r="F1509">
            <v>0</v>
          </cell>
        </row>
        <row r="1510">
          <cell r="F1510">
            <v>0</v>
          </cell>
        </row>
        <row r="1511">
          <cell r="F1511">
            <v>0</v>
          </cell>
        </row>
        <row r="1517">
          <cell r="A1517">
            <v>0</v>
          </cell>
          <cell r="B1517">
            <v>0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</row>
        <row r="1518">
          <cell r="A1518">
            <v>0</v>
          </cell>
          <cell r="B1518">
            <v>0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</row>
        <row r="1519">
          <cell r="A1519">
            <v>0</v>
          </cell>
          <cell r="B1519">
            <v>0</v>
          </cell>
          <cell r="C1519">
            <v>0</v>
          </cell>
          <cell r="D1519">
            <v>0</v>
          </cell>
          <cell r="E1519">
            <v>0</v>
          </cell>
          <cell r="F1519">
            <v>0</v>
          </cell>
        </row>
        <row r="1520">
          <cell r="A1520">
            <v>0</v>
          </cell>
          <cell r="B1520">
            <v>0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</row>
        <row r="1521">
          <cell r="A1521">
            <v>0</v>
          </cell>
          <cell r="B1521">
            <v>0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</row>
        <row r="1522">
          <cell r="A1522">
            <v>0</v>
          </cell>
          <cell r="B1522">
            <v>0</v>
          </cell>
          <cell r="C1522">
            <v>0</v>
          </cell>
          <cell r="D1522">
            <v>0</v>
          </cell>
          <cell r="E1522">
            <v>0</v>
          </cell>
          <cell r="F1522">
            <v>0</v>
          </cell>
        </row>
        <row r="1523">
          <cell r="A1523">
            <v>0</v>
          </cell>
          <cell r="B1523">
            <v>0</v>
          </cell>
          <cell r="C1523">
            <v>0</v>
          </cell>
          <cell r="D1523">
            <v>0</v>
          </cell>
          <cell r="E1523">
            <v>0</v>
          </cell>
          <cell r="F1523">
            <v>0</v>
          </cell>
        </row>
        <row r="1524">
          <cell r="A1524">
            <v>0</v>
          </cell>
          <cell r="B1524">
            <v>0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</row>
        <row r="1525">
          <cell r="A1525">
            <v>0</v>
          </cell>
          <cell r="B1525">
            <v>0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</row>
        <row r="1526">
          <cell r="A1526">
            <v>0</v>
          </cell>
          <cell r="B1526">
            <v>0</v>
          </cell>
          <cell r="C1526">
            <v>0</v>
          </cell>
          <cell r="D1526">
            <v>0</v>
          </cell>
          <cell r="E1526">
            <v>0</v>
          </cell>
          <cell r="F1526">
            <v>0</v>
          </cell>
        </row>
        <row r="1527">
          <cell r="A1527">
            <v>0</v>
          </cell>
          <cell r="B1527">
            <v>0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</row>
        <row r="1528">
          <cell r="A1528">
            <v>0</v>
          </cell>
          <cell r="B1528">
            <v>0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</row>
        <row r="1529">
          <cell r="A1529">
            <v>0</v>
          </cell>
          <cell r="B1529">
            <v>0</v>
          </cell>
          <cell r="C1529">
            <v>0</v>
          </cell>
          <cell r="D1529">
            <v>0</v>
          </cell>
          <cell r="E1529">
            <v>0</v>
          </cell>
          <cell r="F1529">
            <v>0</v>
          </cell>
        </row>
        <row r="1530">
          <cell r="A1530">
            <v>0</v>
          </cell>
          <cell r="B1530">
            <v>0</v>
          </cell>
          <cell r="C1530">
            <v>0</v>
          </cell>
          <cell r="D1530">
            <v>0</v>
          </cell>
          <cell r="E1530">
            <v>0</v>
          </cell>
          <cell r="F1530">
            <v>0</v>
          </cell>
        </row>
        <row r="1531">
          <cell r="A1531">
            <v>0</v>
          </cell>
          <cell r="B1531">
            <v>0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</row>
        <row r="1533">
          <cell r="A1533">
            <v>0</v>
          </cell>
          <cell r="B1533">
            <v>0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</row>
        <row r="1534">
          <cell r="A1534">
            <v>0</v>
          </cell>
          <cell r="B1534">
            <v>0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</row>
        <row r="1535">
          <cell r="A1535">
            <v>0</v>
          </cell>
          <cell r="B1535">
            <v>0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</row>
        <row r="1536">
          <cell r="A1536">
            <v>0</v>
          </cell>
          <cell r="B1536">
            <v>0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</row>
        <row r="1537">
          <cell r="A1537">
            <v>0</v>
          </cell>
          <cell r="B1537">
            <v>0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</row>
        <row r="1538">
          <cell r="A1538">
            <v>0</v>
          </cell>
          <cell r="B1538">
            <v>0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</row>
        <row r="1539">
          <cell r="A1539">
            <v>0</v>
          </cell>
          <cell r="B1539">
            <v>0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</row>
        <row r="1540">
          <cell r="A1540">
            <v>0</v>
          </cell>
          <cell r="B1540">
            <v>0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</row>
        <row r="1541">
          <cell r="A1541">
            <v>0</v>
          </cell>
          <cell r="B1541">
            <v>0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</row>
        <row r="1542">
          <cell r="A1542">
            <v>0</v>
          </cell>
          <cell r="B1542">
            <v>0</v>
          </cell>
          <cell r="C1542">
            <v>0</v>
          </cell>
          <cell r="D1542">
            <v>0</v>
          </cell>
          <cell r="E1542">
            <v>0</v>
          </cell>
          <cell r="F1542">
            <v>0</v>
          </cell>
        </row>
        <row r="1543">
          <cell r="A1543">
            <v>0</v>
          </cell>
          <cell r="B1543">
            <v>0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</row>
        <row r="1544">
          <cell r="A1544">
            <v>0</v>
          </cell>
          <cell r="B1544">
            <v>0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</row>
        <row r="1545">
          <cell r="A1545">
            <v>0</v>
          </cell>
          <cell r="B1545">
            <v>0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</row>
        <row r="1546">
          <cell r="A1546">
            <v>0</v>
          </cell>
          <cell r="B1546">
            <v>0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</row>
        <row r="1547">
          <cell r="A1547">
            <v>0</v>
          </cell>
          <cell r="B1547">
            <v>0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</row>
        <row r="1548">
          <cell r="A1548">
            <v>0</v>
          </cell>
          <cell r="B1548">
            <v>0</v>
          </cell>
          <cell r="C1548">
            <v>0</v>
          </cell>
          <cell r="D1548">
            <v>0</v>
          </cell>
          <cell r="E1548">
            <v>0</v>
          </cell>
          <cell r="F1548">
            <v>0</v>
          </cell>
        </row>
        <row r="1549">
          <cell r="A1549">
            <v>0</v>
          </cell>
          <cell r="B1549">
            <v>0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</row>
        <row r="1550">
          <cell r="A1550">
            <v>0</v>
          </cell>
          <cell r="B1550">
            <v>0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</row>
        <row r="1551">
          <cell r="A1551">
            <v>0</v>
          </cell>
          <cell r="B1551">
            <v>0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</row>
        <row r="1552">
          <cell r="A1552">
            <v>0</v>
          </cell>
          <cell r="B1552">
            <v>0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</row>
        <row r="1553">
          <cell r="A1553">
            <v>0</v>
          </cell>
          <cell r="B1553">
            <v>0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</row>
        <row r="1554">
          <cell r="A1554">
            <v>0</v>
          </cell>
          <cell r="B1554">
            <v>0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</row>
        <row r="1555">
          <cell r="A1555">
            <v>0</v>
          </cell>
          <cell r="B1555">
            <v>0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</row>
        <row r="1556">
          <cell r="A1556">
            <v>0</v>
          </cell>
          <cell r="B1556">
            <v>0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</row>
        <row r="1557">
          <cell r="A1557">
            <v>0</v>
          </cell>
          <cell r="B1557">
            <v>0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</row>
        <row r="1558">
          <cell r="A1558">
            <v>0</v>
          </cell>
          <cell r="B1558">
            <v>0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</row>
        <row r="1559">
          <cell r="A1559">
            <v>0</v>
          </cell>
          <cell r="B1559">
            <v>0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</row>
        <row r="1560">
          <cell r="A1560">
            <v>0</v>
          </cell>
          <cell r="B1560">
            <v>0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</row>
        <row r="1561">
          <cell r="A1561">
            <v>0</v>
          </cell>
          <cell r="B1561">
            <v>0</v>
          </cell>
          <cell r="C1561">
            <v>0</v>
          </cell>
          <cell r="D1561">
            <v>0</v>
          </cell>
          <cell r="E1561">
            <v>0</v>
          </cell>
          <cell r="F1561">
            <v>0</v>
          </cell>
        </row>
        <row r="1562">
          <cell r="A1562">
            <v>0</v>
          </cell>
          <cell r="B1562">
            <v>0</v>
          </cell>
          <cell r="C1562">
            <v>0</v>
          </cell>
          <cell r="D1562">
            <v>0</v>
          </cell>
          <cell r="E1562">
            <v>0</v>
          </cell>
          <cell r="F1562">
            <v>0</v>
          </cell>
        </row>
        <row r="1563">
          <cell r="A1563">
            <v>0</v>
          </cell>
          <cell r="B1563">
            <v>0</v>
          </cell>
          <cell r="C1563">
            <v>0</v>
          </cell>
          <cell r="D1563">
            <v>0</v>
          </cell>
          <cell r="E1563">
            <v>0</v>
          </cell>
          <cell r="F1563">
            <v>0</v>
          </cell>
        </row>
        <row r="1564">
          <cell r="A1564">
            <v>0</v>
          </cell>
          <cell r="B1564">
            <v>0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</row>
        <row r="1565">
          <cell r="A1565">
            <v>0</v>
          </cell>
          <cell r="B1565">
            <v>0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</row>
        <row r="1566">
          <cell r="A1566">
            <v>0</v>
          </cell>
          <cell r="B1566">
            <v>0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</row>
        <row r="1567">
          <cell r="A1567">
            <v>0</v>
          </cell>
          <cell r="B1567">
            <v>0</v>
          </cell>
          <cell r="C1567">
            <v>0</v>
          </cell>
          <cell r="D1567">
            <v>0</v>
          </cell>
          <cell r="E1567">
            <v>0</v>
          </cell>
          <cell r="F1567">
            <v>0</v>
          </cell>
        </row>
        <row r="1568">
          <cell r="A1568">
            <v>0</v>
          </cell>
          <cell r="B1568">
            <v>0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</row>
        <row r="1569">
          <cell r="A1569">
            <v>0</v>
          </cell>
          <cell r="B1569">
            <v>0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</row>
        <row r="1570">
          <cell r="A1570">
            <v>0</v>
          </cell>
          <cell r="B1570">
            <v>0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</row>
        <row r="1571">
          <cell r="A1571">
            <v>0</v>
          </cell>
          <cell r="B1571">
            <v>0</v>
          </cell>
          <cell r="C1571">
            <v>0</v>
          </cell>
          <cell r="D1571">
            <v>0</v>
          </cell>
          <cell r="E1571">
            <v>0</v>
          </cell>
          <cell r="F1571">
            <v>0</v>
          </cell>
        </row>
        <row r="1572">
          <cell r="A1572">
            <v>0</v>
          </cell>
          <cell r="B1572">
            <v>0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</row>
        <row r="1573">
          <cell r="A1573">
            <v>0</v>
          </cell>
          <cell r="B1573">
            <v>0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</row>
        <row r="1574">
          <cell r="A1574">
            <v>0</v>
          </cell>
          <cell r="B1574">
            <v>0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</row>
        <row r="1575">
          <cell r="A1575">
            <v>0</v>
          </cell>
          <cell r="B1575">
            <v>0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</row>
        <row r="1576">
          <cell r="A1576">
            <v>0</v>
          </cell>
          <cell r="B1576">
            <v>0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</row>
        <row r="1577">
          <cell r="A1577">
            <v>0</v>
          </cell>
          <cell r="B1577">
            <v>0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</row>
        <row r="1578">
          <cell r="A1578">
            <v>0</v>
          </cell>
          <cell r="B1578">
            <v>0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</row>
        <row r="1579">
          <cell r="A1579">
            <v>0</v>
          </cell>
          <cell r="B1579">
            <v>0</v>
          </cell>
          <cell r="C1579">
            <v>0</v>
          </cell>
          <cell r="D1579">
            <v>0</v>
          </cell>
          <cell r="E1579">
            <v>0</v>
          </cell>
          <cell r="F1579">
            <v>0</v>
          </cell>
        </row>
        <row r="1580">
          <cell r="A1580">
            <v>0</v>
          </cell>
          <cell r="B1580">
            <v>0</v>
          </cell>
          <cell r="C1580">
            <v>0</v>
          </cell>
          <cell r="D1580">
            <v>0</v>
          </cell>
          <cell r="E1580">
            <v>0</v>
          </cell>
          <cell r="F1580">
            <v>0</v>
          </cell>
        </row>
        <row r="1581">
          <cell r="A1581">
            <v>0</v>
          </cell>
          <cell r="B1581">
            <v>0</v>
          </cell>
          <cell r="C1581">
            <v>0</v>
          </cell>
          <cell r="D1581">
            <v>0</v>
          </cell>
          <cell r="E1581">
            <v>0</v>
          </cell>
          <cell r="F1581">
            <v>0</v>
          </cell>
        </row>
        <row r="1582">
          <cell r="A1582">
            <v>0</v>
          </cell>
          <cell r="B1582">
            <v>0</v>
          </cell>
          <cell r="C1582">
            <v>0</v>
          </cell>
          <cell r="D1582">
            <v>0</v>
          </cell>
          <cell r="E1582">
            <v>0</v>
          </cell>
          <cell r="F1582">
            <v>0</v>
          </cell>
        </row>
        <row r="1583">
          <cell r="A1583">
            <v>0</v>
          </cell>
          <cell r="B1583">
            <v>0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</row>
        <row r="1584">
          <cell r="A1584">
            <v>0</v>
          </cell>
          <cell r="B1584">
            <v>0</v>
          </cell>
          <cell r="C1584">
            <v>0</v>
          </cell>
          <cell r="D1584">
            <v>0</v>
          </cell>
          <cell r="E1584">
            <v>0</v>
          </cell>
          <cell r="F1584">
            <v>0</v>
          </cell>
        </row>
        <row r="1585">
          <cell r="A1585">
            <v>0</v>
          </cell>
          <cell r="B1585">
            <v>0</v>
          </cell>
          <cell r="C1585">
            <v>0</v>
          </cell>
          <cell r="D1585">
            <v>0</v>
          </cell>
          <cell r="E1585">
            <v>0</v>
          </cell>
          <cell r="F1585">
            <v>0</v>
          </cell>
        </row>
        <row r="1586">
          <cell r="A1586">
            <v>0</v>
          </cell>
          <cell r="B1586">
            <v>0</v>
          </cell>
          <cell r="C1586">
            <v>0</v>
          </cell>
          <cell r="D1586">
            <v>0</v>
          </cell>
          <cell r="E1586">
            <v>0</v>
          </cell>
          <cell r="F1586">
            <v>0</v>
          </cell>
        </row>
        <row r="1587">
          <cell r="A1587">
            <v>0</v>
          </cell>
          <cell r="B1587">
            <v>0</v>
          </cell>
          <cell r="C1587">
            <v>0</v>
          </cell>
          <cell r="D1587">
            <v>0</v>
          </cell>
          <cell r="E1587">
            <v>0</v>
          </cell>
          <cell r="F1587">
            <v>0</v>
          </cell>
        </row>
        <row r="1588">
          <cell r="A1588">
            <v>0</v>
          </cell>
          <cell r="B1588">
            <v>0</v>
          </cell>
          <cell r="C1588">
            <v>0</v>
          </cell>
          <cell r="D1588">
            <v>0</v>
          </cell>
          <cell r="E1588">
            <v>0</v>
          </cell>
          <cell r="F1588">
            <v>0</v>
          </cell>
        </row>
        <row r="1589">
          <cell r="A1589">
            <v>0</v>
          </cell>
          <cell r="B1589">
            <v>0</v>
          </cell>
          <cell r="C1589">
            <v>0</v>
          </cell>
          <cell r="D1589">
            <v>0</v>
          </cell>
          <cell r="E1589">
            <v>0</v>
          </cell>
          <cell r="F1589">
            <v>0</v>
          </cell>
        </row>
        <row r="1590">
          <cell r="A1590">
            <v>0</v>
          </cell>
          <cell r="B1590">
            <v>0</v>
          </cell>
          <cell r="C1590">
            <v>0</v>
          </cell>
          <cell r="D1590">
            <v>0</v>
          </cell>
          <cell r="E1590">
            <v>0</v>
          </cell>
          <cell r="F1590">
            <v>0</v>
          </cell>
        </row>
        <row r="1591">
          <cell r="A1591">
            <v>0</v>
          </cell>
          <cell r="B1591">
            <v>0</v>
          </cell>
          <cell r="C1591">
            <v>0</v>
          </cell>
          <cell r="D1591">
            <v>0</v>
          </cell>
          <cell r="E1591">
            <v>0</v>
          </cell>
          <cell r="F1591">
            <v>0</v>
          </cell>
        </row>
        <row r="1592">
          <cell r="A1592">
            <v>0</v>
          </cell>
          <cell r="B1592">
            <v>0</v>
          </cell>
          <cell r="C1592">
            <v>0</v>
          </cell>
          <cell r="D1592">
            <v>0</v>
          </cell>
          <cell r="E1592">
            <v>0</v>
          </cell>
          <cell r="F1592">
            <v>0</v>
          </cell>
        </row>
        <row r="1593">
          <cell r="A1593">
            <v>0</v>
          </cell>
          <cell r="B1593">
            <v>0</v>
          </cell>
          <cell r="C1593">
            <v>0</v>
          </cell>
          <cell r="D1593">
            <v>0</v>
          </cell>
          <cell r="E1593">
            <v>0</v>
          </cell>
          <cell r="F1593">
            <v>0</v>
          </cell>
        </row>
        <row r="1594">
          <cell r="A1594">
            <v>0</v>
          </cell>
          <cell r="B1594">
            <v>0</v>
          </cell>
          <cell r="C1594">
            <v>0</v>
          </cell>
          <cell r="D1594">
            <v>0</v>
          </cell>
          <cell r="E1594">
            <v>0</v>
          </cell>
          <cell r="F1594">
            <v>0</v>
          </cell>
        </row>
        <row r="1595">
          <cell r="A1595">
            <v>0</v>
          </cell>
          <cell r="B1595">
            <v>0</v>
          </cell>
          <cell r="C1595">
            <v>0</v>
          </cell>
          <cell r="D1595">
            <v>0</v>
          </cell>
          <cell r="E1595">
            <v>0</v>
          </cell>
          <cell r="F1595">
            <v>0</v>
          </cell>
        </row>
        <row r="1596">
          <cell r="A1596">
            <v>0</v>
          </cell>
          <cell r="B1596">
            <v>0</v>
          </cell>
          <cell r="C1596">
            <v>0</v>
          </cell>
          <cell r="D1596">
            <v>0</v>
          </cell>
          <cell r="E1596">
            <v>0</v>
          </cell>
          <cell r="F1596">
            <v>0</v>
          </cell>
        </row>
        <row r="1597">
          <cell r="A1597">
            <v>0</v>
          </cell>
          <cell r="B1597">
            <v>0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</row>
        <row r="1598">
          <cell r="A1598">
            <v>0</v>
          </cell>
          <cell r="B1598">
            <v>0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</row>
        <row r="1599">
          <cell r="A1599">
            <v>0</v>
          </cell>
          <cell r="B1599">
            <v>0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</row>
        <row r="1600">
          <cell r="A1600">
            <v>0</v>
          </cell>
          <cell r="B1600">
            <v>0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</row>
        <row r="1601">
          <cell r="A1601">
            <v>0</v>
          </cell>
          <cell r="B1601">
            <v>0</v>
          </cell>
          <cell r="C1601">
            <v>0</v>
          </cell>
          <cell r="D1601">
            <v>0</v>
          </cell>
          <cell r="E1601">
            <v>0</v>
          </cell>
          <cell r="F1601">
            <v>0</v>
          </cell>
        </row>
        <row r="1602">
          <cell r="A1602">
            <v>0</v>
          </cell>
          <cell r="B1602">
            <v>0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</row>
        <row r="1603">
          <cell r="A1603">
            <v>0</v>
          </cell>
          <cell r="B1603">
            <v>0</v>
          </cell>
          <cell r="C1603">
            <v>0</v>
          </cell>
          <cell r="D1603">
            <v>0</v>
          </cell>
          <cell r="E1603">
            <v>0</v>
          </cell>
          <cell r="F1603">
            <v>0</v>
          </cell>
        </row>
        <row r="1604">
          <cell r="A1604">
            <v>0</v>
          </cell>
          <cell r="B1604">
            <v>0</v>
          </cell>
          <cell r="C1604">
            <v>0</v>
          </cell>
          <cell r="D1604">
            <v>0</v>
          </cell>
          <cell r="E1604">
            <v>0</v>
          </cell>
          <cell r="F1604">
            <v>0</v>
          </cell>
        </row>
        <row r="1605">
          <cell r="A1605">
            <v>0</v>
          </cell>
          <cell r="B1605">
            <v>0</v>
          </cell>
          <cell r="C1605">
            <v>0</v>
          </cell>
          <cell r="D1605">
            <v>0</v>
          </cell>
          <cell r="E1605">
            <v>0</v>
          </cell>
          <cell r="F1605">
            <v>0</v>
          </cell>
        </row>
        <row r="1606">
          <cell r="A1606">
            <v>0</v>
          </cell>
          <cell r="B1606">
            <v>0</v>
          </cell>
          <cell r="C1606">
            <v>0</v>
          </cell>
          <cell r="D1606">
            <v>0</v>
          </cell>
          <cell r="E1606">
            <v>0</v>
          </cell>
          <cell r="F1606">
            <v>0</v>
          </cell>
        </row>
        <row r="1607">
          <cell r="A1607">
            <v>0</v>
          </cell>
          <cell r="B1607">
            <v>0</v>
          </cell>
          <cell r="C1607">
            <v>0</v>
          </cell>
          <cell r="D1607">
            <v>0</v>
          </cell>
          <cell r="E1607">
            <v>0</v>
          </cell>
          <cell r="F1607">
            <v>0</v>
          </cell>
        </row>
        <row r="1608">
          <cell r="A1608">
            <v>0</v>
          </cell>
          <cell r="B1608">
            <v>0</v>
          </cell>
          <cell r="C1608">
            <v>0</v>
          </cell>
          <cell r="D1608">
            <v>0</v>
          </cell>
          <cell r="E1608">
            <v>0</v>
          </cell>
          <cell r="F1608">
            <v>0</v>
          </cell>
        </row>
        <row r="1609">
          <cell r="A1609">
            <v>0</v>
          </cell>
          <cell r="B1609">
            <v>0</v>
          </cell>
          <cell r="C1609">
            <v>0</v>
          </cell>
          <cell r="D1609">
            <v>0</v>
          </cell>
          <cell r="E1609">
            <v>0</v>
          </cell>
          <cell r="F1609">
            <v>0</v>
          </cell>
        </row>
        <row r="1610">
          <cell r="A1610">
            <v>0</v>
          </cell>
          <cell r="B1610">
            <v>0</v>
          </cell>
          <cell r="C1610">
            <v>0</v>
          </cell>
          <cell r="D1610">
            <v>0</v>
          </cell>
          <cell r="E1610">
            <v>0</v>
          </cell>
          <cell r="F1610">
            <v>0</v>
          </cell>
        </row>
        <row r="1611">
          <cell r="A1611">
            <v>0</v>
          </cell>
          <cell r="B1611">
            <v>0</v>
          </cell>
          <cell r="C1611">
            <v>0</v>
          </cell>
          <cell r="D1611">
            <v>0</v>
          </cell>
          <cell r="E1611">
            <v>0</v>
          </cell>
          <cell r="F1611">
            <v>0</v>
          </cell>
        </row>
        <row r="1612">
          <cell r="A1612">
            <v>0</v>
          </cell>
          <cell r="B1612">
            <v>0</v>
          </cell>
          <cell r="C1612">
            <v>0</v>
          </cell>
          <cell r="D1612">
            <v>0</v>
          </cell>
          <cell r="E1612">
            <v>0</v>
          </cell>
          <cell r="F1612">
            <v>0</v>
          </cell>
        </row>
        <row r="1613">
          <cell r="A1613">
            <v>0</v>
          </cell>
          <cell r="B1613">
            <v>0</v>
          </cell>
          <cell r="C1613">
            <v>0</v>
          </cell>
          <cell r="D1613">
            <v>0</v>
          </cell>
          <cell r="E1613">
            <v>0</v>
          </cell>
          <cell r="F1613">
            <v>0</v>
          </cell>
        </row>
        <row r="1615">
          <cell r="A1615">
            <v>0</v>
          </cell>
          <cell r="B1615">
            <v>0</v>
          </cell>
          <cell r="C1615">
            <v>0</v>
          </cell>
          <cell r="D1615">
            <v>0</v>
          </cell>
          <cell r="E1615">
            <v>0</v>
          </cell>
          <cell r="F1615">
            <v>0</v>
          </cell>
        </row>
        <row r="1616">
          <cell r="A1616">
            <v>0</v>
          </cell>
          <cell r="B1616">
            <v>0</v>
          </cell>
          <cell r="C1616">
            <v>0</v>
          </cell>
          <cell r="D1616">
            <v>0</v>
          </cell>
          <cell r="E1616">
            <v>0</v>
          </cell>
          <cell r="F1616">
            <v>0</v>
          </cell>
        </row>
        <row r="1617">
          <cell r="A1617">
            <v>0</v>
          </cell>
          <cell r="B1617">
            <v>0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</row>
        <row r="1618">
          <cell r="A1618">
            <v>0</v>
          </cell>
          <cell r="B1618">
            <v>0</v>
          </cell>
          <cell r="C1618">
            <v>0</v>
          </cell>
          <cell r="D1618">
            <v>0</v>
          </cell>
          <cell r="E1618">
            <v>0</v>
          </cell>
          <cell r="F1618">
            <v>0</v>
          </cell>
        </row>
        <row r="1619">
          <cell r="A1619">
            <v>0</v>
          </cell>
          <cell r="B1619">
            <v>0</v>
          </cell>
          <cell r="C1619">
            <v>0</v>
          </cell>
          <cell r="D1619">
            <v>0</v>
          </cell>
          <cell r="E1619">
            <v>0</v>
          </cell>
          <cell r="F1619">
            <v>0</v>
          </cell>
        </row>
        <row r="1620">
          <cell r="A1620">
            <v>0</v>
          </cell>
          <cell r="B1620">
            <v>0</v>
          </cell>
          <cell r="C1620">
            <v>0</v>
          </cell>
          <cell r="D1620">
            <v>0</v>
          </cell>
          <cell r="E1620">
            <v>0</v>
          </cell>
          <cell r="F1620">
            <v>0</v>
          </cell>
        </row>
        <row r="1621">
          <cell r="A1621">
            <v>0</v>
          </cell>
          <cell r="B1621">
            <v>0</v>
          </cell>
          <cell r="C1621">
            <v>0</v>
          </cell>
          <cell r="D1621">
            <v>0</v>
          </cell>
          <cell r="E1621">
            <v>0</v>
          </cell>
          <cell r="F1621">
            <v>0</v>
          </cell>
        </row>
        <row r="1622">
          <cell r="A1622">
            <v>0</v>
          </cell>
          <cell r="B1622">
            <v>0</v>
          </cell>
          <cell r="C1622">
            <v>0</v>
          </cell>
          <cell r="D1622">
            <v>0</v>
          </cell>
          <cell r="E1622">
            <v>0</v>
          </cell>
          <cell r="F1622">
            <v>0</v>
          </cell>
        </row>
        <row r="1623">
          <cell r="A1623">
            <v>0</v>
          </cell>
          <cell r="B1623">
            <v>0</v>
          </cell>
          <cell r="C1623">
            <v>0</v>
          </cell>
          <cell r="D1623">
            <v>0</v>
          </cell>
          <cell r="E1623">
            <v>0</v>
          </cell>
          <cell r="F1623">
            <v>0</v>
          </cell>
        </row>
        <row r="1624">
          <cell r="A1624">
            <v>0</v>
          </cell>
          <cell r="B1624">
            <v>0</v>
          </cell>
          <cell r="C1624">
            <v>0</v>
          </cell>
          <cell r="D1624">
            <v>0</v>
          </cell>
          <cell r="E1624">
            <v>0</v>
          </cell>
          <cell r="F1624">
            <v>0</v>
          </cell>
        </row>
        <row r="1625">
          <cell r="A1625">
            <v>0</v>
          </cell>
          <cell r="B1625">
            <v>0</v>
          </cell>
          <cell r="C1625">
            <v>0</v>
          </cell>
          <cell r="D1625">
            <v>0</v>
          </cell>
          <cell r="E1625">
            <v>0</v>
          </cell>
          <cell r="F1625">
            <v>0</v>
          </cell>
        </row>
        <row r="1626">
          <cell r="A1626">
            <v>0</v>
          </cell>
          <cell r="B1626">
            <v>0</v>
          </cell>
          <cell r="C1626">
            <v>0</v>
          </cell>
          <cell r="D1626">
            <v>0</v>
          </cell>
          <cell r="E1626">
            <v>0</v>
          </cell>
          <cell r="F1626">
            <v>0</v>
          </cell>
        </row>
        <row r="1627">
          <cell r="A1627">
            <v>0</v>
          </cell>
          <cell r="B1627">
            <v>0</v>
          </cell>
          <cell r="C1627">
            <v>0</v>
          </cell>
          <cell r="D1627">
            <v>0</v>
          </cell>
          <cell r="E1627">
            <v>0</v>
          </cell>
          <cell r="F1627">
            <v>0</v>
          </cell>
        </row>
        <row r="1628">
          <cell r="A1628">
            <v>0</v>
          </cell>
          <cell r="B1628">
            <v>0</v>
          </cell>
          <cell r="C1628">
            <v>0</v>
          </cell>
          <cell r="D1628">
            <v>0</v>
          </cell>
          <cell r="E1628">
            <v>0</v>
          </cell>
          <cell r="F1628">
            <v>0</v>
          </cell>
        </row>
        <row r="1629">
          <cell r="A1629">
            <v>0</v>
          </cell>
          <cell r="B1629">
            <v>0</v>
          </cell>
          <cell r="C1629">
            <v>0</v>
          </cell>
          <cell r="D1629">
            <v>0</v>
          </cell>
          <cell r="E1629">
            <v>0</v>
          </cell>
          <cell r="F1629">
            <v>0</v>
          </cell>
        </row>
        <row r="1631">
          <cell r="A1631">
            <v>0</v>
          </cell>
          <cell r="B1631">
            <v>0</v>
          </cell>
          <cell r="C1631">
            <v>0</v>
          </cell>
          <cell r="D1631">
            <v>0</v>
          </cell>
          <cell r="E1631">
            <v>0</v>
          </cell>
          <cell r="F1631">
            <v>0</v>
          </cell>
        </row>
        <row r="1632">
          <cell r="A1632">
            <v>0</v>
          </cell>
          <cell r="B1632">
            <v>0</v>
          </cell>
          <cell r="C1632">
            <v>0</v>
          </cell>
          <cell r="D1632">
            <v>0</v>
          </cell>
          <cell r="E1632">
            <v>0</v>
          </cell>
          <cell r="F1632">
            <v>0</v>
          </cell>
        </row>
        <row r="1633">
          <cell r="A1633">
            <v>0</v>
          </cell>
          <cell r="B1633">
            <v>0</v>
          </cell>
          <cell r="C1633">
            <v>0</v>
          </cell>
          <cell r="D1633">
            <v>0</v>
          </cell>
          <cell r="E1633">
            <v>0</v>
          </cell>
          <cell r="F1633">
            <v>0</v>
          </cell>
        </row>
        <row r="1634">
          <cell r="A1634">
            <v>0</v>
          </cell>
          <cell r="B1634">
            <v>0</v>
          </cell>
          <cell r="C1634">
            <v>0</v>
          </cell>
          <cell r="D1634">
            <v>0</v>
          </cell>
          <cell r="E1634">
            <v>0</v>
          </cell>
          <cell r="F1634">
            <v>0</v>
          </cell>
        </row>
        <row r="1635">
          <cell r="A1635">
            <v>0</v>
          </cell>
          <cell r="B1635">
            <v>0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</row>
        <row r="1636">
          <cell r="A1636">
            <v>0</v>
          </cell>
          <cell r="B1636">
            <v>0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</row>
        <row r="1637">
          <cell r="A1637">
            <v>0</v>
          </cell>
          <cell r="B1637">
            <v>0</v>
          </cell>
          <cell r="C1637">
            <v>0</v>
          </cell>
          <cell r="D1637">
            <v>0</v>
          </cell>
          <cell r="E1637">
            <v>0</v>
          </cell>
          <cell r="F1637">
            <v>0</v>
          </cell>
        </row>
        <row r="1638">
          <cell r="A1638">
            <v>0</v>
          </cell>
          <cell r="B1638">
            <v>0</v>
          </cell>
          <cell r="C1638">
            <v>0</v>
          </cell>
          <cell r="D1638">
            <v>0</v>
          </cell>
          <cell r="E1638">
            <v>0</v>
          </cell>
          <cell r="F1638">
            <v>0</v>
          </cell>
        </row>
        <row r="1639">
          <cell r="A1639">
            <v>0</v>
          </cell>
          <cell r="B1639">
            <v>0</v>
          </cell>
          <cell r="C1639">
            <v>0</v>
          </cell>
          <cell r="D1639">
            <v>0</v>
          </cell>
          <cell r="E1639">
            <v>0</v>
          </cell>
          <cell r="F1639">
            <v>0</v>
          </cell>
        </row>
        <row r="1640">
          <cell r="A1640">
            <v>0</v>
          </cell>
          <cell r="B1640">
            <v>0</v>
          </cell>
          <cell r="C1640">
            <v>0</v>
          </cell>
          <cell r="D1640">
            <v>0</v>
          </cell>
          <cell r="E1640">
            <v>0</v>
          </cell>
          <cell r="F1640">
            <v>0</v>
          </cell>
        </row>
        <row r="1641">
          <cell r="A1641">
            <v>0</v>
          </cell>
          <cell r="B1641">
            <v>0</v>
          </cell>
          <cell r="C1641">
            <v>0</v>
          </cell>
          <cell r="D1641">
            <v>0</v>
          </cell>
          <cell r="E1641">
            <v>0</v>
          </cell>
          <cell r="F1641">
            <v>0</v>
          </cell>
        </row>
        <row r="1642">
          <cell r="A1642">
            <v>0</v>
          </cell>
          <cell r="B1642">
            <v>0</v>
          </cell>
          <cell r="C1642">
            <v>0</v>
          </cell>
          <cell r="D1642">
            <v>0</v>
          </cell>
          <cell r="E1642">
            <v>0</v>
          </cell>
          <cell r="F1642">
            <v>0</v>
          </cell>
        </row>
        <row r="1643">
          <cell r="A1643">
            <v>0</v>
          </cell>
          <cell r="B1643">
            <v>0</v>
          </cell>
          <cell r="C1643">
            <v>0</v>
          </cell>
          <cell r="D1643">
            <v>0</v>
          </cell>
          <cell r="E1643">
            <v>0</v>
          </cell>
          <cell r="F1643">
            <v>0</v>
          </cell>
        </row>
        <row r="1644">
          <cell r="A1644">
            <v>0</v>
          </cell>
          <cell r="B1644">
            <v>0</v>
          </cell>
          <cell r="C1644">
            <v>0</v>
          </cell>
          <cell r="D1644">
            <v>0</v>
          </cell>
          <cell r="E1644">
            <v>0</v>
          </cell>
          <cell r="F1644">
            <v>0</v>
          </cell>
        </row>
        <row r="1645">
          <cell r="A1645">
            <v>0</v>
          </cell>
          <cell r="B1645">
            <v>0</v>
          </cell>
          <cell r="C1645">
            <v>0</v>
          </cell>
          <cell r="D1645">
            <v>0</v>
          </cell>
          <cell r="E1645">
            <v>0</v>
          </cell>
          <cell r="F1645">
            <v>0</v>
          </cell>
        </row>
        <row r="1646">
          <cell r="A1646">
            <v>0</v>
          </cell>
          <cell r="B1646">
            <v>0</v>
          </cell>
          <cell r="C1646">
            <v>0</v>
          </cell>
          <cell r="D1646">
            <v>0</v>
          </cell>
          <cell r="E1646">
            <v>0</v>
          </cell>
          <cell r="F1646">
            <v>0</v>
          </cell>
        </row>
        <row r="1647">
          <cell r="A1647">
            <v>0</v>
          </cell>
          <cell r="B1647">
            <v>0</v>
          </cell>
          <cell r="C1647">
            <v>0</v>
          </cell>
          <cell r="D1647">
            <v>0</v>
          </cell>
          <cell r="E1647">
            <v>0</v>
          </cell>
          <cell r="F1647">
            <v>0</v>
          </cell>
        </row>
        <row r="1648">
          <cell r="A1648">
            <v>0</v>
          </cell>
          <cell r="B1648">
            <v>0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</row>
        <row r="1649">
          <cell r="A1649">
            <v>0</v>
          </cell>
          <cell r="B1649">
            <v>0</v>
          </cell>
          <cell r="C1649">
            <v>0</v>
          </cell>
          <cell r="D1649">
            <v>0</v>
          </cell>
          <cell r="E1649">
            <v>0</v>
          </cell>
          <cell r="F1649">
            <v>0</v>
          </cell>
        </row>
        <row r="1650">
          <cell r="A1650">
            <v>0</v>
          </cell>
          <cell r="B1650">
            <v>0</v>
          </cell>
          <cell r="C1650">
            <v>0</v>
          </cell>
          <cell r="D1650">
            <v>0</v>
          </cell>
          <cell r="E1650">
            <v>0</v>
          </cell>
          <cell r="F1650">
            <v>0</v>
          </cell>
        </row>
        <row r="1651">
          <cell r="A1651">
            <v>0</v>
          </cell>
          <cell r="B1651">
            <v>0</v>
          </cell>
          <cell r="C1651">
            <v>0</v>
          </cell>
          <cell r="D1651">
            <v>0</v>
          </cell>
          <cell r="E1651">
            <v>0</v>
          </cell>
          <cell r="F1651">
            <v>0</v>
          </cell>
        </row>
        <row r="1652">
          <cell r="A1652">
            <v>0</v>
          </cell>
          <cell r="B1652">
            <v>0</v>
          </cell>
          <cell r="C1652">
            <v>0</v>
          </cell>
          <cell r="D1652">
            <v>0</v>
          </cell>
          <cell r="E1652">
            <v>0</v>
          </cell>
          <cell r="F1652">
            <v>0</v>
          </cell>
        </row>
        <row r="1653">
          <cell r="A1653">
            <v>0</v>
          </cell>
          <cell r="B1653">
            <v>0</v>
          </cell>
          <cell r="C1653">
            <v>0</v>
          </cell>
          <cell r="D1653">
            <v>0</v>
          </cell>
          <cell r="E1653">
            <v>0</v>
          </cell>
          <cell r="F1653">
            <v>0</v>
          </cell>
        </row>
        <row r="1654">
          <cell r="A1654">
            <v>0</v>
          </cell>
          <cell r="B1654">
            <v>0</v>
          </cell>
          <cell r="C1654">
            <v>0</v>
          </cell>
          <cell r="D1654">
            <v>0</v>
          </cell>
          <cell r="E1654">
            <v>0</v>
          </cell>
          <cell r="F1654">
            <v>0</v>
          </cell>
        </row>
        <row r="1655">
          <cell r="A1655">
            <v>0</v>
          </cell>
          <cell r="B1655">
            <v>0</v>
          </cell>
          <cell r="C1655">
            <v>0</v>
          </cell>
          <cell r="D1655">
            <v>0</v>
          </cell>
          <cell r="E1655">
            <v>0</v>
          </cell>
          <cell r="F1655">
            <v>0</v>
          </cell>
        </row>
        <row r="1656">
          <cell r="A1656">
            <v>0</v>
          </cell>
          <cell r="B1656">
            <v>0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</row>
        <row r="1657">
          <cell r="A1657">
            <v>0</v>
          </cell>
          <cell r="B1657">
            <v>0</v>
          </cell>
          <cell r="C1657">
            <v>0</v>
          </cell>
          <cell r="D1657">
            <v>0</v>
          </cell>
          <cell r="E1657">
            <v>0</v>
          </cell>
          <cell r="F1657">
            <v>0</v>
          </cell>
        </row>
        <row r="1658">
          <cell r="A1658">
            <v>0</v>
          </cell>
          <cell r="B1658">
            <v>0</v>
          </cell>
          <cell r="C1658">
            <v>0</v>
          </cell>
          <cell r="D1658">
            <v>0</v>
          </cell>
          <cell r="E1658">
            <v>0</v>
          </cell>
          <cell r="F1658">
            <v>0</v>
          </cell>
        </row>
        <row r="1659">
          <cell r="A1659">
            <v>0</v>
          </cell>
          <cell r="B1659">
            <v>0</v>
          </cell>
          <cell r="C1659">
            <v>0</v>
          </cell>
          <cell r="D1659">
            <v>0</v>
          </cell>
          <cell r="E1659">
            <v>0</v>
          </cell>
          <cell r="F1659">
            <v>0</v>
          </cell>
        </row>
        <row r="1660">
          <cell r="A1660">
            <v>0</v>
          </cell>
          <cell r="B1660">
            <v>0</v>
          </cell>
          <cell r="C1660">
            <v>0</v>
          </cell>
          <cell r="D1660">
            <v>0</v>
          </cell>
          <cell r="E1660">
            <v>0</v>
          </cell>
          <cell r="F1660">
            <v>0</v>
          </cell>
        </row>
        <row r="1661">
          <cell r="A1661">
            <v>0</v>
          </cell>
          <cell r="B1661">
            <v>0</v>
          </cell>
          <cell r="C1661">
            <v>0</v>
          </cell>
          <cell r="D1661">
            <v>0</v>
          </cell>
          <cell r="E1661">
            <v>0</v>
          </cell>
          <cell r="F1661">
            <v>0</v>
          </cell>
        </row>
        <row r="1662">
          <cell r="A1662">
            <v>0</v>
          </cell>
          <cell r="B1662">
            <v>0</v>
          </cell>
          <cell r="C1662">
            <v>0</v>
          </cell>
          <cell r="D1662">
            <v>0</v>
          </cell>
          <cell r="E1662">
            <v>0</v>
          </cell>
          <cell r="F1662">
            <v>0</v>
          </cell>
        </row>
        <row r="1665">
          <cell r="A1665">
            <v>0</v>
          </cell>
          <cell r="B1665">
            <v>0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</row>
        <row r="1666">
          <cell r="A1666">
            <v>0</v>
          </cell>
          <cell r="B1666">
            <v>0</v>
          </cell>
          <cell r="C1666">
            <v>0</v>
          </cell>
          <cell r="D1666">
            <v>0</v>
          </cell>
          <cell r="E1666">
            <v>0</v>
          </cell>
          <cell r="F1666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7">
          <cell r="J7" t="str">
            <v>LG-001</v>
          </cell>
          <cell r="K7">
            <v>21532.73</v>
          </cell>
          <cell r="L7" t="str">
            <v>Administração local</v>
          </cell>
          <cell r="M7" t="str">
            <v>mês</v>
          </cell>
        </row>
        <row r="20">
          <cell r="J20">
            <v>0</v>
          </cell>
          <cell r="K20">
            <v>0</v>
          </cell>
        </row>
        <row r="27">
          <cell r="J27" t="str">
            <v>Prazo previsto=</v>
          </cell>
          <cell r="K27">
            <v>8</v>
          </cell>
        </row>
        <row r="43">
          <cell r="K43">
            <v>0</v>
          </cell>
        </row>
        <row r="46">
          <cell r="J46" t="str">
            <v>LG-002</v>
          </cell>
          <cell r="K46">
            <v>7707.5</v>
          </cell>
          <cell r="L46" t="str">
            <v>Remanejamento de postes</v>
          </cell>
          <cell r="M46" t="str">
            <v>un</v>
          </cell>
        </row>
        <row r="68">
          <cell r="L68">
            <v>0</v>
          </cell>
          <cell r="M68">
            <v>0</v>
          </cell>
        </row>
        <row r="69">
          <cell r="J69" t="e">
            <v>#N/A</v>
          </cell>
        </row>
        <row r="73">
          <cell r="K73">
            <v>0</v>
          </cell>
        </row>
        <row r="82">
          <cell r="J82" t="str">
            <v>LG-003</v>
          </cell>
          <cell r="K82">
            <v>138.09</v>
          </cell>
          <cell r="L82" t="str">
            <v>Base mistura em peso 60% de brita graduada / 40% solo</v>
          </cell>
          <cell r="M82" t="str">
            <v>m³</v>
          </cell>
        </row>
        <row r="84"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J87">
            <v>0</v>
          </cell>
          <cell r="K87">
            <v>0</v>
          </cell>
          <cell r="L87">
            <v>0</v>
          </cell>
          <cell r="M87">
            <v>0</v>
          </cell>
        </row>
        <row r="88">
          <cell r="J88">
            <v>0</v>
          </cell>
          <cell r="K88">
            <v>0</v>
          </cell>
          <cell r="L88">
            <v>0</v>
          </cell>
          <cell r="M88">
            <v>0</v>
          </cell>
        </row>
        <row r="89">
          <cell r="J89">
            <v>0</v>
          </cell>
          <cell r="K89">
            <v>0</v>
          </cell>
          <cell r="L89">
            <v>0</v>
          </cell>
          <cell r="M89">
            <v>0</v>
          </cell>
        </row>
        <row r="90"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1">
          <cell r="J91">
            <v>0</v>
          </cell>
          <cell r="K91">
            <v>0</v>
          </cell>
          <cell r="L91">
            <v>0</v>
          </cell>
          <cell r="M91">
            <v>0</v>
          </cell>
        </row>
        <row r="92"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J93">
            <v>0</v>
          </cell>
          <cell r="K93">
            <v>0</v>
          </cell>
          <cell r="L93">
            <v>0</v>
          </cell>
          <cell r="M93">
            <v>0</v>
          </cell>
        </row>
        <row r="94"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7">
          <cell r="J97">
            <v>0</v>
          </cell>
          <cell r="K97">
            <v>0</v>
          </cell>
          <cell r="L97">
            <v>0</v>
          </cell>
          <cell r="M97">
            <v>0</v>
          </cell>
        </row>
        <row r="98"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</row>
        <row r="101"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J102">
            <v>0</v>
          </cell>
          <cell r="K102">
            <v>0</v>
          </cell>
          <cell r="L102">
            <v>0</v>
          </cell>
          <cell r="M102">
            <v>0</v>
          </cell>
        </row>
        <row r="103">
          <cell r="J103">
            <v>0</v>
          </cell>
          <cell r="K103">
            <v>0</v>
          </cell>
          <cell r="L103">
            <v>0</v>
          </cell>
          <cell r="M103">
            <v>0</v>
          </cell>
        </row>
        <row r="104"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5">
          <cell r="J105">
            <v>0</v>
          </cell>
          <cell r="K105">
            <v>0</v>
          </cell>
          <cell r="L105">
            <v>0</v>
          </cell>
          <cell r="M105">
            <v>0</v>
          </cell>
        </row>
        <row r="106"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J108">
            <v>0</v>
          </cell>
          <cell r="K108">
            <v>0</v>
          </cell>
          <cell r="L108">
            <v>0</v>
          </cell>
          <cell r="M108">
            <v>0</v>
          </cell>
        </row>
        <row r="109"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J112">
            <v>0</v>
          </cell>
          <cell r="K112">
            <v>0</v>
          </cell>
        </row>
        <row r="113"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J116" t="str">
            <v>Brita</v>
          </cell>
          <cell r="K116">
            <v>0</v>
          </cell>
          <cell r="L116">
            <v>0</v>
          </cell>
          <cell r="M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0</v>
          </cell>
        </row>
        <row r="118">
          <cell r="J118">
            <v>0</v>
          </cell>
          <cell r="K118">
            <v>0</v>
          </cell>
          <cell r="L118">
            <v>0</v>
          </cell>
          <cell r="M118">
            <v>0</v>
          </cell>
        </row>
        <row r="119">
          <cell r="J119">
            <v>67.75</v>
          </cell>
          <cell r="K119">
            <v>0</v>
          </cell>
          <cell r="L119">
            <v>0</v>
          </cell>
          <cell r="M119">
            <v>0</v>
          </cell>
        </row>
        <row r="120">
          <cell r="J120">
            <v>0</v>
          </cell>
          <cell r="K120">
            <v>0</v>
          </cell>
          <cell r="L120">
            <v>0</v>
          </cell>
          <cell r="M120">
            <v>0</v>
          </cell>
        </row>
        <row r="121"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2">
          <cell r="M122">
            <v>0</v>
          </cell>
        </row>
        <row r="123">
          <cell r="M123">
            <v>0</v>
          </cell>
        </row>
        <row r="124">
          <cell r="J124" t="str">
            <v>LG-004</v>
          </cell>
          <cell r="K124">
            <v>2402.98</v>
          </cell>
          <cell r="L124" t="str">
            <v>Corpo BDTP (Bueiro Duplo Tubular PEAD) diâmetro 1,00 PB, exclusive escavação e reaterro, inclusive transporte do tubo</v>
          </cell>
          <cell r="M124" t="str">
            <v>m</v>
          </cell>
        </row>
        <row r="125">
          <cell r="M125">
            <v>0</v>
          </cell>
        </row>
        <row r="126"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  <row r="128">
          <cell r="J128">
            <v>0</v>
          </cell>
          <cell r="K128">
            <v>0</v>
          </cell>
          <cell r="L128">
            <v>0</v>
          </cell>
          <cell r="M128">
            <v>0</v>
          </cell>
        </row>
        <row r="129">
          <cell r="J129">
            <v>0</v>
          </cell>
          <cell r="K129">
            <v>0</v>
          </cell>
          <cell r="L129">
            <v>0</v>
          </cell>
          <cell r="M129">
            <v>0</v>
          </cell>
        </row>
        <row r="130">
          <cell r="J130">
            <v>0</v>
          </cell>
          <cell r="K130">
            <v>0</v>
          </cell>
          <cell r="L130">
            <v>0</v>
          </cell>
          <cell r="M130">
            <v>0</v>
          </cell>
        </row>
        <row r="134">
          <cell r="J134">
            <v>0</v>
          </cell>
          <cell r="K134">
            <v>0</v>
          </cell>
          <cell r="L134">
            <v>0</v>
          </cell>
          <cell r="M134">
            <v>0</v>
          </cell>
        </row>
        <row r="135"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J136">
            <v>0</v>
          </cell>
          <cell r="K136">
            <v>0</v>
          </cell>
          <cell r="L136">
            <v>0</v>
          </cell>
          <cell r="M136">
            <v>0</v>
          </cell>
        </row>
        <row r="137"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J138">
            <v>0</v>
          </cell>
          <cell r="K138">
            <v>0</v>
          </cell>
          <cell r="L138">
            <v>0</v>
          </cell>
          <cell r="M138">
            <v>0</v>
          </cell>
        </row>
        <row r="139">
          <cell r="J139">
            <v>0</v>
          </cell>
          <cell r="K139">
            <v>0</v>
          </cell>
          <cell r="L139">
            <v>0</v>
          </cell>
          <cell r="M139">
            <v>0</v>
          </cell>
        </row>
        <row r="140">
          <cell r="J140">
            <v>0</v>
          </cell>
          <cell r="K140">
            <v>0</v>
          </cell>
          <cell r="L140">
            <v>0</v>
          </cell>
          <cell r="M140">
            <v>0</v>
          </cell>
        </row>
        <row r="141">
          <cell r="J141">
            <v>0</v>
          </cell>
          <cell r="K141">
            <v>0</v>
          </cell>
          <cell r="L141">
            <v>0</v>
          </cell>
          <cell r="M141">
            <v>0</v>
          </cell>
        </row>
        <row r="142">
          <cell r="J142">
            <v>0</v>
          </cell>
          <cell r="K142">
            <v>0</v>
          </cell>
          <cell r="L142">
            <v>0</v>
          </cell>
          <cell r="M142">
            <v>0</v>
          </cell>
        </row>
        <row r="143">
          <cell r="J143">
            <v>0</v>
          </cell>
          <cell r="K143">
            <v>0</v>
          </cell>
          <cell r="L143">
            <v>0</v>
          </cell>
          <cell r="M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0</v>
          </cell>
        </row>
        <row r="145">
          <cell r="J145">
            <v>0</v>
          </cell>
          <cell r="K145">
            <v>0</v>
          </cell>
          <cell r="L145">
            <v>0</v>
          </cell>
          <cell r="M145">
            <v>0</v>
          </cell>
        </row>
        <row r="146">
          <cell r="J146">
            <v>0</v>
          </cell>
          <cell r="K146">
            <v>0</v>
          </cell>
        </row>
        <row r="147">
          <cell r="J147">
            <v>0</v>
          </cell>
          <cell r="K147">
            <v>0</v>
          </cell>
        </row>
        <row r="148">
          <cell r="J148">
            <v>0</v>
          </cell>
          <cell r="K148">
            <v>0</v>
          </cell>
        </row>
        <row r="149">
          <cell r="J149">
            <v>0</v>
          </cell>
          <cell r="K149">
            <v>0</v>
          </cell>
        </row>
        <row r="150">
          <cell r="J150">
            <v>0</v>
          </cell>
          <cell r="K150">
            <v>0</v>
          </cell>
          <cell r="L150">
            <v>0</v>
          </cell>
          <cell r="M150">
            <v>0</v>
          </cell>
        </row>
        <row r="151">
          <cell r="J151">
            <v>0</v>
          </cell>
          <cell r="K151">
            <v>0</v>
          </cell>
          <cell r="L151">
            <v>0</v>
          </cell>
          <cell r="M151">
            <v>0</v>
          </cell>
        </row>
        <row r="152">
          <cell r="J152">
            <v>0</v>
          </cell>
          <cell r="K152">
            <v>0</v>
          </cell>
          <cell r="L152">
            <v>0</v>
          </cell>
          <cell r="M152">
            <v>0</v>
          </cell>
        </row>
        <row r="153">
          <cell r="J153">
            <v>0</v>
          </cell>
          <cell r="K153">
            <v>0</v>
          </cell>
          <cell r="L153">
            <v>0</v>
          </cell>
          <cell r="M153">
            <v>0</v>
          </cell>
        </row>
        <row r="154">
          <cell r="J154">
            <v>0</v>
          </cell>
          <cell r="K154">
            <v>0</v>
          </cell>
          <cell r="L154">
            <v>0</v>
          </cell>
          <cell r="M154">
            <v>0</v>
          </cell>
        </row>
        <row r="155">
          <cell r="J155">
            <v>0</v>
          </cell>
          <cell r="K155">
            <v>0</v>
          </cell>
          <cell r="L155">
            <v>0</v>
          </cell>
          <cell r="M155">
            <v>0</v>
          </cell>
        </row>
        <row r="156">
          <cell r="J156">
            <v>0</v>
          </cell>
          <cell r="K156">
            <v>0</v>
          </cell>
          <cell r="L156">
            <v>0</v>
          </cell>
          <cell r="M156">
            <v>0</v>
          </cell>
        </row>
        <row r="157">
          <cell r="J157">
            <v>0</v>
          </cell>
          <cell r="K157">
            <v>0</v>
          </cell>
          <cell r="L157">
            <v>0</v>
          </cell>
          <cell r="M157">
            <v>0</v>
          </cell>
        </row>
        <row r="160">
          <cell r="J160" t="str">
            <v>LG-005</v>
          </cell>
          <cell r="K160">
            <v>18748.87</v>
          </cell>
          <cell r="L160" t="str">
            <v>Equipe de Topografia</v>
          </cell>
          <cell r="M160" t="str">
            <v>mês</v>
          </cell>
        </row>
        <row r="184">
          <cell r="L184">
            <v>0</v>
          </cell>
          <cell r="M184">
            <v>0</v>
          </cell>
        </row>
        <row r="185">
          <cell r="J185">
            <v>0</v>
          </cell>
          <cell r="L185">
            <v>7025.94</v>
          </cell>
        </row>
        <row r="189">
          <cell r="K189">
            <v>0</v>
          </cell>
        </row>
        <row r="197">
          <cell r="J197" t="str">
            <v>LG-006</v>
          </cell>
          <cell r="K197">
            <v>20487.849999999999</v>
          </cell>
          <cell r="L197" t="str">
            <v>Equipe de Laboratório</v>
          </cell>
          <cell r="M197" t="str">
            <v>mês</v>
          </cell>
        </row>
        <row r="220">
          <cell r="L220">
            <v>0</v>
          </cell>
          <cell r="M220">
            <v>0</v>
          </cell>
        </row>
        <row r="221">
          <cell r="J221">
            <v>0</v>
          </cell>
          <cell r="L221">
            <v>7025.94</v>
          </cell>
        </row>
        <row r="225">
          <cell r="K225">
            <v>0</v>
          </cell>
        </row>
      </sheetData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ntidades"/>
      <sheetName val="Cronograma Físico"/>
      <sheetName val="Resumo"/>
      <sheetName val="Planilha"/>
      <sheetName val="Memória"/>
      <sheetName val="DER 01-18"/>
      <sheetName val="equip."/>
      <sheetName val="m.o."/>
      <sheetName val="mat."/>
      <sheetName val="tranp."/>
      <sheetName val="Ocor."/>
      <sheetName val="43069"/>
      <sheetName val="42981"/>
      <sheetName val="42714"/>
      <sheetName val="ST01"/>
      <sheetName val="ST02"/>
      <sheetName val="42779"/>
      <sheetName val="42783"/>
      <sheetName val="40514"/>
      <sheetName val="40515"/>
      <sheetName val="003"/>
      <sheetName val="005"/>
      <sheetName val="006"/>
      <sheetName val="Mapa"/>
      <sheetName val="CX"/>
      <sheetName val="42611"/>
      <sheetName val="40313"/>
      <sheetName val="40351"/>
      <sheetName val="40358"/>
      <sheetName val="Dist"/>
      <sheetName val="Compos DER"/>
      <sheetName val="Compos lug"/>
      <sheetName val="Plan1"/>
      <sheetName val="P - COMPARATIVO"/>
      <sheetName val="Quantidades a3"/>
      <sheetName val="Plan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5">
          <cell r="J5">
            <v>0</v>
          </cell>
          <cell r="K5">
            <v>0</v>
          </cell>
        </row>
        <row r="6">
          <cell r="J6">
            <v>40167</v>
          </cell>
          <cell r="K6">
            <v>0.48</v>
          </cell>
        </row>
        <row r="7">
          <cell r="J7">
            <v>0</v>
          </cell>
          <cell r="K7">
            <v>0</v>
          </cell>
        </row>
        <row r="8">
          <cell r="J8">
            <v>0</v>
          </cell>
          <cell r="K8">
            <v>0</v>
          </cell>
        </row>
        <row r="18">
          <cell r="J18">
            <v>0</v>
          </cell>
          <cell r="K18">
            <v>0</v>
          </cell>
        </row>
        <row r="19">
          <cell r="J19">
            <v>0</v>
          </cell>
          <cell r="K19">
            <v>0</v>
          </cell>
        </row>
        <row r="20">
          <cell r="J20">
            <v>0</v>
          </cell>
          <cell r="K20">
            <v>0</v>
          </cell>
        </row>
        <row r="21">
          <cell r="J21">
            <v>0</v>
          </cell>
          <cell r="K21">
            <v>0</v>
          </cell>
        </row>
        <row r="22">
          <cell r="J22">
            <v>0</v>
          </cell>
          <cell r="K22">
            <v>0</v>
          </cell>
        </row>
        <row r="23">
          <cell r="J23">
            <v>0</v>
          </cell>
          <cell r="K23">
            <v>0</v>
          </cell>
        </row>
        <row r="24">
          <cell r="J24">
            <v>0</v>
          </cell>
          <cell r="K24">
            <v>0</v>
          </cell>
        </row>
        <row r="25">
          <cell r="J25">
            <v>0</v>
          </cell>
          <cell r="K25">
            <v>0</v>
          </cell>
        </row>
        <row r="26">
          <cell r="J26">
            <v>0</v>
          </cell>
          <cell r="K26">
            <v>0</v>
          </cell>
        </row>
        <row r="27">
          <cell r="J27">
            <v>0</v>
          </cell>
          <cell r="K27">
            <v>0</v>
          </cell>
        </row>
        <row r="28">
          <cell r="J28">
            <v>0</v>
          </cell>
          <cell r="K28">
            <v>0</v>
          </cell>
        </row>
        <row r="29">
          <cell r="J29">
            <v>0</v>
          </cell>
          <cell r="K29">
            <v>0</v>
          </cell>
        </row>
        <row r="30">
          <cell r="J30">
            <v>0</v>
          </cell>
          <cell r="K30">
            <v>0</v>
          </cell>
        </row>
        <row r="31">
          <cell r="J31">
            <v>0</v>
          </cell>
          <cell r="K31">
            <v>0</v>
          </cell>
        </row>
        <row r="32">
          <cell r="J32">
            <v>0</v>
          </cell>
          <cell r="K32">
            <v>0</v>
          </cell>
        </row>
        <row r="33">
          <cell r="J33">
            <v>0</v>
          </cell>
          <cell r="K33">
            <v>0</v>
          </cell>
        </row>
        <row r="41">
          <cell r="J41">
            <v>0</v>
          </cell>
          <cell r="K41">
            <v>0</v>
          </cell>
        </row>
        <row r="42">
          <cell r="J42">
            <v>40230</v>
          </cell>
          <cell r="K42">
            <v>3.1</v>
          </cell>
        </row>
        <row r="43">
          <cell r="J43">
            <v>0</v>
          </cell>
          <cell r="K43">
            <v>0</v>
          </cell>
        </row>
        <row r="50">
          <cell r="J50">
            <v>0</v>
          </cell>
          <cell r="K50">
            <v>0</v>
          </cell>
        </row>
        <row r="51">
          <cell r="J51">
            <v>0</v>
          </cell>
          <cell r="K51">
            <v>0</v>
          </cell>
        </row>
        <row r="52">
          <cell r="J52">
            <v>0</v>
          </cell>
          <cell r="K52">
            <v>0</v>
          </cell>
        </row>
        <row r="53">
          <cell r="J53">
            <v>0</v>
          </cell>
          <cell r="K53">
            <v>0</v>
          </cell>
        </row>
        <row r="54">
          <cell r="J54">
            <v>0</v>
          </cell>
          <cell r="K54">
            <v>0</v>
          </cell>
        </row>
        <row r="55">
          <cell r="J55">
            <v>0</v>
          </cell>
          <cell r="K55">
            <v>0</v>
          </cell>
        </row>
        <row r="56">
          <cell r="J56">
            <v>0</v>
          </cell>
          <cell r="K56">
            <v>0</v>
          </cell>
        </row>
        <row r="57">
          <cell r="J57">
            <v>0</v>
          </cell>
          <cell r="K57">
            <v>0</v>
          </cell>
        </row>
        <row r="58">
          <cell r="J58">
            <v>0</v>
          </cell>
          <cell r="K58">
            <v>0</v>
          </cell>
        </row>
        <row r="59">
          <cell r="J59">
            <v>0</v>
          </cell>
          <cell r="K59">
            <v>0</v>
          </cell>
        </row>
        <row r="60">
          <cell r="J60">
            <v>0</v>
          </cell>
          <cell r="K60">
            <v>0</v>
          </cell>
        </row>
        <row r="61">
          <cell r="J61">
            <v>0</v>
          </cell>
          <cell r="K61">
            <v>0</v>
          </cell>
        </row>
        <row r="62">
          <cell r="J62">
            <v>0</v>
          </cell>
          <cell r="K62">
            <v>0</v>
          </cell>
        </row>
        <row r="63">
          <cell r="J63">
            <v>0</v>
          </cell>
          <cell r="K63">
            <v>0</v>
          </cell>
        </row>
        <row r="64">
          <cell r="J64">
            <v>0</v>
          </cell>
          <cell r="K64">
            <v>0</v>
          </cell>
        </row>
        <row r="65">
          <cell r="J65">
            <v>0</v>
          </cell>
          <cell r="K65">
            <v>0</v>
          </cell>
        </row>
        <row r="79">
          <cell r="J79">
            <v>43340</v>
          </cell>
          <cell r="K79">
            <v>6.04</v>
          </cell>
        </row>
        <row r="82">
          <cell r="J82">
            <v>0</v>
          </cell>
          <cell r="K82">
            <v>0</v>
          </cell>
        </row>
        <row r="83">
          <cell r="J83">
            <v>0</v>
          </cell>
          <cell r="K83">
            <v>0</v>
          </cell>
        </row>
        <row r="84">
          <cell r="J84">
            <v>0</v>
          </cell>
          <cell r="K84">
            <v>0</v>
          </cell>
        </row>
        <row r="85">
          <cell r="J85">
            <v>0</v>
          </cell>
          <cell r="K85">
            <v>0</v>
          </cell>
        </row>
        <row r="86">
          <cell r="J86">
            <v>0</v>
          </cell>
          <cell r="K86">
            <v>0</v>
          </cell>
        </row>
        <row r="87">
          <cell r="J87">
            <v>0</v>
          </cell>
          <cell r="K87">
            <v>0</v>
          </cell>
        </row>
        <row r="88">
          <cell r="J88">
            <v>0</v>
          </cell>
          <cell r="K88">
            <v>0</v>
          </cell>
        </row>
        <row r="89">
          <cell r="J89">
            <v>0</v>
          </cell>
          <cell r="K89">
            <v>0</v>
          </cell>
        </row>
        <row r="90">
          <cell r="J90">
            <v>0</v>
          </cell>
          <cell r="K90">
            <v>0</v>
          </cell>
        </row>
        <row r="91">
          <cell r="J91">
            <v>0</v>
          </cell>
          <cell r="K91">
            <v>0</v>
          </cell>
        </row>
        <row r="92">
          <cell r="J92">
            <v>0</v>
          </cell>
          <cell r="K92">
            <v>0</v>
          </cell>
        </row>
        <row r="93">
          <cell r="J93">
            <v>0</v>
          </cell>
          <cell r="K93">
            <v>0</v>
          </cell>
        </row>
        <row r="94">
          <cell r="J94">
            <v>0</v>
          </cell>
          <cell r="K94">
            <v>0</v>
          </cell>
        </row>
        <row r="95">
          <cell r="J95">
            <v>0</v>
          </cell>
          <cell r="K95">
            <v>0</v>
          </cell>
        </row>
        <row r="96">
          <cell r="J96">
            <v>0</v>
          </cell>
          <cell r="K96">
            <v>0</v>
          </cell>
        </row>
        <row r="97">
          <cell r="J97">
            <v>0</v>
          </cell>
          <cell r="K97">
            <v>0</v>
          </cell>
        </row>
        <row r="98">
          <cell r="K98">
            <v>0</v>
          </cell>
        </row>
        <row r="99">
          <cell r="K99">
            <v>0</v>
          </cell>
        </row>
        <row r="100">
          <cell r="K100">
            <v>0</v>
          </cell>
        </row>
        <row r="101">
          <cell r="K101">
            <v>0</v>
          </cell>
        </row>
        <row r="102">
          <cell r="K102">
            <v>0</v>
          </cell>
        </row>
        <row r="103">
          <cell r="K103">
            <v>0</v>
          </cell>
        </row>
        <row r="104">
          <cell r="K104">
            <v>0</v>
          </cell>
        </row>
        <row r="105">
          <cell r="K105">
            <v>0</v>
          </cell>
        </row>
        <row r="106">
          <cell r="K106">
            <v>0</v>
          </cell>
        </row>
        <row r="107">
          <cell r="K107">
            <v>0</v>
          </cell>
        </row>
        <row r="108">
          <cell r="K108">
            <v>0</v>
          </cell>
        </row>
        <row r="109">
          <cell r="K109">
            <v>0</v>
          </cell>
        </row>
        <row r="110">
          <cell r="K110">
            <v>0</v>
          </cell>
        </row>
        <row r="111">
          <cell r="K111">
            <v>0</v>
          </cell>
        </row>
        <row r="112">
          <cell r="K112">
            <v>0</v>
          </cell>
        </row>
        <row r="113">
          <cell r="K113">
            <v>0</v>
          </cell>
        </row>
        <row r="120">
          <cell r="J120">
            <v>40228</v>
          </cell>
          <cell r="K120">
            <v>4.6900000000000004</v>
          </cell>
        </row>
        <row r="137">
          <cell r="J137">
            <v>0</v>
          </cell>
          <cell r="K137">
            <v>0</v>
          </cell>
        </row>
        <row r="159">
          <cell r="J159">
            <v>0</v>
          </cell>
          <cell r="K159">
            <v>0</v>
          </cell>
        </row>
        <row r="160">
          <cell r="J160">
            <v>0</v>
          </cell>
        </row>
        <row r="161">
          <cell r="J161">
            <v>42767</v>
          </cell>
          <cell r="K161">
            <v>605.44000000000005</v>
          </cell>
        </row>
        <row r="162">
          <cell r="J162">
            <v>0</v>
          </cell>
        </row>
        <row r="163">
          <cell r="J163">
            <v>0</v>
          </cell>
        </row>
        <row r="165">
          <cell r="J165">
            <v>0</v>
          </cell>
        </row>
        <row r="166">
          <cell r="J166">
            <v>0</v>
          </cell>
        </row>
        <row r="167">
          <cell r="J167">
            <v>0</v>
          </cell>
          <cell r="K167">
            <v>0</v>
          </cell>
        </row>
        <row r="170">
          <cell r="J170">
            <v>0</v>
          </cell>
          <cell r="K170">
            <v>0</v>
          </cell>
        </row>
        <row r="174">
          <cell r="J174">
            <v>0</v>
          </cell>
          <cell r="K174">
            <v>0</v>
          </cell>
        </row>
        <row r="177">
          <cell r="J177">
            <v>0</v>
          </cell>
          <cell r="K177">
            <v>0</v>
          </cell>
        </row>
        <row r="178">
          <cell r="J178">
            <v>0</v>
          </cell>
          <cell r="K178">
            <v>0</v>
          </cell>
        </row>
        <row r="179">
          <cell r="J179">
            <v>0</v>
          </cell>
          <cell r="K179">
            <v>0</v>
          </cell>
        </row>
        <row r="180">
          <cell r="J180">
            <v>0</v>
          </cell>
          <cell r="K180">
            <v>0</v>
          </cell>
        </row>
        <row r="181">
          <cell r="J181">
            <v>0</v>
          </cell>
          <cell r="K181">
            <v>0</v>
          </cell>
        </row>
        <row r="182">
          <cell r="J182">
            <v>0</v>
          </cell>
          <cell r="K182">
            <v>0</v>
          </cell>
        </row>
        <row r="183">
          <cell r="J183">
            <v>0</v>
          </cell>
          <cell r="K183">
            <v>0</v>
          </cell>
        </row>
        <row r="184">
          <cell r="J184">
            <v>0</v>
          </cell>
          <cell r="K184">
            <v>0</v>
          </cell>
        </row>
        <row r="185">
          <cell r="J185">
            <v>0</v>
          </cell>
          <cell r="K185">
            <v>0</v>
          </cell>
        </row>
        <row r="186">
          <cell r="J186">
            <v>0</v>
          </cell>
          <cell r="K186">
            <v>0</v>
          </cell>
        </row>
        <row r="187">
          <cell r="J187">
            <v>0</v>
          </cell>
          <cell r="K187">
            <v>0</v>
          </cell>
        </row>
        <row r="188">
          <cell r="J188">
            <v>0</v>
          </cell>
          <cell r="K188">
            <v>0</v>
          </cell>
        </row>
        <row r="189">
          <cell r="J189">
            <v>0</v>
          </cell>
          <cell r="K189">
            <v>0</v>
          </cell>
        </row>
        <row r="190">
          <cell r="J190">
            <v>0</v>
          </cell>
          <cell r="K190">
            <v>0</v>
          </cell>
        </row>
        <row r="191">
          <cell r="J191">
            <v>0</v>
          </cell>
          <cell r="K191">
            <v>0</v>
          </cell>
        </row>
        <row r="192">
          <cell r="J192">
            <v>0</v>
          </cell>
          <cell r="K192">
            <v>0</v>
          </cell>
        </row>
        <row r="193">
          <cell r="J193" t="str">
            <v>Pré-moldados de concreto</v>
          </cell>
          <cell r="K193">
            <v>0</v>
          </cell>
        </row>
        <row r="196">
          <cell r="J196">
            <v>0</v>
          </cell>
        </row>
        <row r="198">
          <cell r="J198">
            <v>0</v>
          </cell>
          <cell r="K198">
            <v>0</v>
          </cell>
        </row>
        <row r="199">
          <cell r="J199">
            <v>0</v>
          </cell>
        </row>
        <row r="200">
          <cell r="J200">
            <v>0</v>
          </cell>
        </row>
        <row r="201">
          <cell r="J201">
            <v>42685</v>
          </cell>
          <cell r="K201">
            <v>4199.6499999999996</v>
          </cell>
        </row>
        <row r="202">
          <cell r="J202">
            <v>0</v>
          </cell>
        </row>
        <row r="203">
          <cell r="J203">
            <v>0</v>
          </cell>
        </row>
        <row r="205">
          <cell r="J205">
            <v>0</v>
          </cell>
        </row>
        <row r="206">
          <cell r="J206">
            <v>0</v>
          </cell>
          <cell r="K206">
            <v>0</v>
          </cell>
        </row>
        <row r="212">
          <cell r="J212">
            <v>0</v>
          </cell>
          <cell r="K212">
            <v>0</v>
          </cell>
        </row>
        <row r="231">
          <cell r="J231" t="str">
            <v>Brita</v>
          </cell>
          <cell r="K231">
            <v>0</v>
          </cell>
        </row>
        <row r="233">
          <cell r="J233">
            <v>0</v>
          </cell>
        </row>
        <row r="235">
          <cell r="J235">
            <v>0</v>
          </cell>
          <cell r="K235">
            <v>0</v>
          </cell>
        </row>
        <row r="236">
          <cell r="J236">
            <v>0</v>
          </cell>
        </row>
        <row r="237">
          <cell r="J237">
            <v>0</v>
          </cell>
        </row>
        <row r="238">
          <cell r="J238">
            <v>40536</v>
          </cell>
          <cell r="K238">
            <v>3914.77</v>
          </cell>
        </row>
        <row r="239">
          <cell r="J239">
            <v>0</v>
          </cell>
        </row>
        <row r="240">
          <cell r="J240">
            <v>0</v>
          </cell>
        </row>
        <row r="242">
          <cell r="J242">
            <v>0</v>
          </cell>
        </row>
        <row r="243">
          <cell r="J243">
            <v>0</v>
          </cell>
          <cell r="K243">
            <v>0</v>
          </cell>
        </row>
        <row r="247">
          <cell r="J247">
            <v>0</v>
          </cell>
          <cell r="K247">
            <v>0</v>
          </cell>
        </row>
        <row r="263">
          <cell r="J263" t="str">
            <v>Brita</v>
          </cell>
          <cell r="K263">
            <v>0</v>
          </cell>
        </row>
        <row r="265">
          <cell r="J265">
            <v>0</v>
          </cell>
        </row>
        <row r="267">
          <cell r="J267">
            <v>0</v>
          </cell>
          <cell r="K267">
            <v>0</v>
          </cell>
        </row>
        <row r="268">
          <cell r="J268">
            <v>0</v>
          </cell>
        </row>
        <row r="271">
          <cell r="J271">
            <v>40673</v>
          </cell>
          <cell r="K271">
            <v>80.97</v>
          </cell>
        </row>
        <row r="278">
          <cell r="J278">
            <v>0</v>
          </cell>
          <cell r="K278">
            <v>0</v>
          </cell>
        </row>
        <row r="279">
          <cell r="J279">
            <v>0</v>
          </cell>
          <cell r="K279">
            <v>0</v>
          </cell>
        </row>
        <row r="280">
          <cell r="J280">
            <v>0</v>
          </cell>
          <cell r="K280">
            <v>0</v>
          </cell>
        </row>
        <row r="281">
          <cell r="J281">
            <v>0</v>
          </cell>
          <cell r="K281">
            <v>0</v>
          </cell>
        </row>
        <row r="282">
          <cell r="J282">
            <v>0</v>
          </cell>
          <cell r="K282">
            <v>0</v>
          </cell>
        </row>
        <row r="283">
          <cell r="J283">
            <v>0</v>
          </cell>
          <cell r="K283">
            <v>0</v>
          </cell>
        </row>
        <row r="284">
          <cell r="J284">
            <v>0</v>
          </cell>
          <cell r="K284">
            <v>0</v>
          </cell>
        </row>
        <row r="285">
          <cell r="J285">
            <v>0</v>
          </cell>
          <cell r="K285">
            <v>0</v>
          </cell>
        </row>
        <row r="286">
          <cell r="J286">
            <v>0</v>
          </cell>
          <cell r="K286">
            <v>0</v>
          </cell>
        </row>
        <row r="287">
          <cell r="J287">
            <v>0</v>
          </cell>
          <cell r="K287">
            <v>0</v>
          </cell>
        </row>
        <row r="288">
          <cell r="J288">
            <v>0</v>
          </cell>
          <cell r="K288">
            <v>0</v>
          </cell>
        </row>
        <row r="289">
          <cell r="J289">
            <v>0</v>
          </cell>
          <cell r="K289">
            <v>0</v>
          </cell>
        </row>
        <row r="290">
          <cell r="J290">
            <v>0</v>
          </cell>
          <cell r="K290">
            <v>0</v>
          </cell>
        </row>
        <row r="291">
          <cell r="J291">
            <v>0</v>
          </cell>
          <cell r="K291">
            <v>0</v>
          </cell>
        </row>
        <row r="292">
          <cell r="J292">
            <v>0</v>
          </cell>
          <cell r="K292">
            <v>0</v>
          </cell>
        </row>
        <row r="293">
          <cell r="J293">
            <v>0</v>
          </cell>
          <cell r="K293">
            <v>0</v>
          </cell>
        </row>
        <row r="295">
          <cell r="J295">
            <v>0</v>
          </cell>
          <cell r="K295">
            <v>0</v>
          </cell>
        </row>
        <row r="306">
          <cell r="J306">
            <v>0</v>
          </cell>
        </row>
        <row r="307">
          <cell r="J307">
            <v>41176</v>
          </cell>
          <cell r="K307">
            <v>51.86</v>
          </cell>
        </row>
        <row r="308">
          <cell r="J308">
            <v>0</v>
          </cell>
        </row>
        <row r="309">
          <cell r="J309">
            <v>0</v>
          </cell>
        </row>
        <row r="310">
          <cell r="J310">
            <v>0</v>
          </cell>
        </row>
        <row r="311">
          <cell r="J311">
            <v>0</v>
          </cell>
        </row>
        <row r="312">
          <cell r="J312">
            <v>0</v>
          </cell>
          <cell r="K312">
            <v>0</v>
          </cell>
        </row>
        <row r="318">
          <cell r="J318">
            <v>0</v>
          </cell>
          <cell r="K318">
            <v>0</v>
          </cell>
        </row>
        <row r="321">
          <cell r="K321">
            <v>0</v>
          </cell>
        </row>
        <row r="322">
          <cell r="K322">
            <v>0</v>
          </cell>
        </row>
        <row r="323">
          <cell r="K323">
            <v>0</v>
          </cell>
        </row>
        <row r="324">
          <cell r="K324">
            <v>0</v>
          </cell>
        </row>
        <row r="325">
          <cell r="K325">
            <v>0</v>
          </cell>
        </row>
        <row r="326">
          <cell r="K326">
            <v>0</v>
          </cell>
        </row>
        <row r="327">
          <cell r="K327">
            <v>0</v>
          </cell>
        </row>
        <row r="328">
          <cell r="K328">
            <v>0</v>
          </cell>
        </row>
        <row r="329">
          <cell r="K329">
            <v>0</v>
          </cell>
        </row>
        <row r="330">
          <cell r="K330">
            <v>0</v>
          </cell>
        </row>
        <row r="331">
          <cell r="K331">
            <v>0</v>
          </cell>
        </row>
        <row r="332">
          <cell r="K332">
            <v>0</v>
          </cell>
        </row>
        <row r="333">
          <cell r="K333">
            <v>0</v>
          </cell>
        </row>
        <row r="334">
          <cell r="K334">
            <v>0</v>
          </cell>
        </row>
        <row r="335">
          <cell r="J335">
            <v>0</v>
          </cell>
          <cell r="K335">
            <v>0</v>
          </cell>
        </row>
        <row r="336">
          <cell r="K336">
            <v>0</v>
          </cell>
        </row>
        <row r="337">
          <cell r="J337">
            <v>0</v>
          </cell>
          <cell r="K337">
            <v>0</v>
          </cell>
        </row>
        <row r="338">
          <cell r="J338">
            <v>0</v>
          </cell>
        </row>
        <row r="340">
          <cell r="J340">
            <v>40662</v>
          </cell>
          <cell r="K340">
            <v>61</v>
          </cell>
        </row>
        <row r="359">
          <cell r="J359">
            <v>0</v>
          </cell>
          <cell r="K359">
            <v>0</v>
          </cell>
        </row>
        <row r="360">
          <cell r="J360">
            <v>0</v>
          </cell>
          <cell r="K360">
            <v>0</v>
          </cell>
        </row>
        <row r="361">
          <cell r="J361">
            <v>0</v>
          </cell>
          <cell r="K361">
            <v>0</v>
          </cell>
        </row>
        <row r="362">
          <cell r="J362">
            <v>0</v>
          </cell>
          <cell r="K362">
            <v>0</v>
          </cell>
        </row>
        <row r="363">
          <cell r="J363">
            <v>0</v>
          </cell>
          <cell r="K363">
            <v>0</v>
          </cell>
        </row>
        <row r="375">
          <cell r="J375">
            <v>40667</v>
          </cell>
          <cell r="K375">
            <v>95.08</v>
          </cell>
        </row>
        <row r="388">
          <cell r="J388">
            <v>0</v>
          </cell>
          <cell r="K388">
            <v>0</v>
          </cell>
        </row>
        <row r="389">
          <cell r="J389">
            <v>0</v>
          </cell>
          <cell r="K389">
            <v>0</v>
          </cell>
        </row>
        <row r="390">
          <cell r="J390">
            <v>0</v>
          </cell>
          <cell r="K390">
            <v>0</v>
          </cell>
        </row>
        <row r="391">
          <cell r="J391">
            <v>0</v>
          </cell>
          <cell r="K391">
            <v>0</v>
          </cell>
        </row>
        <row r="392">
          <cell r="J392">
            <v>0</v>
          </cell>
          <cell r="K392">
            <v>0</v>
          </cell>
        </row>
        <row r="393">
          <cell r="J393">
            <v>0</v>
          </cell>
          <cell r="K393">
            <v>0</v>
          </cell>
        </row>
        <row r="394">
          <cell r="J394">
            <v>0</v>
          </cell>
          <cell r="K394">
            <v>0</v>
          </cell>
        </row>
        <row r="395">
          <cell r="J395">
            <v>0</v>
          </cell>
          <cell r="K395">
            <v>0</v>
          </cell>
        </row>
        <row r="396">
          <cell r="J396">
            <v>0</v>
          </cell>
          <cell r="K396">
            <v>0</v>
          </cell>
        </row>
        <row r="397">
          <cell r="J397">
            <v>0</v>
          </cell>
          <cell r="K397">
            <v>0</v>
          </cell>
        </row>
        <row r="398">
          <cell r="J398">
            <v>0</v>
          </cell>
          <cell r="K398">
            <v>0</v>
          </cell>
        </row>
        <row r="399">
          <cell r="J399">
            <v>0</v>
          </cell>
          <cell r="K399">
            <v>0</v>
          </cell>
        </row>
        <row r="400">
          <cell r="J400">
            <v>0</v>
          </cell>
          <cell r="K400">
            <v>0</v>
          </cell>
        </row>
        <row r="401">
          <cell r="J401">
            <v>0</v>
          </cell>
          <cell r="K401">
            <v>0</v>
          </cell>
        </row>
        <row r="402">
          <cell r="J402">
            <v>0</v>
          </cell>
          <cell r="K402">
            <v>0</v>
          </cell>
        </row>
        <row r="403">
          <cell r="J403">
            <v>0</v>
          </cell>
          <cell r="K403">
            <v>0</v>
          </cell>
        </row>
        <row r="405">
          <cell r="J405" t="str">
            <v>Brita</v>
          </cell>
        </row>
        <row r="413">
          <cell r="J413">
            <v>40754</v>
          </cell>
          <cell r="K413">
            <v>1.18</v>
          </cell>
        </row>
        <row r="416">
          <cell r="J416">
            <v>0</v>
          </cell>
          <cell r="K416">
            <v>0</v>
          </cell>
        </row>
        <row r="417">
          <cell r="J417">
            <v>0</v>
          </cell>
          <cell r="K417">
            <v>0</v>
          </cell>
        </row>
        <row r="418">
          <cell r="J418">
            <v>0</v>
          </cell>
          <cell r="K418">
            <v>0</v>
          </cell>
        </row>
        <row r="419">
          <cell r="J419">
            <v>0</v>
          </cell>
          <cell r="K419">
            <v>0</v>
          </cell>
        </row>
        <row r="420">
          <cell r="J420">
            <v>0</v>
          </cell>
          <cell r="K420">
            <v>0</v>
          </cell>
        </row>
        <row r="421">
          <cell r="J421">
            <v>0</v>
          </cell>
          <cell r="K421">
            <v>0</v>
          </cell>
        </row>
        <row r="422">
          <cell r="J422">
            <v>0</v>
          </cell>
          <cell r="K422">
            <v>0</v>
          </cell>
        </row>
        <row r="423">
          <cell r="J423">
            <v>0</v>
          </cell>
          <cell r="K423">
            <v>0</v>
          </cell>
        </row>
        <row r="424">
          <cell r="J424">
            <v>0</v>
          </cell>
          <cell r="K424">
            <v>0</v>
          </cell>
        </row>
        <row r="425">
          <cell r="J425">
            <v>0</v>
          </cell>
          <cell r="K425">
            <v>0</v>
          </cell>
        </row>
        <row r="426">
          <cell r="J426">
            <v>0</v>
          </cell>
          <cell r="K426">
            <v>0</v>
          </cell>
        </row>
        <row r="427">
          <cell r="J427">
            <v>0</v>
          </cell>
          <cell r="K427">
            <v>0</v>
          </cell>
        </row>
        <row r="428">
          <cell r="J428">
            <v>0</v>
          </cell>
          <cell r="K428">
            <v>0</v>
          </cell>
        </row>
        <row r="429">
          <cell r="J429">
            <v>0</v>
          </cell>
          <cell r="K429">
            <v>0</v>
          </cell>
        </row>
        <row r="430">
          <cell r="J430">
            <v>0</v>
          </cell>
          <cell r="K430">
            <v>0</v>
          </cell>
        </row>
        <row r="431">
          <cell r="J431">
            <v>0</v>
          </cell>
          <cell r="K431">
            <v>0</v>
          </cell>
        </row>
        <row r="432">
          <cell r="J432">
            <v>0</v>
          </cell>
          <cell r="K432">
            <v>0</v>
          </cell>
        </row>
        <row r="433">
          <cell r="J433">
            <v>0</v>
          </cell>
          <cell r="K433">
            <v>0</v>
          </cell>
        </row>
        <row r="434">
          <cell r="J434">
            <v>0</v>
          </cell>
          <cell r="K434">
            <v>0</v>
          </cell>
        </row>
        <row r="435">
          <cell r="J435">
            <v>0</v>
          </cell>
          <cell r="K435">
            <v>0</v>
          </cell>
        </row>
        <row r="436">
          <cell r="J436">
            <v>0</v>
          </cell>
          <cell r="K436">
            <v>0</v>
          </cell>
        </row>
        <row r="437">
          <cell r="J437">
            <v>0</v>
          </cell>
          <cell r="K437">
            <v>0</v>
          </cell>
        </row>
        <row r="438">
          <cell r="J438">
            <v>0</v>
          </cell>
          <cell r="K438">
            <v>0</v>
          </cell>
        </row>
        <row r="439">
          <cell r="J439">
            <v>0</v>
          </cell>
          <cell r="K439">
            <v>0</v>
          </cell>
        </row>
        <row r="440">
          <cell r="J440">
            <v>0</v>
          </cell>
          <cell r="K440">
            <v>0</v>
          </cell>
        </row>
        <row r="441">
          <cell r="J441">
            <v>0</v>
          </cell>
          <cell r="K441">
            <v>0</v>
          </cell>
        </row>
        <row r="442">
          <cell r="J442">
            <v>0</v>
          </cell>
          <cell r="K442">
            <v>0</v>
          </cell>
        </row>
        <row r="443">
          <cell r="J443">
            <v>0</v>
          </cell>
          <cell r="K443">
            <v>0</v>
          </cell>
        </row>
        <row r="444">
          <cell r="J444">
            <v>0</v>
          </cell>
          <cell r="K444">
            <v>0</v>
          </cell>
        </row>
        <row r="445">
          <cell r="J445">
            <v>0</v>
          </cell>
          <cell r="K445">
            <v>0</v>
          </cell>
        </row>
        <row r="447">
          <cell r="J447" t="str">
            <v>Areia</v>
          </cell>
        </row>
        <row r="453">
          <cell r="J453">
            <v>0</v>
          </cell>
          <cell r="K453">
            <v>0</v>
          </cell>
        </row>
        <row r="454">
          <cell r="J454">
            <v>40284</v>
          </cell>
          <cell r="K454">
            <v>15.17</v>
          </cell>
        </row>
        <row r="456">
          <cell r="J456">
            <v>0</v>
          </cell>
          <cell r="K456">
            <v>0</v>
          </cell>
        </row>
        <row r="457">
          <cell r="J457">
            <v>0</v>
          </cell>
          <cell r="K457">
            <v>0</v>
          </cell>
        </row>
        <row r="458">
          <cell r="J458">
            <v>0</v>
          </cell>
          <cell r="K458">
            <v>0</v>
          </cell>
        </row>
        <row r="459">
          <cell r="J459">
            <v>0</v>
          </cell>
          <cell r="K459">
            <v>0</v>
          </cell>
        </row>
        <row r="460">
          <cell r="J460">
            <v>0</v>
          </cell>
          <cell r="K460">
            <v>0</v>
          </cell>
        </row>
        <row r="461">
          <cell r="J461">
            <v>0</v>
          </cell>
          <cell r="K461">
            <v>0</v>
          </cell>
        </row>
        <row r="462">
          <cell r="J462">
            <v>0</v>
          </cell>
          <cell r="K462">
            <v>0</v>
          </cell>
        </row>
        <row r="463">
          <cell r="J463">
            <v>0</v>
          </cell>
          <cell r="K463">
            <v>0</v>
          </cell>
        </row>
        <row r="464">
          <cell r="J464">
            <v>0</v>
          </cell>
          <cell r="K464">
            <v>0</v>
          </cell>
        </row>
        <row r="465">
          <cell r="J465">
            <v>0</v>
          </cell>
          <cell r="K465">
            <v>0</v>
          </cell>
        </row>
        <row r="466">
          <cell r="J466">
            <v>0</v>
          </cell>
          <cell r="K466">
            <v>0</v>
          </cell>
        </row>
        <row r="467">
          <cell r="J467">
            <v>0</v>
          </cell>
          <cell r="K467">
            <v>0</v>
          </cell>
        </row>
        <row r="468">
          <cell r="J468">
            <v>0</v>
          </cell>
          <cell r="K468">
            <v>0</v>
          </cell>
        </row>
        <row r="469">
          <cell r="J469">
            <v>0</v>
          </cell>
          <cell r="K469">
            <v>0</v>
          </cell>
        </row>
        <row r="470">
          <cell r="J470">
            <v>0</v>
          </cell>
          <cell r="K470">
            <v>0</v>
          </cell>
        </row>
        <row r="471">
          <cell r="K471">
            <v>0</v>
          </cell>
        </row>
        <row r="472">
          <cell r="K472">
            <v>0</v>
          </cell>
        </row>
        <row r="473">
          <cell r="K473">
            <v>0</v>
          </cell>
        </row>
        <row r="474">
          <cell r="K474">
            <v>0</v>
          </cell>
        </row>
        <row r="475">
          <cell r="K475">
            <v>0</v>
          </cell>
        </row>
        <row r="476">
          <cell r="K476">
            <v>0</v>
          </cell>
        </row>
        <row r="477">
          <cell r="K477">
            <v>0</v>
          </cell>
        </row>
        <row r="478">
          <cell r="K478">
            <v>0</v>
          </cell>
        </row>
        <row r="479">
          <cell r="K479">
            <v>0</v>
          </cell>
        </row>
        <row r="480">
          <cell r="K480">
            <v>0</v>
          </cell>
        </row>
        <row r="481">
          <cell r="K481">
            <v>0</v>
          </cell>
        </row>
        <row r="482">
          <cell r="K482">
            <v>0</v>
          </cell>
        </row>
        <row r="483">
          <cell r="K483">
            <v>0</v>
          </cell>
        </row>
        <row r="484">
          <cell r="K484">
            <v>0</v>
          </cell>
        </row>
        <row r="485">
          <cell r="K485">
            <v>0</v>
          </cell>
        </row>
        <row r="486">
          <cell r="K486">
            <v>0</v>
          </cell>
        </row>
        <row r="488">
          <cell r="J488">
            <v>0</v>
          </cell>
        </row>
        <row r="491">
          <cell r="J491">
            <v>40780</v>
          </cell>
          <cell r="K491">
            <v>114.27</v>
          </cell>
        </row>
        <row r="511">
          <cell r="J511">
            <v>0</v>
          </cell>
          <cell r="K511">
            <v>0</v>
          </cell>
        </row>
        <row r="518">
          <cell r="J518">
            <v>0</v>
          </cell>
          <cell r="K518">
            <v>0</v>
          </cell>
        </row>
        <row r="526">
          <cell r="J526" t="str">
            <v>Brita</v>
          </cell>
          <cell r="K526">
            <v>0</v>
          </cell>
        </row>
        <row r="529">
          <cell r="J529">
            <v>0</v>
          </cell>
        </row>
        <row r="531">
          <cell r="J531">
            <v>0</v>
          </cell>
          <cell r="K531">
            <v>0</v>
          </cell>
        </row>
        <row r="535">
          <cell r="J535">
            <v>43335</v>
          </cell>
          <cell r="K535">
            <v>2.46</v>
          </cell>
        </row>
        <row r="548">
          <cell r="J548">
            <v>0</v>
          </cell>
          <cell r="K548">
            <v>0</v>
          </cell>
        </row>
        <row r="549">
          <cell r="J549">
            <v>0</v>
          </cell>
          <cell r="K549">
            <v>0</v>
          </cell>
        </row>
        <row r="550">
          <cell r="J550">
            <v>0</v>
          </cell>
          <cell r="K550">
            <v>0</v>
          </cell>
        </row>
        <row r="551">
          <cell r="J551">
            <v>0</v>
          </cell>
          <cell r="K551">
            <v>0</v>
          </cell>
        </row>
        <row r="552">
          <cell r="J552">
            <v>0</v>
          </cell>
          <cell r="K552">
            <v>0</v>
          </cell>
        </row>
        <row r="553">
          <cell r="J553">
            <v>0</v>
          </cell>
          <cell r="K553">
            <v>0</v>
          </cell>
        </row>
        <row r="554">
          <cell r="J554">
            <v>0</v>
          </cell>
          <cell r="K554">
            <v>0</v>
          </cell>
        </row>
        <row r="555">
          <cell r="J555">
            <v>0</v>
          </cell>
          <cell r="K555">
            <v>0</v>
          </cell>
        </row>
        <row r="556">
          <cell r="J556">
            <v>0</v>
          </cell>
          <cell r="K556">
            <v>0</v>
          </cell>
        </row>
        <row r="557">
          <cell r="J557">
            <v>0</v>
          </cell>
          <cell r="K557">
            <v>0</v>
          </cell>
        </row>
        <row r="558">
          <cell r="J558">
            <v>0</v>
          </cell>
          <cell r="K558">
            <v>0</v>
          </cell>
        </row>
        <row r="559">
          <cell r="J559">
            <v>0</v>
          </cell>
          <cell r="K559">
            <v>0</v>
          </cell>
        </row>
        <row r="560">
          <cell r="J560">
            <v>0</v>
          </cell>
          <cell r="K560">
            <v>0</v>
          </cell>
        </row>
        <row r="561">
          <cell r="J561">
            <v>0</v>
          </cell>
          <cell r="K561">
            <v>0</v>
          </cell>
        </row>
        <row r="562">
          <cell r="J562">
            <v>0</v>
          </cell>
          <cell r="K562">
            <v>0</v>
          </cell>
        </row>
        <row r="563">
          <cell r="J563">
            <v>0</v>
          </cell>
          <cell r="K563">
            <v>0</v>
          </cell>
        </row>
        <row r="572">
          <cell r="J572">
            <v>40812</v>
          </cell>
          <cell r="K572">
            <v>96.99</v>
          </cell>
        </row>
        <row r="589">
          <cell r="J589">
            <v>0</v>
          </cell>
          <cell r="K589">
            <v>0</v>
          </cell>
        </row>
        <row r="596">
          <cell r="J596">
            <v>0</v>
          </cell>
          <cell r="K596">
            <v>0</v>
          </cell>
        </row>
        <row r="606">
          <cell r="J606">
            <v>0</v>
          </cell>
        </row>
        <row r="608">
          <cell r="J608">
            <v>0</v>
          </cell>
          <cell r="K608">
            <v>0</v>
          </cell>
        </row>
        <row r="610">
          <cell r="J610">
            <v>40816</v>
          </cell>
          <cell r="K610">
            <v>0.8</v>
          </cell>
        </row>
        <row r="621">
          <cell r="J621">
            <v>0</v>
          </cell>
          <cell r="K621">
            <v>0</v>
          </cell>
        </row>
        <row r="622">
          <cell r="J622">
            <v>0</v>
          </cell>
          <cell r="K622">
            <v>0</v>
          </cell>
        </row>
        <row r="623">
          <cell r="J623">
            <v>0</v>
          </cell>
          <cell r="K623">
            <v>0</v>
          </cell>
        </row>
        <row r="624">
          <cell r="J624">
            <v>0</v>
          </cell>
          <cell r="K624">
            <v>0</v>
          </cell>
        </row>
        <row r="625">
          <cell r="J625">
            <v>0</v>
          </cell>
          <cell r="K625">
            <v>0</v>
          </cell>
        </row>
        <row r="626">
          <cell r="J626">
            <v>0</v>
          </cell>
          <cell r="K626">
            <v>0</v>
          </cell>
        </row>
        <row r="627">
          <cell r="J627">
            <v>0</v>
          </cell>
          <cell r="K627">
            <v>0</v>
          </cell>
        </row>
        <row r="628">
          <cell r="J628">
            <v>0</v>
          </cell>
          <cell r="K628">
            <v>0</v>
          </cell>
        </row>
        <row r="629">
          <cell r="J629">
            <v>0</v>
          </cell>
          <cell r="K629">
            <v>0</v>
          </cell>
        </row>
        <row r="630">
          <cell r="J630">
            <v>0</v>
          </cell>
          <cell r="K630">
            <v>0</v>
          </cell>
        </row>
        <row r="631">
          <cell r="J631">
            <v>0</v>
          </cell>
          <cell r="K631">
            <v>0</v>
          </cell>
        </row>
        <row r="632">
          <cell r="J632">
            <v>0</v>
          </cell>
          <cell r="K632">
            <v>0</v>
          </cell>
        </row>
        <row r="633">
          <cell r="J633">
            <v>0</v>
          </cell>
          <cell r="K633">
            <v>0</v>
          </cell>
        </row>
        <row r="634">
          <cell r="J634">
            <v>0</v>
          </cell>
          <cell r="K634">
            <v>0</v>
          </cell>
        </row>
        <row r="635">
          <cell r="J635">
            <v>0</v>
          </cell>
          <cell r="K635">
            <v>0</v>
          </cell>
        </row>
        <row r="636">
          <cell r="J636">
            <v>0</v>
          </cell>
          <cell r="K636">
            <v>0</v>
          </cell>
        </row>
        <row r="646">
          <cell r="J646">
            <v>40843</v>
          </cell>
          <cell r="K646">
            <v>137.66999999999999</v>
          </cell>
        </row>
        <row r="652">
          <cell r="J652">
            <v>0</v>
          </cell>
          <cell r="K652">
            <v>0</v>
          </cell>
        </row>
        <row r="653">
          <cell r="J653">
            <v>0</v>
          </cell>
          <cell r="K653">
            <v>0</v>
          </cell>
        </row>
        <row r="654">
          <cell r="J654">
            <v>0</v>
          </cell>
          <cell r="K654">
            <v>0</v>
          </cell>
        </row>
        <row r="655">
          <cell r="J655">
            <v>0</v>
          </cell>
          <cell r="K655">
            <v>0</v>
          </cell>
        </row>
        <row r="656">
          <cell r="J656">
            <v>0</v>
          </cell>
          <cell r="K656">
            <v>0</v>
          </cell>
        </row>
        <row r="657">
          <cell r="J657">
            <v>0</v>
          </cell>
          <cell r="K657">
            <v>0</v>
          </cell>
        </row>
        <row r="658">
          <cell r="J658">
            <v>0</v>
          </cell>
          <cell r="K658">
            <v>0</v>
          </cell>
        </row>
        <row r="659">
          <cell r="J659">
            <v>0</v>
          </cell>
          <cell r="K659">
            <v>0</v>
          </cell>
        </row>
        <row r="660">
          <cell r="J660">
            <v>0</v>
          </cell>
          <cell r="K660">
            <v>0</v>
          </cell>
        </row>
        <row r="661">
          <cell r="J661">
            <v>0</v>
          </cell>
          <cell r="K661">
            <v>0</v>
          </cell>
        </row>
        <row r="662">
          <cell r="J662">
            <v>0</v>
          </cell>
          <cell r="K662">
            <v>0</v>
          </cell>
        </row>
        <row r="663">
          <cell r="J663">
            <v>0</v>
          </cell>
          <cell r="K663">
            <v>0</v>
          </cell>
        </row>
        <row r="664">
          <cell r="J664">
            <v>0</v>
          </cell>
          <cell r="K664">
            <v>0</v>
          </cell>
        </row>
        <row r="665">
          <cell r="J665">
            <v>0</v>
          </cell>
          <cell r="K665">
            <v>0</v>
          </cell>
        </row>
        <row r="666">
          <cell r="J666">
            <v>0</v>
          </cell>
          <cell r="K666">
            <v>0</v>
          </cell>
        </row>
        <row r="667">
          <cell r="J667">
            <v>0</v>
          </cell>
          <cell r="K667">
            <v>0</v>
          </cell>
        </row>
        <row r="676">
          <cell r="J676">
            <v>0</v>
          </cell>
          <cell r="K676">
            <v>0</v>
          </cell>
        </row>
        <row r="677">
          <cell r="J677">
            <v>0</v>
          </cell>
          <cell r="K677">
            <v>0</v>
          </cell>
        </row>
        <row r="681">
          <cell r="J681" t="str">
            <v>Brita</v>
          </cell>
        </row>
        <row r="682">
          <cell r="J682" t="str">
            <v>Produto Pétreo</v>
          </cell>
          <cell r="K682">
            <v>0</v>
          </cell>
        </row>
        <row r="683">
          <cell r="J683" t="str">
            <v>Produto Pétreo</v>
          </cell>
          <cell r="K683">
            <v>0</v>
          </cell>
        </row>
        <row r="686">
          <cell r="J686">
            <v>0</v>
          </cell>
        </row>
        <row r="692">
          <cell r="J692">
            <v>40884</v>
          </cell>
          <cell r="K692">
            <v>96.9</v>
          </cell>
        </row>
        <row r="697">
          <cell r="J697">
            <v>0</v>
          </cell>
          <cell r="K697">
            <v>0</v>
          </cell>
        </row>
        <row r="698">
          <cell r="J698">
            <v>0</v>
          </cell>
          <cell r="K698">
            <v>0</v>
          </cell>
        </row>
        <row r="699">
          <cell r="J699">
            <v>0</v>
          </cell>
          <cell r="K699">
            <v>0</v>
          </cell>
        </row>
        <row r="700">
          <cell r="J700">
            <v>0</v>
          </cell>
          <cell r="K700">
            <v>0</v>
          </cell>
        </row>
        <row r="701">
          <cell r="J701">
            <v>0</v>
          </cell>
          <cell r="K701">
            <v>0</v>
          </cell>
        </row>
        <row r="702">
          <cell r="J702">
            <v>0</v>
          </cell>
          <cell r="K702">
            <v>0</v>
          </cell>
        </row>
        <row r="703">
          <cell r="J703">
            <v>0</v>
          </cell>
          <cell r="K703">
            <v>0</v>
          </cell>
        </row>
        <row r="704">
          <cell r="J704">
            <v>0</v>
          </cell>
          <cell r="K704">
            <v>0</v>
          </cell>
        </row>
        <row r="705">
          <cell r="J705">
            <v>0</v>
          </cell>
          <cell r="K705">
            <v>0</v>
          </cell>
        </row>
        <row r="706">
          <cell r="J706">
            <v>0</v>
          </cell>
          <cell r="K706">
            <v>0</v>
          </cell>
        </row>
        <row r="707">
          <cell r="J707">
            <v>0</v>
          </cell>
          <cell r="K707">
            <v>0</v>
          </cell>
        </row>
        <row r="708">
          <cell r="J708">
            <v>0</v>
          </cell>
          <cell r="K708">
            <v>0</v>
          </cell>
        </row>
        <row r="709">
          <cell r="J709">
            <v>0</v>
          </cell>
          <cell r="K709">
            <v>0</v>
          </cell>
        </row>
        <row r="710">
          <cell r="J710">
            <v>0</v>
          </cell>
          <cell r="K710">
            <v>0</v>
          </cell>
        </row>
        <row r="711">
          <cell r="J711">
            <v>0</v>
          </cell>
          <cell r="K711">
            <v>0</v>
          </cell>
        </row>
        <row r="712">
          <cell r="J712">
            <v>0</v>
          </cell>
          <cell r="K712">
            <v>0</v>
          </cell>
        </row>
        <row r="717">
          <cell r="J717">
            <v>0</v>
          </cell>
          <cell r="K717">
            <v>0</v>
          </cell>
        </row>
        <row r="721">
          <cell r="J721" t="str">
            <v>Areia</v>
          </cell>
        </row>
        <row r="722">
          <cell r="J722" t="str">
            <v>Pré-moldados de concreto</v>
          </cell>
          <cell r="K722">
            <v>0</v>
          </cell>
        </row>
        <row r="726">
          <cell r="J726">
            <v>0</v>
          </cell>
          <cell r="K726">
            <v>0</v>
          </cell>
        </row>
        <row r="727">
          <cell r="J727">
            <v>0</v>
          </cell>
          <cell r="K727">
            <v>0</v>
          </cell>
        </row>
        <row r="729">
          <cell r="J729">
            <v>40968</v>
          </cell>
          <cell r="K729">
            <v>3577.74</v>
          </cell>
        </row>
        <row r="738">
          <cell r="J738">
            <v>0</v>
          </cell>
          <cell r="K738">
            <v>0</v>
          </cell>
        </row>
        <row r="739">
          <cell r="J739">
            <v>0</v>
          </cell>
          <cell r="K739">
            <v>0</v>
          </cell>
        </row>
        <row r="740">
          <cell r="J740">
            <v>0</v>
          </cell>
          <cell r="K740">
            <v>0</v>
          </cell>
        </row>
        <row r="741">
          <cell r="J741">
            <v>0</v>
          </cell>
          <cell r="K741">
            <v>0</v>
          </cell>
        </row>
        <row r="742">
          <cell r="J742">
            <v>0</v>
          </cell>
          <cell r="K742">
            <v>0</v>
          </cell>
        </row>
        <row r="743">
          <cell r="J743">
            <v>0</v>
          </cell>
          <cell r="K743">
            <v>0</v>
          </cell>
        </row>
        <row r="744">
          <cell r="J744">
            <v>0</v>
          </cell>
          <cell r="K744">
            <v>0</v>
          </cell>
        </row>
        <row r="745">
          <cell r="J745">
            <v>0</v>
          </cell>
          <cell r="K745">
            <v>0</v>
          </cell>
        </row>
        <row r="746">
          <cell r="J746">
            <v>0</v>
          </cell>
          <cell r="K746">
            <v>0</v>
          </cell>
        </row>
        <row r="747">
          <cell r="J747">
            <v>0</v>
          </cell>
          <cell r="K747">
            <v>0</v>
          </cell>
        </row>
        <row r="748">
          <cell r="J748">
            <v>0</v>
          </cell>
          <cell r="K748">
            <v>0</v>
          </cell>
        </row>
        <row r="749">
          <cell r="J749">
            <v>0</v>
          </cell>
          <cell r="K749">
            <v>0</v>
          </cell>
        </row>
        <row r="750">
          <cell r="J750">
            <v>0</v>
          </cell>
          <cell r="K750">
            <v>0</v>
          </cell>
        </row>
        <row r="751">
          <cell r="J751">
            <v>0</v>
          </cell>
          <cell r="K751">
            <v>0</v>
          </cell>
        </row>
        <row r="752">
          <cell r="J752">
            <v>0</v>
          </cell>
          <cell r="K752">
            <v>0</v>
          </cell>
        </row>
        <row r="753">
          <cell r="J753">
            <v>0</v>
          </cell>
          <cell r="K753">
            <v>0</v>
          </cell>
        </row>
        <row r="756">
          <cell r="J756" t="str">
            <v>Madeira em Geral</v>
          </cell>
        </row>
        <row r="761">
          <cell r="K761">
            <v>0</v>
          </cell>
        </row>
        <row r="762">
          <cell r="K762">
            <v>0</v>
          </cell>
        </row>
        <row r="763">
          <cell r="J763">
            <v>41360</v>
          </cell>
          <cell r="K763">
            <v>2063.86</v>
          </cell>
        </row>
        <row r="770">
          <cell r="J770">
            <v>0</v>
          </cell>
          <cell r="K770">
            <v>0</v>
          </cell>
        </row>
        <row r="771">
          <cell r="J771">
            <v>0</v>
          </cell>
          <cell r="K771">
            <v>0</v>
          </cell>
        </row>
        <row r="772">
          <cell r="J772">
            <v>0</v>
          </cell>
          <cell r="K772">
            <v>0</v>
          </cell>
        </row>
        <row r="773">
          <cell r="J773">
            <v>0</v>
          </cell>
          <cell r="K773">
            <v>0</v>
          </cell>
        </row>
        <row r="774">
          <cell r="J774">
            <v>0</v>
          </cell>
          <cell r="K774">
            <v>0</v>
          </cell>
        </row>
        <row r="775">
          <cell r="J775">
            <v>0</v>
          </cell>
          <cell r="K775">
            <v>0</v>
          </cell>
        </row>
        <row r="776">
          <cell r="J776">
            <v>0</v>
          </cell>
          <cell r="K776">
            <v>0</v>
          </cell>
        </row>
        <row r="777">
          <cell r="J777">
            <v>0</v>
          </cell>
          <cell r="K777">
            <v>0</v>
          </cell>
        </row>
        <row r="778">
          <cell r="J778">
            <v>0</v>
          </cell>
          <cell r="K778">
            <v>0</v>
          </cell>
        </row>
        <row r="779">
          <cell r="J779">
            <v>0</v>
          </cell>
          <cell r="K779">
            <v>0</v>
          </cell>
        </row>
        <row r="780">
          <cell r="J780">
            <v>0</v>
          </cell>
          <cell r="K780">
            <v>0</v>
          </cell>
        </row>
        <row r="781">
          <cell r="J781">
            <v>0</v>
          </cell>
          <cell r="K781">
            <v>0</v>
          </cell>
        </row>
        <row r="782">
          <cell r="J782">
            <v>0</v>
          </cell>
          <cell r="K782">
            <v>0</v>
          </cell>
        </row>
        <row r="790">
          <cell r="K790">
            <v>0</v>
          </cell>
        </row>
        <row r="791">
          <cell r="K791">
            <v>0</v>
          </cell>
        </row>
        <row r="792">
          <cell r="J792">
            <v>40976</v>
          </cell>
          <cell r="K792">
            <v>51900</v>
          </cell>
        </row>
        <row r="799">
          <cell r="J799">
            <v>0</v>
          </cell>
          <cell r="K799">
            <v>0</v>
          </cell>
        </row>
        <row r="800">
          <cell r="J800">
            <v>0</v>
          </cell>
          <cell r="K800">
            <v>0</v>
          </cell>
        </row>
        <row r="801">
          <cell r="J801">
            <v>0</v>
          </cell>
          <cell r="K801">
            <v>0</v>
          </cell>
        </row>
        <row r="802">
          <cell r="J802">
            <v>0</v>
          </cell>
          <cell r="K802">
            <v>0</v>
          </cell>
        </row>
        <row r="803">
          <cell r="J803">
            <v>0</v>
          </cell>
          <cell r="K803">
            <v>0</v>
          </cell>
        </row>
        <row r="804">
          <cell r="J804">
            <v>0</v>
          </cell>
          <cell r="K804">
            <v>0</v>
          </cell>
        </row>
        <row r="805">
          <cell r="J805">
            <v>0</v>
          </cell>
          <cell r="K805">
            <v>0</v>
          </cell>
        </row>
        <row r="806">
          <cell r="J806">
            <v>0</v>
          </cell>
          <cell r="K806">
            <v>0</v>
          </cell>
        </row>
        <row r="807">
          <cell r="J807">
            <v>0</v>
          </cell>
          <cell r="K807">
            <v>0</v>
          </cell>
        </row>
        <row r="808">
          <cell r="J808">
            <v>0</v>
          </cell>
          <cell r="K808">
            <v>0</v>
          </cell>
        </row>
        <row r="809">
          <cell r="J809">
            <v>0</v>
          </cell>
          <cell r="K809">
            <v>0</v>
          </cell>
        </row>
        <row r="810">
          <cell r="J810">
            <v>0</v>
          </cell>
          <cell r="K810">
            <v>0</v>
          </cell>
        </row>
        <row r="811">
          <cell r="J811">
            <v>0</v>
          </cell>
          <cell r="K811">
            <v>0</v>
          </cell>
        </row>
        <row r="820">
          <cell r="J820">
            <v>0</v>
          </cell>
          <cell r="K820">
            <v>0</v>
          </cell>
        </row>
        <row r="821">
          <cell r="J821">
            <v>40972</v>
          </cell>
          <cell r="K821">
            <v>0</v>
          </cell>
        </row>
        <row r="822">
          <cell r="J822">
            <v>0</v>
          </cell>
          <cell r="K822">
            <v>0</v>
          </cell>
        </row>
        <row r="823">
          <cell r="J823">
            <v>0</v>
          </cell>
          <cell r="K823">
            <v>0</v>
          </cell>
        </row>
        <row r="824">
          <cell r="J824">
            <v>0</v>
          </cell>
          <cell r="K824">
            <v>0</v>
          </cell>
        </row>
        <row r="825">
          <cell r="J825">
            <v>0</v>
          </cell>
          <cell r="K825">
            <v>0</v>
          </cell>
        </row>
        <row r="826">
          <cell r="J826">
            <v>0</v>
          </cell>
          <cell r="K826">
            <v>0</v>
          </cell>
        </row>
        <row r="827">
          <cell r="J827">
            <v>0</v>
          </cell>
          <cell r="K827">
            <v>0</v>
          </cell>
        </row>
        <row r="828">
          <cell r="J828">
            <v>0</v>
          </cell>
          <cell r="K828">
            <v>0</v>
          </cell>
        </row>
        <row r="829">
          <cell r="J829">
            <v>0</v>
          </cell>
          <cell r="K829">
            <v>0</v>
          </cell>
        </row>
        <row r="830">
          <cell r="J830">
            <v>0</v>
          </cell>
          <cell r="K830">
            <v>0</v>
          </cell>
        </row>
        <row r="831">
          <cell r="J831">
            <v>0</v>
          </cell>
          <cell r="K831">
            <v>0</v>
          </cell>
        </row>
        <row r="832">
          <cell r="J832">
            <v>0</v>
          </cell>
          <cell r="K832">
            <v>0</v>
          </cell>
        </row>
        <row r="833">
          <cell r="J833">
            <v>0</v>
          </cell>
          <cell r="K833">
            <v>0</v>
          </cell>
        </row>
        <row r="834">
          <cell r="J834">
            <v>0</v>
          </cell>
          <cell r="K834">
            <v>0</v>
          </cell>
        </row>
        <row r="835">
          <cell r="J835">
            <v>0</v>
          </cell>
          <cell r="K835">
            <v>0</v>
          </cell>
        </row>
        <row r="836">
          <cell r="J836">
            <v>0</v>
          </cell>
          <cell r="K836">
            <v>0</v>
          </cell>
        </row>
        <row r="837">
          <cell r="J837">
            <v>0</v>
          </cell>
          <cell r="K837">
            <v>0</v>
          </cell>
        </row>
        <row r="838">
          <cell r="J838">
            <v>0</v>
          </cell>
          <cell r="K838">
            <v>0</v>
          </cell>
        </row>
        <row r="839">
          <cell r="J839">
            <v>0</v>
          </cell>
          <cell r="K839">
            <v>0</v>
          </cell>
        </row>
        <row r="840">
          <cell r="K840">
            <v>0</v>
          </cell>
        </row>
        <row r="841">
          <cell r="K841">
            <v>0</v>
          </cell>
        </row>
        <row r="842">
          <cell r="K842">
            <v>0</v>
          </cell>
        </row>
        <row r="843">
          <cell r="K843">
            <v>0</v>
          </cell>
        </row>
        <row r="844">
          <cell r="K844">
            <v>0</v>
          </cell>
        </row>
        <row r="845">
          <cell r="K845">
            <v>0</v>
          </cell>
        </row>
        <row r="846">
          <cell r="K846">
            <v>0</v>
          </cell>
        </row>
        <row r="847">
          <cell r="K847">
            <v>0</v>
          </cell>
        </row>
        <row r="848">
          <cell r="J848" t="str">
            <v>Madeira em Geral</v>
          </cell>
          <cell r="K848">
            <v>0</v>
          </cell>
        </row>
        <row r="849">
          <cell r="K849">
            <v>0</v>
          </cell>
        </row>
        <row r="850">
          <cell r="K850">
            <v>0</v>
          </cell>
        </row>
        <row r="851">
          <cell r="K851">
            <v>0</v>
          </cell>
        </row>
        <row r="852">
          <cell r="K852">
            <v>0</v>
          </cell>
        </row>
        <row r="856">
          <cell r="J856">
            <v>40903</v>
          </cell>
          <cell r="K856">
            <v>29.84</v>
          </cell>
        </row>
        <row r="867">
          <cell r="J867">
            <v>0</v>
          </cell>
          <cell r="K867">
            <v>0</v>
          </cell>
        </row>
        <row r="874">
          <cell r="J874">
            <v>0</v>
          </cell>
          <cell r="K874">
            <v>0</v>
          </cell>
        </row>
        <row r="875">
          <cell r="J875">
            <v>0</v>
          </cell>
          <cell r="K875">
            <v>0</v>
          </cell>
        </row>
        <row r="876">
          <cell r="J876">
            <v>0</v>
          </cell>
          <cell r="K876">
            <v>0</v>
          </cell>
        </row>
        <row r="884">
          <cell r="K884">
            <v>0</v>
          </cell>
        </row>
        <row r="885">
          <cell r="J885" t="str">
            <v>Arame</v>
          </cell>
          <cell r="K885">
            <v>0</v>
          </cell>
        </row>
        <row r="886">
          <cell r="J886" t="str">
            <v>Pré-moldados de concreto</v>
          </cell>
          <cell r="K886">
            <v>0</v>
          </cell>
        </row>
        <row r="887">
          <cell r="J887" t="str">
            <v>Pré-moldados de concreto</v>
          </cell>
        </row>
        <row r="889">
          <cell r="J889">
            <v>0</v>
          </cell>
        </row>
        <row r="891">
          <cell r="J891">
            <v>0</v>
          </cell>
          <cell r="K891">
            <v>0</v>
          </cell>
        </row>
        <row r="894">
          <cell r="J894">
            <v>40902</v>
          </cell>
          <cell r="K894">
            <v>4.6500000000000004</v>
          </cell>
        </row>
        <row r="902">
          <cell r="J902">
            <v>0</v>
          </cell>
          <cell r="K902">
            <v>0</v>
          </cell>
        </row>
        <row r="903">
          <cell r="J903">
            <v>0</v>
          </cell>
          <cell r="K903">
            <v>0</v>
          </cell>
        </row>
        <row r="904">
          <cell r="J904">
            <v>0</v>
          </cell>
          <cell r="K904">
            <v>0</v>
          </cell>
        </row>
        <row r="905">
          <cell r="J905">
            <v>0</v>
          </cell>
          <cell r="K905">
            <v>0</v>
          </cell>
        </row>
        <row r="906">
          <cell r="J906">
            <v>0</v>
          </cell>
          <cell r="K906">
            <v>0</v>
          </cell>
        </row>
        <row r="907">
          <cell r="J907">
            <v>0</v>
          </cell>
          <cell r="K907">
            <v>0</v>
          </cell>
        </row>
        <row r="908">
          <cell r="J908">
            <v>0</v>
          </cell>
          <cell r="K908">
            <v>0</v>
          </cell>
        </row>
        <row r="909">
          <cell r="J909">
            <v>0</v>
          </cell>
          <cell r="K909">
            <v>0</v>
          </cell>
        </row>
        <row r="910">
          <cell r="J910">
            <v>0</v>
          </cell>
          <cell r="K910">
            <v>0</v>
          </cell>
        </row>
        <row r="911">
          <cell r="J911">
            <v>0</v>
          </cell>
          <cell r="K911">
            <v>0</v>
          </cell>
        </row>
        <row r="912">
          <cell r="J912">
            <v>0</v>
          </cell>
          <cell r="K912">
            <v>0</v>
          </cell>
        </row>
        <row r="913">
          <cell r="J913">
            <v>0</v>
          </cell>
          <cell r="K913">
            <v>0</v>
          </cell>
        </row>
        <row r="914">
          <cell r="J914">
            <v>0</v>
          </cell>
          <cell r="K914">
            <v>0</v>
          </cell>
        </row>
        <row r="915">
          <cell r="J915">
            <v>0</v>
          </cell>
          <cell r="K915">
            <v>0</v>
          </cell>
        </row>
        <row r="916">
          <cell r="J916">
            <v>0</v>
          </cell>
          <cell r="K916">
            <v>0</v>
          </cell>
        </row>
        <row r="917">
          <cell r="J917">
            <v>0</v>
          </cell>
          <cell r="K917">
            <v>0</v>
          </cell>
        </row>
        <row r="922">
          <cell r="J922" t="str">
            <v>Produto Pétreo</v>
          </cell>
        </row>
        <row r="930">
          <cell r="J930">
            <v>40915</v>
          </cell>
          <cell r="K930">
            <v>108.4</v>
          </cell>
        </row>
        <row r="937">
          <cell r="J937">
            <v>0</v>
          </cell>
          <cell r="K937">
            <v>0</v>
          </cell>
        </row>
        <row r="938">
          <cell r="J938">
            <v>0</v>
          </cell>
          <cell r="K938">
            <v>0</v>
          </cell>
        </row>
        <row r="939">
          <cell r="J939">
            <v>0</v>
          </cell>
          <cell r="K939">
            <v>0</v>
          </cell>
        </row>
        <row r="940">
          <cell r="J940">
            <v>0</v>
          </cell>
          <cell r="K940">
            <v>0</v>
          </cell>
        </row>
        <row r="941">
          <cell r="J941">
            <v>0</v>
          </cell>
          <cell r="K941">
            <v>0</v>
          </cell>
        </row>
        <row r="942">
          <cell r="J942">
            <v>0</v>
          </cell>
          <cell r="K942">
            <v>0</v>
          </cell>
        </row>
        <row r="943">
          <cell r="J943">
            <v>0</v>
          </cell>
          <cell r="K943">
            <v>0</v>
          </cell>
        </row>
        <row r="944">
          <cell r="J944">
            <v>0</v>
          </cell>
          <cell r="K944">
            <v>0</v>
          </cell>
        </row>
        <row r="945">
          <cell r="J945">
            <v>0</v>
          </cell>
          <cell r="K945">
            <v>0</v>
          </cell>
        </row>
        <row r="946">
          <cell r="J946">
            <v>0</v>
          </cell>
          <cell r="K946">
            <v>0</v>
          </cell>
        </row>
        <row r="947">
          <cell r="J947">
            <v>0</v>
          </cell>
          <cell r="K947">
            <v>0</v>
          </cell>
        </row>
        <row r="948">
          <cell r="J948">
            <v>0</v>
          </cell>
          <cell r="K948">
            <v>0</v>
          </cell>
        </row>
        <row r="949">
          <cell r="J949">
            <v>0</v>
          </cell>
          <cell r="K949">
            <v>0</v>
          </cell>
        </row>
        <row r="950">
          <cell r="J950">
            <v>0</v>
          </cell>
          <cell r="K950">
            <v>0</v>
          </cell>
        </row>
        <row r="951">
          <cell r="J951">
            <v>0</v>
          </cell>
          <cell r="K951">
            <v>0</v>
          </cell>
        </row>
        <row r="952">
          <cell r="J952">
            <v>0</v>
          </cell>
          <cell r="K952">
            <v>0</v>
          </cell>
        </row>
        <row r="955">
          <cell r="J955">
            <v>0</v>
          </cell>
        </row>
        <row r="956">
          <cell r="J956">
            <v>0</v>
          </cell>
        </row>
        <row r="960">
          <cell r="J960" t="str">
            <v>Produto Pétreo</v>
          </cell>
        </row>
        <row r="968">
          <cell r="J968">
            <v>40912</v>
          </cell>
          <cell r="K968">
            <v>98.8</v>
          </cell>
        </row>
        <row r="970">
          <cell r="J970">
            <v>0</v>
          </cell>
          <cell r="K970">
            <v>0</v>
          </cell>
        </row>
        <row r="971">
          <cell r="J971">
            <v>0</v>
          </cell>
          <cell r="K971">
            <v>0</v>
          </cell>
        </row>
        <row r="972">
          <cell r="J972">
            <v>0</v>
          </cell>
          <cell r="K972">
            <v>0</v>
          </cell>
        </row>
        <row r="973">
          <cell r="J973">
            <v>0</v>
          </cell>
          <cell r="K973">
            <v>0</v>
          </cell>
        </row>
        <row r="974">
          <cell r="J974">
            <v>0</v>
          </cell>
          <cell r="K974">
            <v>0</v>
          </cell>
        </row>
        <row r="975">
          <cell r="J975">
            <v>0</v>
          </cell>
          <cell r="K975">
            <v>0</v>
          </cell>
        </row>
        <row r="976">
          <cell r="J976">
            <v>0</v>
          </cell>
          <cell r="K976">
            <v>0</v>
          </cell>
        </row>
        <row r="977">
          <cell r="J977">
            <v>0</v>
          </cell>
          <cell r="K977">
            <v>0</v>
          </cell>
        </row>
        <row r="978">
          <cell r="J978">
            <v>0</v>
          </cell>
          <cell r="K978">
            <v>0</v>
          </cell>
        </row>
        <row r="979">
          <cell r="J979">
            <v>0</v>
          </cell>
          <cell r="K979">
            <v>0</v>
          </cell>
        </row>
        <row r="980">
          <cell r="J980">
            <v>0</v>
          </cell>
          <cell r="K980">
            <v>0</v>
          </cell>
        </row>
        <row r="981">
          <cell r="J981">
            <v>0</v>
          </cell>
          <cell r="K981">
            <v>0</v>
          </cell>
        </row>
        <row r="982">
          <cell r="J982">
            <v>0</v>
          </cell>
          <cell r="K982">
            <v>0</v>
          </cell>
        </row>
        <row r="983">
          <cell r="J983">
            <v>0</v>
          </cell>
          <cell r="K983">
            <v>0</v>
          </cell>
        </row>
        <row r="984">
          <cell r="J984">
            <v>0</v>
          </cell>
          <cell r="K984">
            <v>0</v>
          </cell>
        </row>
        <row r="985">
          <cell r="J985">
            <v>0</v>
          </cell>
          <cell r="K985">
            <v>0</v>
          </cell>
        </row>
        <row r="991">
          <cell r="J991">
            <v>0</v>
          </cell>
          <cell r="K991">
            <v>0</v>
          </cell>
        </row>
        <row r="995">
          <cell r="J995" t="str">
            <v>Ladrilho hidráulico</v>
          </cell>
        </row>
        <row r="998">
          <cell r="J998">
            <v>0</v>
          </cell>
        </row>
        <row r="1000">
          <cell r="J1000">
            <v>0</v>
          </cell>
        </row>
        <row r="1003">
          <cell r="J1003">
            <v>40925</v>
          </cell>
          <cell r="K1003">
            <v>16.97</v>
          </cell>
        </row>
        <row r="1004">
          <cell r="J1004">
            <v>0</v>
          </cell>
          <cell r="K1004">
            <v>0</v>
          </cell>
        </row>
        <row r="1005">
          <cell r="J1005">
            <v>0</v>
          </cell>
          <cell r="K1005">
            <v>0</v>
          </cell>
        </row>
        <row r="1006">
          <cell r="J1006">
            <v>0</v>
          </cell>
          <cell r="K1006">
            <v>0</v>
          </cell>
        </row>
        <row r="1007">
          <cell r="J1007">
            <v>0</v>
          </cell>
          <cell r="K1007">
            <v>0</v>
          </cell>
        </row>
        <row r="1008">
          <cell r="J1008">
            <v>0</v>
          </cell>
          <cell r="K1008">
            <v>0</v>
          </cell>
        </row>
        <row r="1009">
          <cell r="J1009">
            <v>0</v>
          </cell>
          <cell r="K1009">
            <v>0</v>
          </cell>
        </row>
        <row r="1010">
          <cell r="J1010">
            <v>0</v>
          </cell>
          <cell r="K1010">
            <v>0</v>
          </cell>
        </row>
        <row r="1011">
          <cell r="J1011">
            <v>0</v>
          </cell>
          <cell r="K1011">
            <v>0</v>
          </cell>
        </row>
        <row r="1012">
          <cell r="J1012">
            <v>0</v>
          </cell>
          <cell r="K1012">
            <v>0</v>
          </cell>
        </row>
        <row r="1013">
          <cell r="J1013">
            <v>0</v>
          </cell>
          <cell r="K1013">
            <v>0</v>
          </cell>
        </row>
        <row r="1014">
          <cell r="J1014">
            <v>0</v>
          </cell>
          <cell r="K1014">
            <v>0</v>
          </cell>
        </row>
        <row r="1015">
          <cell r="J1015">
            <v>0</v>
          </cell>
          <cell r="K1015">
            <v>0</v>
          </cell>
        </row>
        <row r="1016">
          <cell r="J1016">
            <v>0</v>
          </cell>
          <cell r="K1016">
            <v>0</v>
          </cell>
        </row>
        <row r="1017">
          <cell r="J1017">
            <v>0</v>
          </cell>
          <cell r="K1017">
            <v>0</v>
          </cell>
        </row>
        <row r="1018">
          <cell r="J1018">
            <v>0</v>
          </cell>
          <cell r="K1018">
            <v>0</v>
          </cell>
        </row>
        <row r="1019">
          <cell r="J1019">
            <v>0</v>
          </cell>
          <cell r="K1019">
            <v>0</v>
          </cell>
        </row>
        <row r="1020">
          <cell r="K1020">
            <v>0</v>
          </cell>
        </row>
        <row r="1021">
          <cell r="K1021">
            <v>0</v>
          </cell>
        </row>
        <row r="1022">
          <cell r="K1022">
            <v>0</v>
          </cell>
        </row>
        <row r="1023">
          <cell r="K1023">
            <v>0</v>
          </cell>
        </row>
        <row r="1024">
          <cell r="K1024">
            <v>0</v>
          </cell>
        </row>
        <row r="1025">
          <cell r="K1025">
            <v>0</v>
          </cell>
        </row>
        <row r="1026">
          <cell r="K1026">
            <v>0</v>
          </cell>
        </row>
        <row r="1027">
          <cell r="K1027">
            <v>0</v>
          </cell>
        </row>
        <row r="1028">
          <cell r="J1028">
            <v>0</v>
          </cell>
          <cell r="K1028">
            <v>0</v>
          </cell>
        </row>
        <row r="1029">
          <cell r="K1029">
            <v>0</v>
          </cell>
        </row>
        <row r="1030">
          <cell r="K1030">
            <v>0</v>
          </cell>
        </row>
        <row r="1031">
          <cell r="K1031">
            <v>0</v>
          </cell>
        </row>
        <row r="1032">
          <cell r="K1032">
            <v>0</v>
          </cell>
        </row>
        <row r="1033">
          <cell r="K1033">
            <v>0</v>
          </cell>
        </row>
        <row r="1034">
          <cell r="J1034" t="str">
            <v>Insumos sinalização</v>
          </cell>
          <cell r="K1034">
            <v>0</v>
          </cell>
        </row>
        <row r="1035">
          <cell r="J1035" t="str">
            <v>Insumos sinalização</v>
          </cell>
          <cell r="K1035">
            <v>0</v>
          </cell>
        </row>
        <row r="1036">
          <cell r="J1036" t="str">
            <v>Insumos sinalização</v>
          </cell>
        </row>
        <row r="1044">
          <cell r="J1044">
            <v>42524</v>
          </cell>
          <cell r="K1044">
            <v>94.05</v>
          </cell>
        </row>
        <row r="1050">
          <cell r="J1050">
            <v>0</v>
          </cell>
          <cell r="K1050">
            <v>0</v>
          </cell>
        </row>
        <row r="1051">
          <cell r="J1051">
            <v>0</v>
          </cell>
          <cell r="K1051">
            <v>0</v>
          </cell>
        </row>
        <row r="1052">
          <cell r="J1052">
            <v>0</v>
          </cell>
          <cell r="K1052">
            <v>0</v>
          </cell>
        </row>
        <row r="1053">
          <cell r="J1053">
            <v>0</v>
          </cell>
          <cell r="K1053">
            <v>0</v>
          </cell>
        </row>
        <row r="1054">
          <cell r="J1054">
            <v>0</v>
          </cell>
          <cell r="K1054">
            <v>0</v>
          </cell>
        </row>
        <row r="1055">
          <cell r="J1055">
            <v>0</v>
          </cell>
          <cell r="K1055">
            <v>0</v>
          </cell>
        </row>
        <row r="1056">
          <cell r="J1056">
            <v>0</v>
          </cell>
          <cell r="K1056">
            <v>0</v>
          </cell>
        </row>
        <row r="1057">
          <cell r="J1057">
            <v>0</v>
          </cell>
          <cell r="K1057">
            <v>0</v>
          </cell>
        </row>
        <row r="1058">
          <cell r="J1058">
            <v>0</v>
          </cell>
          <cell r="K1058">
            <v>0</v>
          </cell>
        </row>
        <row r="1059">
          <cell r="J1059">
            <v>0</v>
          </cell>
          <cell r="K1059">
            <v>0</v>
          </cell>
        </row>
        <row r="1060">
          <cell r="J1060">
            <v>0</v>
          </cell>
          <cell r="K1060">
            <v>0</v>
          </cell>
        </row>
        <row r="1061">
          <cell r="J1061">
            <v>0</v>
          </cell>
          <cell r="K1061">
            <v>0</v>
          </cell>
        </row>
        <row r="1062">
          <cell r="J1062">
            <v>0</v>
          </cell>
          <cell r="K1062">
            <v>0</v>
          </cell>
        </row>
        <row r="1063">
          <cell r="J1063">
            <v>0</v>
          </cell>
          <cell r="K1063">
            <v>0</v>
          </cell>
        </row>
        <row r="1064">
          <cell r="J1064">
            <v>0</v>
          </cell>
          <cell r="K1064">
            <v>0</v>
          </cell>
        </row>
        <row r="1065">
          <cell r="J1065">
            <v>0</v>
          </cell>
          <cell r="K1065">
            <v>0</v>
          </cell>
        </row>
        <row r="1073">
          <cell r="J1073">
            <v>0</v>
          </cell>
          <cell r="K1073">
            <v>0</v>
          </cell>
        </row>
        <row r="1084">
          <cell r="J1084">
            <v>40932</v>
          </cell>
          <cell r="K1084">
            <v>18.29</v>
          </cell>
        </row>
        <row r="1095">
          <cell r="J1095">
            <v>0</v>
          </cell>
          <cell r="K1095">
            <v>0</v>
          </cell>
        </row>
        <row r="1096">
          <cell r="J1096">
            <v>0</v>
          </cell>
          <cell r="K1096">
            <v>0</v>
          </cell>
        </row>
        <row r="1097">
          <cell r="J1097">
            <v>0</v>
          </cell>
          <cell r="K1097">
            <v>0</v>
          </cell>
        </row>
        <row r="1098">
          <cell r="J1098">
            <v>0</v>
          </cell>
          <cell r="K1098">
            <v>0</v>
          </cell>
        </row>
        <row r="1099">
          <cell r="J1099">
            <v>0</v>
          </cell>
          <cell r="K1099">
            <v>0</v>
          </cell>
        </row>
        <row r="1100">
          <cell r="J1100">
            <v>0</v>
          </cell>
          <cell r="K1100">
            <v>0</v>
          </cell>
        </row>
        <row r="1101">
          <cell r="J1101">
            <v>0</v>
          </cell>
          <cell r="K1101">
            <v>0</v>
          </cell>
        </row>
        <row r="1102">
          <cell r="J1102">
            <v>0</v>
          </cell>
          <cell r="K1102">
            <v>0</v>
          </cell>
        </row>
        <row r="1103">
          <cell r="J1103">
            <v>0</v>
          </cell>
          <cell r="K1103">
            <v>0</v>
          </cell>
        </row>
        <row r="1104">
          <cell r="J1104">
            <v>0</v>
          </cell>
          <cell r="K1104">
            <v>0</v>
          </cell>
        </row>
        <row r="1105">
          <cell r="J1105">
            <v>0</v>
          </cell>
          <cell r="K1105">
            <v>0</v>
          </cell>
        </row>
        <row r="1106">
          <cell r="J1106">
            <v>0</v>
          </cell>
          <cell r="K1106">
            <v>0</v>
          </cell>
        </row>
        <row r="1107">
          <cell r="J1107">
            <v>0</v>
          </cell>
          <cell r="K1107">
            <v>0</v>
          </cell>
        </row>
        <row r="1108">
          <cell r="J1108">
            <v>0</v>
          </cell>
          <cell r="K1108">
            <v>0</v>
          </cell>
        </row>
        <row r="1109">
          <cell r="J1109">
            <v>0</v>
          </cell>
          <cell r="K1109">
            <v>0</v>
          </cell>
        </row>
        <row r="1110">
          <cell r="J1110">
            <v>0</v>
          </cell>
          <cell r="K1110">
            <v>0</v>
          </cell>
        </row>
        <row r="1116">
          <cell r="J1116" t="str">
            <v>Código</v>
          </cell>
        </row>
        <row r="1125">
          <cell r="J1125">
            <v>40935</v>
          </cell>
          <cell r="K1125">
            <v>55.14</v>
          </cell>
        </row>
        <row r="1134">
          <cell r="J1134">
            <v>0</v>
          </cell>
          <cell r="K1134">
            <v>0</v>
          </cell>
        </row>
        <row r="1135">
          <cell r="J1135">
            <v>0</v>
          </cell>
          <cell r="K1135">
            <v>0</v>
          </cell>
        </row>
        <row r="1136">
          <cell r="J1136">
            <v>0</v>
          </cell>
          <cell r="K1136">
            <v>0</v>
          </cell>
        </row>
        <row r="1137">
          <cell r="J1137">
            <v>0</v>
          </cell>
          <cell r="K1137">
            <v>0</v>
          </cell>
        </row>
        <row r="1138">
          <cell r="J1138">
            <v>0</v>
          </cell>
          <cell r="K1138">
            <v>0</v>
          </cell>
        </row>
        <row r="1139">
          <cell r="J1139">
            <v>0</v>
          </cell>
          <cell r="K1139">
            <v>0</v>
          </cell>
        </row>
        <row r="1140">
          <cell r="J1140">
            <v>0</v>
          </cell>
          <cell r="K1140">
            <v>0</v>
          </cell>
        </row>
        <row r="1141">
          <cell r="J1141">
            <v>0</v>
          </cell>
          <cell r="K1141">
            <v>0</v>
          </cell>
        </row>
        <row r="1142">
          <cell r="J1142">
            <v>0</v>
          </cell>
          <cell r="K1142">
            <v>0</v>
          </cell>
        </row>
        <row r="1143">
          <cell r="J1143">
            <v>0</v>
          </cell>
          <cell r="K1143">
            <v>0</v>
          </cell>
        </row>
        <row r="1144">
          <cell r="J1144">
            <v>0</v>
          </cell>
          <cell r="K1144">
            <v>0</v>
          </cell>
        </row>
        <row r="1145">
          <cell r="J1145">
            <v>0</v>
          </cell>
          <cell r="K1145">
            <v>0</v>
          </cell>
        </row>
        <row r="1146">
          <cell r="J1146">
            <v>0</v>
          </cell>
          <cell r="K1146">
            <v>0</v>
          </cell>
        </row>
        <row r="1147">
          <cell r="J1147">
            <v>0</v>
          </cell>
          <cell r="K1147">
            <v>0</v>
          </cell>
        </row>
        <row r="1148">
          <cell r="J1148">
            <v>0</v>
          </cell>
          <cell r="K1148">
            <v>0</v>
          </cell>
        </row>
        <row r="1149">
          <cell r="J1149">
            <v>0</v>
          </cell>
          <cell r="K1149">
            <v>0</v>
          </cell>
        </row>
        <row r="1151">
          <cell r="J1151">
            <v>0</v>
          </cell>
          <cell r="K1151">
            <v>0</v>
          </cell>
        </row>
        <row r="1161">
          <cell r="J1161">
            <v>40936</v>
          </cell>
          <cell r="K1161">
            <v>607.58000000000004</v>
          </cell>
        </row>
        <row r="1172">
          <cell r="J1172">
            <v>0</v>
          </cell>
          <cell r="K1172">
            <v>0</v>
          </cell>
        </row>
        <row r="1173">
          <cell r="J1173">
            <v>0</v>
          </cell>
          <cell r="K1173">
            <v>0</v>
          </cell>
        </row>
        <row r="1174">
          <cell r="J1174">
            <v>0</v>
          </cell>
          <cell r="K1174">
            <v>0</v>
          </cell>
        </row>
        <row r="1175">
          <cell r="J1175">
            <v>0</v>
          </cell>
          <cell r="K1175">
            <v>0</v>
          </cell>
        </row>
        <row r="1176">
          <cell r="J1176">
            <v>0</v>
          </cell>
          <cell r="K1176">
            <v>0</v>
          </cell>
        </row>
        <row r="1177">
          <cell r="J1177">
            <v>0</v>
          </cell>
          <cell r="K1177">
            <v>0</v>
          </cell>
        </row>
        <row r="1178">
          <cell r="J1178">
            <v>0</v>
          </cell>
          <cell r="K1178">
            <v>0</v>
          </cell>
        </row>
        <row r="1179">
          <cell r="J1179">
            <v>0</v>
          </cell>
          <cell r="K1179">
            <v>0</v>
          </cell>
        </row>
        <row r="1180">
          <cell r="J1180">
            <v>0</v>
          </cell>
          <cell r="K1180">
            <v>0</v>
          </cell>
        </row>
        <row r="1181">
          <cell r="J1181">
            <v>0</v>
          </cell>
          <cell r="K1181">
            <v>0</v>
          </cell>
        </row>
        <row r="1182">
          <cell r="J1182">
            <v>0</v>
          </cell>
          <cell r="K1182">
            <v>0</v>
          </cell>
        </row>
        <row r="1183">
          <cell r="J1183">
            <v>0</v>
          </cell>
          <cell r="K1183">
            <v>0</v>
          </cell>
        </row>
        <row r="1184">
          <cell r="J1184">
            <v>0</v>
          </cell>
          <cell r="K1184">
            <v>0</v>
          </cell>
        </row>
        <row r="1185">
          <cell r="J1185">
            <v>0</v>
          </cell>
          <cell r="K1185">
            <v>0</v>
          </cell>
        </row>
        <row r="1186">
          <cell r="J1186">
            <v>0</v>
          </cell>
          <cell r="K1186">
            <v>0</v>
          </cell>
        </row>
        <row r="1187">
          <cell r="J1187">
            <v>0</v>
          </cell>
          <cell r="K1187">
            <v>0</v>
          </cell>
        </row>
        <row r="1188">
          <cell r="J1188">
            <v>0</v>
          </cell>
          <cell r="K1188">
            <v>0</v>
          </cell>
        </row>
        <row r="1189">
          <cell r="J1189">
            <v>0</v>
          </cell>
          <cell r="K1189">
            <v>0</v>
          </cell>
        </row>
        <row r="1190">
          <cell r="J1190">
            <v>0</v>
          </cell>
          <cell r="K1190">
            <v>0</v>
          </cell>
        </row>
        <row r="1191">
          <cell r="J1191">
            <v>0</v>
          </cell>
          <cell r="K1191">
            <v>0</v>
          </cell>
        </row>
        <row r="1192">
          <cell r="J1192">
            <v>0</v>
          </cell>
          <cell r="K1192">
            <v>0</v>
          </cell>
        </row>
        <row r="1193">
          <cell r="J1193">
            <v>0</v>
          </cell>
          <cell r="K1193">
            <v>0</v>
          </cell>
        </row>
        <row r="1194">
          <cell r="J1194">
            <v>0</v>
          </cell>
          <cell r="K1194">
            <v>0</v>
          </cell>
        </row>
        <row r="1195">
          <cell r="J1195">
            <v>0</v>
          </cell>
          <cell r="K1195">
            <v>0</v>
          </cell>
        </row>
        <row r="1196">
          <cell r="J1196">
            <v>0</v>
          </cell>
          <cell r="K1196">
            <v>0</v>
          </cell>
        </row>
        <row r="1197">
          <cell r="J1197">
            <v>0</v>
          </cell>
          <cell r="K1197">
            <v>0</v>
          </cell>
        </row>
        <row r="1198">
          <cell r="J1198">
            <v>0</v>
          </cell>
          <cell r="K1198">
            <v>0</v>
          </cell>
        </row>
        <row r="1199">
          <cell r="J1199">
            <v>0</v>
          </cell>
          <cell r="K1199">
            <v>0</v>
          </cell>
        </row>
        <row r="1200">
          <cell r="J1200">
            <v>0</v>
          </cell>
          <cell r="K1200">
            <v>0</v>
          </cell>
        </row>
        <row r="1201">
          <cell r="J1201">
            <v>0</v>
          </cell>
          <cell r="K1201">
            <v>0</v>
          </cell>
        </row>
        <row r="1202">
          <cell r="J1202">
            <v>0</v>
          </cell>
          <cell r="K1202">
            <v>0</v>
          </cell>
        </row>
        <row r="1203">
          <cell r="J1203">
            <v>0</v>
          </cell>
          <cell r="K1203">
            <v>0</v>
          </cell>
        </row>
        <row r="1210">
          <cell r="J1210">
            <v>41203</v>
          </cell>
          <cell r="K1210">
            <v>615.61</v>
          </cell>
        </row>
        <row r="1218">
          <cell r="J1218">
            <v>0</v>
          </cell>
          <cell r="K1218">
            <v>0</v>
          </cell>
        </row>
        <row r="1219">
          <cell r="J1219">
            <v>0</v>
          </cell>
          <cell r="K1219">
            <v>0</v>
          </cell>
        </row>
        <row r="1220">
          <cell r="J1220">
            <v>0</v>
          </cell>
          <cell r="K1220">
            <v>0</v>
          </cell>
        </row>
        <row r="1221">
          <cell r="J1221">
            <v>0</v>
          </cell>
          <cell r="K1221">
            <v>0</v>
          </cell>
        </row>
        <row r="1222">
          <cell r="J1222">
            <v>0</v>
          </cell>
          <cell r="K1222">
            <v>0</v>
          </cell>
        </row>
        <row r="1223">
          <cell r="J1223">
            <v>0</v>
          </cell>
          <cell r="K1223">
            <v>0</v>
          </cell>
        </row>
        <row r="1224">
          <cell r="J1224">
            <v>0</v>
          </cell>
          <cell r="K1224">
            <v>0</v>
          </cell>
        </row>
        <row r="1225">
          <cell r="J1225">
            <v>0</v>
          </cell>
          <cell r="K1225">
            <v>0</v>
          </cell>
        </row>
        <row r="1226">
          <cell r="J1226">
            <v>0</v>
          </cell>
          <cell r="K1226">
            <v>0</v>
          </cell>
        </row>
        <row r="1227">
          <cell r="J1227">
            <v>0</v>
          </cell>
          <cell r="K1227">
            <v>0</v>
          </cell>
        </row>
        <row r="1228">
          <cell r="J1228">
            <v>0</v>
          </cell>
          <cell r="K1228">
            <v>0</v>
          </cell>
        </row>
        <row r="1229">
          <cell r="J1229">
            <v>0</v>
          </cell>
          <cell r="K1229">
            <v>0</v>
          </cell>
        </row>
        <row r="1230">
          <cell r="J1230">
            <v>0</v>
          </cell>
          <cell r="K1230">
            <v>0</v>
          </cell>
        </row>
        <row r="1231">
          <cell r="J1231">
            <v>0</v>
          </cell>
          <cell r="K1231">
            <v>0</v>
          </cell>
        </row>
        <row r="1232">
          <cell r="J1232">
            <v>0</v>
          </cell>
          <cell r="K1232">
            <v>0</v>
          </cell>
        </row>
        <row r="1233">
          <cell r="J1233">
            <v>0</v>
          </cell>
          <cell r="K1233">
            <v>0</v>
          </cell>
        </row>
        <row r="1234">
          <cell r="J1234">
            <v>0</v>
          </cell>
          <cell r="K1234">
            <v>0</v>
          </cell>
        </row>
        <row r="1239">
          <cell r="J1239" t="str">
            <v>Insumos sinalização</v>
          </cell>
          <cell r="K1239">
            <v>0</v>
          </cell>
        </row>
        <row r="1240">
          <cell r="J1240" t="str">
            <v>Insumos sinalização</v>
          </cell>
          <cell r="K1240">
            <v>0</v>
          </cell>
        </row>
        <row r="1247">
          <cell r="J1247">
            <v>42046</v>
          </cell>
          <cell r="K1247">
            <v>87.82</v>
          </cell>
        </row>
        <row r="1256">
          <cell r="J1256">
            <v>0</v>
          </cell>
          <cell r="K1256">
            <v>0</v>
          </cell>
        </row>
        <row r="1257">
          <cell r="J1257">
            <v>0</v>
          </cell>
          <cell r="K1257">
            <v>0</v>
          </cell>
        </row>
        <row r="1258">
          <cell r="J1258">
            <v>0</v>
          </cell>
          <cell r="K1258">
            <v>0</v>
          </cell>
        </row>
        <row r="1259">
          <cell r="J1259">
            <v>0</v>
          </cell>
          <cell r="K1259">
            <v>0</v>
          </cell>
        </row>
        <row r="1260">
          <cell r="J1260">
            <v>0</v>
          </cell>
          <cell r="K1260">
            <v>0</v>
          </cell>
        </row>
        <row r="1261">
          <cell r="J1261">
            <v>0</v>
          </cell>
          <cell r="K1261">
            <v>0</v>
          </cell>
        </row>
        <row r="1262">
          <cell r="J1262">
            <v>0</v>
          </cell>
          <cell r="K1262">
            <v>0</v>
          </cell>
        </row>
        <row r="1263">
          <cell r="J1263">
            <v>0</v>
          </cell>
          <cell r="K1263">
            <v>0</v>
          </cell>
        </row>
        <row r="1264">
          <cell r="J1264">
            <v>0</v>
          </cell>
          <cell r="K1264">
            <v>0</v>
          </cell>
        </row>
        <row r="1265">
          <cell r="J1265">
            <v>0</v>
          </cell>
          <cell r="K1265">
            <v>0</v>
          </cell>
        </row>
        <row r="1266">
          <cell r="J1266">
            <v>0</v>
          </cell>
          <cell r="K1266">
            <v>0</v>
          </cell>
        </row>
        <row r="1267">
          <cell r="J1267">
            <v>0</v>
          </cell>
          <cell r="K1267">
            <v>0</v>
          </cell>
        </row>
        <row r="1268">
          <cell r="J1268">
            <v>0</v>
          </cell>
          <cell r="K1268">
            <v>0</v>
          </cell>
        </row>
        <row r="1269">
          <cell r="J1269">
            <v>0</v>
          </cell>
          <cell r="K1269">
            <v>0</v>
          </cell>
        </row>
        <row r="1270">
          <cell r="J1270">
            <v>0</v>
          </cell>
          <cell r="K1270">
            <v>0</v>
          </cell>
        </row>
        <row r="1271">
          <cell r="J1271">
            <v>0</v>
          </cell>
          <cell r="K1271">
            <v>0</v>
          </cell>
        </row>
        <row r="1282">
          <cell r="J1282">
            <v>42047</v>
          </cell>
          <cell r="K1282">
            <v>47.21</v>
          </cell>
        </row>
        <row r="1288">
          <cell r="J1288">
            <v>0</v>
          </cell>
          <cell r="K1288">
            <v>0</v>
          </cell>
        </row>
        <row r="1289">
          <cell r="J1289">
            <v>0</v>
          </cell>
          <cell r="K1289">
            <v>0</v>
          </cell>
        </row>
        <row r="1290">
          <cell r="J1290">
            <v>0</v>
          </cell>
          <cell r="K1290">
            <v>0</v>
          </cell>
        </row>
        <row r="1291">
          <cell r="J1291">
            <v>0</v>
          </cell>
          <cell r="K1291">
            <v>0</v>
          </cell>
        </row>
        <row r="1292">
          <cell r="J1292">
            <v>0</v>
          </cell>
          <cell r="K1292">
            <v>0</v>
          </cell>
        </row>
        <row r="1293">
          <cell r="J1293">
            <v>0</v>
          </cell>
          <cell r="K1293">
            <v>0</v>
          </cell>
        </row>
        <row r="1294">
          <cell r="J1294">
            <v>0</v>
          </cell>
          <cell r="K1294">
            <v>0</v>
          </cell>
        </row>
        <row r="1295">
          <cell r="J1295">
            <v>0</v>
          </cell>
          <cell r="K1295">
            <v>0</v>
          </cell>
        </row>
        <row r="1296">
          <cell r="J1296">
            <v>0</v>
          </cell>
          <cell r="K1296">
            <v>0</v>
          </cell>
        </row>
        <row r="1297">
          <cell r="J1297">
            <v>0</v>
          </cell>
          <cell r="K1297">
            <v>0</v>
          </cell>
        </row>
        <row r="1298">
          <cell r="J1298">
            <v>0</v>
          </cell>
          <cell r="K1298">
            <v>0</v>
          </cell>
        </row>
        <row r="1299">
          <cell r="J1299">
            <v>0</v>
          </cell>
          <cell r="K1299">
            <v>0</v>
          </cell>
        </row>
        <row r="1300">
          <cell r="J1300">
            <v>0</v>
          </cell>
          <cell r="K1300">
            <v>0</v>
          </cell>
        </row>
        <row r="1301">
          <cell r="J1301">
            <v>0</v>
          </cell>
          <cell r="K1301">
            <v>0</v>
          </cell>
        </row>
        <row r="1302">
          <cell r="J1302">
            <v>0</v>
          </cell>
          <cell r="K1302">
            <v>0</v>
          </cell>
        </row>
        <row r="1303">
          <cell r="J1303">
            <v>0</v>
          </cell>
          <cell r="K1303">
            <v>0</v>
          </cell>
        </row>
        <row r="1320">
          <cell r="J1320">
            <v>40937</v>
          </cell>
          <cell r="K1320">
            <v>464.14</v>
          </cell>
        </row>
        <row r="1321">
          <cell r="J1321">
            <v>0</v>
          </cell>
          <cell r="K1321">
            <v>0</v>
          </cell>
        </row>
        <row r="1322">
          <cell r="J1322">
            <v>0</v>
          </cell>
          <cell r="K1322">
            <v>0</v>
          </cell>
        </row>
        <row r="1323">
          <cell r="J1323">
            <v>0</v>
          </cell>
          <cell r="K1323">
            <v>0</v>
          </cell>
        </row>
        <row r="1324">
          <cell r="J1324">
            <v>0</v>
          </cell>
          <cell r="K1324">
            <v>0</v>
          </cell>
        </row>
        <row r="1325">
          <cell r="J1325">
            <v>0</v>
          </cell>
          <cell r="K1325">
            <v>0</v>
          </cell>
        </row>
        <row r="1326">
          <cell r="J1326">
            <v>0</v>
          </cell>
          <cell r="K1326">
            <v>0</v>
          </cell>
        </row>
        <row r="1327">
          <cell r="J1327">
            <v>0</v>
          </cell>
          <cell r="K1327">
            <v>0</v>
          </cell>
        </row>
        <row r="1328">
          <cell r="J1328">
            <v>0</v>
          </cell>
          <cell r="K1328">
            <v>0</v>
          </cell>
        </row>
        <row r="1329">
          <cell r="J1329">
            <v>0</v>
          </cell>
          <cell r="K1329">
            <v>0</v>
          </cell>
        </row>
        <row r="1330">
          <cell r="J1330">
            <v>0</v>
          </cell>
          <cell r="K1330">
            <v>0</v>
          </cell>
        </row>
        <row r="1331">
          <cell r="J1331">
            <v>0</v>
          </cell>
          <cell r="K1331">
            <v>0</v>
          </cell>
        </row>
        <row r="1332">
          <cell r="J1332">
            <v>0</v>
          </cell>
          <cell r="K1332">
            <v>0</v>
          </cell>
        </row>
        <row r="1333">
          <cell r="J1333">
            <v>0</v>
          </cell>
          <cell r="K1333">
            <v>0</v>
          </cell>
        </row>
        <row r="1334">
          <cell r="J1334">
            <v>0</v>
          </cell>
          <cell r="K1334">
            <v>0</v>
          </cell>
        </row>
        <row r="1335">
          <cell r="J1335">
            <v>0</v>
          </cell>
          <cell r="K1335">
            <v>0</v>
          </cell>
        </row>
        <row r="1336">
          <cell r="J1336">
            <v>0</v>
          </cell>
          <cell r="K1336">
            <v>0</v>
          </cell>
        </row>
        <row r="1337">
          <cell r="J1337">
            <v>0</v>
          </cell>
          <cell r="K1337">
            <v>0</v>
          </cell>
        </row>
        <row r="1338">
          <cell r="J1338">
            <v>0</v>
          </cell>
          <cell r="K1338">
            <v>0</v>
          </cell>
        </row>
        <row r="1339">
          <cell r="J1339">
            <v>0</v>
          </cell>
          <cell r="K1339">
            <v>0</v>
          </cell>
        </row>
        <row r="1340">
          <cell r="J1340">
            <v>0</v>
          </cell>
          <cell r="K1340">
            <v>0</v>
          </cell>
        </row>
        <row r="1341">
          <cell r="J1341">
            <v>0</v>
          </cell>
          <cell r="K1341">
            <v>0</v>
          </cell>
        </row>
        <row r="1342">
          <cell r="J1342">
            <v>0</v>
          </cell>
          <cell r="K1342">
            <v>0</v>
          </cell>
        </row>
        <row r="1343">
          <cell r="J1343">
            <v>0</v>
          </cell>
          <cell r="K1343">
            <v>0</v>
          </cell>
        </row>
        <row r="1344">
          <cell r="J1344">
            <v>0</v>
          </cell>
          <cell r="K1344">
            <v>0</v>
          </cell>
        </row>
        <row r="1345">
          <cell r="J1345">
            <v>0</v>
          </cell>
          <cell r="K1345">
            <v>0</v>
          </cell>
        </row>
        <row r="1346">
          <cell r="J1346">
            <v>0</v>
          </cell>
          <cell r="K1346">
            <v>0</v>
          </cell>
        </row>
        <row r="1347">
          <cell r="J1347">
            <v>0</v>
          </cell>
          <cell r="K1347">
            <v>0</v>
          </cell>
        </row>
        <row r="1348">
          <cell r="J1348">
            <v>0</v>
          </cell>
          <cell r="K1348">
            <v>0</v>
          </cell>
        </row>
        <row r="1349">
          <cell r="J1349">
            <v>0</v>
          </cell>
          <cell r="K1349">
            <v>0</v>
          </cell>
        </row>
        <row r="1350">
          <cell r="J1350">
            <v>0</v>
          </cell>
          <cell r="K1350">
            <v>0</v>
          </cell>
        </row>
        <row r="1351">
          <cell r="J1351">
            <v>0</v>
          </cell>
          <cell r="K1351">
            <v>0</v>
          </cell>
        </row>
        <row r="1352">
          <cell r="J1352">
            <v>0</v>
          </cell>
          <cell r="K1352">
            <v>0</v>
          </cell>
        </row>
        <row r="1369">
          <cell r="J1369">
            <v>0</v>
          </cell>
          <cell r="K1369">
            <v>0</v>
          </cell>
        </row>
        <row r="1370">
          <cell r="J1370">
            <v>0</v>
          </cell>
          <cell r="K1370">
            <v>0</v>
          </cell>
        </row>
        <row r="1371">
          <cell r="J1371">
            <v>42200</v>
          </cell>
          <cell r="K1371">
            <v>4.96</v>
          </cell>
        </row>
        <row r="1372">
          <cell r="J1372">
            <v>0</v>
          </cell>
          <cell r="K1372">
            <v>0</v>
          </cell>
        </row>
        <row r="1375">
          <cell r="J1375">
            <v>0</v>
          </cell>
          <cell r="K1375">
            <v>0</v>
          </cell>
        </row>
        <row r="1376">
          <cell r="J1376">
            <v>0</v>
          </cell>
          <cell r="K1376">
            <v>0</v>
          </cell>
        </row>
        <row r="1377">
          <cell r="J1377">
            <v>0</v>
          </cell>
          <cell r="K1377">
            <v>0</v>
          </cell>
        </row>
        <row r="1378">
          <cell r="J1378">
            <v>0</v>
          </cell>
          <cell r="K1378">
            <v>0</v>
          </cell>
        </row>
        <row r="1379">
          <cell r="J1379">
            <v>0</v>
          </cell>
          <cell r="K1379">
            <v>0</v>
          </cell>
        </row>
        <row r="1380">
          <cell r="J1380">
            <v>0</v>
          </cell>
          <cell r="K1380">
            <v>0</v>
          </cell>
        </row>
        <row r="1381">
          <cell r="J1381">
            <v>0</v>
          </cell>
          <cell r="K1381">
            <v>0</v>
          </cell>
        </row>
        <row r="1382">
          <cell r="J1382">
            <v>0</v>
          </cell>
          <cell r="K1382">
            <v>0</v>
          </cell>
        </row>
        <row r="1383">
          <cell r="J1383">
            <v>0</v>
          </cell>
          <cell r="K1383">
            <v>0</v>
          </cell>
        </row>
        <row r="1384">
          <cell r="J1384">
            <v>0</v>
          </cell>
          <cell r="K1384">
            <v>0</v>
          </cell>
        </row>
        <row r="1385">
          <cell r="J1385">
            <v>0</v>
          </cell>
          <cell r="K1385">
            <v>0</v>
          </cell>
        </row>
        <row r="1386">
          <cell r="J1386">
            <v>0</v>
          </cell>
          <cell r="K1386">
            <v>0</v>
          </cell>
        </row>
        <row r="1387">
          <cell r="J1387">
            <v>0</v>
          </cell>
          <cell r="K1387">
            <v>0</v>
          </cell>
        </row>
        <row r="1388">
          <cell r="J1388">
            <v>0</v>
          </cell>
          <cell r="K1388">
            <v>0</v>
          </cell>
        </row>
        <row r="1389">
          <cell r="J1389">
            <v>0</v>
          </cell>
          <cell r="K1389">
            <v>0</v>
          </cell>
        </row>
        <row r="1390">
          <cell r="J1390">
            <v>0</v>
          </cell>
          <cell r="K1390">
            <v>0</v>
          </cell>
        </row>
        <row r="1395">
          <cell r="J1395">
            <v>0</v>
          </cell>
          <cell r="K1395">
            <v>0</v>
          </cell>
        </row>
        <row r="1408">
          <cell r="J1408">
            <v>42041</v>
          </cell>
          <cell r="K1408">
            <v>24.03</v>
          </cell>
        </row>
        <row r="1416">
          <cell r="J1416">
            <v>0</v>
          </cell>
          <cell r="K1416">
            <v>0</v>
          </cell>
        </row>
        <row r="1417">
          <cell r="J1417">
            <v>0</v>
          </cell>
          <cell r="K1417">
            <v>0</v>
          </cell>
        </row>
        <row r="1418">
          <cell r="J1418">
            <v>0</v>
          </cell>
          <cell r="K1418">
            <v>0</v>
          </cell>
        </row>
        <row r="1419">
          <cell r="J1419">
            <v>0</v>
          </cell>
          <cell r="K1419">
            <v>0</v>
          </cell>
        </row>
        <row r="1420">
          <cell r="J1420">
            <v>0</v>
          </cell>
          <cell r="K1420">
            <v>0</v>
          </cell>
        </row>
        <row r="1421">
          <cell r="J1421">
            <v>0</v>
          </cell>
          <cell r="K1421">
            <v>0</v>
          </cell>
        </row>
        <row r="1422">
          <cell r="J1422">
            <v>0</v>
          </cell>
          <cell r="K1422">
            <v>0</v>
          </cell>
        </row>
        <row r="1423">
          <cell r="J1423">
            <v>0</v>
          </cell>
          <cell r="K1423">
            <v>0</v>
          </cell>
        </row>
        <row r="1424">
          <cell r="J1424">
            <v>0</v>
          </cell>
          <cell r="K1424">
            <v>0</v>
          </cell>
        </row>
        <row r="1425">
          <cell r="J1425">
            <v>0</v>
          </cell>
          <cell r="K1425">
            <v>0</v>
          </cell>
        </row>
        <row r="1426">
          <cell r="J1426">
            <v>0</v>
          </cell>
          <cell r="K1426">
            <v>0</v>
          </cell>
        </row>
        <row r="1427">
          <cell r="J1427">
            <v>0</v>
          </cell>
          <cell r="K1427">
            <v>0</v>
          </cell>
        </row>
        <row r="1428">
          <cell r="J1428">
            <v>0</v>
          </cell>
          <cell r="K1428">
            <v>0</v>
          </cell>
        </row>
        <row r="1429">
          <cell r="J1429">
            <v>0</v>
          </cell>
          <cell r="K1429">
            <v>0</v>
          </cell>
        </row>
        <row r="1430">
          <cell r="J1430">
            <v>0</v>
          </cell>
          <cell r="K1430">
            <v>0</v>
          </cell>
        </row>
        <row r="1431">
          <cell r="J1431">
            <v>0</v>
          </cell>
          <cell r="K1431">
            <v>0</v>
          </cell>
        </row>
        <row r="1438">
          <cell r="J1438" t="str">
            <v>Madeira em Geral</v>
          </cell>
        </row>
        <row r="1439">
          <cell r="J1439" t="str">
            <v>Madeira em Geral</v>
          </cell>
        </row>
        <row r="1442">
          <cell r="J1442">
            <v>0</v>
          </cell>
        </row>
        <row r="1446">
          <cell r="J1446">
            <v>42044</v>
          </cell>
          <cell r="K1446">
            <v>4799.2700000000004</v>
          </cell>
        </row>
        <row r="1456">
          <cell r="J1456">
            <v>0</v>
          </cell>
          <cell r="K1456">
            <v>0</v>
          </cell>
        </row>
        <row r="1457">
          <cell r="J1457">
            <v>0</v>
          </cell>
          <cell r="K1457">
            <v>0</v>
          </cell>
        </row>
        <row r="1458">
          <cell r="J1458">
            <v>0</v>
          </cell>
          <cell r="K1458">
            <v>0</v>
          </cell>
        </row>
        <row r="1459">
          <cell r="J1459">
            <v>0</v>
          </cell>
          <cell r="K1459">
            <v>0</v>
          </cell>
        </row>
        <row r="1460">
          <cell r="J1460">
            <v>0</v>
          </cell>
          <cell r="K1460">
            <v>0</v>
          </cell>
        </row>
        <row r="1461">
          <cell r="J1461">
            <v>0</v>
          </cell>
          <cell r="K1461">
            <v>0</v>
          </cell>
        </row>
        <row r="1462">
          <cell r="J1462">
            <v>0</v>
          </cell>
          <cell r="K1462">
            <v>0</v>
          </cell>
        </row>
        <row r="1463">
          <cell r="J1463">
            <v>0</v>
          </cell>
          <cell r="K1463">
            <v>0</v>
          </cell>
        </row>
        <row r="1464">
          <cell r="J1464">
            <v>0</v>
          </cell>
          <cell r="K1464">
            <v>0</v>
          </cell>
        </row>
        <row r="1465">
          <cell r="J1465">
            <v>0</v>
          </cell>
          <cell r="K1465">
            <v>0</v>
          </cell>
        </row>
        <row r="1466">
          <cell r="J1466">
            <v>0</v>
          </cell>
          <cell r="K1466">
            <v>0</v>
          </cell>
        </row>
        <row r="1467">
          <cell r="J1467">
            <v>0</v>
          </cell>
          <cell r="K1467">
            <v>0</v>
          </cell>
        </row>
        <row r="1468">
          <cell r="J1468">
            <v>0</v>
          </cell>
          <cell r="K1468">
            <v>0</v>
          </cell>
        </row>
        <row r="1469">
          <cell r="J1469">
            <v>0</v>
          </cell>
          <cell r="K1469">
            <v>0</v>
          </cell>
        </row>
        <row r="1470">
          <cell r="J1470">
            <v>0</v>
          </cell>
          <cell r="K1470">
            <v>0</v>
          </cell>
        </row>
        <row r="1471">
          <cell r="J1471">
            <v>0</v>
          </cell>
          <cell r="K1471">
            <v>0</v>
          </cell>
        </row>
        <row r="1484">
          <cell r="J1484">
            <v>41128</v>
          </cell>
          <cell r="K1484">
            <v>7.1</v>
          </cell>
        </row>
        <row r="1485">
          <cell r="J1485">
            <v>0</v>
          </cell>
          <cell r="K1485">
            <v>0</v>
          </cell>
        </row>
        <row r="1494">
          <cell r="J1494">
            <v>0</v>
          </cell>
          <cell r="K1494">
            <v>0</v>
          </cell>
        </row>
        <row r="1495">
          <cell r="J1495">
            <v>0</v>
          </cell>
          <cell r="K1495">
            <v>0</v>
          </cell>
        </row>
        <row r="1496">
          <cell r="J1496">
            <v>0</v>
          </cell>
          <cell r="K1496">
            <v>0</v>
          </cell>
        </row>
        <row r="1497">
          <cell r="J1497">
            <v>0</v>
          </cell>
          <cell r="K1497">
            <v>0</v>
          </cell>
        </row>
        <row r="1498">
          <cell r="J1498">
            <v>0</v>
          </cell>
          <cell r="K1498">
            <v>0</v>
          </cell>
        </row>
        <row r="1499">
          <cell r="J1499">
            <v>0</v>
          </cell>
          <cell r="K1499">
            <v>0</v>
          </cell>
        </row>
        <row r="1500">
          <cell r="J1500">
            <v>0</v>
          </cell>
          <cell r="K1500">
            <v>0</v>
          </cell>
        </row>
        <row r="1501">
          <cell r="J1501">
            <v>0</v>
          </cell>
          <cell r="K1501">
            <v>0</v>
          </cell>
        </row>
        <row r="1502">
          <cell r="J1502">
            <v>0</v>
          </cell>
          <cell r="K1502">
            <v>0</v>
          </cell>
        </row>
        <row r="1503">
          <cell r="J1503">
            <v>0</v>
          </cell>
          <cell r="K1503">
            <v>0</v>
          </cell>
        </row>
        <row r="1504">
          <cell r="J1504">
            <v>0</v>
          </cell>
          <cell r="K1504">
            <v>0</v>
          </cell>
        </row>
        <row r="1505">
          <cell r="J1505">
            <v>0</v>
          </cell>
          <cell r="K1505">
            <v>0</v>
          </cell>
        </row>
        <row r="1506">
          <cell r="J1506">
            <v>0</v>
          </cell>
          <cell r="K1506">
            <v>0</v>
          </cell>
        </row>
        <row r="1507">
          <cell r="J1507">
            <v>0</v>
          </cell>
          <cell r="K1507">
            <v>0</v>
          </cell>
        </row>
        <row r="1508">
          <cell r="J1508">
            <v>0</v>
          </cell>
          <cell r="K1508">
            <v>0</v>
          </cell>
        </row>
        <row r="1509">
          <cell r="J1509">
            <v>0</v>
          </cell>
          <cell r="K1509">
            <v>0</v>
          </cell>
        </row>
        <row r="1521">
          <cell r="J1521">
            <v>40258</v>
          </cell>
          <cell r="K1521">
            <v>58.37</v>
          </cell>
        </row>
        <row r="1543">
          <cell r="J1543">
            <v>0</v>
          </cell>
          <cell r="K1543">
            <v>0</v>
          </cell>
        </row>
        <row r="1547">
          <cell r="J1547">
            <v>0</v>
          </cell>
          <cell r="K1547">
            <v>0</v>
          </cell>
        </row>
        <row r="1549">
          <cell r="J1549">
            <v>0</v>
          </cell>
        </row>
        <row r="1551">
          <cell r="J1551">
            <v>0</v>
          </cell>
        </row>
        <row r="1552">
          <cell r="J1552">
            <v>0</v>
          </cell>
          <cell r="K1552">
            <v>0</v>
          </cell>
        </row>
        <row r="1553">
          <cell r="J1553">
            <v>0</v>
          </cell>
          <cell r="K1553">
            <v>0</v>
          </cell>
        </row>
        <row r="1554">
          <cell r="J1554">
            <v>40303</v>
          </cell>
          <cell r="K1554">
            <v>39.119999999999997</v>
          </cell>
        </row>
        <row r="1555">
          <cell r="J1555">
            <v>0</v>
          </cell>
          <cell r="K1555">
            <v>0</v>
          </cell>
        </row>
        <row r="1574">
          <cell r="J1574">
            <v>0</v>
          </cell>
          <cell r="K1574">
            <v>0</v>
          </cell>
        </row>
        <row r="1578">
          <cell r="J1578">
            <v>0</v>
          </cell>
          <cell r="K1578">
            <v>0</v>
          </cell>
        </row>
        <row r="1589">
          <cell r="J1589">
            <v>0</v>
          </cell>
          <cell r="K1589">
            <v>0</v>
          </cell>
        </row>
        <row r="1590">
          <cell r="J1590">
            <v>0</v>
          </cell>
          <cell r="K1590">
            <v>0</v>
          </cell>
        </row>
        <row r="1591">
          <cell r="J1591">
            <v>40488</v>
          </cell>
          <cell r="K1591">
            <v>2090.1799999999998</v>
          </cell>
        </row>
        <row r="1592">
          <cell r="J1592">
            <v>0</v>
          </cell>
          <cell r="K1592">
            <v>0</v>
          </cell>
        </row>
        <row r="1593">
          <cell r="J1593">
            <v>0</v>
          </cell>
          <cell r="K1593">
            <v>0</v>
          </cell>
        </row>
        <row r="1595">
          <cell r="J1595">
            <v>0</v>
          </cell>
          <cell r="K1595">
            <v>0</v>
          </cell>
        </row>
        <row r="1596">
          <cell r="J1596">
            <v>0</v>
          </cell>
          <cell r="K1596">
            <v>0</v>
          </cell>
        </row>
        <row r="1597">
          <cell r="J1597">
            <v>0</v>
          </cell>
          <cell r="K1597">
            <v>0</v>
          </cell>
        </row>
        <row r="1601">
          <cell r="J1601">
            <v>0</v>
          </cell>
          <cell r="K1601">
            <v>0</v>
          </cell>
        </row>
        <row r="1602">
          <cell r="J1602">
            <v>0</v>
          </cell>
          <cell r="K1602">
            <v>0</v>
          </cell>
        </row>
        <row r="1603">
          <cell r="J1603">
            <v>0</v>
          </cell>
          <cell r="K1603">
            <v>0</v>
          </cell>
        </row>
        <row r="1605">
          <cell r="J1605">
            <v>0</v>
          </cell>
          <cell r="K1605">
            <v>0</v>
          </cell>
        </row>
        <row r="1606">
          <cell r="J1606">
            <v>0</v>
          </cell>
          <cell r="K1606">
            <v>0</v>
          </cell>
        </row>
        <row r="1607">
          <cell r="J1607">
            <v>0</v>
          </cell>
          <cell r="K1607">
            <v>0</v>
          </cell>
        </row>
        <row r="1608">
          <cell r="J1608">
            <v>0</v>
          </cell>
          <cell r="K1608">
            <v>0</v>
          </cell>
        </row>
        <row r="1609">
          <cell r="J1609">
            <v>0</v>
          </cell>
          <cell r="K1609">
            <v>0</v>
          </cell>
        </row>
        <row r="1610">
          <cell r="J1610">
            <v>0</v>
          </cell>
          <cell r="K1610">
            <v>0</v>
          </cell>
        </row>
        <row r="1611">
          <cell r="J1611">
            <v>0</v>
          </cell>
          <cell r="K1611">
            <v>0</v>
          </cell>
        </row>
        <row r="1612">
          <cell r="J1612">
            <v>0</v>
          </cell>
          <cell r="K1612">
            <v>0</v>
          </cell>
        </row>
        <row r="1613">
          <cell r="J1613">
            <v>0</v>
          </cell>
          <cell r="K1613">
            <v>0</v>
          </cell>
        </row>
        <row r="1614">
          <cell r="J1614">
            <v>0</v>
          </cell>
          <cell r="K1614">
            <v>0</v>
          </cell>
        </row>
        <row r="1615">
          <cell r="J1615">
            <v>0</v>
          </cell>
          <cell r="K1615">
            <v>0</v>
          </cell>
        </row>
        <row r="1616">
          <cell r="J1616">
            <v>0</v>
          </cell>
          <cell r="K1616">
            <v>0</v>
          </cell>
        </row>
        <row r="1617">
          <cell r="J1617">
            <v>0</v>
          </cell>
          <cell r="K1617">
            <v>0</v>
          </cell>
        </row>
        <row r="1618">
          <cell r="J1618">
            <v>0</v>
          </cell>
          <cell r="K1618">
            <v>0</v>
          </cell>
        </row>
        <row r="1619">
          <cell r="J1619">
            <v>0</v>
          </cell>
          <cell r="K1619">
            <v>0</v>
          </cell>
        </row>
        <row r="1620">
          <cell r="J1620" t="str">
            <v>Pré-moldados de concreto</v>
          </cell>
          <cell r="K1620">
            <v>0</v>
          </cell>
        </row>
        <row r="1621">
          <cell r="J1621">
            <v>0</v>
          </cell>
          <cell r="K1621">
            <v>0</v>
          </cell>
        </row>
        <row r="1622">
          <cell r="J1622">
            <v>0</v>
          </cell>
          <cell r="K1622">
            <v>0</v>
          </cell>
        </row>
        <row r="1623">
          <cell r="J1623">
            <v>0</v>
          </cell>
          <cell r="K1623">
            <v>0</v>
          </cell>
        </row>
        <row r="1624">
          <cell r="J1624">
            <v>0</v>
          </cell>
          <cell r="K1624">
            <v>0</v>
          </cell>
        </row>
        <row r="1625">
          <cell r="J1625">
            <v>0</v>
          </cell>
        </row>
        <row r="1626">
          <cell r="J1626">
            <v>0</v>
          </cell>
        </row>
        <row r="1627">
          <cell r="J1627">
            <v>40539</v>
          </cell>
          <cell r="K1627">
            <v>11307.57</v>
          </cell>
        </row>
        <row r="1628">
          <cell r="J1628">
            <v>0</v>
          </cell>
        </row>
        <row r="1629">
          <cell r="J1629">
            <v>0</v>
          </cell>
        </row>
        <row r="1631">
          <cell r="J1631">
            <v>0</v>
          </cell>
        </row>
        <row r="1632">
          <cell r="J1632">
            <v>0</v>
          </cell>
          <cell r="K1632">
            <v>0</v>
          </cell>
        </row>
        <row r="1636">
          <cell r="J1636">
            <v>0</v>
          </cell>
          <cell r="K1636">
            <v>0</v>
          </cell>
        </row>
        <row r="1652">
          <cell r="J1652" t="str">
            <v>Pré-moldados de concreto</v>
          </cell>
          <cell r="K1652">
            <v>0</v>
          </cell>
        </row>
        <row r="1654">
          <cell r="J1654">
            <v>0</v>
          </cell>
        </row>
        <row r="1656">
          <cell r="J1656">
            <v>0</v>
          </cell>
          <cell r="K1656">
            <v>0</v>
          </cell>
        </row>
        <row r="1657">
          <cell r="J1657">
            <v>0</v>
          </cell>
        </row>
        <row r="1659">
          <cell r="J1659">
            <v>40375</v>
          </cell>
          <cell r="K1659">
            <v>155.82</v>
          </cell>
        </row>
        <row r="1662">
          <cell r="J1662">
            <v>0</v>
          </cell>
          <cell r="K1662">
            <v>0</v>
          </cell>
        </row>
        <row r="1663">
          <cell r="J1663">
            <v>0</v>
          </cell>
          <cell r="K1663">
            <v>0</v>
          </cell>
        </row>
        <row r="1664">
          <cell r="J1664">
            <v>0</v>
          </cell>
          <cell r="K1664">
            <v>0</v>
          </cell>
        </row>
        <row r="1665">
          <cell r="J1665">
            <v>0</v>
          </cell>
          <cell r="K1665">
            <v>0</v>
          </cell>
        </row>
        <row r="1666">
          <cell r="J1666">
            <v>0</v>
          </cell>
          <cell r="K1666">
            <v>0</v>
          </cell>
        </row>
        <row r="1667">
          <cell r="J1667">
            <v>0</v>
          </cell>
          <cell r="K1667">
            <v>0</v>
          </cell>
        </row>
        <row r="1668">
          <cell r="J1668">
            <v>0</v>
          </cell>
          <cell r="K1668">
            <v>0</v>
          </cell>
        </row>
        <row r="1669">
          <cell r="J1669">
            <v>0</v>
          </cell>
          <cell r="K1669">
            <v>0</v>
          </cell>
        </row>
        <row r="1670">
          <cell r="J1670">
            <v>0</v>
          </cell>
          <cell r="K1670">
            <v>0</v>
          </cell>
        </row>
        <row r="1671">
          <cell r="J1671">
            <v>0</v>
          </cell>
          <cell r="K1671">
            <v>0</v>
          </cell>
        </row>
        <row r="1672">
          <cell r="K1672">
            <v>0</v>
          </cell>
        </row>
        <row r="1673">
          <cell r="K1673">
            <v>0</v>
          </cell>
        </row>
        <row r="1674">
          <cell r="K1674">
            <v>0</v>
          </cell>
        </row>
        <row r="1675">
          <cell r="K1675">
            <v>0</v>
          </cell>
        </row>
        <row r="1676">
          <cell r="K1676">
            <v>0</v>
          </cell>
        </row>
        <row r="1677">
          <cell r="K1677">
            <v>0</v>
          </cell>
        </row>
        <row r="1678">
          <cell r="K1678">
            <v>0</v>
          </cell>
        </row>
        <row r="1679">
          <cell r="K1679">
            <v>0</v>
          </cell>
        </row>
        <row r="1680">
          <cell r="K1680">
            <v>0</v>
          </cell>
        </row>
        <row r="1681">
          <cell r="K1681">
            <v>0</v>
          </cell>
        </row>
        <row r="1682">
          <cell r="K1682">
            <v>0</v>
          </cell>
        </row>
        <row r="1683">
          <cell r="K1683">
            <v>0</v>
          </cell>
        </row>
        <row r="1684">
          <cell r="K1684">
            <v>0</v>
          </cell>
        </row>
        <row r="1685">
          <cell r="K1685">
            <v>0</v>
          </cell>
        </row>
        <row r="1686">
          <cell r="K1686">
            <v>0</v>
          </cell>
        </row>
        <row r="1693">
          <cell r="J1693">
            <v>41136</v>
          </cell>
          <cell r="K1693">
            <v>90.59</v>
          </cell>
        </row>
        <row r="1702">
          <cell r="J1702">
            <v>0</v>
          </cell>
          <cell r="K1702">
            <v>0</v>
          </cell>
        </row>
        <row r="1703">
          <cell r="J1703">
            <v>0</v>
          </cell>
          <cell r="K1703">
            <v>0</v>
          </cell>
        </row>
        <row r="1704">
          <cell r="J1704">
            <v>0</v>
          </cell>
          <cell r="K1704">
            <v>0</v>
          </cell>
        </row>
        <row r="1705">
          <cell r="J1705">
            <v>0</v>
          </cell>
          <cell r="K1705">
            <v>0</v>
          </cell>
        </row>
        <row r="1706">
          <cell r="J1706">
            <v>0</v>
          </cell>
          <cell r="K1706">
            <v>0</v>
          </cell>
        </row>
        <row r="1707">
          <cell r="J1707">
            <v>0</v>
          </cell>
          <cell r="K1707">
            <v>0</v>
          </cell>
        </row>
        <row r="1708">
          <cell r="J1708">
            <v>0</v>
          </cell>
          <cell r="K1708">
            <v>0</v>
          </cell>
        </row>
        <row r="1709">
          <cell r="J1709">
            <v>0</v>
          </cell>
          <cell r="K1709">
            <v>0</v>
          </cell>
        </row>
        <row r="1710">
          <cell r="J1710">
            <v>0</v>
          </cell>
          <cell r="K1710">
            <v>0</v>
          </cell>
        </row>
        <row r="1711">
          <cell r="J1711">
            <v>0</v>
          </cell>
          <cell r="K1711">
            <v>0</v>
          </cell>
        </row>
        <row r="1712">
          <cell r="J1712">
            <v>0</v>
          </cell>
          <cell r="K1712">
            <v>0</v>
          </cell>
        </row>
        <row r="1713">
          <cell r="J1713">
            <v>0</v>
          </cell>
          <cell r="K1713">
            <v>0</v>
          </cell>
        </row>
        <row r="1714">
          <cell r="J1714">
            <v>0</v>
          </cell>
          <cell r="K1714">
            <v>0</v>
          </cell>
        </row>
        <row r="1715">
          <cell r="J1715">
            <v>0</v>
          </cell>
          <cell r="K1715">
            <v>0</v>
          </cell>
        </row>
        <row r="1716">
          <cell r="J1716">
            <v>0</v>
          </cell>
          <cell r="K1716">
            <v>0</v>
          </cell>
        </row>
        <row r="1717">
          <cell r="J1717">
            <v>0</v>
          </cell>
          <cell r="K1717">
            <v>0</v>
          </cell>
        </row>
        <row r="1730">
          <cell r="J1730">
            <v>42476</v>
          </cell>
          <cell r="K1730">
            <v>40.770000000000003</v>
          </cell>
        </row>
        <row r="1738">
          <cell r="J1738">
            <v>0</v>
          </cell>
          <cell r="K1738">
            <v>0</v>
          </cell>
        </row>
        <row r="1739">
          <cell r="J1739">
            <v>0</v>
          </cell>
          <cell r="K1739">
            <v>0</v>
          </cell>
        </row>
        <row r="1740">
          <cell r="J1740">
            <v>0</v>
          </cell>
          <cell r="K1740">
            <v>0</v>
          </cell>
        </row>
        <row r="1741">
          <cell r="J1741">
            <v>0</v>
          </cell>
          <cell r="K1741">
            <v>0</v>
          </cell>
        </row>
        <row r="1742">
          <cell r="J1742">
            <v>0</v>
          </cell>
          <cell r="K1742">
            <v>0</v>
          </cell>
        </row>
        <row r="1743">
          <cell r="J1743">
            <v>0</v>
          </cell>
          <cell r="K1743">
            <v>0</v>
          </cell>
        </row>
        <row r="1744">
          <cell r="J1744">
            <v>0</v>
          </cell>
          <cell r="K1744">
            <v>0</v>
          </cell>
        </row>
        <row r="1745">
          <cell r="J1745">
            <v>0</v>
          </cell>
          <cell r="K1745">
            <v>0</v>
          </cell>
        </row>
        <row r="1746">
          <cell r="J1746">
            <v>0</v>
          </cell>
          <cell r="K1746">
            <v>0</v>
          </cell>
        </row>
        <row r="1747">
          <cell r="J1747">
            <v>0</v>
          </cell>
          <cell r="K1747">
            <v>0</v>
          </cell>
        </row>
        <row r="1748">
          <cell r="J1748">
            <v>0</v>
          </cell>
          <cell r="K1748">
            <v>0</v>
          </cell>
        </row>
        <row r="1749">
          <cell r="J1749">
            <v>0</v>
          </cell>
          <cell r="K1749">
            <v>0</v>
          </cell>
        </row>
        <row r="1750">
          <cell r="J1750">
            <v>0</v>
          </cell>
          <cell r="K1750">
            <v>0</v>
          </cell>
        </row>
        <row r="1751">
          <cell r="J1751">
            <v>0</v>
          </cell>
          <cell r="K1751">
            <v>0</v>
          </cell>
        </row>
        <row r="1752">
          <cell r="J1752">
            <v>0</v>
          </cell>
          <cell r="K1752">
            <v>0</v>
          </cell>
        </row>
        <row r="1764">
          <cell r="J1764">
            <v>40221</v>
          </cell>
          <cell r="K1764">
            <v>8.06</v>
          </cell>
        </row>
        <row r="1765">
          <cell r="J1765">
            <v>0</v>
          </cell>
          <cell r="K1765">
            <v>0</v>
          </cell>
        </row>
        <row r="1766">
          <cell r="J1766">
            <v>0</v>
          </cell>
          <cell r="K1766">
            <v>0</v>
          </cell>
        </row>
        <row r="1767">
          <cell r="J1767">
            <v>0</v>
          </cell>
          <cell r="K1767">
            <v>0</v>
          </cell>
        </row>
        <row r="1768">
          <cell r="J1768">
            <v>0</v>
          </cell>
          <cell r="K1768">
            <v>0</v>
          </cell>
        </row>
        <row r="1769">
          <cell r="J1769">
            <v>0</v>
          </cell>
          <cell r="K1769">
            <v>0</v>
          </cell>
        </row>
        <row r="1770">
          <cell r="J1770">
            <v>0</v>
          </cell>
          <cell r="K1770">
            <v>0</v>
          </cell>
        </row>
        <row r="1771">
          <cell r="J1771">
            <v>0</v>
          </cell>
          <cell r="K1771">
            <v>0</v>
          </cell>
        </row>
        <row r="1772">
          <cell r="J1772">
            <v>0</v>
          </cell>
          <cell r="K1772">
            <v>0</v>
          </cell>
        </row>
        <row r="1773">
          <cell r="J1773">
            <v>0</v>
          </cell>
          <cell r="K1773">
            <v>0</v>
          </cell>
        </row>
        <row r="1774">
          <cell r="J1774">
            <v>0</v>
          </cell>
          <cell r="K1774">
            <v>0</v>
          </cell>
        </row>
        <row r="1775">
          <cell r="J1775">
            <v>0</v>
          </cell>
          <cell r="K1775">
            <v>0</v>
          </cell>
        </row>
        <row r="1776">
          <cell r="J1776">
            <v>0</v>
          </cell>
          <cell r="K1776">
            <v>0</v>
          </cell>
        </row>
        <row r="1777">
          <cell r="J1777">
            <v>0</v>
          </cell>
          <cell r="K1777">
            <v>0</v>
          </cell>
        </row>
        <row r="1778">
          <cell r="J1778">
            <v>0</v>
          </cell>
          <cell r="K1778">
            <v>0</v>
          </cell>
        </row>
        <row r="1779">
          <cell r="J1779">
            <v>0</v>
          </cell>
          <cell r="K1779">
            <v>0</v>
          </cell>
        </row>
        <row r="1780">
          <cell r="J1780">
            <v>0</v>
          </cell>
          <cell r="K1780">
            <v>0</v>
          </cell>
        </row>
        <row r="1781">
          <cell r="K1781">
            <v>0</v>
          </cell>
        </row>
        <row r="1782">
          <cell r="K1782">
            <v>0</v>
          </cell>
        </row>
        <row r="1783">
          <cell r="K1783">
            <v>0</v>
          </cell>
        </row>
        <row r="1784">
          <cell r="K1784">
            <v>0</v>
          </cell>
        </row>
        <row r="1785">
          <cell r="K1785">
            <v>0</v>
          </cell>
        </row>
        <row r="1786">
          <cell r="K1786">
            <v>0</v>
          </cell>
        </row>
        <row r="1787">
          <cell r="K1787">
            <v>0</v>
          </cell>
        </row>
        <row r="1788">
          <cell r="K1788">
            <v>0</v>
          </cell>
        </row>
        <row r="1789">
          <cell r="K1789">
            <v>0</v>
          </cell>
        </row>
        <row r="1790">
          <cell r="K1790">
            <v>0</v>
          </cell>
        </row>
        <row r="1791">
          <cell r="K1791">
            <v>0</v>
          </cell>
        </row>
        <row r="1792">
          <cell r="K1792">
            <v>0</v>
          </cell>
        </row>
        <row r="1793">
          <cell r="J1793" t="str">
            <v>Pré-moldados de concreto</v>
          </cell>
          <cell r="K1793">
            <v>0</v>
          </cell>
        </row>
        <row r="1794">
          <cell r="K1794">
            <v>0</v>
          </cell>
        </row>
        <row r="1795">
          <cell r="K1795">
            <v>0</v>
          </cell>
        </row>
        <row r="1796">
          <cell r="K1796">
            <v>0</v>
          </cell>
        </row>
        <row r="1801">
          <cell r="J1801">
            <v>40177</v>
          </cell>
          <cell r="K1801">
            <v>4.2</v>
          </cell>
        </row>
        <row r="1813">
          <cell r="J1813">
            <v>0</v>
          </cell>
          <cell r="K1813">
            <v>0</v>
          </cell>
        </row>
        <row r="1814">
          <cell r="J1814">
            <v>0</v>
          </cell>
          <cell r="K1814">
            <v>0</v>
          </cell>
        </row>
        <row r="1815">
          <cell r="J1815">
            <v>0</v>
          </cell>
          <cell r="K1815">
            <v>0</v>
          </cell>
        </row>
        <row r="1816">
          <cell r="J1816">
            <v>0</v>
          </cell>
          <cell r="K1816">
            <v>0</v>
          </cell>
        </row>
        <row r="1817">
          <cell r="J1817">
            <v>0</v>
          </cell>
          <cell r="K1817">
            <v>0</v>
          </cell>
        </row>
        <row r="1818">
          <cell r="J1818">
            <v>0</v>
          </cell>
          <cell r="K1818">
            <v>0</v>
          </cell>
        </row>
        <row r="1819">
          <cell r="J1819">
            <v>0</v>
          </cell>
          <cell r="K1819">
            <v>0</v>
          </cell>
        </row>
        <row r="1820">
          <cell r="J1820">
            <v>0</v>
          </cell>
          <cell r="K1820">
            <v>0</v>
          </cell>
        </row>
        <row r="1821">
          <cell r="J1821">
            <v>0</v>
          </cell>
          <cell r="K1821">
            <v>0</v>
          </cell>
        </row>
        <row r="1822">
          <cell r="J1822">
            <v>0</v>
          </cell>
          <cell r="K1822">
            <v>0</v>
          </cell>
        </row>
        <row r="1823">
          <cell r="J1823">
            <v>0</v>
          </cell>
          <cell r="K1823">
            <v>0</v>
          </cell>
        </row>
        <row r="1824">
          <cell r="J1824">
            <v>0</v>
          </cell>
          <cell r="K1824">
            <v>0</v>
          </cell>
        </row>
        <row r="1825">
          <cell r="J1825">
            <v>0</v>
          </cell>
          <cell r="K1825">
            <v>0</v>
          </cell>
        </row>
        <row r="1826">
          <cell r="J1826">
            <v>0</v>
          </cell>
          <cell r="K1826">
            <v>0</v>
          </cell>
        </row>
        <row r="1827">
          <cell r="J1827">
            <v>0</v>
          </cell>
          <cell r="K1827">
            <v>0</v>
          </cell>
        </row>
        <row r="1828">
          <cell r="J1828">
            <v>0</v>
          </cell>
          <cell r="K1828">
            <v>0</v>
          </cell>
        </row>
        <row r="1829">
          <cell r="J1829" t="str">
            <v>Pré-moldados de concreto</v>
          </cell>
        </row>
        <row r="1837">
          <cell r="J1837">
            <v>42201</v>
          </cell>
          <cell r="K1837">
            <v>3.4</v>
          </cell>
        </row>
        <row r="1838">
          <cell r="J1838">
            <v>0</v>
          </cell>
        </row>
        <row r="1839">
          <cell r="J1839">
            <v>0</v>
          </cell>
          <cell r="K1839">
            <v>0</v>
          </cell>
        </row>
        <row r="1842">
          <cell r="J1842">
            <v>0</v>
          </cell>
          <cell r="K1842">
            <v>0</v>
          </cell>
        </row>
        <row r="1843">
          <cell r="J1843">
            <v>0</v>
          </cell>
          <cell r="K1843">
            <v>0</v>
          </cell>
        </row>
        <row r="1844">
          <cell r="J1844">
            <v>0</v>
          </cell>
          <cell r="K1844">
            <v>0</v>
          </cell>
        </row>
        <row r="1845">
          <cell r="J1845">
            <v>0</v>
          </cell>
          <cell r="K1845">
            <v>0</v>
          </cell>
        </row>
        <row r="1846">
          <cell r="J1846">
            <v>0</v>
          </cell>
          <cell r="K1846">
            <v>0</v>
          </cell>
        </row>
        <row r="1847">
          <cell r="J1847">
            <v>0</v>
          </cell>
          <cell r="K1847">
            <v>0</v>
          </cell>
        </row>
        <row r="1848">
          <cell r="J1848">
            <v>0</v>
          </cell>
          <cell r="K1848">
            <v>0</v>
          </cell>
        </row>
        <row r="1849">
          <cell r="J1849">
            <v>0</v>
          </cell>
          <cell r="K1849">
            <v>0</v>
          </cell>
        </row>
        <row r="1850">
          <cell r="J1850">
            <v>0</v>
          </cell>
          <cell r="K1850">
            <v>0</v>
          </cell>
        </row>
        <row r="1851">
          <cell r="J1851">
            <v>0</v>
          </cell>
          <cell r="K1851">
            <v>0</v>
          </cell>
        </row>
        <row r="1852">
          <cell r="J1852">
            <v>0</v>
          </cell>
          <cell r="K1852">
            <v>0</v>
          </cell>
        </row>
        <row r="1853">
          <cell r="J1853">
            <v>0</v>
          </cell>
          <cell r="K1853">
            <v>0</v>
          </cell>
        </row>
        <row r="1854">
          <cell r="J1854">
            <v>0</v>
          </cell>
          <cell r="K1854">
            <v>0</v>
          </cell>
        </row>
        <row r="1855">
          <cell r="J1855">
            <v>0</v>
          </cell>
          <cell r="K1855">
            <v>0</v>
          </cell>
        </row>
        <row r="1856">
          <cell r="J1856">
            <v>0</v>
          </cell>
          <cell r="K1856">
            <v>0</v>
          </cell>
        </row>
        <row r="1857">
          <cell r="J1857">
            <v>0</v>
          </cell>
          <cell r="K1857">
            <v>0</v>
          </cell>
        </row>
        <row r="1859">
          <cell r="J1859">
            <v>0</v>
          </cell>
          <cell r="K1859">
            <v>0</v>
          </cell>
        </row>
        <row r="1860">
          <cell r="J1860">
            <v>0</v>
          </cell>
          <cell r="K1860">
            <v>0</v>
          </cell>
        </row>
        <row r="1872">
          <cell r="J1872">
            <v>41500</v>
          </cell>
          <cell r="K1872">
            <v>200.71</v>
          </cell>
        </row>
        <row r="1874">
          <cell r="J1874">
            <v>0</v>
          </cell>
          <cell r="K1874">
            <v>0</v>
          </cell>
        </row>
        <row r="1875">
          <cell r="J1875">
            <v>0</v>
          </cell>
          <cell r="K1875">
            <v>0</v>
          </cell>
        </row>
        <row r="1876">
          <cell r="J1876">
            <v>0</v>
          </cell>
          <cell r="K1876">
            <v>0</v>
          </cell>
        </row>
        <row r="1883">
          <cell r="J1883">
            <v>0</v>
          </cell>
          <cell r="K1883">
            <v>0</v>
          </cell>
        </row>
        <row r="1884">
          <cell r="J1884">
            <v>0</v>
          </cell>
          <cell r="K1884">
            <v>0</v>
          </cell>
        </row>
        <row r="1885">
          <cell r="J1885">
            <v>0</v>
          </cell>
          <cell r="K1885">
            <v>0</v>
          </cell>
        </row>
        <row r="1886">
          <cell r="J1886">
            <v>0</v>
          </cell>
          <cell r="K1886">
            <v>0</v>
          </cell>
        </row>
        <row r="1887">
          <cell r="J1887">
            <v>0</v>
          </cell>
          <cell r="K1887">
            <v>0</v>
          </cell>
        </row>
        <row r="1888">
          <cell r="J1888">
            <v>0</v>
          </cell>
          <cell r="K1888">
            <v>0</v>
          </cell>
        </row>
        <row r="1889">
          <cell r="J1889">
            <v>0</v>
          </cell>
          <cell r="K1889">
            <v>0</v>
          </cell>
        </row>
        <row r="1890">
          <cell r="J1890">
            <v>0</v>
          </cell>
          <cell r="K1890">
            <v>0</v>
          </cell>
        </row>
        <row r="1891">
          <cell r="J1891">
            <v>0</v>
          </cell>
          <cell r="K1891">
            <v>0</v>
          </cell>
        </row>
        <row r="1892">
          <cell r="J1892">
            <v>0</v>
          </cell>
          <cell r="K1892">
            <v>0</v>
          </cell>
        </row>
        <row r="1893">
          <cell r="J1893">
            <v>0</v>
          </cell>
          <cell r="K1893">
            <v>0</v>
          </cell>
        </row>
        <row r="1894">
          <cell r="J1894">
            <v>0</v>
          </cell>
          <cell r="K1894">
            <v>0</v>
          </cell>
        </row>
        <row r="1895">
          <cell r="J1895">
            <v>0</v>
          </cell>
          <cell r="K1895">
            <v>0</v>
          </cell>
        </row>
        <row r="1896">
          <cell r="J1896">
            <v>0</v>
          </cell>
          <cell r="K1896">
            <v>0</v>
          </cell>
        </row>
        <row r="1897">
          <cell r="J1897">
            <v>0</v>
          </cell>
          <cell r="K1897">
            <v>0</v>
          </cell>
        </row>
        <row r="1898">
          <cell r="J1898">
            <v>0</v>
          </cell>
          <cell r="K1898">
            <v>0</v>
          </cell>
        </row>
        <row r="1907">
          <cell r="J1907">
            <v>41501</v>
          </cell>
          <cell r="K1907">
            <v>32.68</v>
          </cell>
        </row>
        <row r="1915">
          <cell r="J1915">
            <v>0</v>
          </cell>
          <cell r="K1915">
            <v>0</v>
          </cell>
        </row>
        <row r="1916">
          <cell r="J1916">
            <v>0</v>
          </cell>
          <cell r="K1916">
            <v>0</v>
          </cell>
        </row>
        <row r="1917">
          <cell r="J1917">
            <v>0</v>
          </cell>
          <cell r="K1917">
            <v>0</v>
          </cell>
        </row>
        <row r="1918">
          <cell r="J1918">
            <v>0</v>
          </cell>
          <cell r="K1918">
            <v>0</v>
          </cell>
        </row>
        <row r="1919">
          <cell r="J1919">
            <v>0</v>
          </cell>
          <cell r="K1919">
            <v>0</v>
          </cell>
        </row>
        <row r="1920">
          <cell r="J1920">
            <v>0</v>
          </cell>
          <cell r="K1920">
            <v>0</v>
          </cell>
        </row>
        <row r="1921">
          <cell r="J1921">
            <v>0</v>
          </cell>
          <cell r="K1921">
            <v>0</v>
          </cell>
        </row>
        <row r="1922">
          <cell r="J1922">
            <v>0</v>
          </cell>
          <cell r="K1922">
            <v>0</v>
          </cell>
        </row>
        <row r="1923">
          <cell r="J1923">
            <v>0</v>
          </cell>
          <cell r="K1923">
            <v>0</v>
          </cell>
        </row>
        <row r="1924">
          <cell r="J1924">
            <v>0</v>
          </cell>
          <cell r="K1924">
            <v>0</v>
          </cell>
        </row>
        <row r="1925">
          <cell r="J1925">
            <v>0</v>
          </cell>
          <cell r="K1925">
            <v>0</v>
          </cell>
        </row>
        <row r="1926">
          <cell r="J1926">
            <v>0</v>
          </cell>
          <cell r="K1926">
            <v>0</v>
          </cell>
        </row>
        <row r="1927">
          <cell r="J1927">
            <v>0</v>
          </cell>
          <cell r="K1927">
            <v>0</v>
          </cell>
        </row>
        <row r="1928">
          <cell r="J1928">
            <v>0</v>
          </cell>
          <cell r="K1928">
            <v>0</v>
          </cell>
        </row>
        <row r="1929">
          <cell r="J1929">
            <v>0</v>
          </cell>
          <cell r="K1929">
            <v>0</v>
          </cell>
        </row>
        <row r="1930">
          <cell r="J1930">
            <v>0</v>
          </cell>
          <cell r="K1930">
            <v>0</v>
          </cell>
        </row>
        <row r="1942">
          <cell r="J1942">
            <v>41499</v>
          </cell>
          <cell r="K1942">
            <v>291.49</v>
          </cell>
        </row>
        <row r="1950">
          <cell r="J1950">
            <v>0</v>
          </cell>
          <cell r="K1950">
            <v>0</v>
          </cell>
        </row>
        <row r="1951">
          <cell r="J1951">
            <v>0</v>
          </cell>
          <cell r="K1951">
            <v>0</v>
          </cell>
        </row>
        <row r="1952">
          <cell r="J1952">
            <v>0</v>
          </cell>
          <cell r="K1952">
            <v>0</v>
          </cell>
        </row>
        <row r="1953">
          <cell r="J1953">
            <v>0</v>
          </cell>
          <cell r="K1953">
            <v>0</v>
          </cell>
        </row>
        <row r="1954">
          <cell r="J1954">
            <v>0</v>
          </cell>
          <cell r="K1954">
            <v>0</v>
          </cell>
        </row>
        <row r="1955">
          <cell r="J1955">
            <v>0</v>
          </cell>
          <cell r="K1955">
            <v>0</v>
          </cell>
        </row>
        <row r="1956">
          <cell r="J1956">
            <v>0</v>
          </cell>
          <cell r="K1956">
            <v>0</v>
          </cell>
        </row>
        <row r="1957">
          <cell r="J1957">
            <v>0</v>
          </cell>
          <cell r="K1957">
            <v>0</v>
          </cell>
        </row>
        <row r="1958">
          <cell r="J1958">
            <v>0</v>
          </cell>
          <cell r="K1958">
            <v>0</v>
          </cell>
        </row>
        <row r="1959">
          <cell r="J1959">
            <v>0</v>
          </cell>
          <cell r="K1959">
            <v>0</v>
          </cell>
        </row>
        <row r="1960">
          <cell r="J1960">
            <v>0</v>
          </cell>
          <cell r="K1960">
            <v>0</v>
          </cell>
        </row>
        <row r="1961">
          <cell r="J1961">
            <v>0</v>
          </cell>
          <cell r="K1961">
            <v>0</v>
          </cell>
        </row>
        <row r="1962">
          <cell r="J1962">
            <v>0</v>
          </cell>
          <cell r="K1962">
            <v>0</v>
          </cell>
        </row>
        <row r="1963">
          <cell r="J1963">
            <v>0</v>
          </cell>
          <cell r="K1963">
            <v>0</v>
          </cell>
        </row>
        <row r="1964">
          <cell r="J1964">
            <v>0</v>
          </cell>
          <cell r="K1964">
            <v>0</v>
          </cell>
        </row>
        <row r="1965">
          <cell r="J1965">
            <v>0</v>
          </cell>
          <cell r="K1965">
            <v>0</v>
          </cell>
        </row>
        <row r="1977">
          <cell r="J1977">
            <v>41503</v>
          </cell>
          <cell r="K1977">
            <v>424.58</v>
          </cell>
        </row>
        <row r="1982">
          <cell r="J1982">
            <v>0</v>
          </cell>
          <cell r="K1982">
            <v>0</v>
          </cell>
        </row>
        <row r="1983">
          <cell r="J1983">
            <v>0</v>
          </cell>
          <cell r="K1983">
            <v>0</v>
          </cell>
        </row>
        <row r="1984">
          <cell r="J1984">
            <v>0</v>
          </cell>
          <cell r="K1984">
            <v>0</v>
          </cell>
        </row>
        <row r="1985">
          <cell r="J1985">
            <v>0</v>
          </cell>
          <cell r="K1985">
            <v>0</v>
          </cell>
        </row>
        <row r="1986">
          <cell r="J1986">
            <v>0</v>
          </cell>
          <cell r="K1986">
            <v>0</v>
          </cell>
        </row>
        <row r="1987">
          <cell r="J1987">
            <v>0</v>
          </cell>
          <cell r="K1987">
            <v>0</v>
          </cell>
        </row>
        <row r="1988">
          <cell r="J1988">
            <v>0</v>
          </cell>
          <cell r="K1988">
            <v>0</v>
          </cell>
        </row>
        <row r="1989">
          <cell r="J1989">
            <v>0</v>
          </cell>
          <cell r="K1989">
            <v>0</v>
          </cell>
        </row>
        <row r="1990">
          <cell r="J1990">
            <v>0</v>
          </cell>
          <cell r="K1990">
            <v>0</v>
          </cell>
        </row>
        <row r="1991">
          <cell r="J1991">
            <v>0</v>
          </cell>
          <cell r="K1991">
            <v>0</v>
          </cell>
        </row>
        <row r="1992">
          <cell r="J1992">
            <v>0</v>
          </cell>
          <cell r="K1992">
            <v>0</v>
          </cell>
        </row>
        <row r="1993">
          <cell r="J1993">
            <v>0</v>
          </cell>
          <cell r="K1993">
            <v>0</v>
          </cell>
        </row>
        <row r="1994">
          <cell r="J1994">
            <v>0</v>
          </cell>
          <cell r="K1994">
            <v>0</v>
          </cell>
        </row>
        <row r="1995">
          <cell r="J1995">
            <v>0</v>
          </cell>
          <cell r="K1995">
            <v>0</v>
          </cell>
        </row>
        <row r="1996">
          <cell r="J1996">
            <v>0</v>
          </cell>
          <cell r="K1996">
            <v>0</v>
          </cell>
        </row>
        <row r="1997">
          <cell r="J1997">
            <v>0</v>
          </cell>
          <cell r="K1997">
            <v>0</v>
          </cell>
        </row>
        <row r="2012">
          <cell r="J2012">
            <v>41527</v>
          </cell>
          <cell r="K2012">
            <v>1859.35</v>
          </cell>
        </row>
        <row r="2014">
          <cell r="J2014">
            <v>0</v>
          </cell>
          <cell r="K2014">
            <v>0</v>
          </cell>
        </row>
        <row r="2015">
          <cell r="J2015">
            <v>0</v>
          </cell>
          <cell r="K2015">
            <v>0</v>
          </cell>
        </row>
        <row r="2016">
          <cell r="J2016">
            <v>0</v>
          </cell>
          <cell r="K2016">
            <v>0</v>
          </cell>
        </row>
        <row r="2017">
          <cell r="J2017">
            <v>0</v>
          </cell>
          <cell r="K2017">
            <v>0</v>
          </cell>
        </row>
        <row r="2018">
          <cell r="J2018">
            <v>0</v>
          </cell>
          <cell r="K2018">
            <v>0</v>
          </cell>
        </row>
        <row r="2019">
          <cell r="J2019">
            <v>0</v>
          </cell>
          <cell r="K2019">
            <v>0</v>
          </cell>
        </row>
        <row r="2020">
          <cell r="J2020">
            <v>0</v>
          </cell>
          <cell r="K2020">
            <v>0</v>
          </cell>
        </row>
        <row r="2021">
          <cell r="J2021">
            <v>0</v>
          </cell>
          <cell r="K2021">
            <v>0</v>
          </cell>
        </row>
        <row r="2022">
          <cell r="J2022">
            <v>0</v>
          </cell>
          <cell r="K2022">
            <v>0</v>
          </cell>
        </row>
        <row r="2023">
          <cell r="J2023">
            <v>0</v>
          </cell>
          <cell r="K2023">
            <v>0</v>
          </cell>
        </row>
        <row r="2024">
          <cell r="J2024">
            <v>0</v>
          </cell>
          <cell r="K2024">
            <v>0</v>
          </cell>
        </row>
        <row r="2025">
          <cell r="J2025">
            <v>0</v>
          </cell>
          <cell r="K2025">
            <v>0</v>
          </cell>
        </row>
        <row r="2026">
          <cell r="J2026">
            <v>0</v>
          </cell>
          <cell r="K2026">
            <v>0</v>
          </cell>
        </row>
        <row r="2027">
          <cell r="J2027">
            <v>0</v>
          </cell>
          <cell r="K2027">
            <v>0</v>
          </cell>
        </row>
        <row r="2028">
          <cell r="J2028">
            <v>0</v>
          </cell>
          <cell r="K2028">
            <v>0</v>
          </cell>
        </row>
        <row r="2029">
          <cell r="J2029">
            <v>0</v>
          </cell>
          <cell r="K2029">
            <v>0</v>
          </cell>
        </row>
        <row r="2047">
          <cell r="J2047">
            <v>41556</v>
          </cell>
          <cell r="K2047">
            <v>113.4</v>
          </cell>
        </row>
        <row r="2055">
          <cell r="J2055">
            <v>0</v>
          </cell>
          <cell r="K2055">
            <v>0</v>
          </cell>
        </row>
        <row r="2056">
          <cell r="J2056">
            <v>0</v>
          </cell>
          <cell r="K2056">
            <v>0</v>
          </cell>
        </row>
        <row r="2057">
          <cell r="J2057">
            <v>0</v>
          </cell>
          <cell r="K2057">
            <v>0</v>
          </cell>
        </row>
        <row r="2058">
          <cell r="J2058">
            <v>0</v>
          </cell>
          <cell r="K2058">
            <v>0</v>
          </cell>
        </row>
        <row r="2059">
          <cell r="J2059">
            <v>0</v>
          </cell>
          <cell r="K2059">
            <v>0</v>
          </cell>
        </row>
        <row r="2060">
          <cell r="J2060">
            <v>0</v>
          </cell>
          <cell r="K2060">
            <v>0</v>
          </cell>
        </row>
        <row r="2061">
          <cell r="J2061">
            <v>0</v>
          </cell>
          <cell r="K2061">
            <v>0</v>
          </cell>
        </row>
        <row r="2062">
          <cell r="J2062">
            <v>0</v>
          </cell>
          <cell r="K2062">
            <v>0</v>
          </cell>
        </row>
        <row r="2063">
          <cell r="J2063">
            <v>0</v>
          </cell>
          <cell r="K2063">
            <v>0</v>
          </cell>
        </row>
        <row r="2064">
          <cell r="J2064">
            <v>0</v>
          </cell>
          <cell r="K2064">
            <v>0</v>
          </cell>
        </row>
        <row r="2065">
          <cell r="J2065">
            <v>0</v>
          </cell>
          <cell r="K2065">
            <v>0</v>
          </cell>
        </row>
        <row r="2066">
          <cell r="J2066">
            <v>0</v>
          </cell>
          <cell r="K2066">
            <v>0</v>
          </cell>
        </row>
        <row r="2067">
          <cell r="J2067">
            <v>0</v>
          </cell>
          <cell r="K2067">
            <v>0</v>
          </cell>
        </row>
        <row r="2068">
          <cell r="J2068">
            <v>0</v>
          </cell>
          <cell r="K2068">
            <v>0</v>
          </cell>
        </row>
        <row r="2069">
          <cell r="J2069">
            <v>0</v>
          </cell>
          <cell r="K2069">
            <v>0</v>
          </cell>
        </row>
        <row r="2070">
          <cell r="J2070">
            <v>0</v>
          </cell>
          <cell r="K2070">
            <v>0</v>
          </cell>
        </row>
        <row r="2075">
          <cell r="J2075" t="str">
            <v>Produto Pétreo</v>
          </cell>
        </row>
        <row r="2078">
          <cell r="K2078">
            <v>0</v>
          </cell>
        </row>
        <row r="2082">
          <cell r="J2082">
            <v>0</v>
          </cell>
          <cell r="K2082">
            <v>0</v>
          </cell>
        </row>
        <row r="2083">
          <cell r="J2083">
            <v>40901</v>
          </cell>
          <cell r="K2083">
            <v>17.95</v>
          </cell>
        </row>
        <row r="2087">
          <cell r="J2087">
            <v>0</v>
          </cell>
          <cell r="K2087">
            <v>0</v>
          </cell>
        </row>
        <row r="2088">
          <cell r="J2088">
            <v>0</v>
          </cell>
          <cell r="K2088">
            <v>0</v>
          </cell>
        </row>
        <row r="2089">
          <cell r="J2089">
            <v>0</v>
          </cell>
          <cell r="K2089">
            <v>0</v>
          </cell>
        </row>
        <row r="2090">
          <cell r="J2090">
            <v>0</v>
          </cell>
          <cell r="K2090">
            <v>0</v>
          </cell>
        </row>
        <row r="2091">
          <cell r="J2091">
            <v>0</v>
          </cell>
          <cell r="K2091">
            <v>0</v>
          </cell>
        </row>
        <row r="2092">
          <cell r="J2092">
            <v>0</v>
          </cell>
          <cell r="K2092">
            <v>0</v>
          </cell>
        </row>
        <row r="2093">
          <cell r="J2093">
            <v>0</v>
          </cell>
          <cell r="K2093">
            <v>0</v>
          </cell>
        </row>
        <row r="2094">
          <cell r="J2094">
            <v>0</v>
          </cell>
          <cell r="K2094">
            <v>0</v>
          </cell>
        </row>
        <row r="2095">
          <cell r="J2095">
            <v>0</v>
          </cell>
          <cell r="K2095">
            <v>0</v>
          </cell>
        </row>
        <row r="2096">
          <cell r="J2096">
            <v>0</v>
          </cell>
          <cell r="K2096">
            <v>0</v>
          </cell>
        </row>
        <row r="2097">
          <cell r="J2097">
            <v>0</v>
          </cell>
          <cell r="K2097">
            <v>0</v>
          </cell>
        </row>
        <row r="2098">
          <cell r="J2098">
            <v>0</v>
          </cell>
          <cell r="K2098">
            <v>0</v>
          </cell>
        </row>
        <row r="2099">
          <cell r="J2099">
            <v>0</v>
          </cell>
          <cell r="K2099">
            <v>0</v>
          </cell>
        </row>
        <row r="2100">
          <cell r="J2100">
            <v>0</v>
          </cell>
          <cell r="K2100">
            <v>0</v>
          </cell>
        </row>
        <row r="2101">
          <cell r="J2101">
            <v>0</v>
          </cell>
          <cell r="K2101">
            <v>0</v>
          </cell>
        </row>
        <row r="2102">
          <cell r="J2102">
            <v>0</v>
          </cell>
          <cell r="K2102">
            <v>0</v>
          </cell>
        </row>
        <row r="2103">
          <cell r="K2103">
            <v>0</v>
          </cell>
        </row>
        <row r="2104">
          <cell r="K2104">
            <v>0</v>
          </cell>
        </row>
        <row r="2105">
          <cell r="K2105">
            <v>0</v>
          </cell>
        </row>
        <row r="2106">
          <cell r="K2106">
            <v>0</v>
          </cell>
        </row>
        <row r="2107">
          <cell r="K2107">
            <v>0</v>
          </cell>
        </row>
        <row r="2108">
          <cell r="K2108">
            <v>0</v>
          </cell>
        </row>
        <row r="2109">
          <cell r="K2109">
            <v>0</v>
          </cell>
        </row>
        <row r="2110">
          <cell r="K2110">
            <v>0</v>
          </cell>
        </row>
        <row r="2111">
          <cell r="K2111">
            <v>0</v>
          </cell>
        </row>
        <row r="2112">
          <cell r="K2112">
            <v>0</v>
          </cell>
        </row>
        <row r="2113">
          <cell r="J2113" t="str">
            <v>Arame</v>
          </cell>
          <cell r="K2113">
            <v>0</v>
          </cell>
        </row>
        <row r="2114">
          <cell r="J2114" t="str">
            <v xml:space="preserve">Mourão </v>
          </cell>
          <cell r="K2114">
            <v>0</v>
          </cell>
        </row>
        <row r="2115">
          <cell r="J2115" t="str">
            <v xml:space="preserve">Mourão </v>
          </cell>
          <cell r="K2115">
            <v>0</v>
          </cell>
        </row>
        <row r="2116">
          <cell r="K2116">
            <v>0</v>
          </cell>
        </row>
        <row r="2117">
          <cell r="K2117">
            <v>0</v>
          </cell>
        </row>
        <row r="2118">
          <cell r="J2118">
            <v>0</v>
          </cell>
          <cell r="K2118">
            <v>0</v>
          </cell>
        </row>
        <row r="2122">
          <cell r="J2122" t="str">
            <v>Código</v>
          </cell>
          <cell r="K2122">
            <v>0</v>
          </cell>
        </row>
        <row r="2123">
          <cell r="J2123">
            <v>0</v>
          </cell>
          <cell r="K2123">
            <v>0</v>
          </cell>
        </row>
        <row r="2124">
          <cell r="J2124">
            <v>41555</v>
          </cell>
          <cell r="K2124">
            <v>5855.52</v>
          </cell>
        </row>
        <row r="2125">
          <cell r="J2125">
            <v>0</v>
          </cell>
          <cell r="K2125">
            <v>0</v>
          </cell>
        </row>
        <row r="2148">
          <cell r="J2148">
            <v>0</v>
          </cell>
          <cell r="K2148">
            <v>0</v>
          </cell>
        </row>
        <row r="2158">
          <cell r="K2158">
            <v>0</v>
          </cell>
        </row>
        <row r="2159">
          <cell r="J2159">
            <v>0</v>
          </cell>
          <cell r="K2159">
            <v>0</v>
          </cell>
        </row>
        <row r="2160">
          <cell r="J2160">
            <v>0</v>
          </cell>
          <cell r="K2160">
            <v>0</v>
          </cell>
        </row>
        <row r="2161">
          <cell r="J2161">
            <v>0</v>
          </cell>
          <cell r="K2161">
            <v>0</v>
          </cell>
        </row>
        <row r="2162">
          <cell r="J2162">
            <v>0</v>
          </cell>
          <cell r="K2162">
            <v>0</v>
          </cell>
        </row>
        <row r="2163">
          <cell r="J2163" t="str">
            <v>Código</v>
          </cell>
          <cell r="K2163">
            <v>0</v>
          </cell>
        </row>
        <row r="2165">
          <cell r="J2165">
            <v>41528</v>
          </cell>
          <cell r="K2165">
            <v>215.57</v>
          </cell>
        </row>
        <row r="2166">
          <cell r="J2166">
            <v>0</v>
          </cell>
          <cell r="K2166">
            <v>0</v>
          </cell>
        </row>
        <row r="2167">
          <cell r="J2167">
            <v>0</v>
          </cell>
          <cell r="K2167">
            <v>0</v>
          </cell>
        </row>
        <row r="2168">
          <cell r="J2168">
            <v>0</v>
          </cell>
          <cell r="K2168">
            <v>0</v>
          </cell>
        </row>
        <row r="2169">
          <cell r="J2169">
            <v>0</v>
          </cell>
          <cell r="K2169">
            <v>0</v>
          </cell>
        </row>
        <row r="2170">
          <cell r="J2170">
            <v>0</v>
          </cell>
          <cell r="K2170">
            <v>0</v>
          </cell>
        </row>
        <row r="2171">
          <cell r="J2171">
            <v>0</v>
          </cell>
          <cell r="K2171">
            <v>0</v>
          </cell>
        </row>
        <row r="2172">
          <cell r="J2172">
            <v>0</v>
          </cell>
          <cell r="K2172">
            <v>0</v>
          </cell>
        </row>
        <row r="2173">
          <cell r="J2173">
            <v>0</v>
          </cell>
          <cell r="K2173">
            <v>0</v>
          </cell>
        </row>
        <row r="2174">
          <cell r="J2174">
            <v>0</v>
          </cell>
          <cell r="K2174">
            <v>0</v>
          </cell>
        </row>
        <row r="2175">
          <cell r="J2175">
            <v>0</v>
          </cell>
          <cell r="K2175">
            <v>0</v>
          </cell>
        </row>
        <row r="2176">
          <cell r="J2176">
            <v>0</v>
          </cell>
          <cell r="K2176">
            <v>0</v>
          </cell>
        </row>
        <row r="2177">
          <cell r="J2177">
            <v>0</v>
          </cell>
          <cell r="K2177">
            <v>0</v>
          </cell>
        </row>
        <row r="2178">
          <cell r="J2178">
            <v>0</v>
          </cell>
          <cell r="K2178">
            <v>0</v>
          </cell>
        </row>
        <row r="2179">
          <cell r="J2179">
            <v>0</v>
          </cell>
          <cell r="K2179">
            <v>0</v>
          </cell>
        </row>
        <row r="2180">
          <cell r="J2180">
            <v>0</v>
          </cell>
          <cell r="K2180">
            <v>0</v>
          </cell>
        </row>
        <row r="2181">
          <cell r="J2181">
            <v>0</v>
          </cell>
          <cell r="K2181">
            <v>0</v>
          </cell>
        </row>
        <row r="2187">
          <cell r="J2187">
            <v>0</v>
          </cell>
          <cell r="K2187">
            <v>0</v>
          </cell>
        </row>
        <row r="2188">
          <cell r="J2188">
            <v>0</v>
          </cell>
          <cell r="K2188">
            <v>0</v>
          </cell>
        </row>
        <row r="2192">
          <cell r="J2192" t="str">
            <v>Madeira em Geral</v>
          </cell>
        </row>
        <row r="2201">
          <cell r="J2201">
            <v>41529</v>
          </cell>
          <cell r="K2201">
            <v>21087.29</v>
          </cell>
        </row>
        <row r="2205">
          <cell r="J2205">
            <v>0</v>
          </cell>
          <cell r="K2205">
            <v>0</v>
          </cell>
        </row>
        <row r="2206">
          <cell r="J2206">
            <v>0</v>
          </cell>
          <cell r="K2206">
            <v>0</v>
          </cell>
        </row>
        <row r="2207">
          <cell r="J2207">
            <v>0</v>
          </cell>
          <cell r="K2207">
            <v>0</v>
          </cell>
        </row>
        <row r="2208">
          <cell r="J2208">
            <v>0</v>
          </cell>
          <cell r="K2208">
            <v>0</v>
          </cell>
        </row>
        <row r="2209">
          <cell r="J2209">
            <v>0</v>
          </cell>
          <cell r="K2209">
            <v>0</v>
          </cell>
        </row>
        <row r="2210">
          <cell r="J2210">
            <v>0</v>
          </cell>
          <cell r="K2210">
            <v>0</v>
          </cell>
        </row>
        <row r="2211">
          <cell r="J2211">
            <v>0</v>
          </cell>
          <cell r="K2211">
            <v>0</v>
          </cell>
        </row>
        <row r="2212">
          <cell r="J2212">
            <v>0</v>
          </cell>
          <cell r="K2212">
            <v>0</v>
          </cell>
        </row>
        <row r="2213">
          <cell r="J2213">
            <v>0</v>
          </cell>
          <cell r="K2213">
            <v>0</v>
          </cell>
        </row>
        <row r="2214">
          <cell r="J2214">
            <v>0</v>
          </cell>
          <cell r="K2214">
            <v>0</v>
          </cell>
        </row>
        <row r="2215">
          <cell r="J2215">
            <v>0</v>
          </cell>
          <cell r="K2215">
            <v>0</v>
          </cell>
        </row>
        <row r="2216">
          <cell r="J2216">
            <v>0</v>
          </cell>
          <cell r="K2216">
            <v>0</v>
          </cell>
        </row>
        <row r="2217">
          <cell r="J2217">
            <v>0</v>
          </cell>
          <cell r="K2217">
            <v>0</v>
          </cell>
        </row>
        <row r="2218">
          <cell r="J2218">
            <v>0</v>
          </cell>
          <cell r="K2218">
            <v>0</v>
          </cell>
        </row>
        <row r="2219">
          <cell r="J2219">
            <v>0</v>
          </cell>
          <cell r="K2219">
            <v>0</v>
          </cell>
        </row>
        <row r="2220">
          <cell r="J2220">
            <v>0</v>
          </cell>
          <cell r="K2220">
            <v>0</v>
          </cell>
        </row>
        <row r="2223">
          <cell r="J2223">
            <v>0</v>
          </cell>
          <cell r="K2223">
            <v>0</v>
          </cell>
        </row>
        <row r="2224">
          <cell r="J2224">
            <v>0</v>
          </cell>
          <cell r="K2224">
            <v>0</v>
          </cell>
        </row>
        <row r="2225">
          <cell r="J2225">
            <v>0</v>
          </cell>
          <cell r="K2225">
            <v>0</v>
          </cell>
        </row>
        <row r="2226">
          <cell r="J2226">
            <v>0</v>
          </cell>
          <cell r="K2226">
            <v>0</v>
          </cell>
        </row>
        <row r="2228">
          <cell r="J2228" t="str">
            <v>Madeira em Geral</v>
          </cell>
        </row>
        <row r="2236">
          <cell r="J2236">
            <v>41530</v>
          </cell>
          <cell r="K2236">
            <v>365.56</v>
          </cell>
        </row>
        <row r="2237">
          <cell r="J2237">
            <v>0</v>
          </cell>
          <cell r="K2237">
            <v>0</v>
          </cell>
        </row>
        <row r="2238">
          <cell r="J2238">
            <v>0</v>
          </cell>
          <cell r="K2238">
            <v>0</v>
          </cell>
        </row>
        <row r="2239">
          <cell r="J2239">
            <v>0</v>
          </cell>
          <cell r="K2239">
            <v>0</v>
          </cell>
        </row>
        <row r="2240">
          <cell r="J2240">
            <v>0</v>
          </cell>
          <cell r="K2240">
            <v>0</v>
          </cell>
        </row>
        <row r="2241">
          <cell r="J2241">
            <v>0</v>
          </cell>
          <cell r="K2241">
            <v>0</v>
          </cell>
        </row>
        <row r="2242">
          <cell r="J2242">
            <v>0</v>
          </cell>
          <cell r="K2242">
            <v>0</v>
          </cell>
        </row>
        <row r="2243">
          <cell r="J2243">
            <v>0</v>
          </cell>
          <cell r="K2243">
            <v>0</v>
          </cell>
        </row>
        <row r="2244">
          <cell r="J2244">
            <v>0</v>
          </cell>
          <cell r="K2244">
            <v>0</v>
          </cell>
        </row>
        <row r="2245">
          <cell r="J2245">
            <v>0</v>
          </cell>
          <cell r="K2245">
            <v>0</v>
          </cell>
        </row>
        <row r="2246">
          <cell r="J2246">
            <v>0</v>
          </cell>
          <cell r="K2246">
            <v>0</v>
          </cell>
        </row>
        <row r="2247">
          <cell r="J2247">
            <v>0</v>
          </cell>
          <cell r="K2247">
            <v>0</v>
          </cell>
        </row>
        <row r="2248">
          <cell r="J2248">
            <v>0</v>
          </cell>
          <cell r="K2248">
            <v>0</v>
          </cell>
        </row>
        <row r="2249">
          <cell r="J2249">
            <v>0</v>
          </cell>
          <cell r="K2249">
            <v>0</v>
          </cell>
        </row>
        <row r="2250">
          <cell r="J2250">
            <v>0</v>
          </cell>
          <cell r="K2250">
            <v>0</v>
          </cell>
        </row>
        <row r="2251">
          <cell r="J2251">
            <v>0</v>
          </cell>
          <cell r="K2251">
            <v>0</v>
          </cell>
        </row>
        <row r="2252">
          <cell r="J2252">
            <v>0</v>
          </cell>
          <cell r="K2252">
            <v>0</v>
          </cell>
        </row>
        <row r="2258">
          <cell r="J2258">
            <v>0</v>
          </cell>
          <cell r="K2258">
            <v>0</v>
          </cell>
        </row>
        <row r="2259">
          <cell r="J2259">
            <v>0</v>
          </cell>
          <cell r="K2259">
            <v>0</v>
          </cell>
        </row>
        <row r="2260">
          <cell r="J2260">
            <v>0</v>
          </cell>
          <cell r="K2260">
            <v>0</v>
          </cell>
        </row>
        <row r="2261">
          <cell r="J2261">
            <v>0</v>
          </cell>
          <cell r="K2261">
            <v>0</v>
          </cell>
        </row>
        <row r="2263">
          <cell r="J2263" t="str">
            <v>Madeira em Geral</v>
          </cell>
        </row>
        <row r="2272">
          <cell r="J2272">
            <v>40376</v>
          </cell>
          <cell r="K2272">
            <v>8.7100000000000009</v>
          </cell>
        </row>
        <row r="2278">
          <cell r="J2278">
            <v>0</v>
          </cell>
          <cell r="K2278">
            <v>0</v>
          </cell>
        </row>
        <row r="2279">
          <cell r="J2279">
            <v>0</v>
          </cell>
          <cell r="K2279">
            <v>0</v>
          </cell>
        </row>
        <row r="2280">
          <cell r="J2280">
            <v>0</v>
          </cell>
          <cell r="K2280">
            <v>0</v>
          </cell>
        </row>
        <row r="2281">
          <cell r="J2281">
            <v>0</v>
          </cell>
          <cell r="K2281">
            <v>0</v>
          </cell>
        </row>
        <row r="2282">
          <cell r="J2282">
            <v>0</v>
          </cell>
          <cell r="K2282">
            <v>0</v>
          </cell>
        </row>
        <row r="2283">
          <cell r="J2283">
            <v>0</v>
          </cell>
          <cell r="K2283">
            <v>0</v>
          </cell>
        </row>
        <row r="2284">
          <cell r="J2284">
            <v>0</v>
          </cell>
          <cell r="K2284">
            <v>0</v>
          </cell>
        </row>
        <row r="2285">
          <cell r="J2285">
            <v>0</v>
          </cell>
          <cell r="K2285">
            <v>0</v>
          </cell>
        </row>
        <row r="2286">
          <cell r="J2286">
            <v>0</v>
          </cell>
          <cell r="K2286">
            <v>0</v>
          </cell>
        </row>
        <row r="2287">
          <cell r="J2287">
            <v>0</v>
          </cell>
          <cell r="K2287">
            <v>0</v>
          </cell>
        </row>
        <row r="2288">
          <cell r="J2288">
            <v>0</v>
          </cell>
          <cell r="K2288">
            <v>0</v>
          </cell>
        </row>
        <row r="2289">
          <cell r="J2289">
            <v>0</v>
          </cell>
          <cell r="K2289">
            <v>0</v>
          </cell>
        </row>
        <row r="2290">
          <cell r="J2290">
            <v>0</v>
          </cell>
          <cell r="K2290">
            <v>0</v>
          </cell>
        </row>
        <row r="2291">
          <cell r="J2291">
            <v>0</v>
          </cell>
          <cell r="K2291">
            <v>0</v>
          </cell>
        </row>
        <row r="2292">
          <cell r="J2292">
            <v>0</v>
          </cell>
          <cell r="K2292">
            <v>0</v>
          </cell>
        </row>
        <row r="2293">
          <cell r="J2293">
            <v>0</v>
          </cell>
          <cell r="K2293">
            <v>0</v>
          </cell>
        </row>
        <row r="2296">
          <cell r="J2296">
            <v>0</v>
          </cell>
          <cell r="K2296">
            <v>0</v>
          </cell>
        </row>
        <row r="2297">
          <cell r="J2297">
            <v>0</v>
          </cell>
          <cell r="K2297">
            <v>0</v>
          </cell>
        </row>
        <row r="2301">
          <cell r="J2301" t="str">
            <v>Madeira em Geral</v>
          </cell>
        </row>
        <row r="2309">
          <cell r="J2309">
            <v>40313</v>
          </cell>
          <cell r="K2309">
            <v>74.12</v>
          </cell>
        </row>
        <row r="2321">
          <cell r="K2321">
            <v>0</v>
          </cell>
        </row>
        <row r="2322">
          <cell r="K2322">
            <v>0</v>
          </cell>
        </row>
        <row r="2323">
          <cell r="K2323">
            <v>0</v>
          </cell>
        </row>
        <row r="2324">
          <cell r="K2324">
            <v>0</v>
          </cell>
        </row>
        <row r="2325">
          <cell r="K2325">
            <v>0</v>
          </cell>
        </row>
        <row r="2326">
          <cell r="K2326">
            <v>0</v>
          </cell>
        </row>
        <row r="2327">
          <cell r="K2327">
            <v>0</v>
          </cell>
        </row>
        <row r="2328">
          <cell r="K2328">
            <v>0</v>
          </cell>
        </row>
        <row r="2329">
          <cell r="J2329">
            <v>0</v>
          </cell>
          <cell r="K2329">
            <v>0</v>
          </cell>
        </row>
        <row r="2330">
          <cell r="K2330">
            <v>0</v>
          </cell>
        </row>
        <row r="2331">
          <cell r="K2331">
            <v>0</v>
          </cell>
        </row>
        <row r="2332">
          <cell r="K2332">
            <v>0</v>
          </cell>
        </row>
        <row r="2333">
          <cell r="J2333">
            <v>0</v>
          </cell>
          <cell r="K2333">
            <v>0</v>
          </cell>
        </row>
        <row r="2334">
          <cell r="J2334">
            <v>0</v>
          </cell>
          <cell r="K2334">
            <v>0</v>
          </cell>
        </row>
        <row r="2335">
          <cell r="K2335">
            <v>0</v>
          </cell>
        </row>
        <row r="2336">
          <cell r="K2336">
            <v>0</v>
          </cell>
        </row>
        <row r="2340">
          <cell r="J2340" t="str">
            <v>Madeira em Geral</v>
          </cell>
        </row>
        <row r="2341">
          <cell r="J2341" t="str">
            <v>Madeira em Geral</v>
          </cell>
        </row>
        <row r="2342">
          <cell r="J2342" t="str">
            <v>Madeira em Geral</v>
          </cell>
        </row>
        <row r="2345">
          <cell r="J2345">
            <v>0</v>
          </cell>
        </row>
        <row r="2351">
          <cell r="J2351">
            <v>40360</v>
          </cell>
          <cell r="K2351">
            <v>666.52</v>
          </cell>
        </row>
        <row r="2354">
          <cell r="J2354">
            <v>0</v>
          </cell>
          <cell r="K2354">
            <v>0</v>
          </cell>
        </row>
        <row r="2355">
          <cell r="J2355">
            <v>0</v>
          </cell>
          <cell r="K2355">
            <v>0</v>
          </cell>
        </row>
        <row r="2356">
          <cell r="J2356">
            <v>0</v>
          </cell>
          <cell r="K2356">
            <v>0</v>
          </cell>
        </row>
        <row r="2357">
          <cell r="J2357">
            <v>0</v>
          </cell>
          <cell r="K2357">
            <v>0</v>
          </cell>
        </row>
        <row r="2358">
          <cell r="J2358">
            <v>0</v>
          </cell>
          <cell r="K2358">
            <v>0</v>
          </cell>
        </row>
        <row r="2359">
          <cell r="J2359">
            <v>0</v>
          </cell>
          <cell r="K2359">
            <v>0</v>
          </cell>
        </row>
        <row r="2360">
          <cell r="J2360">
            <v>0</v>
          </cell>
          <cell r="K2360">
            <v>0</v>
          </cell>
        </row>
        <row r="2361">
          <cell r="J2361">
            <v>0</v>
          </cell>
          <cell r="K2361">
            <v>0</v>
          </cell>
        </row>
        <row r="2362">
          <cell r="J2362">
            <v>0</v>
          </cell>
          <cell r="K2362">
            <v>0</v>
          </cell>
        </row>
        <row r="2363">
          <cell r="J2363">
            <v>0</v>
          </cell>
          <cell r="K2363">
            <v>0</v>
          </cell>
        </row>
        <row r="2364">
          <cell r="J2364">
            <v>0</v>
          </cell>
          <cell r="K2364">
            <v>0</v>
          </cell>
        </row>
        <row r="2365">
          <cell r="J2365">
            <v>0</v>
          </cell>
          <cell r="K2365">
            <v>0</v>
          </cell>
        </row>
        <row r="2366">
          <cell r="J2366">
            <v>0</v>
          </cell>
          <cell r="K2366">
            <v>0</v>
          </cell>
        </row>
        <row r="2367">
          <cell r="J2367">
            <v>0</v>
          </cell>
          <cell r="K2367">
            <v>0</v>
          </cell>
        </row>
        <row r="2368">
          <cell r="J2368">
            <v>0</v>
          </cell>
          <cell r="K2368">
            <v>0</v>
          </cell>
        </row>
        <row r="2369">
          <cell r="J2369">
            <v>0</v>
          </cell>
          <cell r="K2369">
            <v>0</v>
          </cell>
        </row>
        <row r="2370">
          <cell r="K2370">
            <v>0</v>
          </cell>
        </row>
        <row r="2371">
          <cell r="K2371">
            <v>0</v>
          </cell>
        </row>
        <row r="2372">
          <cell r="K2372">
            <v>0</v>
          </cell>
        </row>
        <row r="2373">
          <cell r="K2373">
            <v>0</v>
          </cell>
        </row>
        <row r="2374">
          <cell r="K2374">
            <v>0</v>
          </cell>
        </row>
        <row r="2375">
          <cell r="K2375">
            <v>0</v>
          </cell>
        </row>
        <row r="2376">
          <cell r="K2376">
            <v>0</v>
          </cell>
        </row>
        <row r="2377">
          <cell r="K2377">
            <v>0</v>
          </cell>
        </row>
        <row r="2378">
          <cell r="K2378">
            <v>0</v>
          </cell>
        </row>
        <row r="2379">
          <cell r="K2379">
            <v>0</v>
          </cell>
        </row>
        <row r="2380">
          <cell r="K2380">
            <v>0</v>
          </cell>
        </row>
        <row r="2381">
          <cell r="K2381">
            <v>0</v>
          </cell>
        </row>
        <row r="2382">
          <cell r="K2382">
            <v>0</v>
          </cell>
        </row>
        <row r="2383">
          <cell r="K2383">
            <v>0</v>
          </cell>
        </row>
        <row r="2384">
          <cell r="J2384" t="str">
            <v>Areia</v>
          </cell>
          <cell r="K2384">
            <v>0</v>
          </cell>
        </row>
        <row r="2385">
          <cell r="J2385" t="str">
            <v>Cimento</v>
          </cell>
          <cell r="K2385">
            <v>0</v>
          </cell>
        </row>
        <row r="2386">
          <cell r="J2386" t="str">
            <v>Produto Pétreo</v>
          </cell>
        </row>
        <row r="2395">
          <cell r="J2395">
            <v>41544</v>
          </cell>
          <cell r="K2395">
            <v>383.8</v>
          </cell>
        </row>
        <row r="2406">
          <cell r="J2406">
            <v>0</v>
          </cell>
          <cell r="K2406">
            <v>0</v>
          </cell>
        </row>
        <row r="2407">
          <cell r="J2407">
            <v>0</v>
          </cell>
          <cell r="K2407">
            <v>0</v>
          </cell>
        </row>
        <row r="2408">
          <cell r="J2408">
            <v>0</v>
          </cell>
          <cell r="K2408">
            <v>0</v>
          </cell>
        </row>
        <row r="2409">
          <cell r="J2409">
            <v>0</v>
          </cell>
          <cell r="K2409">
            <v>0</v>
          </cell>
        </row>
        <row r="2410">
          <cell r="J2410">
            <v>0</v>
          </cell>
          <cell r="K2410">
            <v>0</v>
          </cell>
        </row>
        <row r="2411">
          <cell r="J2411">
            <v>0</v>
          </cell>
          <cell r="K2411">
            <v>0</v>
          </cell>
        </row>
        <row r="2412">
          <cell r="J2412">
            <v>0</v>
          </cell>
          <cell r="K2412">
            <v>0</v>
          </cell>
        </row>
        <row r="2413">
          <cell r="J2413">
            <v>0</v>
          </cell>
          <cell r="K2413">
            <v>0</v>
          </cell>
        </row>
        <row r="2414">
          <cell r="J2414">
            <v>0</v>
          </cell>
          <cell r="K2414">
            <v>0</v>
          </cell>
        </row>
        <row r="2415">
          <cell r="J2415">
            <v>0</v>
          </cell>
          <cell r="K2415">
            <v>0</v>
          </cell>
        </row>
        <row r="2416">
          <cell r="J2416">
            <v>0</v>
          </cell>
          <cell r="K2416">
            <v>0</v>
          </cell>
        </row>
        <row r="2417">
          <cell r="J2417">
            <v>0</v>
          </cell>
          <cell r="K2417">
            <v>0</v>
          </cell>
        </row>
        <row r="2418">
          <cell r="J2418">
            <v>0</v>
          </cell>
          <cell r="K2418">
            <v>0</v>
          </cell>
        </row>
        <row r="2419">
          <cell r="J2419">
            <v>0</v>
          </cell>
          <cell r="K2419">
            <v>0</v>
          </cell>
        </row>
        <row r="2420">
          <cell r="J2420">
            <v>0</v>
          </cell>
          <cell r="K2420">
            <v>0</v>
          </cell>
        </row>
        <row r="2421">
          <cell r="J2421">
            <v>0</v>
          </cell>
          <cell r="K2421">
            <v>0</v>
          </cell>
        </row>
        <row r="2431">
          <cell r="J2431">
            <v>41545</v>
          </cell>
          <cell r="K2431">
            <v>202.77</v>
          </cell>
        </row>
        <row r="2443">
          <cell r="J2443">
            <v>0</v>
          </cell>
          <cell r="K2443">
            <v>0</v>
          </cell>
        </row>
        <row r="2444">
          <cell r="J2444">
            <v>0</v>
          </cell>
          <cell r="K2444">
            <v>0</v>
          </cell>
        </row>
        <row r="2445">
          <cell r="J2445">
            <v>0</v>
          </cell>
          <cell r="K2445">
            <v>0</v>
          </cell>
        </row>
        <row r="2446">
          <cell r="J2446">
            <v>0</v>
          </cell>
          <cell r="K2446">
            <v>0</v>
          </cell>
        </row>
        <row r="2447">
          <cell r="J2447">
            <v>0</v>
          </cell>
          <cell r="K2447">
            <v>0</v>
          </cell>
        </row>
        <row r="2448">
          <cell r="J2448">
            <v>0</v>
          </cell>
          <cell r="K2448">
            <v>0</v>
          </cell>
        </row>
        <row r="2449">
          <cell r="J2449">
            <v>0</v>
          </cell>
          <cell r="K2449">
            <v>0</v>
          </cell>
        </row>
        <row r="2450">
          <cell r="J2450">
            <v>0</v>
          </cell>
          <cell r="K2450">
            <v>0</v>
          </cell>
        </row>
        <row r="2451">
          <cell r="J2451">
            <v>0</v>
          </cell>
          <cell r="K2451">
            <v>0</v>
          </cell>
        </row>
        <row r="2452">
          <cell r="J2452">
            <v>0</v>
          </cell>
          <cell r="K2452">
            <v>0</v>
          </cell>
        </row>
        <row r="2453">
          <cell r="J2453">
            <v>0</v>
          </cell>
          <cell r="K2453">
            <v>0</v>
          </cell>
        </row>
        <row r="2454">
          <cell r="J2454">
            <v>0</v>
          </cell>
          <cell r="K2454">
            <v>0</v>
          </cell>
        </row>
        <row r="2455">
          <cell r="J2455">
            <v>0</v>
          </cell>
          <cell r="K2455">
            <v>0</v>
          </cell>
        </row>
        <row r="2456">
          <cell r="J2456">
            <v>0</v>
          </cell>
          <cell r="K2456">
            <v>0</v>
          </cell>
        </row>
        <row r="2457">
          <cell r="J2457">
            <v>0</v>
          </cell>
          <cell r="K2457">
            <v>0</v>
          </cell>
        </row>
        <row r="2458">
          <cell r="J2458">
            <v>0</v>
          </cell>
          <cell r="K2458">
            <v>0</v>
          </cell>
        </row>
        <row r="2467">
          <cell r="J2467">
            <v>41546</v>
          </cell>
          <cell r="K2467">
            <v>237.16</v>
          </cell>
        </row>
        <row r="2476">
          <cell r="J2476">
            <v>0</v>
          </cell>
          <cell r="K2476">
            <v>0</v>
          </cell>
        </row>
        <row r="2477">
          <cell r="J2477">
            <v>0</v>
          </cell>
          <cell r="K2477">
            <v>0</v>
          </cell>
        </row>
        <row r="2478">
          <cell r="J2478">
            <v>0</v>
          </cell>
          <cell r="K2478">
            <v>0</v>
          </cell>
        </row>
        <row r="2479">
          <cell r="J2479">
            <v>0</v>
          </cell>
          <cell r="K2479">
            <v>0</v>
          </cell>
        </row>
        <row r="2480">
          <cell r="J2480">
            <v>0</v>
          </cell>
          <cell r="K2480">
            <v>0</v>
          </cell>
        </row>
        <row r="2481">
          <cell r="J2481">
            <v>0</v>
          </cell>
          <cell r="K2481">
            <v>0</v>
          </cell>
        </row>
        <row r="2482">
          <cell r="J2482">
            <v>0</v>
          </cell>
          <cell r="K2482">
            <v>0</v>
          </cell>
        </row>
        <row r="2483">
          <cell r="J2483">
            <v>0</v>
          </cell>
          <cell r="K2483">
            <v>0</v>
          </cell>
        </row>
        <row r="2484">
          <cell r="J2484">
            <v>0</v>
          </cell>
          <cell r="K2484">
            <v>0</v>
          </cell>
        </row>
        <row r="2485">
          <cell r="J2485">
            <v>0</v>
          </cell>
          <cell r="K2485">
            <v>0</v>
          </cell>
        </row>
        <row r="2486">
          <cell r="J2486">
            <v>0</v>
          </cell>
          <cell r="K2486">
            <v>0</v>
          </cell>
        </row>
        <row r="2487">
          <cell r="J2487">
            <v>0</v>
          </cell>
          <cell r="K2487">
            <v>0</v>
          </cell>
        </row>
        <row r="2488">
          <cell r="J2488">
            <v>0</v>
          </cell>
          <cell r="K2488">
            <v>0</v>
          </cell>
        </row>
        <row r="2489">
          <cell r="J2489">
            <v>0</v>
          </cell>
          <cell r="K2489">
            <v>0</v>
          </cell>
        </row>
        <row r="2490">
          <cell r="J2490">
            <v>0</v>
          </cell>
          <cell r="K2490">
            <v>0</v>
          </cell>
        </row>
        <row r="2491">
          <cell r="J2491">
            <v>0</v>
          </cell>
          <cell r="K2491">
            <v>0</v>
          </cell>
        </row>
        <row r="2503">
          <cell r="J2503">
            <v>41547</v>
          </cell>
          <cell r="K2503">
            <v>197.1</v>
          </cell>
        </row>
        <row r="2509">
          <cell r="J2509">
            <v>0</v>
          </cell>
          <cell r="K2509">
            <v>0</v>
          </cell>
        </row>
        <row r="2510">
          <cell r="J2510">
            <v>0</v>
          </cell>
          <cell r="K2510">
            <v>0</v>
          </cell>
        </row>
        <row r="2511">
          <cell r="J2511">
            <v>0</v>
          </cell>
          <cell r="K2511">
            <v>0</v>
          </cell>
        </row>
        <row r="2512">
          <cell r="J2512">
            <v>0</v>
          </cell>
          <cell r="K2512">
            <v>0</v>
          </cell>
        </row>
        <row r="2513">
          <cell r="J2513">
            <v>0</v>
          </cell>
          <cell r="K2513">
            <v>0</v>
          </cell>
        </row>
        <row r="2514">
          <cell r="J2514">
            <v>0</v>
          </cell>
          <cell r="K2514">
            <v>0</v>
          </cell>
        </row>
        <row r="2515">
          <cell r="J2515">
            <v>0</v>
          </cell>
          <cell r="K2515">
            <v>0</v>
          </cell>
        </row>
        <row r="2516">
          <cell r="J2516">
            <v>0</v>
          </cell>
          <cell r="K2516">
            <v>0</v>
          </cell>
        </row>
        <row r="2517">
          <cell r="J2517">
            <v>0</v>
          </cell>
          <cell r="K2517">
            <v>0</v>
          </cell>
        </row>
        <row r="2518">
          <cell r="J2518">
            <v>0</v>
          </cell>
          <cell r="K2518">
            <v>0</v>
          </cell>
        </row>
        <row r="2519">
          <cell r="J2519">
            <v>0</v>
          </cell>
          <cell r="K2519">
            <v>0</v>
          </cell>
        </row>
        <row r="2520">
          <cell r="J2520">
            <v>0</v>
          </cell>
          <cell r="K2520">
            <v>0</v>
          </cell>
        </row>
        <row r="2521">
          <cell r="J2521">
            <v>0</v>
          </cell>
          <cell r="K2521">
            <v>0</v>
          </cell>
        </row>
        <row r="2522">
          <cell r="J2522">
            <v>0</v>
          </cell>
          <cell r="K2522">
            <v>0</v>
          </cell>
        </row>
        <row r="2523">
          <cell r="J2523">
            <v>0</v>
          </cell>
          <cell r="K2523">
            <v>0</v>
          </cell>
        </row>
        <row r="2524">
          <cell r="J2524">
            <v>0</v>
          </cell>
          <cell r="K2524">
            <v>0</v>
          </cell>
        </row>
        <row r="2537">
          <cell r="J2537">
            <v>0</v>
          </cell>
        </row>
        <row r="2539">
          <cell r="J2539">
            <v>40169</v>
          </cell>
          <cell r="K2539">
            <v>8.0500000000000007</v>
          </cell>
        </row>
        <row r="2540">
          <cell r="J2540">
            <v>0</v>
          </cell>
          <cell r="K2540">
            <v>0</v>
          </cell>
        </row>
        <row r="2541">
          <cell r="J2541">
            <v>0</v>
          </cell>
          <cell r="K2541">
            <v>0</v>
          </cell>
        </row>
        <row r="2542">
          <cell r="J2542">
            <v>0</v>
          </cell>
          <cell r="K2542">
            <v>0</v>
          </cell>
        </row>
        <row r="2543">
          <cell r="J2543">
            <v>0</v>
          </cell>
          <cell r="K2543">
            <v>0</v>
          </cell>
        </row>
        <row r="2544">
          <cell r="J2544">
            <v>0</v>
          </cell>
          <cell r="K2544">
            <v>0</v>
          </cell>
        </row>
        <row r="2545">
          <cell r="J2545">
            <v>0</v>
          </cell>
          <cell r="K2545">
            <v>0</v>
          </cell>
        </row>
        <row r="2546">
          <cell r="J2546">
            <v>0</v>
          </cell>
          <cell r="K2546">
            <v>0</v>
          </cell>
        </row>
        <row r="2547">
          <cell r="J2547">
            <v>0</v>
          </cell>
          <cell r="K2547">
            <v>0</v>
          </cell>
        </row>
        <row r="2548">
          <cell r="J2548">
            <v>0</v>
          </cell>
          <cell r="K2548">
            <v>0</v>
          </cell>
        </row>
        <row r="2549">
          <cell r="J2549">
            <v>0</v>
          </cell>
          <cell r="K2549">
            <v>0</v>
          </cell>
        </row>
        <row r="2550">
          <cell r="J2550">
            <v>0</v>
          </cell>
          <cell r="K2550">
            <v>0</v>
          </cell>
        </row>
        <row r="2551">
          <cell r="J2551">
            <v>0</v>
          </cell>
          <cell r="K2551">
            <v>0</v>
          </cell>
        </row>
        <row r="2552">
          <cell r="J2552">
            <v>0</v>
          </cell>
          <cell r="K2552">
            <v>0</v>
          </cell>
        </row>
        <row r="2553">
          <cell r="J2553">
            <v>0</v>
          </cell>
          <cell r="K2553">
            <v>0</v>
          </cell>
        </row>
        <row r="2554">
          <cell r="J2554">
            <v>0</v>
          </cell>
          <cell r="K2554">
            <v>0</v>
          </cell>
        </row>
        <row r="2555">
          <cell r="J2555">
            <v>0</v>
          </cell>
          <cell r="K2555">
            <v>0</v>
          </cell>
        </row>
        <row r="2556">
          <cell r="K2556">
            <v>0</v>
          </cell>
        </row>
        <row r="2557">
          <cell r="K2557">
            <v>0</v>
          </cell>
        </row>
        <row r="2558">
          <cell r="K2558">
            <v>0</v>
          </cell>
        </row>
        <row r="2559">
          <cell r="K2559">
            <v>0</v>
          </cell>
        </row>
        <row r="2560">
          <cell r="K2560">
            <v>0</v>
          </cell>
        </row>
        <row r="2561">
          <cell r="K2561">
            <v>0</v>
          </cell>
        </row>
        <row r="2562">
          <cell r="K2562">
            <v>0</v>
          </cell>
        </row>
        <row r="2563">
          <cell r="K2563">
            <v>0</v>
          </cell>
        </row>
        <row r="2564">
          <cell r="K2564">
            <v>0</v>
          </cell>
        </row>
        <row r="2565">
          <cell r="K2565">
            <v>0</v>
          </cell>
        </row>
        <row r="2566">
          <cell r="K2566">
            <v>0</v>
          </cell>
        </row>
        <row r="2567">
          <cell r="J2567" t="str">
            <v>Madeira em Geral</v>
          </cell>
          <cell r="K2567">
            <v>0</v>
          </cell>
        </row>
        <row r="2568">
          <cell r="K2568">
            <v>0</v>
          </cell>
        </row>
        <row r="2569">
          <cell r="K2569">
            <v>0</v>
          </cell>
        </row>
        <row r="2576">
          <cell r="J2576">
            <v>41340</v>
          </cell>
          <cell r="K2576">
            <v>498.66</v>
          </cell>
        </row>
        <row r="2579">
          <cell r="J2579">
            <v>0</v>
          </cell>
          <cell r="K2579">
            <v>0</v>
          </cell>
        </row>
        <row r="2580">
          <cell r="J2580">
            <v>0</v>
          </cell>
          <cell r="K2580">
            <v>0</v>
          </cell>
        </row>
        <row r="2581">
          <cell r="J2581">
            <v>0</v>
          </cell>
          <cell r="K2581">
            <v>0</v>
          </cell>
        </row>
        <row r="2582">
          <cell r="J2582">
            <v>0</v>
          </cell>
          <cell r="K2582">
            <v>0</v>
          </cell>
        </row>
        <row r="2583">
          <cell r="J2583">
            <v>0</v>
          </cell>
          <cell r="K2583">
            <v>0</v>
          </cell>
        </row>
        <row r="2584">
          <cell r="J2584">
            <v>0</v>
          </cell>
          <cell r="K2584">
            <v>0</v>
          </cell>
        </row>
        <row r="2585">
          <cell r="J2585">
            <v>0</v>
          </cell>
          <cell r="K2585">
            <v>0</v>
          </cell>
        </row>
        <row r="2586">
          <cell r="J2586">
            <v>0</v>
          </cell>
          <cell r="K2586">
            <v>0</v>
          </cell>
        </row>
        <row r="2587">
          <cell r="J2587">
            <v>0</v>
          </cell>
          <cell r="K2587">
            <v>0</v>
          </cell>
        </row>
        <row r="2588">
          <cell r="J2588">
            <v>0</v>
          </cell>
          <cell r="K2588">
            <v>0</v>
          </cell>
        </row>
        <row r="2589">
          <cell r="J2589">
            <v>0</v>
          </cell>
          <cell r="K2589">
            <v>0</v>
          </cell>
        </row>
        <row r="2590">
          <cell r="J2590">
            <v>0</v>
          </cell>
          <cell r="K2590">
            <v>0</v>
          </cell>
        </row>
        <row r="2591">
          <cell r="J2591">
            <v>0</v>
          </cell>
          <cell r="K2591">
            <v>0</v>
          </cell>
        </row>
        <row r="2592">
          <cell r="J2592">
            <v>0</v>
          </cell>
          <cell r="K2592">
            <v>0</v>
          </cell>
        </row>
        <row r="2593">
          <cell r="J2593">
            <v>0</v>
          </cell>
          <cell r="K2593">
            <v>0</v>
          </cell>
        </row>
        <row r="2594">
          <cell r="J2594">
            <v>0</v>
          </cell>
          <cell r="K2594">
            <v>0</v>
          </cell>
        </row>
        <row r="2595">
          <cell r="K2595">
            <v>0</v>
          </cell>
        </row>
        <row r="2596">
          <cell r="K2596">
            <v>0</v>
          </cell>
        </row>
        <row r="2597">
          <cell r="K2597">
            <v>0</v>
          </cell>
        </row>
        <row r="2598">
          <cell r="K2598">
            <v>0</v>
          </cell>
        </row>
        <row r="2599">
          <cell r="K2599">
            <v>0</v>
          </cell>
        </row>
        <row r="2600">
          <cell r="K2600">
            <v>0</v>
          </cell>
        </row>
        <row r="2601">
          <cell r="K2601">
            <v>0</v>
          </cell>
        </row>
        <row r="2602">
          <cell r="K2602">
            <v>0</v>
          </cell>
        </row>
        <row r="2603">
          <cell r="K2603">
            <v>0</v>
          </cell>
        </row>
        <row r="2604">
          <cell r="K2604">
            <v>0</v>
          </cell>
        </row>
        <row r="2605">
          <cell r="K2605">
            <v>0</v>
          </cell>
        </row>
        <row r="2606">
          <cell r="K2606">
            <v>0</v>
          </cell>
        </row>
        <row r="2607">
          <cell r="K2607">
            <v>0</v>
          </cell>
        </row>
        <row r="2608">
          <cell r="K2608">
            <v>0</v>
          </cell>
        </row>
        <row r="2609">
          <cell r="K2609">
            <v>0</v>
          </cell>
        </row>
        <row r="2610">
          <cell r="K2610">
            <v>0</v>
          </cell>
        </row>
        <row r="2611">
          <cell r="K2611">
            <v>0</v>
          </cell>
        </row>
        <row r="2612">
          <cell r="K2612">
            <v>0</v>
          </cell>
        </row>
        <row r="2613">
          <cell r="K2613">
            <v>0</v>
          </cell>
        </row>
        <row r="2614">
          <cell r="K2614">
            <v>0</v>
          </cell>
        </row>
        <row r="2615">
          <cell r="K2615">
            <v>0</v>
          </cell>
        </row>
        <row r="2616">
          <cell r="K2616">
            <v>0</v>
          </cell>
        </row>
        <row r="2623">
          <cell r="J2623">
            <v>40309</v>
          </cell>
          <cell r="K2623">
            <v>170.81</v>
          </cell>
        </row>
        <row r="2624">
          <cell r="J2624">
            <v>0</v>
          </cell>
          <cell r="K2624">
            <v>0</v>
          </cell>
        </row>
        <row r="2625">
          <cell r="J2625">
            <v>0</v>
          </cell>
          <cell r="K2625">
            <v>0</v>
          </cell>
        </row>
        <row r="2626">
          <cell r="J2626">
            <v>0</v>
          </cell>
          <cell r="K2626">
            <v>0</v>
          </cell>
        </row>
        <row r="2627">
          <cell r="J2627">
            <v>0</v>
          </cell>
          <cell r="K2627">
            <v>0</v>
          </cell>
        </row>
        <row r="2628">
          <cell r="J2628">
            <v>0</v>
          </cell>
          <cell r="K2628">
            <v>0</v>
          </cell>
        </row>
        <row r="2629">
          <cell r="J2629">
            <v>0</v>
          </cell>
          <cell r="K2629">
            <v>0</v>
          </cell>
        </row>
        <row r="2630">
          <cell r="J2630">
            <v>0</v>
          </cell>
          <cell r="K2630">
            <v>0</v>
          </cell>
        </row>
        <row r="2631">
          <cell r="J2631">
            <v>0</v>
          </cell>
          <cell r="K2631">
            <v>0</v>
          </cell>
        </row>
        <row r="2632">
          <cell r="J2632">
            <v>0</v>
          </cell>
          <cell r="K2632">
            <v>0</v>
          </cell>
        </row>
        <row r="2633">
          <cell r="J2633">
            <v>0</v>
          </cell>
          <cell r="K2633">
            <v>0</v>
          </cell>
        </row>
        <row r="2634">
          <cell r="J2634">
            <v>0</v>
          </cell>
          <cell r="K2634">
            <v>0</v>
          </cell>
        </row>
        <row r="2635">
          <cell r="J2635">
            <v>0</v>
          </cell>
          <cell r="K2635">
            <v>0</v>
          </cell>
        </row>
        <row r="2636">
          <cell r="J2636">
            <v>0</v>
          </cell>
          <cell r="K2636">
            <v>0</v>
          </cell>
        </row>
        <row r="2637">
          <cell r="J2637">
            <v>0</v>
          </cell>
          <cell r="K2637">
            <v>0</v>
          </cell>
        </row>
        <row r="2638">
          <cell r="J2638">
            <v>0</v>
          </cell>
          <cell r="K2638">
            <v>0</v>
          </cell>
        </row>
        <row r="2639">
          <cell r="J2639">
            <v>0</v>
          </cell>
          <cell r="K2639">
            <v>0</v>
          </cell>
        </row>
        <row r="2640">
          <cell r="K2640">
            <v>0</v>
          </cell>
        </row>
        <row r="2641">
          <cell r="K2641">
            <v>0</v>
          </cell>
        </row>
        <row r="2642">
          <cell r="K2642">
            <v>0</v>
          </cell>
        </row>
        <row r="2643">
          <cell r="K2643">
            <v>0</v>
          </cell>
        </row>
        <row r="2644">
          <cell r="K2644">
            <v>0</v>
          </cell>
        </row>
        <row r="2645">
          <cell r="K2645">
            <v>0</v>
          </cell>
        </row>
        <row r="2646">
          <cell r="K2646">
            <v>0</v>
          </cell>
        </row>
        <row r="2647">
          <cell r="K2647">
            <v>0</v>
          </cell>
        </row>
        <row r="2648">
          <cell r="K2648">
            <v>0</v>
          </cell>
        </row>
        <row r="2649">
          <cell r="K2649">
            <v>0</v>
          </cell>
        </row>
        <row r="2650">
          <cell r="K2650">
            <v>0</v>
          </cell>
        </row>
        <row r="2651">
          <cell r="K2651">
            <v>0</v>
          </cell>
        </row>
        <row r="2652">
          <cell r="K2652">
            <v>0</v>
          </cell>
        </row>
        <row r="2653">
          <cell r="K2653">
            <v>0</v>
          </cell>
        </row>
        <row r="2654">
          <cell r="J2654" t="str">
            <v>Madeira em Geral</v>
          </cell>
          <cell r="K2654">
            <v>0</v>
          </cell>
        </row>
        <row r="2655">
          <cell r="J2655" t="str">
            <v>Madeira em Geral</v>
          </cell>
          <cell r="K2655">
            <v>0</v>
          </cell>
        </row>
        <row r="2656">
          <cell r="J2656" t="str">
            <v>Madeira em Geral</v>
          </cell>
          <cell r="K2656">
            <v>0</v>
          </cell>
        </row>
        <row r="2657">
          <cell r="K2657">
            <v>0</v>
          </cell>
        </row>
        <row r="2658">
          <cell r="K2658">
            <v>0</v>
          </cell>
        </row>
        <row r="2665">
          <cell r="J2665">
            <v>40369</v>
          </cell>
          <cell r="K2665">
            <v>934.53</v>
          </cell>
        </row>
        <row r="2695">
          <cell r="J2695">
            <v>0</v>
          </cell>
          <cell r="K2695">
            <v>0</v>
          </cell>
        </row>
        <row r="2696">
          <cell r="J2696">
            <v>0</v>
          </cell>
          <cell r="K2696">
            <v>0</v>
          </cell>
        </row>
        <row r="2701">
          <cell r="J2701" t="str">
            <v>Areia</v>
          </cell>
        </row>
        <row r="2702">
          <cell r="J2702" t="str">
            <v>Cimento</v>
          </cell>
        </row>
        <row r="2703">
          <cell r="J2703" t="str">
            <v>Brita</v>
          </cell>
        </row>
        <row r="2704">
          <cell r="J2704" t="str">
            <v>Cimento</v>
          </cell>
        </row>
        <row r="2710">
          <cell r="J2710">
            <v>0</v>
          </cell>
          <cell r="K2710">
            <v>0</v>
          </cell>
        </row>
        <row r="2711">
          <cell r="J2711">
            <v>40332</v>
          </cell>
          <cell r="K2711">
            <v>390.82</v>
          </cell>
        </row>
        <row r="2712">
          <cell r="J2712">
            <v>0</v>
          </cell>
          <cell r="K2712">
            <v>0</v>
          </cell>
        </row>
        <row r="2714">
          <cell r="J2714">
            <v>0</v>
          </cell>
          <cell r="K2714">
            <v>0</v>
          </cell>
        </row>
        <row r="2715">
          <cell r="J2715">
            <v>0</v>
          </cell>
          <cell r="K2715">
            <v>0</v>
          </cell>
        </row>
        <row r="2716">
          <cell r="J2716">
            <v>0</v>
          </cell>
          <cell r="K2716">
            <v>0</v>
          </cell>
        </row>
        <row r="2717">
          <cell r="J2717">
            <v>0</v>
          </cell>
          <cell r="K2717">
            <v>0</v>
          </cell>
        </row>
        <row r="2718">
          <cell r="J2718">
            <v>0</v>
          </cell>
          <cell r="K2718">
            <v>0</v>
          </cell>
        </row>
        <row r="2719">
          <cell r="J2719">
            <v>0</v>
          </cell>
          <cell r="K2719">
            <v>0</v>
          </cell>
        </row>
        <row r="2720">
          <cell r="J2720">
            <v>0</v>
          </cell>
          <cell r="K2720">
            <v>0</v>
          </cell>
        </row>
        <row r="2721">
          <cell r="J2721">
            <v>0</v>
          </cell>
          <cell r="K2721">
            <v>0</v>
          </cell>
        </row>
        <row r="2722">
          <cell r="J2722">
            <v>0</v>
          </cell>
          <cell r="K2722">
            <v>0</v>
          </cell>
        </row>
        <row r="2723">
          <cell r="J2723">
            <v>0</v>
          </cell>
          <cell r="K2723">
            <v>0</v>
          </cell>
        </row>
        <row r="2724">
          <cell r="J2724">
            <v>0</v>
          </cell>
          <cell r="K2724">
            <v>0</v>
          </cell>
        </row>
        <row r="2725">
          <cell r="J2725">
            <v>0</v>
          </cell>
          <cell r="K2725">
            <v>0</v>
          </cell>
        </row>
        <row r="2726">
          <cell r="J2726">
            <v>0</v>
          </cell>
          <cell r="K2726">
            <v>0</v>
          </cell>
        </row>
        <row r="2737">
          <cell r="J2737">
            <v>0</v>
          </cell>
          <cell r="K2737">
            <v>0</v>
          </cell>
        </row>
        <row r="2742">
          <cell r="J2742" t="str">
            <v>Cimento</v>
          </cell>
        </row>
        <row r="2743">
          <cell r="J2743" t="str">
            <v>Produto Pétreo</v>
          </cell>
        </row>
        <row r="2745">
          <cell r="J2745">
            <v>0</v>
          </cell>
        </row>
        <row r="2747">
          <cell r="J2747">
            <v>0</v>
          </cell>
        </row>
        <row r="2750">
          <cell r="J2750">
            <v>40387</v>
          </cell>
          <cell r="K2750">
            <v>133.57</v>
          </cell>
        </row>
        <row r="2773">
          <cell r="J2773">
            <v>0</v>
          </cell>
          <cell r="K2773">
            <v>0</v>
          </cell>
        </row>
        <row r="2774">
          <cell r="J2774">
            <v>0</v>
          </cell>
          <cell r="K2774">
            <v>0</v>
          </cell>
        </row>
        <row r="2779">
          <cell r="J2779" t="str">
            <v>Pré-moldados de concreto</v>
          </cell>
        </row>
        <row r="2786">
          <cell r="J2786">
            <v>40389</v>
          </cell>
          <cell r="K2786">
            <v>69.73</v>
          </cell>
        </row>
        <row r="2810">
          <cell r="J2810">
            <v>0</v>
          </cell>
          <cell r="K2810">
            <v>0</v>
          </cell>
        </row>
        <row r="2811">
          <cell r="J2811">
            <v>0</v>
          </cell>
          <cell r="K2811">
            <v>0</v>
          </cell>
        </row>
        <row r="2824">
          <cell r="J2824">
            <v>40310</v>
          </cell>
          <cell r="K2824">
            <v>155.24</v>
          </cell>
        </row>
        <row r="2850">
          <cell r="J2850">
            <v>0</v>
          </cell>
          <cell r="K2850">
            <v>0</v>
          </cell>
        </row>
        <row r="2854">
          <cell r="J2854" t="str">
            <v>Madeira em Geral</v>
          </cell>
        </row>
        <row r="2855">
          <cell r="J2855" t="str">
            <v>Madeira em Geral</v>
          </cell>
        </row>
        <row r="2856">
          <cell r="J2856" t="str">
            <v>Madeira em Geral</v>
          </cell>
        </row>
        <row r="2862">
          <cell r="J2862">
            <v>0</v>
          </cell>
        </row>
        <row r="2864">
          <cell r="J2864">
            <v>40348</v>
          </cell>
          <cell r="K2864">
            <v>511.71</v>
          </cell>
        </row>
        <row r="2865">
          <cell r="J2865">
            <v>0</v>
          </cell>
          <cell r="K2865">
            <v>0</v>
          </cell>
        </row>
        <row r="2866">
          <cell r="J2866">
            <v>0</v>
          </cell>
          <cell r="K2866">
            <v>0</v>
          </cell>
        </row>
        <row r="2867">
          <cell r="J2867">
            <v>0</v>
          </cell>
          <cell r="K2867">
            <v>0</v>
          </cell>
        </row>
        <row r="2868">
          <cell r="J2868">
            <v>0</v>
          </cell>
          <cell r="K2868">
            <v>0</v>
          </cell>
        </row>
        <row r="2869">
          <cell r="J2869">
            <v>0</v>
          </cell>
          <cell r="K2869">
            <v>0</v>
          </cell>
        </row>
        <row r="2870">
          <cell r="J2870">
            <v>0</v>
          </cell>
          <cell r="K2870">
            <v>0</v>
          </cell>
        </row>
        <row r="2871">
          <cell r="J2871">
            <v>0</v>
          </cell>
          <cell r="K2871">
            <v>0</v>
          </cell>
        </row>
        <row r="2872">
          <cell r="J2872">
            <v>0</v>
          </cell>
          <cell r="K2872">
            <v>0</v>
          </cell>
        </row>
        <row r="2873">
          <cell r="J2873">
            <v>0</v>
          </cell>
          <cell r="K2873">
            <v>0</v>
          </cell>
        </row>
        <row r="2874">
          <cell r="J2874">
            <v>0</v>
          </cell>
          <cell r="K2874">
            <v>0</v>
          </cell>
        </row>
        <row r="2875">
          <cell r="J2875">
            <v>0</v>
          </cell>
          <cell r="K2875">
            <v>0</v>
          </cell>
        </row>
        <row r="2876">
          <cell r="J2876">
            <v>0</v>
          </cell>
          <cell r="K2876">
            <v>0</v>
          </cell>
        </row>
        <row r="2877">
          <cell r="J2877">
            <v>0</v>
          </cell>
          <cell r="K2877">
            <v>0</v>
          </cell>
        </row>
        <row r="2878">
          <cell r="J2878">
            <v>0</v>
          </cell>
          <cell r="K2878">
            <v>0</v>
          </cell>
        </row>
        <row r="2879">
          <cell r="J2879">
            <v>0</v>
          </cell>
          <cell r="K2879">
            <v>0</v>
          </cell>
        </row>
        <row r="2880">
          <cell r="J2880">
            <v>0</v>
          </cell>
          <cell r="K2880">
            <v>0</v>
          </cell>
        </row>
        <row r="2881">
          <cell r="K2881">
            <v>0</v>
          </cell>
        </row>
        <row r="2882">
          <cell r="K2882">
            <v>0</v>
          </cell>
        </row>
        <row r="2883">
          <cell r="K2883">
            <v>0</v>
          </cell>
        </row>
        <row r="2884">
          <cell r="K2884">
            <v>0</v>
          </cell>
        </row>
        <row r="2885">
          <cell r="K2885">
            <v>0</v>
          </cell>
        </row>
        <row r="2886">
          <cell r="K2886">
            <v>0</v>
          </cell>
        </row>
        <row r="2887">
          <cell r="K2887">
            <v>0</v>
          </cell>
        </row>
        <row r="2888">
          <cell r="K2888">
            <v>0</v>
          </cell>
        </row>
        <row r="2889">
          <cell r="K2889">
            <v>0</v>
          </cell>
        </row>
        <row r="2890">
          <cell r="K2890">
            <v>0</v>
          </cell>
        </row>
        <row r="2891">
          <cell r="K2891">
            <v>0</v>
          </cell>
        </row>
        <row r="2892">
          <cell r="K2892">
            <v>0</v>
          </cell>
        </row>
        <row r="2893">
          <cell r="J2893" t="str">
            <v>Areia</v>
          </cell>
          <cell r="K2893">
            <v>0</v>
          </cell>
        </row>
        <row r="2894">
          <cell r="J2894" t="str">
            <v>Cimento</v>
          </cell>
          <cell r="K2894">
            <v>0</v>
          </cell>
        </row>
        <row r="2895">
          <cell r="K2895">
            <v>0</v>
          </cell>
        </row>
        <row r="2896">
          <cell r="K2896">
            <v>0</v>
          </cell>
        </row>
        <row r="2903">
          <cell r="J2903">
            <v>40312</v>
          </cell>
          <cell r="K2903">
            <v>87.75</v>
          </cell>
        </row>
        <row r="2914">
          <cell r="J2914">
            <v>0</v>
          </cell>
          <cell r="K2914">
            <v>0</v>
          </cell>
        </row>
        <row r="2915">
          <cell r="J2915">
            <v>0</v>
          </cell>
          <cell r="K2915">
            <v>0</v>
          </cell>
        </row>
        <row r="2916">
          <cell r="J2916">
            <v>0</v>
          </cell>
          <cell r="K2916">
            <v>0</v>
          </cell>
        </row>
        <row r="2917">
          <cell r="J2917">
            <v>0</v>
          </cell>
          <cell r="K2917">
            <v>0</v>
          </cell>
        </row>
        <row r="2918">
          <cell r="J2918">
            <v>0</v>
          </cell>
          <cell r="K2918">
            <v>0</v>
          </cell>
        </row>
        <row r="2919">
          <cell r="J2919">
            <v>0</v>
          </cell>
          <cell r="K2919">
            <v>0</v>
          </cell>
        </row>
        <row r="2920">
          <cell r="J2920">
            <v>0</v>
          </cell>
          <cell r="K2920">
            <v>0</v>
          </cell>
        </row>
        <row r="2921">
          <cell r="J2921">
            <v>0</v>
          </cell>
          <cell r="K2921">
            <v>0</v>
          </cell>
        </row>
        <row r="2922">
          <cell r="J2922">
            <v>0</v>
          </cell>
          <cell r="K2922">
            <v>0</v>
          </cell>
        </row>
        <row r="2923">
          <cell r="J2923">
            <v>0</v>
          </cell>
          <cell r="K2923">
            <v>0</v>
          </cell>
        </row>
        <row r="2924">
          <cell r="J2924">
            <v>0</v>
          </cell>
          <cell r="K2924">
            <v>0</v>
          </cell>
        </row>
        <row r="2925">
          <cell r="J2925">
            <v>0</v>
          </cell>
          <cell r="K2925">
            <v>0</v>
          </cell>
        </row>
        <row r="2926">
          <cell r="J2926">
            <v>0</v>
          </cell>
          <cell r="K2926">
            <v>0</v>
          </cell>
        </row>
        <row r="2927">
          <cell r="J2927">
            <v>0</v>
          </cell>
          <cell r="K2927">
            <v>0</v>
          </cell>
        </row>
        <row r="2928">
          <cell r="J2928">
            <v>0</v>
          </cell>
          <cell r="K2928">
            <v>0</v>
          </cell>
        </row>
        <row r="2929">
          <cell r="J2929">
            <v>0</v>
          </cell>
          <cell r="K2929">
            <v>0</v>
          </cell>
        </row>
        <row r="2934">
          <cell r="J2934" t="str">
            <v>Madeira em Geral</v>
          </cell>
        </row>
        <row r="2935">
          <cell r="J2935" t="str">
            <v>Madeira em Geral</v>
          </cell>
        </row>
        <row r="2936">
          <cell r="J2936" t="str">
            <v>Madeira em Geral</v>
          </cell>
        </row>
        <row r="2942">
          <cell r="J2942">
            <v>0</v>
          </cell>
          <cell r="K2942">
            <v>0</v>
          </cell>
        </row>
        <row r="2943">
          <cell r="J2943">
            <v>0</v>
          </cell>
        </row>
        <row r="2944">
          <cell r="J2944">
            <v>40721</v>
          </cell>
          <cell r="K2944">
            <v>188</v>
          </cell>
        </row>
        <row r="2945">
          <cell r="J2945">
            <v>0</v>
          </cell>
        </row>
        <row r="2946">
          <cell r="J2946">
            <v>0</v>
          </cell>
        </row>
        <row r="2947">
          <cell r="J2947">
            <v>0</v>
          </cell>
        </row>
        <row r="2948">
          <cell r="J2948">
            <v>0</v>
          </cell>
        </row>
        <row r="2949">
          <cell r="J2949">
            <v>0</v>
          </cell>
          <cell r="K2949">
            <v>0</v>
          </cell>
        </row>
        <row r="2954">
          <cell r="J2954">
            <v>0</v>
          </cell>
          <cell r="K2954">
            <v>0</v>
          </cell>
        </row>
        <row r="2969">
          <cell r="J2969" t="str">
            <v>Brita</v>
          </cell>
          <cell r="K2969">
            <v>0</v>
          </cell>
        </row>
        <row r="2972">
          <cell r="J2972">
            <v>0</v>
          </cell>
        </row>
        <row r="2974">
          <cell r="J2974">
            <v>0</v>
          </cell>
          <cell r="K2974">
            <v>0</v>
          </cell>
        </row>
        <row r="2975">
          <cell r="J2975">
            <v>0</v>
          </cell>
          <cell r="K2975">
            <v>0</v>
          </cell>
        </row>
        <row r="2976">
          <cell r="J2976">
            <v>0</v>
          </cell>
        </row>
        <row r="2977">
          <cell r="J2977">
            <v>0</v>
          </cell>
        </row>
        <row r="2978">
          <cell r="J2978">
            <v>40362</v>
          </cell>
          <cell r="K2978">
            <v>687.29</v>
          </cell>
        </row>
        <row r="2979">
          <cell r="J2979">
            <v>0</v>
          </cell>
        </row>
        <row r="2980">
          <cell r="J2980">
            <v>0</v>
          </cell>
        </row>
        <row r="2981">
          <cell r="J2981">
            <v>0</v>
          </cell>
        </row>
        <row r="2982">
          <cell r="J2982">
            <v>0</v>
          </cell>
        </row>
        <row r="2984">
          <cell r="J2984">
            <v>0</v>
          </cell>
        </row>
        <row r="2985">
          <cell r="J2985">
            <v>0</v>
          </cell>
        </row>
        <row r="2986">
          <cell r="J2986">
            <v>0</v>
          </cell>
          <cell r="K2986">
            <v>0</v>
          </cell>
        </row>
        <row r="2987">
          <cell r="J2987">
            <v>0</v>
          </cell>
          <cell r="K2987">
            <v>0</v>
          </cell>
        </row>
        <row r="2988">
          <cell r="J2988">
            <v>0</v>
          </cell>
          <cell r="K2988">
            <v>0</v>
          </cell>
        </row>
        <row r="2989">
          <cell r="J2989">
            <v>0</v>
          </cell>
          <cell r="K2989">
            <v>0</v>
          </cell>
        </row>
        <row r="2990">
          <cell r="J2990">
            <v>0</v>
          </cell>
          <cell r="K2990">
            <v>0</v>
          </cell>
        </row>
        <row r="2991">
          <cell r="J2991">
            <v>0</v>
          </cell>
          <cell r="K2991">
            <v>0</v>
          </cell>
        </row>
        <row r="2992">
          <cell r="J2992">
            <v>0</v>
          </cell>
          <cell r="K2992">
            <v>0</v>
          </cell>
        </row>
        <row r="2993">
          <cell r="J2993">
            <v>0</v>
          </cell>
          <cell r="K2993">
            <v>0</v>
          </cell>
        </row>
        <row r="2994">
          <cell r="J2994">
            <v>0</v>
          </cell>
          <cell r="K2994">
            <v>0</v>
          </cell>
        </row>
        <row r="2995">
          <cell r="J2995">
            <v>0</v>
          </cell>
          <cell r="K2995">
            <v>0</v>
          </cell>
        </row>
        <row r="2996">
          <cell r="J2996">
            <v>0</v>
          </cell>
          <cell r="K2996">
            <v>0</v>
          </cell>
        </row>
        <row r="2997">
          <cell r="J2997">
            <v>0</v>
          </cell>
          <cell r="K2997">
            <v>0</v>
          </cell>
        </row>
        <row r="2998">
          <cell r="J2998">
            <v>0</v>
          </cell>
          <cell r="K2998">
            <v>0</v>
          </cell>
        </row>
        <row r="2999">
          <cell r="J2999">
            <v>0</v>
          </cell>
          <cell r="K2999">
            <v>0</v>
          </cell>
        </row>
        <row r="3000">
          <cell r="J3000">
            <v>0</v>
          </cell>
          <cell r="K3000">
            <v>0</v>
          </cell>
        </row>
        <row r="3001">
          <cell r="J3001">
            <v>0</v>
          </cell>
          <cell r="K3001">
            <v>0</v>
          </cell>
        </row>
        <row r="3002">
          <cell r="J3002">
            <v>0</v>
          </cell>
          <cell r="K3002">
            <v>0</v>
          </cell>
        </row>
        <row r="3004">
          <cell r="J3004">
            <v>0</v>
          </cell>
          <cell r="K3004">
            <v>0</v>
          </cell>
        </row>
        <row r="3005">
          <cell r="J3005">
            <v>0</v>
          </cell>
          <cell r="K3005">
            <v>0</v>
          </cell>
        </row>
        <row r="3006">
          <cell r="J3006">
            <v>0</v>
          </cell>
          <cell r="K3006">
            <v>0</v>
          </cell>
        </row>
        <row r="3007">
          <cell r="J3007">
            <v>0</v>
          </cell>
          <cell r="K3007">
            <v>0</v>
          </cell>
        </row>
        <row r="3008">
          <cell r="J3008">
            <v>0</v>
          </cell>
          <cell r="K3008">
            <v>0</v>
          </cell>
        </row>
        <row r="3009">
          <cell r="J3009">
            <v>0</v>
          </cell>
          <cell r="K3009">
            <v>0</v>
          </cell>
        </row>
        <row r="3010">
          <cell r="J3010" t="str">
            <v>Areia</v>
          </cell>
          <cell r="K3010">
            <v>0</v>
          </cell>
        </row>
        <row r="3011">
          <cell r="J3011" t="str">
            <v>Cimento</v>
          </cell>
          <cell r="K3011">
            <v>0</v>
          </cell>
        </row>
        <row r="3012">
          <cell r="J3012" t="str">
            <v>Produto Pétreo</v>
          </cell>
          <cell r="K3012">
            <v>0</v>
          </cell>
        </row>
        <row r="3013">
          <cell r="J3013">
            <v>0</v>
          </cell>
          <cell r="K3013">
            <v>0</v>
          </cell>
        </row>
        <row r="3014">
          <cell r="J3014">
            <v>0</v>
          </cell>
          <cell r="K3014">
            <v>0</v>
          </cell>
        </row>
        <row r="3015">
          <cell r="J3015">
            <v>0</v>
          </cell>
          <cell r="K3015">
            <v>0</v>
          </cell>
        </row>
        <row r="3016">
          <cell r="J3016">
            <v>0</v>
          </cell>
          <cell r="K3016">
            <v>0</v>
          </cell>
        </row>
        <row r="3017">
          <cell r="J3017">
            <v>0</v>
          </cell>
          <cell r="K3017">
            <v>0</v>
          </cell>
        </row>
        <row r="3018">
          <cell r="J3018">
            <v>0</v>
          </cell>
          <cell r="K3018">
            <v>0</v>
          </cell>
        </row>
        <row r="3019">
          <cell r="J3019">
            <v>0</v>
          </cell>
        </row>
        <row r="3020">
          <cell r="J3020">
            <v>0</v>
          </cell>
        </row>
        <row r="3021">
          <cell r="J3021">
            <v>40377</v>
          </cell>
          <cell r="K3021">
            <v>5.3</v>
          </cell>
        </row>
        <row r="3022">
          <cell r="J3022">
            <v>0</v>
          </cell>
        </row>
        <row r="3023">
          <cell r="J3023">
            <v>0</v>
          </cell>
        </row>
        <row r="3024">
          <cell r="J3024">
            <v>0</v>
          </cell>
        </row>
        <row r="3025">
          <cell r="J3025">
            <v>0</v>
          </cell>
        </row>
        <row r="3026">
          <cell r="J3026">
            <v>0</v>
          </cell>
          <cell r="K3026">
            <v>0</v>
          </cell>
        </row>
        <row r="3027">
          <cell r="J3027">
            <v>0</v>
          </cell>
          <cell r="K3027">
            <v>0</v>
          </cell>
        </row>
        <row r="3028">
          <cell r="J3028">
            <v>0</v>
          </cell>
          <cell r="K3028">
            <v>0</v>
          </cell>
        </row>
        <row r="3029">
          <cell r="J3029">
            <v>0</v>
          </cell>
          <cell r="K3029">
            <v>0</v>
          </cell>
        </row>
        <row r="3030">
          <cell r="J3030">
            <v>0</v>
          </cell>
          <cell r="K3030">
            <v>0</v>
          </cell>
        </row>
        <row r="3031">
          <cell r="J3031">
            <v>0</v>
          </cell>
          <cell r="K3031">
            <v>0</v>
          </cell>
        </row>
        <row r="3032">
          <cell r="J3032">
            <v>0</v>
          </cell>
          <cell r="K3032">
            <v>0</v>
          </cell>
        </row>
        <row r="3033">
          <cell r="J3033">
            <v>0</v>
          </cell>
          <cell r="K3033">
            <v>0</v>
          </cell>
        </row>
        <row r="3034">
          <cell r="J3034">
            <v>0</v>
          </cell>
          <cell r="K3034">
            <v>0</v>
          </cell>
        </row>
        <row r="3035">
          <cell r="J3035">
            <v>0</v>
          </cell>
          <cell r="K3035">
            <v>0</v>
          </cell>
        </row>
        <row r="3036">
          <cell r="J3036">
            <v>0</v>
          </cell>
          <cell r="K3036">
            <v>0</v>
          </cell>
        </row>
        <row r="3037">
          <cell r="J3037">
            <v>0</v>
          </cell>
          <cell r="K3037">
            <v>0</v>
          </cell>
        </row>
        <row r="3038">
          <cell r="J3038">
            <v>0</v>
          </cell>
          <cell r="K3038">
            <v>0</v>
          </cell>
        </row>
        <row r="3039">
          <cell r="J3039">
            <v>0</v>
          </cell>
          <cell r="K3039">
            <v>0</v>
          </cell>
        </row>
        <row r="3040">
          <cell r="J3040">
            <v>0</v>
          </cell>
          <cell r="K3040">
            <v>0</v>
          </cell>
        </row>
        <row r="3041">
          <cell r="J3041">
            <v>0</v>
          </cell>
          <cell r="K3041">
            <v>0</v>
          </cell>
        </row>
        <row r="3042">
          <cell r="J3042">
            <v>0</v>
          </cell>
          <cell r="K3042">
            <v>0</v>
          </cell>
        </row>
        <row r="3043">
          <cell r="J3043">
            <v>0</v>
          </cell>
          <cell r="K3043">
            <v>0</v>
          </cell>
        </row>
        <row r="3044">
          <cell r="J3044">
            <v>0</v>
          </cell>
          <cell r="K3044">
            <v>0</v>
          </cell>
        </row>
        <row r="3045">
          <cell r="J3045">
            <v>0</v>
          </cell>
          <cell r="K3045">
            <v>0</v>
          </cell>
        </row>
        <row r="3046">
          <cell r="J3046">
            <v>0</v>
          </cell>
          <cell r="K3046">
            <v>0</v>
          </cell>
        </row>
        <row r="3047">
          <cell r="J3047">
            <v>0</v>
          </cell>
          <cell r="K3047">
            <v>0</v>
          </cell>
        </row>
        <row r="3048">
          <cell r="J3048">
            <v>0</v>
          </cell>
          <cell r="K3048">
            <v>0</v>
          </cell>
        </row>
        <row r="3049">
          <cell r="J3049">
            <v>0</v>
          </cell>
          <cell r="K3049">
            <v>0</v>
          </cell>
        </row>
        <row r="3050">
          <cell r="J3050">
            <v>0</v>
          </cell>
          <cell r="K3050">
            <v>0</v>
          </cell>
        </row>
        <row r="3051">
          <cell r="J3051">
            <v>0</v>
          </cell>
          <cell r="K3051">
            <v>0</v>
          </cell>
        </row>
        <row r="3052">
          <cell r="J3052">
            <v>0</v>
          </cell>
          <cell r="K3052">
            <v>0</v>
          </cell>
        </row>
        <row r="3053">
          <cell r="J3053">
            <v>0</v>
          </cell>
          <cell r="K3053">
            <v>0</v>
          </cell>
        </row>
        <row r="3056">
          <cell r="J3056">
            <v>40351</v>
          </cell>
          <cell r="K3056">
            <v>502.71</v>
          </cell>
        </row>
        <row r="3061">
          <cell r="J3061">
            <v>0</v>
          </cell>
          <cell r="K3061">
            <v>0</v>
          </cell>
        </row>
        <row r="3062">
          <cell r="J3062">
            <v>0</v>
          </cell>
          <cell r="K3062">
            <v>0</v>
          </cell>
        </row>
        <row r="3063">
          <cell r="J3063">
            <v>0</v>
          </cell>
          <cell r="K3063">
            <v>0</v>
          </cell>
        </row>
        <row r="3064">
          <cell r="J3064">
            <v>0</v>
          </cell>
          <cell r="K3064">
            <v>0</v>
          </cell>
        </row>
        <row r="3065">
          <cell r="J3065">
            <v>0</v>
          </cell>
          <cell r="K3065">
            <v>0</v>
          </cell>
        </row>
        <row r="3066">
          <cell r="J3066">
            <v>0</v>
          </cell>
          <cell r="K3066">
            <v>0</v>
          </cell>
        </row>
        <row r="3067">
          <cell r="J3067">
            <v>0</v>
          </cell>
          <cell r="K3067">
            <v>0</v>
          </cell>
        </row>
        <row r="3068">
          <cell r="J3068">
            <v>0</v>
          </cell>
          <cell r="K3068">
            <v>0</v>
          </cell>
        </row>
        <row r="3069">
          <cell r="J3069">
            <v>0</v>
          </cell>
          <cell r="K3069">
            <v>0</v>
          </cell>
        </row>
        <row r="3070">
          <cell r="J3070">
            <v>0</v>
          </cell>
          <cell r="K3070">
            <v>0</v>
          </cell>
        </row>
        <row r="3071">
          <cell r="J3071">
            <v>0</v>
          </cell>
          <cell r="K3071">
            <v>0</v>
          </cell>
        </row>
        <row r="3072">
          <cell r="J3072">
            <v>0</v>
          </cell>
          <cell r="K3072">
            <v>0</v>
          </cell>
        </row>
        <row r="3073">
          <cell r="J3073">
            <v>0</v>
          </cell>
          <cell r="K3073">
            <v>0</v>
          </cell>
        </row>
        <row r="3074">
          <cell r="J3074">
            <v>0</v>
          </cell>
          <cell r="K3074">
            <v>0</v>
          </cell>
        </row>
        <row r="3075">
          <cell r="J3075">
            <v>0</v>
          </cell>
          <cell r="K3075">
            <v>0</v>
          </cell>
        </row>
        <row r="3076">
          <cell r="J3076">
            <v>0</v>
          </cell>
          <cell r="K3076">
            <v>0</v>
          </cell>
        </row>
        <row r="3084">
          <cell r="J3084" t="str">
            <v>Produto Pétreo</v>
          </cell>
        </row>
        <row r="3092">
          <cell r="J3092">
            <v>40358</v>
          </cell>
          <cell r="K3092">
            <v>646.92999999999995</v>
          </cell>
        </row>
        <row r="3093">
          <cell r="J3093">
            <v>0</v>
          </cell>
          <cell r="K3093">
            <v>0</v>
          </cell>
        </row>
        <row r="3094">
          <cell r="J3094">
            <v>0</v>
          </cell>
          <cell r="K3094">
            <v>0</v>
          </cell>
        </row>
        <row r="3095">
          <cell r="J3095">
            <v>0</v>
          </cell>
          <cell r="K3095">
            <v>0</v>
          </cell>
        </row>
        <row r="3096">
          <cell r="J3096">
            <v>0</v>
          </cell>
          <cell r="K3096">
            <v>0</v>
          </cell>
        </row>
        <row r="3097">
          <cell r="J3097">
            <v>0</v>
          </cell>
          <cell r="K3097">
            <v>0</v>
          </cell>
        </row>
        <row r="3098">
          <cell r="J3098">
            <v>0</v>
          </cell>
          <cell r="K3098">
            <v>0</v>
          </cell>
        </row>
        <row r="3099">
          <cell r="J3099">
            <v>0</v>
          </cell>
          <cell r="K3099">
            <v>0</v>
          </cell>
        </row>
        <row r="3100">
          <cell r="J3100">
            <v>0</v>
          </cell>
          <cell r="K3100">
            <v>0</v>
          </cell>
        </row>
        <row r="3101">
          <cell r="J3101">
            <v>0</v>
          </cell>
          <cell r="K3101">
            <v>0</v>
          </cell>
        </row>
        <row r="3102">
          <cell r="J3102">
            <v>0</v>
          </cell>
          <cell r="K3102">
            <v>0</v>
          </cell>
        </row>
        <row r="3103">
          <cell r="J3103">
            <v>0</v>
          </cell>
          <cell r="K3103">
            <v>0</v>
          </cell>
        </row>
        <row r="3104">
          <cell r="J3104">
            <v>0</v>
          </cell>
          <cell r="K3104">
            <v>0</v>
          </cell>
        </row>
        <row r="3105">
          <cell r="J3105">
            <v>0</v>
          </cell>
          <cell r="K3105">
            <v>0</v>
          </cell>
        </row>
        <row r="3106">
          <cell r="J3106">
            <v>0</v>
          </cell>
          <cell r="K3106">
            <v>0</v>
          </cell>
        </row>
        <row r="3107">
          <cell r="J3107">
            <v>0</v>
          </cell>
          <cell r="K3107">
            <v>0</v>
          </cell>
        </row>
        <row r="3108">
          <cell r="J3108">
            <v>0</v>
          </cell>
          <cell r="K3108">
            <v>0</v>
          </cell>
        </row>
        <row r="3109">
          <cell r="J3109">
            <v>0</v>
          </cell>
          <cell r="K3109">
            <v>0</v>
          </cell>
        </row>
        <row r="3110">
          <cell r="J3110">
            <v>0</v>
          </cell>
          <cell r="K3110">
            <v>0</v>
          </cell>
        </row>
        <row r="3111">
          <cell r="J3111">
            <v>0</v>
          </cell>
          <cell r="K3111">
            <v>0</v>
          </cell>
        </row>
        <row r="3112">
          <cell r="J3112">
            <v>0</v>
          </cell>
          <cell r="K3112">
            <v>0</v>
          </cell>
        </row>
        <row r="3113">
          <cell r="J3113">
            <v>0</v>
          </cell>
          <cell r="K3113">
            <v>0</v>
          </cell>
        </row>
        <row r="3114">
          <cell r="J3114">
            <v>0</v>
          </cell>
          <cell r="K3114">
            <v>0</v>
          </cell>
        </row>
        <row r="3115">
          <cell r="J3115">
            <v>0</v>
          </cell>
          <cell r="K3115">
            <v>0</v>
          </cell>
        </row>
        <row r="3116">
          <cell r="J3116">
            <v>0</v>
          </cell>
          <cell r="K3116">
            <v>0</v>
          </cell>
        </row>
        <row r="3117">
          <cell r="J3117">
            <v>0</v>
          </cell>
          <cell r="K3117">
            <v>0</v>
          </cell>
        </row>
        <row r="3118">
          <cell r="J3118">
            <v>0</v>
          </cell>
          <cell r="K3118">
            <v>0</v>
          </cell>
        </row>
        <row r="3119">
          <cell r="J3119">
            <v>0</v>
          </cell>
          <cell r="K3119">
            <v>0</v>
          </cell>
        </row>
        <row r="3120">
          <cell r="J3120">
            <v>0</v>
          </cell>
          <cell r="K3120">
            <v>0</v>
          </cell>
        </row>
        <row r="3121">
          <cell r="J3121">
            <v>0</v>
          </cell>
          <cell r="K3121">
            <v>0</v>
          </cell>
        </row>
        <row r="3122">
          <cell r="J3122">
            <v>0</v>
          </cell>
          <cell r="K3122">
            <v>0</v>
          </cell>
        </row>
        <row r="3123">
          <cell r="J3123">
            <v>0</v>
          </cell>
          <cell r="K3123">
            <v>0</v>
          </cell>
        </row>
        <row r="3124">
          <cell r="J3124">
            <v>0</v>
          </cell>
          <cell r="K3124">
            <v>0</v>
          </cell>
        </row>
        <row r="3125">
          <cell r="J3125" t="str">
            <v>Areia</v>
          </cell>
        </row>
        <row r="3126">
          <cell r="J3126" t="str">
            <v>Cimento</v>
          </cell>
        </row>
        <row r="3127">
          <cell r="J3127" t="str">
            <v>Produto Pétreo</v>
          </cell>
        </row>
        <row r="3130">
          <cell r="J3130">
            <v>0</v>
          </cell>
          <cell r="K3130">
            <v>0</v>
          </cell>
        </row>
        <row r="3131">
          <cell r="K3131">
            <v>0</v>
          </cell>
        </row>
        <row r="3136">
          <cell r="J3136">
            <v>40324</v>
          </cell>
          <cell r="K3136">
            <v>73.03</v>
          </cell>
        </row>
        <row r="3142">
          <cell r="J3142">
            <v>0</v>
          </cell>
          <cell r="K3142">
            <v>0</v>
          </cell>
        </row>
        <row r="3143">
          <cell r="J3143">
            <v>0</v>
          </cell>
          <cell r="K3143">
            <v>0</v>
          </cell>
        </row>
        <row r="3144">
          <cell r="J3144">
            <v>0</v>
          </cell>
          <cell r="K3144">
            <v>0</v>
          </cell>
        </row>
        <row r="3145">
          <cell r="J3145">
            <v>0</v>
          </cell>
          <cell r="K3145">
            <v>0</v>
          </cell>
        </row>
        <row r="3146">
          <cell r="J3146">
            <v>0</v>
          </cell>
          <cell r="K3146">
            <v>0</v>
          </cell>
        </row>
        <row r="3147">
          <cell r="J3147">
            <v>0</v>
          </cell>
          <cell r="K3147">
            <v>0</v>
          </cell>
        </row>
        <row r="3148">
          <cell r="J3148">
            <v>0</v>
          </cell>
          <cell r="K3148">
            <v>0</v>
          </cell>
        </row>
        <row r="3149">
          <cell r="J3149">
            <v>0</v>
          </cell>
          <cell r="K3149">
            <v>0</v>
          </cell>
        </row>
        <row r="3150">
          <cell r="J3150">
            <v>0</v>
          </cell>
          <cell r="K3150">
            <v>0</v>
          </cell>
        </row>
        <row r="3151">
          <cell r="J3151">
            <v>0</v>
          </cell>
          <cell r="K3151">
            <v>0</v>
          </cell>
        </row>
        <row r="3152">
          <cell r="J3152">
            <v>0</v>
          </cell>
          <cell r="K3152">
            <v>0</v>
          </cell>
        </row>
        <row r="3153">
          <cell r="J3153">
            <v>0</v>
          </cell>
          <cell r="K3153">
            <v>0</v>
          </cell>
        </row>
        <row r="3154">
          <cell r="J3154">
            <v>0</v>
          </cell>
          <cell r="K3154">
            <v>0</v>
          </cell>
        </row>
        <row r="3155">
          <cell r="J3155">
            <v>0</v>
          </cell>
          <cell r="K3155">
            <v>0</v>
          </cell>
        </row>
        <row r="3156">
          <cell r="J3156">
            <v>0</v>
          </cell>
          <cell r="K3156">
            <v>0</v>
          </cell>
        </row>
        <row r="3157">
          <cell r="J3157">
            <v>0</v>
          </cell>
          <cell r="K3157">
            <v>0</v>
          </cell>
        </row>
        <row r="3158">
          <cell r="K3158">
            <v>0</v>
          </cell>
        </row>
        <row r="3159">
          <cell r="K3159">
            <v>0</v>
          </cell>
        </row>
        <row r="3160">
          <cell r="K3160">
            <v>0</v>
          </cell>
        </row>
        <row r="3161">
          <cell r="K3161">
            <v>0</v>
          </cell>
        </row>
        <row r="3162">
          <cell r="K3162">
            <v>0</v>
          </cell>
        </row>
        <row r="3163">
          <cell r="K3163">
            <v>0</v>
          </cell>
        </row>
        <row r="3164">
          <cell r="K3164">
            <v>0</v>
          </cell>
        </row>
        <row r="3165">
          <cell r="K3165">
            <v>0</v>
          </cell>
        </row>
        <row r="3166">
          <cell r="J3166" t="str">
            <v>Madeira em Geral</v>
          </cell>
          <cell r="K3166">
            <v>0</v>
          </cell>
        </row>
        <row r="3167">
          <cell r="J3167" t="str">
            <v>Madeira em Geral</v>
          </cell>
          <cell r="K3167">
            <v>0</v>
          </cell>
        </row>
        <row r="3168">
          <cell r="K3168">
            <v>0</v>
          </cell>
        </row>
        <row r="3169">
          <cell r="K3169">
            <v>0</v>
          </cell>
        </row>
        <row r="3170">
          <cell r="K3170">
            <v>0</v>
          </cell>
        </row>
        <row r="3171">
          <cell r="K3171">
            <v>0</v>
          </cell>
        </row>
        <row r="3172">
          <cell r="K3172">
            <v>0</v>
          </cell>
        </row>
        <row r="3173">
          <cell r="K3173">
            <v>0</v>
          </cell>
        </row>
        <row r="3174">
          <cell r="J3174">
            <v>0</v>
          </cell>
          <cell r="K3174">
            <v>0</v>
          </cell>
        </row>
        <row r="3175">
          <cell r="J3175">
            <v>40282</v>
          </cell>
          <cell r="K3175">
            <v>11.72</v>
          </cell>
        </row>
        <row r="3177">
          <cell r="J3177">
            <v>0</v>
          </cell>
          <cell r="K3177">
            <v>0</v>
          </cell>
        </row>
        <row r="3178">
          <cell r="J3178">
            <v>0</v>
          </cell>
          <cell r="K3178">
            <v>0</v>
          </cell>
        </row>
        <row r="3179">
          <cell r="J3179">
            <v>0</v>
          </cell>
          <cell r="K3179">
            <v>0</v>
          </cell>
        </row>
        <row r="3180">
          <cell r="J3180">
            <v>0</v>
          </cell>
          <cell r="K3180">
            <v>0</v>
          </cell>
        </row>
        <row r="3181">
          <cell r="J3181">
            <v>0</v>
          </cell>
          <cell r="K3181">
            <v>0</v>
          </cell>
        </row>
        <row r="3182">
          <cell r="J3182">
            <v>0</v>
          </cell>
          <cell r="K3182">
            <v>0</v>
          </cell>
        </row>
        <row r="3183">
          <cell r="J3183">
            <v>0</v>
          </cell>
          <cell r="K3183">
            <v>0</v>
          </cell>
        </row>
        <row r="3184">
          <cell r="J3184">
            <v>0</v>
          </cell>
          <cell r="K3184">
            <v>0</v>
          </cell>
        </row>
        <row r="3185">
          <cell r="J3185">
            <v>0</v>
          </cell>
          <cell r="K3185">
            <v>0</v>
          </cell>
        </row>
        <row r="3186">
          <cell r="J3186">
            <v>0</v>
          </cell>
          <cell r="K3186">
            <v>0</v>
          </cell>
        </row>
        <row r="3187">
          <cell r="J3187">
            <v>0</v>
          </cell>
          <cell r="K3187">
            <v>0</v>
          </cell>
        </row>
        <row r="3188">
          <cell r="J3188">
            <v>0</v>
          </cell>
          <cell r="K3188">
            <v>0</v>
          </cell>
        </row>
        <row r="3189">
          <cell r="J3189">
            <v>0</v>
          </cell>
          <cell r="K3189">
            <v>0</v>
          </cell>
        </row>
        <row r="3190">
          <cell r="J3190">
            <v>0</v>
          </cell>
          <cell r="K3190">
            <v>0</v>
          </cell>
        </row>
        <row r="3191">
          <cell r="J3191">
            <v>0</v>
          </cell>
          <cell r="K3191">
            <v>0</v>
          </cell>
        </row>
        <row r="3192">
          <cell r="K3192">
            <v>0</v>
          </cell>
        </row>
        <row r="3193">
          <cell r="K3193">
            <v>0</v>
          </cell>
        </row>
        <row r="3194">
          <cell r="K3194">
            <v>0</v>
          </cell>
        </row>
        <row r="3195">
          <cell r="K3195">
            <v>0</v>
          </cell>
        </row>
        <row r="3196">
          <cell r="K3196">
            <v>0</v>
          </cell>
        </row>
        <row r="3197">
          <cell r="K3197">
            <v>0</v>
          </cell>
        </row>
        <row r="3198">
          <cell r="K3198">
            <v>0</v>
          </cell>
        </row>
        <row r="3199">
          <cell r="K3199">
            <v>0</v>
          </cell>
        </row>
        <row r="3200">
          <cell r="K3200">
            <v>0</v>
          </cell>
        </row>
        <row r="3201">
          <cell r="K3201">
            <v>0</v>
          </cell>
        </row>
        <row r="3202">
          <cell r="K3202">
            <v>0</v>
          </cell>
        </row>
        <row r="3203">
          <cell r="K3203">
            <v>0</v>
          </cell>
        </row>
        <row r="3204">
          <cell r="K3204">
            <v>0</v>
          </cell>
        </row>
        <row r="3205">
          <cell r="K3205">
            <v>0</v>
          </cell>
        </row>
        <row r="3206">
          <cell r="K3206">
            <v>0</v>
          </cell>
        </row>
        <row r="3207">
          <cell r="K3207">
            <v>0</v>
          </cell>
        </row>
        <row r="3209">
          <cell r="J3209">
            <v>0</v>
          </cell>
          <cell r="K3209">
            <v>0</v>
          </cell>
        </row>
        <row r="3210">
          <cell r="J3210">
            <v>0</v>
          </cell>
          <cell r="K3210">
            <v>0</v>
          </cell>
        </row>
        <row r="3211">
          <cell r="J3211">
            <v>40283</v>
          </cell>
          <cell r="K3211">
            <v>12.89</v>
          </cell>
        </row>
        <row r="3213">
          <cell r="J3213">
            <v>0</v>
          </cell>
          <cell r="K3213">
            <v>0</v>
          </cell>
        </row>
        <row r="3214">
          <cell r="J3214">
            <v>0</v>
          </cell>
          <cell r="K3214">
            <v>0</v>
          </cell>
        </row>
        <row r="3215">
          <cell r="J3215">
            <v>0</v>
          </cell>
          <cell r="K3215">
            <v>0</v>
          </cell>
        </row>
        <row r="3216">
          <cell r="J3216">
            <v>0</v>
          </cell>
          <cell r="K3216">
            <v>0</v>
          </cell>
        </row>
        <row r="3217">
          <cell r="J3217">
            <v>0</v>
          </cell>
          <cell r="K3217">
            <v>0</v>
          </cell>
        </row>
        <row r="3218">
          <cell r="J3218">
            <v>0</v>
          </cell>
          <cell r="K3218">
            <v>0</v>
          </cell>
        </row>
        <row r="3219">
          <cell r="J3219">
            <v>0</v>
          </cell>
          <cell r="K3219">
            <v>0</v>
          </cell>
        </row>
        <row r="3220">
          <cell r="J3220">
            <v>0</v>
          </cell>
          <cell r="K3220">
            <v>0</v>
          </cell>
        </row>
        <row r="3221">
          <cell r="J3221">
            <v>0</v>
          </cell>
          <cell r="K3221">
            <v>0</v>
          </cell>
        </row>
        <row r="3222">
          <cell r="J3222">
            <v>0</v>
          </cell>
          <cell r="K3222">
            <v>0</v>
          </cell>
        </row>
        <row r="3223">
          <cell r="J3223">
            <v>0</v>
          </cell>
          <cell r="K3223">
            <v>0</v>
          </cell>
        </row>
        <row r="3224">
          <cell r="J3224">
            <v>0</v>
          </cell>
          <cell r="K3224">
            <v>0</v>
          </cell>
        </row>
        <row r="3225">
          <cell r="J3225">
            <v>0</v>
          </cell>
          <cell r="K3225">
            <v>0</v>
          </cell>
        </row>
        <row r="3226">
          <cell r="J3226">
            <v>0</v>
          </cell>
          <cell r="K3226">
            <v>0</v>
          </cell>
        </row>
        <row r="3227">
          <cell r="J3227">
            <v>0</v>
          </cell>
          <cell r="K3227">
            <v>0</v>
          </cell>
        </row>
        <row r="3228">
          <cell r="K3228">
            <v>0</v>
          </cell>
        </row>
        <row r="3229">
          <cell r="K3229">
            <v>0</v>
          </cell>
        </row>
        <row r="3230">
          <cell r="K3230">
            <v>0</v>
          </cell>
        </row>
        <row r="3231">
          <cell r="K3231">
            <v>0</v>
          </cell>
        </row>
        <row r="3232">
          <cell r="K3232">
            <v>0</v>
          </cell>
        </row>
        <row r="3233">
          <cell r="K3233">
            <v>0</v>
          </cell>
        </row>
        <row r="3234">
          <cell r="K3234">
            <v>0</v>
          </cell>
        </row>
        <row r="3235">
          <cell r="K3235">
            <v>0</v>
          </cell>
        </row>
        <row r="3236">
          <cell r="K3236">
            <v>0</v>
          </cell>
        </row>
        <row r="3237">
          <cell r="K3237">
            <v>0</v>
          </cell>
        </row>
        <row r="3238">
          <cell r="K3238">
            <v>0</v>
          </cell>
        </row>
        <row r="3239">
          <cell r="K3239">
            <v>0</v>
          </cell>
        </row>
        <row r="3240">
          <cell r="K3240">
            <v>0</v>
          </cell>
        </row>
        <row r="3241">
          <cell r="K3241">
            <v>0</v>
          </cell>
        </row>
        <row r="3242">
          <cell r="K3242">
            <v>0</v>
          </cell>
        </row>
        <row r="3243">
          <cell r="K3243">
            <v>0</v>
          </cell>
        </row>
        <row r="3245">
          <cell r="J3245">
            <v>0</v>
          </cell>
        </row>
        <row r="3247">
          <cell r="K3247">
            <v>0</v>
          </cell>
        </row>
        <row r="3248">
          <cell r="J3248">
            <v>40840</v>
          </cell>
          <cell r="K3248">
            <v>48.09</v>
          </cell>
        </row>
        <row r="3264">
          <cell r="K3264">
            <v>0</v>
          </cell>
        </row>
        <row r="3265">
          <cell r="K3265">
            <v>0</v>
          </cell>
        </row>
        <row r="3266">
          <cell r="K3266">
            <v>0</v>
          </cell>
        </row>
        <row r="3267">
          <cell r="K3267">
            <v>0</v>
          </cell>
        </row>
        <row r="3268">
          <cell r="K3268">
            <v>0</v>
          </cell>
        </row>
        <row r="3269">
          <cell r="K3269">
            <v>0</v>
          </cell>
        </row>
        <row r="3270">
          <cell r="K3270">
            <v>0</v>
          </cell>
        </row>
        <row r="3271">
          <cell r="K3271">
            <v>0</v>
          </cell>
        </row>
        <row r="3272">
          <cell r="K3272">
            <v>0</v>
          </cell>
        </row>
        <row r="3273">
          <cell r="K3273">
            <v>0</v>
          </cell>
        </row>
        <row r="3274">
          <cell r="K3274">
            <v>0</v>
          </cell>
        </row>
        <row r="3275">
          <cell r="K3275">
            <v>0</v>
          </cell>
        </row>
        <row r="3276">
          <cell r="K3276">
            <v>0</v>
          </cell>
        </row>
        <row r="3277">
          <cell r="J3277" t="str">
            <v>Material betuminoso</v>
          </cell>
          <cell r="K3277">
            <v>0</v>
          </cell>
        </row>
        <row r="3278">
          <cell r="K3278">
            <v>0</v>
          </cell>
        </row>
        <row r="3279">
          <cell r="K3279">
            <v>0</v>
          </cell>
        </row>
        <row r="3280">
          <cell r="K3280">
            <v>0</v>
          </cell>
        </row>
        <row r="3285">
          <cell r="J3285">
            <v>0</v>
          </cell>
          <cell r="K3285">
            <v>0</v>
          </cell>
        </row>
        <row r="3286">
          <cell r="J3286">
            <v>40349</v>
          </cell>
          <cell r="K3286">
            <v>491.95</v>
          </cell>
        </row>
        <row r="3287">
          <cell r="J3287">
            <v>0</v>
          </cell>
          <cell r="K3287">
            <v>0</v>
          </cell>
        </row>
        <row r="3289">
          <cell r="J3289">
            <v>0</v>
          </cell>
          <cell r="K3289">
            <v>0</v>
          </cell>
        </row>
        <row r="3290">
          <cell r="J3290">
            <v>0</v>
          </cell>
          <cell r="K3290">
            <v>0</v>
          </cell>
        </row>
        <row r="3291">
          <cell r="J3291">
            <v>0</v>
          </cell>
          <cell r="K3291">
            <v>0</v>
          </cell>
        </row>
        <row r="3292">
          <cell r="J3292">
            <v>0</v>
          </cell>
          <cell r="K3292">
            <v>0</v>
          </cell>
        </row>
        <row r="3293">
          <cell r="J3293">
            <v>0</v>
          </cell>
          <cell r="K3293">
            <v>0</v>
          </cell>
        </row>
        <row r="3294">
          <cell r="J3294">
            <v>0</v>
          </cell>
          <cell r="K3294">
            <v>0</v>
          </cell>
        </row>
        <row r="3295">
          <cell r="J3295">
            <v>0</v>
          </cell>
          <cell r="K3295">
            <v>0</v>
          </cell>
        </row>
        <row r="3296">
          <cell r="J3296">
            <v>0</v>
          </cell>
          <cell r="K3296">
            <v>0</v>
          </cell>
        </row>
        <row r="3297">
          <cell r="J3297">
            <v>0</v>
          </cell>
          <cell r="K3297">
            <v>0</v>
          </cell>
        </row>
        <row r="3298">
          <cell r="J3298">
            <v>0</v>
          </cell>
          <cell r="K3298">
            <v>0</v>
          </cell>
        </row>
        <row r="3299">
          <cell r="J3299">
            <v>0</v>
          </cell>
          <cell r="K3299">
            <v>0</v>
          </cell>
        </row>
        <row r="3300">
          <cell r="J3300">
            <v>0</v>
          </cell>
          <cell r="K3300">
            <v>0</v>
          </cell>
        </row>
        <row r="3301">
          <cell r="J3301">
            <v>0</v>
          </cell>
          <cell r="K3301">
            <v>0</v>
          </cell>
        </row>
        <row r="3302">
          <cell r="J3302">
            <v>0</v>
          </cell>
          <cell r="K3302">
            <v>0</v>
          </cell>
        </row>
        <row r="3303">
          <cell r="J3303">
            <v>0</v>
          </cell>
          <cell r="K3303">
            <v>0</v>
          </cell>
        </row>
        <row r="3304">
          <cell r="J3304">
            <v>0</v>
          </cell>
          <cell r="K3304">
            <v>0</v>
          </cell>
        </row>
        <row r="3315">
          <cell r="J3315">
            <v>0</v>
          </cell>
          <cell r="K3315">
            <v>0</v>
          </cell>
        </row>
        <row r="3319">
          <cell r="J3319" t="str">
            <v>Areia</v>
          </cell>
        </row>
        <row r="3320">
          <cell r="J3320" t="str">
            <v>Cimento</v>
          </cell>
        </row>
        <row r="3321">
          <cell r="J3321" t="str">
            <v>Produto Pétreo</v>
          </cell>
        </row>
        <row r="3324">
          <cell r="J3324">
            <v>0</v>
          </cell>
        </row>
        <row r="3326">
          <cell r="J3326">
            <v>0</v>
          </cell>
        </row>
        <row r="3329">
          <cell r="J3329">
            <v>40316</v>
          </cell>
          <cell r="K3329">
            <v>73.400000000000006</v>
          </cell>
        </row>
        <row r="3333">
          <cell r="J3333">
            <v>0</v>
          </cell>
          <cell r="K3333">
            <v>0</v>
          </cell>
        </row>
        <row r="3338">
          <cell r="J3338">
            <v>0</v>
          </cell>
          <cell r="K3338">
            <v>0</v>
          </cell>
        </row>
        <row r="3339">
          <cell r="J3339">
            <v>0</v>
          </cell>
          <cell r="K3339">
            <v>0</v>
          </cell>
        </row>
        <row r="3340">
          <cell r="J3340">
            <v>0</v>
          </cell>
          <cell r="K3340">
            <v>0</v>
          </cell>
        </row>
        <row r="3341">
          <cell r="J3341">
            <v>0</v>
          </cell>
          <cell r="K3341">
            <v>0</v>
          </cell>
        </row>
        <row r="3342">
          <cell r="J3342">
            <v>0</v>
          </cell>
          <cell r="K3342">
            <v>0</v>
          </cell>
        </row>
        <row r="3343">
          <cell r="J3343">
            <v>0</v>
          </cell>
          <cell r="K3343">
            <v>0</v>
          </cell>
        </row>
        <row r="3344">
          <cell r="J3344">
            <v>0</v>
          </cell>
          <cell r="K3344">
            <v>0</v>
          </cell>
        </row>
        <row r="3345">
          <cell r="J3345">
            <v>0</v>
          </cell>
          <cell r="K3345">
            <v>0</v>
          </cell>
        </row>
        <row r="3346">
          <cell r="J3346">
            <v>0</v>
          </cell>
          <cell r="K3346">
            <v>0</v>
          </cell>
        </row>
        <row r="3347">
          <cell r="J3347">
            <v>0</v>
          </cell>
          <cell r="K3347">
            <v>0</v>
          </cell>
        </row>
        <row r="3348">
          <cell r="J3348">
            <v>0</v>
          </cell>
          <cell r="K3348">
            <v>0</v>
          </cell>
        </row>
        <row r="3349">
          <cell r="J3349">
            <v>0</v>
          </cell>
          <cell r="K3349">
            <v>0</v>
          </cell>
        </row>
        <row r="3350">
          <cell r="J3350">
            <v>0</v>
          </cell>
          <cell r="K3350">
            <v>0</v>
          </cell>
        </row>
        <row r="3351">
          <cell r="J3351">
            <v>0</v>
          </cell>
          <cell r="K3351">
            <v>0</v>
          </cell>
        </row>
        <row r="3352">
          <cell r="J3352">
            <v>0</v>
          </cell>
          <cell r="K3352">
            <v>0</v>
          </cell>
        </row>
        <row r="3353">
          <cell r="J3353">
            <v>0</v>
          </cell>
          <cell r="K3353">
            <v>0</v>
          </cell>
        </row>
        <row r="3355">
          <cell r="J3355">
            <v>0</v>
          </cell>
          <cell r="K3355">
            <v>0</v>
          </cell>
        </row>
        <row r="3359">
          <cell r="J3359" t="str">
            <v>Madeira em Geral</v>
          </cell>
        </row>
        <row r="3360">
          <cell r="J3360" t="str">
            <v>Madeira em Geral</v>
          </cell>
          <cell r="K3360">
            <v>0</v>
          </cell>
        </row>
        <row r="3368">
          <cell r="J3368">
            <v>40658</v>
          </cell>
          <cell r="K3368">
            <v>5.2</v>
          </cell>
        </row>
        <row r="3371">
          <cell r="J3371">
            <v>0</v>
          </cell>
          <cell r="K3371">
            <v>0</v>
          </cell>
        </row>
        <row r="3372">
          <cell r="J3372">
            <v>0</v>
          </cell>
          <cell r="K3372">
            <v>0</v>
          </cell>
        </row>
        <row r="3373">
          <cell r="J3373">
            <v>0</v>
          </cell>
          <cell r="K3373">
            <v>0</v>
          </cell>
        </row>
        <row r="3374">
          <cell r="J3374">
            <v>0</v>
          </cell>
          <cell r="K3374">
            <v>0</v>
          </cell>
        </row>
        <row r="3375">
          <cell r="J3375">
            <v>0</v>
          </cell>
          <cell r="K3375">
            <v>0</v>
          </cell>
        </row>
        <row r="3376">
          <cell r="J3376">
            <v>0</v>
          </cell>
          <cell r="K3376">
            <v>0</v>
          </cell>
        </row>
        <row r="3377">
          <cell r="J3377">
            <v>0</v>
          </cell>
          <cell r="K3377">
            <v>0</v>
          </cell>
        </row>
        <row r="3378">
          <cell r="J3378">
            <v>0</v>
          </cell>
          <cell r="K3378">
            <v>0</v>
          </cell>
        </row>
        <row r="3379">
          <cell r="J3379">
            <v>0</v>
          </cell>
          <cell r="K3379">
            <v>0</v>
          </cell>
        </row>
        <row r="3380">
          <cell r="J3380">
            <v>0</v>
          </cell>
          <cell r="K3380">
            <v>0</v>
          </cell>
        </row>
        <row r="3381">
          <cell r="J3381">
            <v>0</v>
          </cell>
          <cell r="K3381">
            <v>0</v>
          </cell>
        </row>
        <row r="3382">
          <cell r="J3382">
            <v>0</v>
          </cell>
          <cell r="K3382">
            <v>0</v>
          </cell>
        </row>
        <row r="3383">
          <cell r="J3383">
            <v>0</v>
          </cell>
          <cell r="K3383">
            <v>0</v>
          </cell>
        </row>
        <row r="3384">
          <cell r="J3384">
            <v>0</v>
          </cell>
          <cell r="K3384">
            <v>0</v>
          </cell>
        </row>
        <row r="3385">
          <cell r="J3385">
            <v>0</v>
          </cell>
          <cell r="K3385">
            <v>0</v>
          </cell>
        </row>
        <row r="3386">
          <cell r="J3386">
            <v>0</v>
          </cell>
          <cell r="K3386">
            <v>0</v>
          </cell>
        </row>
        <row r="3392">
          <cell r="J3392">
            <v>0</v>
          </cell>
          <cell r="K3392">
            <v>0</v>
          </cell>
        </row>
        <row r="3398">
          <cell r="J3398">
            <v>0</v>
          </cell>
        </row>
        <row r="3400">
          <cell r="J3400">
            <v>0</v>
          </cell>
        </row>
        <row r="3402">
          <cell r="J3402">
            <v>0</v>
          </cell>
          <cell r="K3402">
            <v>0</v>
          </cell>
        </row>
        <row r="3403">
          <cell r="J3403">
            <v>42199</v>
          </cell>
          <cell r="K3403">
            <v>1.5</v>
          </cell>
        </row>
        <row r="3404">
          <cell r="J3404">
            <v>0</v>
          </cell>
          <cell r="K3404">
            <v>0</v>
          </cell>
        </row>
        <row r="3405">
          <cell r="J3405">
            <v>0</v>
          </cell>
          <cell r="K3405">
            <v>0</v>
          </cell>
        </row>
        <row r="3425">
          <cell r="J3425">
            <v>0</v>
          </cell>
          <cell r="K3425">
            <v>0</v>
          </cell>
        </row>
        <row r="3429">
          <cell r="J3429">
            <v>0</v>
          </cell>
          <cell r="K3429">
            <v>0</v>
          </cell>
        </row>
        <row r="3431">
          <cell r="J3431">
            <v>0</v>
          </cell>
        </row>
        <row r="3433">
          <cell r="J3433">
            <v>0</v>
          </cell>
        </row>
        <row r="3435">
          <cell r="J3435">
            <v>0</v>
          </cell>
          <cell r="K3435">
            <v>0</v>
          </cell>
        </row>
        <row r="3436">
          <cell r="J3436">
            <v>40302</v>
          </cell>
          <cell r="K3436">
            <v>61.43</v>
          </cell>
        </row>
        <row r="3437">
          <cell r="J3437">
            <v>0</v>
          </cell>
          <cell r="K3437">
            <v>0</v>
          </cell>
        </row>
        <row r="3438">
          <cell r="J3438">
            <v>0</v>
          </cell>
          <cell r="K3438">
            <v>0</v>
          </cell>
        </row>
        <row r="3458">
          <cell r="J3458">
            <v>0</v>
          </cell>
          <cell r="K3458">
            <v>0</v>
          </cell>
        </row>
        <row r="3462">
          <cell r="J3462">
            <v>0</v>
          </cell>
          <cell r="K3462">
            <v>0</v>
          </cell>
        </row>
        <row r="3464">
          <cell r="J3464">
            <v>0</v>
          </cell>
        </row>
        <row r="3466">
          <cell r="J3466">
            <v>0</v>
          </cell>
        </row>
        <row r="3468">
          <cell r="J3468">
            <v>0</v>
          </cell>
          <cell r="K3468">
            <v>0</v>
          </cell>
        </row>
        <row r="3469">
          <cell r="J3469">
            <v>40256</v>
          </cell>
          <cell r="K3469">
            <v>86.04</v>
          </cell>
        </row>
        <row r="3470">
          <cell r="J3470">
            <v>0</v>
          </cell>
          <cell r="K3470">
            <v>0</v>
          </cell>
        </row>
        <row r="3471">
          <cell r="J3471">
            <v>0</v>
          </cell>
          <cell r="K3471">
            <v>0</v>
          </cell>
        </row>
        <row r="3491">
          <cell r="J3491">
            <v>0</v>
          </cell>
          <cell r="K3491">
            <v>0</v>
          </cell>
        </row>
        <row r="3495">
          <cell r="J3495">
            <v>0</v>
          </cell>
          <cell r="K3495">
            <v>0</v>
          </cell>
        </row>
        <row r="3497">
          <cell r="J3497">
            <v>0</v>
          </cell>
        </row>
        <row r="3499">
          <cell r="J3499">
            <v>0</v>
          </cell>
        </row>
        <row r="3501">
          <cell r="J3501">
            <v>0</v>
          </cell>
          <cell r="K3501">
            <v>0</v>
          </cell>
        </row>
        <row r="3502">
          <cell r="J3502">
            <v>40300</v>
          </cell>
          <cell r="K3502">
            <v>47.6</v>
          </cell>
        </row>
        <row r="3503">
          <cell r="J3503">
            <v>0</v>
          </cell>
          <cell r="K3503">
            <v>0</v>
          </cell>
        </row>
        <row r="3504">
          <cell r="J3504">
            <v>0</v>
          </cell>
          <cell r="K3504">
            <v>0</v>
          </cell>
        </row>
        <row r="3524">
          <cell r="J3524">
            <v>0</v>
          </cell>
          <cell r="K3524">
            <v>0</v>
          </cell>
        </row>
        <row r="3528">
          <cell r="J3528">
            <v>0</v>
          </cell>
          <cell r="K3528">
            <v>0</v>
          </cell>
        </row>
        <row r="3530">
          <cell r="J3530">
            <v>0</v>
          </cell>
        </row>
        <row r="3532">
          <cell r="J3532">
            <v>0</v>
          </cell>
        </row>
        <row r="3534">
          <cell r="J3534">
            <v>0</v>
          </cell>
          <cell r="K3534">
            <v>0</v>
          </cell>
        </row>
        <row r="3535">
          <cell r="J3535">
            <v>42878</v>
          </cell>
          <cell r="K3535">
            <v>5571.67</v>
          </cell>
        </row>
        <row r="3536">
          <cell r="J3536">
            <v>0</v>
          </cell>
          <cell r="K3536">
            <v>0</v>
          </cell>
        </row>
        <row r="3537">
          <cell r="J3537">
            <v>0</v>
          </cell>
          <cell r="K3537">
            <v>0</v>
          </cell>
        </row>
        <row r="3538">
          <cell r="J3538">
            <v>0</v>
          </cell>
          <cell r="K3538">
            <v>0</v>
          </cell>
        </row>
        <row r="3556">
          <cell r="J3556">
            <v>0</v>
          </cell>
          <cell r="K3556">
            <v>0</v>
          </cell>
        </row>
        <row r="3561">
          <cell r="J3561">
            <v>0</v>
          </cell>
          <cell r="K3561">
            <v>0</v>
          </cell>
        </row>
        <row r="3562">
          <cell r="J3562">
            <v>0</v>
          </cell>
        </row>
        <row r="3564">
          <cell r="J3564">
            <v>0</v>
          </cell>
        </row>
        <row r="3568">
          <cell r="J3568">
            <v>41404</v>
          </cell>
          <cell r="K3568">
            <v>30.54</v>
          </cell>
        </row>
        <row r="3580">
          <cell r="K3580">
            <v>0</v>
          </cell>
        </row>
        <row r="3581">
          <cell r="K3581">
            <v>0</v>
          </cell>
        </row>
        <row r="3582">
          <cell r="K3582">
            <v>0</v>
          </cell>
        </row>
        <row r="3583">
          <cell r="K3583">
            <v>0</v>
          </cell>
        </row>
        <row r="3584">
          <cell r="K3584">
            <v>0</v>
          </cell>
        </row>
        <row r="3585">
          <cell r="K3585">
            <v>0</v>
          </cell>
        </row>
        <row r="3586">
          <cell r="K3586">
            <v>0</v>
          </cell>
        </row>
        <row r="3587">
          <cell r="K3587">
            <v>0</v>
          </cell>
        </row>
        <row r="3588">
          <cell r="K3588">
            <v>0</v>
          </cell>
        </row>
        <row r="3589">
          <cell r="K3589">
            <v>0</v>
          </cell>
        </row>
        <row r="3590">
          <cell r="K3590">
            <v>0</v>
          </cell>
        </row>
        <row r="3591">
          <cell r="J3591">
            <v>0</v>
          </cell>
          <cell r="K3591">
            <v>0</v>
          </cell>
        </row>
        <row r="3592">
          <cell r="K3592">
            <v>0</v>
          </cell>
        </row>
        <row r="3593">
          <cell r="K3593">
            <v>0</v>
          </cell>
        </row>
        <row r="3594">
          <cell r="K3594">
            <v>0</v>
          </cell>
        </row>
        <row r="3595">
          <cell r="K3595">
            <v>0</v>
          </cell>
        </row>
        <row r="3596">
          <cell r="K3596">
            <v>0</v>
          </cell>
        </row>
        <row r="3597">
          <cell r="K3597">
            <v>0</v>
          </cell>
        </row>
        <row r="3602">
          <cell r="J3602">
            <v>0</v>
          </cell>
        </row>
        <row r="3607">
          <cell r="J3607">
            <v>42888</v>
          </cell>
          <cell r="K3607">
            <v>6856.53</v>
          </cell>
        </row>
        <row r="3628">
          <cell r="J3628">
            <v>0</v>
          </cell>
          <cell r="K3628">
            <v>0</v>
          </cell>
        </row>
        <row r="3634">
          <cell r="J3634">
            <v>0</v>
          </cell>
        </row>
        <row r="3636">
          <cell r="J3636">
            <v>0</v>
          </cell>
        </row>
        <row r="3637">
          <cell r="J3637">
            <v>0</v>
          </cell>
          <cell r="K3637">
            <v>0</v>
          </cell>
        </row>
        <row r="3638">
          <cell r="J3638">
            <v>0</v>
          </cell>
          <cell r="K3638">
            <v>0</v>
          </cell>
        </row>
        <row r="3639">
          <cell r="J3639">
            <v>0</v>
          </cell>
          <cell r="K3639">
            <v>0</v>
          </cell>
        </row>
        <row r="3640">
          <cell r="J3640">
            <v>0</v>
          </cell>
          <cell r="K3640">
            <v>0</v>
          </cell>
        </row>
        <row r="3641">
          <cell r="J3641">
            <v>0</v>
          </cell>
          <cell r="K3641">
            <v>0</v>
          </cell>
        </row>
        <row r="3642">
          <cell r="J3642">
            <v>0</v>
          </cell>
          <cell r="K3642">
            <v>0</v>
          </cell>
        </row>
        <row r="3643">
          <cell r="J3643">
            <v>0</v>
          </cell>
          <cell r="K3643">
            <v>0</v>
          </cell>
        </row>
        <row r="3644">
          <cell r="J3644">
            <v>0</v>
          </cell>
          <cell r="K3644">
            <v>0</v>
          </cell>
        </row>
        <row r="3645">
          <cell r="J3645">
            <v>0</v>
          </cell>
          <cell r="K3645">
            <v>0</v>
          </cell>
        </row>
        <row r="3646">
          <cell r="J3646">
            <v>0</v>
          </cell>
          <cell r="K3646">
            <v>0</v>
          </cell>
        </row>
        <row r="3647">
          <cell r="J3647">
            <v>0</v>
          </cell>
          <cell r="K3647">
            <v>0</v>
          </cell>
        </row>
        <row r="3648">
          <cell r="J3648">
            <v>0</v>
          </cell>
          <cell r="K3648">
            <v>0</v>
          </cell>
        </row>
        <row r="3649">
          <cell r="J3649">
            <v>0</v>
          </cell>
          <cell r="K3649">
            <v>0</v>
          </cell>
        </row>
        <row r="3650">
          <cell r="J3650">
            <v>0</v>
          </cell>
          <cell r="K3650">
            <v>0</v>
          </cell>
        </row>
        <row r="3651">
          <cell r="J3651">
            <v>0</v>
          </cell>
          <cell r="K3651">
            <v>0</v>
          </cell>
        </row>
        <row r="3652">
          <cell r="J3652">
            <v>0</v>
          </cell>
          <cell r="K3652">
            <v>0</v>
          </cell>
        </row>
        <row r="3653">
          <cell r="J3653">
            <v>0</v>
          </cell>
          <cell r="K3653">
            <v>0</v>
          </cell>
        </row>
        <row r="3654">
          <cell r="J3654">
            <v>0</v>
          </cell>
          <cell r="K3654">
            <v>0</v>
          </cell>
        </row>
        <row r="3655">
          <cell r="J3655">
            <v>0</v>
          </cell>
          <cell r="K3655">
            <v>0</v>
          </cell>
        </row>
        <row r="3656">
          <cell r="J3656">
            <v>0</v>
          </cell>
          <cell r="K3656">
            <v>0</v>
          </cell>
        </row>
        <row r="3657">
          <cell r="J3657">
            <v>0</v>
          </cell>
          <cell r="K3657">
            <v>0</v>
          </cell>
        </row>
        <row r="3658">
          <cell r="J3658">
            <v>0</v>
          </cell>
          <cell r="K3658">
            <v>0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ntidades"/>
      <sheetName val="Cronograma Físico"/>
      <sheetName val="Resumo"/>
      <sheetName val="Planilha"/>
      <sheetName val="Memória"/>
      <sheetName val="DER 06-15"/>
      <sheetName val="equip."/>
      <sheetName val="m.o."/>
      <sheetName val="mat."/>
      <sheetName val="tranp."/>
      <sheetName val="Ocor."/>
      <sheetName val="43069"/>
      <sheetName val="42981"/>
      <sheetName val="42714"/>
      <sheetName val="ST01"/>
      <sheetName val="ST02"/>
      <sheetName val="42779"/>
      <sheetName val="42783"/>
      <sheetName val="40514"/>
      <sheetName val="40515"/>
      <sheetName val="003"/>
      <sheetName val="005"/>
      <sheetName val="006"/>
      <sheetName val="Mapa"/>
      <sheetName val="CX"/>
      <sheetName val="42611"/>
      <sheetName val="40313"/>
      <sheetName val="40351"/>
      <sheetName val="40358"/>
      <sheetName val="Dist"/>
      <sheetName val="Compos DER"/>
      <sheetName val="Compos lug"/>
      <sheetName val="Plan1"/>
      <sheetName val="P - COMPARATIVO"/>
      <sheetName val="Quantidades a3"/>
      <sheetName val="Plan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199 - Tabela Referencial Junho 2015 com desoneração</v>
          </cell>
          <cell r="B1">
            <v>0</v>
          </cell>
          <cell r="C1">
            <v>0</v>
          </cell>
          <cell r="D1">
            <v>0</v>
          </cell>
          <cell r="E1" t="str">
            <v>DataBase:Junho/2015</v>
          </cell>
        </row>
        <row r="2">
          <cell r="A2" t="str">
            <v>Valores com BDI de 29,63%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</row>
        <row r="3">
          <cell r="A3" t="str">
            <v xml:space="preserve">Código </v>
          </cell>
          <cell r="B3" t="str">
            <v>Serviço</v>
          </cell>
          <cell r="C3" t="str">
            <v>Unidade</v>
          </cell>
          <cell r="D3" t="str">
            <v>Preço Unitário</v>
          </cell>
          <cell r="E3" t="str">
            <v>Transporte</v>
          </cell>
        </row>
        <row r="4">
          <cell r="A4" t="str">
            <v>Grupo de Serviço: 1 - TERRAPLENAGEM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</row>
        <row r="5">
          <cell r="A5">
            <v>43339</v>
          </cell>
          <cell r="B5" t="str">
            <v>Capina manual inclusive limpeza</v>
          </cell>
          <cell r="C5" t="str">
            <v>m²</v>
          </cell>
          <cell r="D5" t="str">
            <v>0,53</v>
          </cell>
          <cell r="E5">
            <v>0</v>
          </cell>
        </row>
        <row r="6">
          <cell r="A6">
            <v>41099</v>
          </cell>
          <cell r="B6" t="str">
            <v>Carga de escoria de aciaria de vagão ferroviário supervisionado</v>
          </cell>
          <cell r="C6" t="str">
            <v>m³</v>
          </cell>
          <cell r="D6" t="str">
            <v>4,78</v>
          </cell>
          <cell r="E6">
            <v>0</v>
          </cell>
        </row>
        <row r="7">
          <cell r="A7">
            <v>40224</v>
          </cell>
          <cell r="B7" t="str">
            <v>Carga de material de 1ª categoria</v>
          </cell>
          <cell r="C7" t="str">
            <v>m³</v>
          </cell>
          <cell r="D7" t="str">
            <v>2,48</v>
          </cell>
          <cell r="E7">
            <v>0</v>
          </cell>
        </row>
        <row r="8">
          <cell r="A8">
            <v>40225</v>
          </cell>
          <cell r="B8" t="str">
            <v>Carga de material de 2ª categoria (solo, areia, brita, excl. rocha escavada)</v>
          </cell>
          <cell r="C8" t="str">
            <v>m³</v>
          </cell>
          <cell r="D8" t="str">
            <v>3,20</v>
          </cell>
          <cell r="E8">
            <v>0</v>
          </cell>
        </row>
        <row r="9">
          <cell r="A9">
            <v>40226</v>
          </cell>
          <cell r="B9" t="str">
            <v>Carga de material de 3ª categoria (rocha)</v>
          </cell>
          <cell r="C9" t="str">
            <v>m³</v>
          </cell>
          <cell r="D9" t="str">
            <v>4,78</v>
          </cell>
          <cell r="E9">
            <v>0</v>
          </cell>
        </row>
        <row r="10">
          <cell r="A10">
            <v>40996</v>
          </cell>
          <cell r="B10" t="str">
            <v>Carga, transporte e espalhamento de material decapado para ser usado como manutenção do Caminho de Serviço(DMT-&gt;0,500KM)</v>
          </cell>
          <cell r="C10" t="str">
            <v>m³</v>
          </cell>
          <cell r="D10" t="str">
            <v>4,60</v>
          </cell>
          <cell r="E10">
            <v>0</v>
          </cell>
        </row>
        <row r="11">
          <cell r="A11">
            <v>40229</v>
          </cell>
          <cell r="B11" t="str">
            <v>Compactação de aterros em rocha</v>
          </cell>
          <cell r="C11" t="str">
            <v>m³</v>
          </cell>
          <cell r="D11" t="str">
            <v>5,21</v>
          </cell>
          <cell r="E11">
            <v>0</v>
          </cell>
        </row>
        <row r="12">
          <cell r="A12">
            <v>43340</v>
          </cell>
          <cell r="B12" t="str">
            <v>Compactação de aterros 100% P.I.</v>
          </cell>
          <cell r="C12" t="str">
            <v>m³</v>
          </cell>
          <cell r="D12" t="str">
            <v>5,09</v>
          </cell>
          <cell r="E12">
            <v>0</v>
          </cell>
        </row>
        <row r="13">
          <cell r="A13">
            <v>40228</v>
          </cell>
          <cell r="B13" t="str">
            <v>Compactação de aterros 100% PN</v>
          </cell>
          <cell r="C13" t="str">
            <v>m³</v>
          </cell>
          <cell r="D13" t="str">
            <v>3,95</v>
          </cell>
          <cell r="E13">
            <v>0</v>
          </cell>
        </row>
        <row r="14">
          <cell r="A14">
            <v>42227</v>
          </cell>
          <cell r="B14" t="str">
            <v>Decapagem de pedreira, 1ª categoria, com escavadeira</v>
          </cell>
          <cell r="C14" t="str">
            <v>m³</v>
          </cell>
          <cell r="D14" t="str">
            <v>3,72</v>
          </cell>
          <cell r="E14">
            <v>0</v>
          </cell>
        </row>
        <row r="15">
          <cell r="A15">
            <v>40994</v>
          </cell>
          <cell r="B15" t="str">
            <v>Decapagem de pedreira, 1ª categoria, com trator de esteiras</v>
          </cell>
          <cell r="C15" t="str">
            <v>m³</v>
          </cell>
          <cell r="D15" t="str">
            <v>4,52</v>
          </cell>
          <cell r="E15">
            <v>0</v>
          </cell>
        </row>
        <row r="16">
          <cell r="A16">
            <v>42940</v>
          </cell>
          <cell r="B16" t="str">
            <v>Demolição de material de 3ª categoria com fio diamantado</v>
          </cell>
          <cell r="C16" t="str">
            <v>m³</v>
          </cell>
          <cell r="D16" t="str">
            <v>188,30</v>
          </cell>
          <cell r="E16">
            <v>0</v>
          </cell>
        </row>
        <row r="17">
          <cell r="A17">
            <v>41047</v>
          </cell>
          <cell r="B17" t="str">
            <v>Demolição de rocha a frio, até altura de 3,0m, com argamassa expansiva, inclusive remoção com escavadeira</v>
          </cell>
          <cell r="C17" t="str">
            <v>m³</v>
          </cell>
          <cell r="D17" t="str">
            <v>337,50</v>
          </cell>
          <cell r="E17">
            <v>0</v>
          </cell>
        </row>
        <row r="18">
          <cell r="A18">
            <v>41048</v>
          </cell>
          <cell r="B18" t="str">
            <v>Demolição de rocha a frio até 3 metros com utilização de argamassa expansiva, inclusive remoção com trator de esteiras</v>
          </cell>
          <cell r="C18" t="str">
            <v>m³</v>
          </cell>
          <cell r="D18" t="str">
            <v>301,64</v>
          </cell>
          <cell r="E18">
            <v>0</v>
          </cell>
        </row>
        <row r="19">
          <cell r="A19">
            <v>40217</v>
          </cell>
          <cell r="B19" t="str">
            <v>Desmonte de rocha</v>
          </cell>
          <cell r="C19" t="str">
            <v>m³</v>
          </cell>
          <cell r="D19" t="str">
            <v>34,01</v>
          </cell>
          <cell r="E19">
            <v>0</v>
          </cell>
        </row>
        <row r="20">
          <cell r="A20">
            <v>40172</v>
          </cell>
          <cell r="B20" t="str">
            <v>Destocamento de árvores com diâmetro &gt; 30 cm, com trator de esteira</v>
          </cell>
          <cell r="C20" t="str">
            <v>un</v>
          </cell>
          <cell r="D20" t="str">
            <v>20,92</v>
          </cell>
          <cell r="E20">
            <v>0</v>
          </cell>
        </row>
        <row r="21">
          <cell r="A21">
            <v>40171</v>
          </cell>
          <cell r="B21" t="str">
            <v>Destocamento de árvores com diâmetro de 15 a 30 cm, com trator de esteira</v>
          </cell>
          <cell r="C21" t="str">
            <v>un</v>
          </cell>
          <cell r="D21" t="str">
            <v>10,46</v>
          </cell>
          <cell r="E21">
            <v>0</v>
          </cell>
        </row>
        <row r="22">
          <cell r="A22">
            <v>42225</v>
          </cell>
          <cell r="B22" t="str">
            <v>Escalonamento de taludes com escavadeira</v>
          </cell>
          <cell r="C22" t="str">
            <v>m³</v>
          </cell>
          <cell r="D22" t="str">
            <v>6,23</v>
          </cell>
          <cell r="E22">
            <v>0</v>
          </cell>
        </row>
        <row r="23">
          <cell r="A23">
            <v>40178</v>
          </cell>
          <cell r="B23" t="str">
            <v>Escalonamento de taludes, com trator de esteiras</v>
          </cell>
          <cell r="C23" t="str">
            <v>m³</v>
          </cell>
          <cell r="D23" t="str">
            <v>6,44</v>
          </cell>
          <cell r="E23">
            <v>0</v>
          </cell>
        </row>
        <row r="24">
          <cell r="A24">
            <v>40179</v>
          </cell>
          <cell r="B24" t="str">
            <v>Escavação, carga e transporte de material de 1ª cat. até 200 m com moto-escavo-transportador</v>
          </cell>
          <cell r="C24" t="str">
            <v>m³</v>
          </cell>
          <cell r="D24" t="str">
            <v>10,16</v>
          </cell>
          <cell r="E24">
            <v>0</v>
          </cell>
        </row>
        <row r="25">
          <cell r="A25">
            <v>40184</v>
          </cell>
          <cell r="B25" t="str">
            <v>Escavação, carga e transporte de material de 1ª cat. 1000 a 1200 m com moto-escavo-transportador</v>
          </cell>
          <cell r="C25" t="str">
            <v>m³</v>
          </cell>
          <cell r="D25" t="str">
            <v>17,61</v>
          </cell>
          <cell r="E25">
            <v>0</v>
          </cell>
        </row>
        <row r="26">
          <cell r="A26">
            <v>40180</v>
          </cell>
          <cell r="B26" t="str">
            <v>Escavação, carga e transporte de material de 1ª cat. 200 a 400 m com moto-escavo-transportador</v>
          </cell>
          <cell r="C26" t="str">
            <v>m³</v>
          </cell>
          <cell r="D26" t="str">
            <v>11,67</v>
          </cell>
          <cell r="E26">
            <v>0</v>
          </cell>
        </row>
        <row r="27">
          <cell r="A27">
            <v>40181</v>
          </cell>
          <cell r="B27" t="str">
            <v>Escavação, carga e transporte de material de 1ª cat. 400 a 600 m com moto-escavo-transportador</v>
          </cell>
          <cell r="C27" t="str">
            <v>m³</v>
          </cell>
          <cell r="D27" t="str">
            <v>13,09</v>
          </cell>
          <cell r="E27">
            <v>0</v>
          </cell>
        </row>
        <row r="28">
          <cell r="A28">
            <v>40182</v>
          </cell>
          <cell r="B28" t="str">
            <v>Escavação, carga e transporte de material de 1ª cat. 600 a 800 m com moto-escavo-transportador</v>
          </cell>
          <cell r="C28" t="str">
            <v>m³</v>
          </cell>
          <cell r="D28" t="str">
            <v>15,01</v>
          </cell>
          <cell r="E28">
            <v>0</v>
          </cell>
        </row>
        <row r="29">
          <cell r="A29">
            <v>40183</v>
          </cell>
          <cell r="B29" t="str">
            <v>Escavação, carga e transporte de material de 1ª cat. 800 a 1000 m com moto-escavo-transportador</v>
          </cell>
          <cell r="C29" t="str">
            <v>m³</v>
          </cell>
          <cell r="D29" t="str">
            <v>15,84</v>
          </cell>
          <cell r="E29">
            <v>0</v>
          </cell>
        </row>
        <row r="30">
          <cell r="A30">
            <v>40191</v>
          </cell>
          <cell r="B30" t="str">
            <v>Escavação, carga e transporte de material de 2ª cat. até 200 m com moto-escavo-transportador</v>
          </cell>
          <cell r="C30" t="str">
            <v>m³</v>
          </cell>
          <cell r="D30" t="str">
            <v>15,49</v>
          </cell>
          <cell r="E30">
            <v>0</v>
          </cell>
        </row>
        <row r="31">
          <cell r="A31">
            <v>40196</v>
          </cell>
          <cell r="B31" t="str">
            <v>Escavação, carga e transporte de material de 2ª cat. 1000 a 1200 m com moto-escavo-transportador</v>
          </cell>
          <cell r="C31" t="str">
            <v>m³</v>
          </cell>
          <cell r="D31" t="str">
            <v>24,31</v>
          </cell>
          <cell r="E31">
            <v>0</v>
          </cell>
        </row>
        <row r="32">
          <cell r="A32">
            <v>40192</v>
          </cell>
          <cell r="B32" t="str">
            <v>Escavação, carga e transporte de material de 2ª cat. 200 a 400 m com moto-escavo-transportador</v>
          </cell>
          <cell r="C32" t="str">
            <v>m³</v>
          </cell>
          <cell r="D32" t="str">
            <v>16,74</v>
          </cell>
          <cell r="E32">
            <v>0</v>
          </cell>
        </row>
        <row r="33">
          <cell r="A33">
            <v>40193</v>
          </cell>
          <cell r="B33" t="str">
            <v>Escavação, carga e transporte de material de 2ª cat. 400 a 600 m com moto-escavo-transportador</v>
          </cell>
          <cell r="C33" t="str">
            <v>m³</v>
          </cell>
          <cell r="D33" t="str">
            <v>18,27</v>
          </cell>
          <cell r="E33">
            <v>0</v>
          </cell>
        </row>
        <row r="34">
          <cell r="A34">
            <v>40194</v>
          </cell>
          <cell r="B34" t="str">
            <v>Escavação, carga e transporte de material de 2ª cat. 600 a 800 m com moto-escavo-transportador</v>
          </cell>
          <cell r="C34" t="str">
            <v>m³</v>
          </cell>
          <cell r="D34" t="str">
            <v>20,89</v>
          </cell>
          <cell r="E34">
            <v>0</v>
          </cell>
        </row>
        <row r="35">
          <cell r="A35">
            <v>40195</v>
          </cell>
          <cell r="B35" t="str">
            <v>Escavação, carga e transporte de material de 2ª cat. 800 a 1000 m com moto-escavo-transportador</v>
          </cell>
          <cell r="C35" t="str">
            <v>m³</v>
          </cell>
          <cell r="D35" t="str">
            <v>22,28</v>
          </cell>
          <cell r="E35">
            <v>0</v>
          </cell>
        </row>
        <row r="36">
          <cell r="A36">
            <v>40220</v>
          </cell>
          <cell r="B36" t="str">
            <v>Escavação e carga de material de barreira (remoção)</v>
          </cell>
          <cell r="C36" t="str">
            <v>m³</v>
          </cell>
          <cell r="D36" t="str">
            <v>7,63</v>
          </cell>
          <cell r="E36">
            <v>0</v>
          </cell>
        </row>
        <row r="37">
          <cell r="A37">
            <v>40230</v>
          </cell>
          <cell r="B37" t="str">
            <v>Escavação e carga de material de 1ª categoria com escavadeira</v>
          </cell>
          <cell r="C37" t="str">
            <v>m³</v>
          </cell>
          <cell r="D37" t="str">
            <v>2,64</v>
          </cell>
          <cell r="E37">
            <v>0</v>
          </cell>
        </row>
        <row r="38">
          <cell r="A38">
            <v>40221</v>
          </cell>
          <cell r="B38" t="str">
            <v>Escavação e carga de material de 1ª categoria, com trator de esteira e pá carregadeira</v>
          </cell>
          <cell r="C38" t="str">
            <v>m³</v>
          </cell>
          <cell r="D38" t="str">
            <v>6,50</v>
          </cell>
          <cell r="E38">
            <v>0</v>
          </cell>
        </row>
        <row r="39">
          <cell r="A39">
            <v>40231</v>
          </cell>
          <cell r="B39" t="str">
            <v>Escavação e carga de material de 2ª categoria com escavadeira</v>
          </cell>
          <cell r="C39" t="str">
            <v>m³</v>
          </cell>
          <cell r="D39" t="str">
            <v>3,90</v>
          </cell>
          <cell r="E39">
            <v>0</v>
          </cell>
        </row>
        <row r="40">
          <cell r="A40">
            <v>40222</v>
          </cell>
          <cell r="B40" t="str">
            <v>Escavação e carga de material de 2ª categoria, com trator de esteira e pá carregadeira</v>
          </cell>
          <cell r="C40" t="str">
            <v>m³</v>
          </cell>
          <cell r="D40" t="str">
            <v>9,56</v>
          </cell>
          <cell r="E40">
            <v>0</v>
          </cell>
        </row>
        <row r="41">
          <cell r="A41">
            <v>40216</v>
          </cell>
          <cell r="B41" t="str">
            <v>Escavação e carga de material de 3ª categoria (fogo controlado)</v>
          </cell>
          <cell r="C41" t="str">
            <v>m³</v>
          </cell>
          <cell r="D41" t="str">
            <v>80,20</v>
          </cell>
          <cell r="E41">
            <v>0</v>
          </cell>
        </row>
        <row r="42">
          <cell r="A42">
            <v>40223</v>
          </cell>
          <cell r="B42" t="str">
            <v>Escavação e carga de material de 3ª categoria (H bancada &gt;1,0 m)</v>
          </cell>
          <cell r="C42" t="str">
            <v>m³</v>
          </cell>
          <cell r="D42" t="str">
            <v>33,09</v>
          </cell>
          <cell r="E42">
            <v>0</v>
          </cell>
        </row>
        <row r="43">
          <cell r="A43">
            <v>43335</v>
          </cell>
          <cell r="B43" t="str">
            <v>Espalhamento / regularização / compactação de material em bota-fora</v>
          </cell>
          <cell r="C43" t="str">
            <v>m³</v>
          </cell>
          <cell r="D43" t="str">
            <v>2,13</v>
          </cell>
          <cell r="E43">
            <v>0</v>
          </cell>
        </row>
        <row r="44">
          <cell r="A44">
            <v>42547</v>
          </cell>
          <cell r="B44" t="str">
            <v>Espalhamento de material de 1ª categoria com motoniveladora</v>
          </cell>
          <cell r="C44" t="str">
            <v>m³</v>
          </cell>
          <cell r="D44" t="str">
            <v>1,36</v>
          </cell>
          <cell r="E44">
            <v>0</v>
          </cell>
        </row>
        <row r="45">
          <cell r="A45">
            <v>40177</v>
          </cell>
          <cell r="B45" t="str">
            <v>Espalhamento de material de 1ª categoria com trator de esteiras</v>
          </cell>
          <cell r="C45" t="str">
            <v>m³</v>
          </cell>
          <cell r="D45" t="str">
            <v>3,62</v>
          </cell>
          <cell r="E45">
            <v>0</v>
          </cell>
        </row>
        <row r="46">
          <cell r="A46">
            <v>41056</v>
          </cell>
          <cell r="B46" t="str">
            <v>Forro de regularização sobre plataforma de enrocamento para tráfego de caminhões, inclusive fornecimento do pó de pedra e da pedra demão</v>
          </cell>
          <cell r="C46" t="str">
            <v>m³</v>
          </cell>
          <cell r="D46" t="str">
            <v>72,76</v>
          </cell>
          <cell r="E46">
            <v>0</v>
          </cell>
        </row>
        <row r="47">
          <cell r="A47">
            <v>40218</v>
          </cell>
          <cell r="B47" t="str">
            <v>Fragmentação de rocha (fogacheamento)</v>
          </cell>
          <cell r="C47" t="str">
            <v>m³</v>
          </cell>
          <cell r="D47" t="str">
            <v>47,47</v>
          </cell>
          <cell r="E47">
            <v>0</v>
          </cell>
        </row>
        <row r="48">
          <cell r="A48">
            <v>40170</v>
          </cell>
          <cell r="B48" t="str">
            <v>Limpeza de acostamento</v>
          </cell>
          <cell r="C48" t="str">
            <v>m²</v>
          </cell>
          <cell r="D48" t="str">
            <v>0,54</v>
          </cell>
          <cell r="E48">
            <v>0</v>
          </cell>
        </row>
        <row r="49">
          <cell r="A49">
            <v>40167</v>
          </cell>
          <cell r="B49" t="str">
            <v>Limpeza, desmatamento e destocamento de árvores com diâmetro até 15 cm, com trator de esteira</v>
          </cell>
          <cell r="C49" t="str">
            <v>m²</v>
          </cell>
          <cell r="D49" t="str">
            <v>0,40</v>
          </cell>
          <cell r="E49">
            <v>0</v>
          </cell>
        </row>
        <row r="50">
          <cell r="A50">
            <v>40168</v>
          </cell>
          <cell r="B50" t="str">
            <v>Limpeza, desmatamento e destocamento de jazida com remoçao 15 cm solo orgânico</v>
          </cell>
          <cell r="C50" t="str">
            <v>m²</v>
          </cell>
          <cell r="D50" t="str">
            <v>1,91</v>
          </cell>
          <cell r="E50">
            <v>0</v>
          </cell>
        </row>
        <row r="51">
          <cell r="A51">
            <v>40169</v>
          </cell>
          <cell r="B51" t="str">
            <v>Limpeza e desmatamento em área alagada (pântano) com ferramentas manuais, inclusive moto serra</v>
          </cell>
          <cell r="C51" t="str">
            <v>m²</v>
          </cell>
          <cell r="D51" t="str">
            <v>6,70</v>
          </cell>
          <cell r="E51">
            <v>0</v>
          </cell>
        </row>
        <row r="52">
          <cell r="A52">
            <v>40219</v>
          </cell>
          <cell r="B52" t="str">
            <v>Pré-fissuramento de taludes de rocha</v>
          </cell>
          <cell r="C52" t="str">
            <v>m²</v>
          </cell>
          <cell r="D52" t="str">
            <v>25,73</v>
          </cell>
          <cell r="E52">
            <v>0</v>
          </cell>
        </row>
        <row r="53">
          <cell r="A53">
            <v>41095</v>
          </cell>
          <cell r="B53" t="str">
            <v>Remoção de solos moles, incluindo carregamento mecânico com escavadeira hidráulica</v>
          </cell>
          <cell r="C53" t="str">
            <v>m³</v>
          </cell>
          <cell r="D53" t="str">
            <v>19,41</v>
          </cell>
          <cell r="E53">
            <v>0</v>
          </cell>
        </row>
        <row r="54">
          <cell r="A54">
            <v>43352</v>
          </cell>
          <cell r="B54" t="str">
            <v>Roçada manual com roçadeira costal, ferramentas manuais, inclusive limpeza e remoção com retroescavadeira</v>
          </cell>
          <cell r="C54" t="str">
            <v>m²</v>
          </cell>
          <cell r="D54" t="str">
            <v>0,44</v>
          </cell>
          <cell r="E54">
            <v>0</v>
          </cell>
        </row>
        <row r="55">
          <cell r="A55">
            <v>43338</v>
          </cell>
          <cell r="B55" t="str">
            <v>Roçada manual com roçadeira costal, ferramentas manuais, inclusive limpeza manual</v>
          </cell>
          <cell r="C55" t="str">
            <v>m²</v>
          </cell>
          <cell r="D55" t="str">
            <v>0,37</v>
          </cell>
          <cell r="E55">
            <v>0</v>
          </cell>
        </row>
        <row r="56">
          <cell r="A56">
            <v>40166</v>
          </cell>
          <cell r="B56" t="str">
            <v>Roçada mecânica</v>
          </cell>
          <cell r="C56" t="str">
            <v>m²</v>
          </cell>
          <cell r="D56" t="str">
            <v>0,14</v>
          </cell>
          <cell r="E56">
            <v>0</v>
          </cell>
        </row>
        <row r="57">
          <cell r="A57">
            <v>41326</v>
          </cell>
          <cell r="B57" t="str">
            <v>Transporte horizontal com trator de lâmina de material de 1ª cat. DMTaté 50m</v>
          </cell>
          <cell r="C57" t="str">
            <v>m³</v>
          </cell>
          <cell r="D57" t="str">
            <v>4,38</v>
          </cell>
          <cell r="E57">
            <v>0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E58" t="e">
            <v>#N/A</v>
          </cell>
        </row>
        <row r="59">
          <cell r="A59" t="str">
            <v>Grupo de Serviço: 2 - PAVIMENTAÇÃO</v>
          </cell>
          <cell r="B59">
            <v>0</v>
          </cell>
          <cell r="C59">
            <v>0</v>
          </cell>
          <cell r="E59" t="e">
            <v>#N/A</v>
          </cell>
        </row>
        <row r="60">
          <cell r="A60">
            <v>40801</v>
          </cell>
          <cell r="B60" t="str">
            <v>Base com mistura de argila, areia e escória de aciaria, 30%,30%,40%, inclusive fornecim. transp.areia e escória, exclusive fornecim. transp. da argila</v>
          </cell>
          <cell r="C60" t="str">
            <v>m³</v>
          </cell>
          <cell r="D60" t="str">
            <v>81,78</v>
          </cell>
          <cell r="E60" t="str">
            <v>A incluir</v>
          </cell>
        </row>
        <row r="61">
          <cell r="A61">
            <v>40799</v>
          </cell>
          <cell r="B61" t="str">
            <v>Base com mistura de argila, areia e escória de aciaria, 50%,20%,30%, inclusive fornecim.e transp. areia e escória, exclusive fornecim. e transp.argila</v>
          </cell>
          <cell r="C61" t="str">
            <v>m³</v>
          </cell>
          <cell r="D61" t="str">
            <v>64,14</v>
          </cell>
          <cell r="E61" t="str">
            <v>A incluir</v>
          </cell>
        </row>
        <row r="62">
          <cell r="A62">
            <v>40793</v>
          </cell>
          <cell r="B62" t="str">
            <v>Base com mistura de argila 30%, pó de pedra 30% e brita 40%, inclusive fornecimento e transporte do pó de pedra e da brita</v>
          </cell>
          <cell r="C62" t="str">
            <v>m³</v>
          </cell>
          <cell r="D62" t="str">
            <v>76,39</v>
          </cell>
          <cell r="E62" t="str">
            <v>A incluir</v>
          </cell>
        </row>
        <row r="63">
          <cell r="A63">
            <v>40797</v>
          </cell>
          <cell r="B63" t="str">
            <v>Base com mistura de argila 70% e escória de aciaria 30%, inclusive fornecim. e transporte da escória, exclusive fornecimento e transporte da argila</v>
          </cell>
          <cell r="C63" t="str">
            <v>m³</v>
          </cell>
          <cell r="D63" t="str">
            <v>40,40</v>
          </cell>
          <cell r="E63" t="str">
            <v>A incluir</v>
          </cell>
        </row>
        <row r="64">
          <cell r="A64">
            <v>41157</v>
          </cell>
          <cell r="B64" t="str">
            <v>Base com mistura de Saibro, Argila e Brita, 45%, 15% e 40%, exclusive transporte</v>
          </cell>
          <cell r="C64" t="str">
            <v>m³</v>
          </cell>
          <cell r="D64" t="str">
            <v>46,96</v>
          </cell>
          <cell r="E64">
            <v>0</v>
          </cell>
        </row>
        <row r="65">
          <cell r="A65">
            <v>40795</v>
          </cell>
          <cell r="B65" t="str">
            <v>Base com mistura de solo 80% e areia 20%, inclusive transporte da areia</v>
          </cell>
          <cell r="C65" t="str">
            <v>m³</v>
          </cell>
          <cell r="D65" t="str">
            <v>38,44</v>
          </cell>
          <cell r="E65" t="str">
            <v>A incluir</v>
          </cell>
        </row>
        <row r="66">
          <cell r="A66">
            <v>40787</v>
          </cell>
          <cell r="B66" t="str">
            <v>Base de brita graduada, inclusive fornecimento e transporte da brita</v>
          </cell>
          <cell r="C66" t="str">
            <v>m³</v>
          </cell>
          <cell r="D66" t="str">
            <v>104,09</v>
          </cell>
          <cell r="E66" t="str">
            <v>A incluir</v>
          </cell>
        </row>
        <row r="67">
          <cell r="A67">
            <v>40812</v>
          </cell>
          <cell r="B67" t="str">
            <v>Base de brita graduada, inclusive fornecimento, exclusive transporte da brita</v>
          </cell>
          <cell r="C67" t="str">
            <v>m³</v>
          </cell>
          <cell r="D67" t="str">
            <v>104,09</v>
          </cell>
          <cell r="E67">
            <v>0</v>
          </cell>
        </row>
        <row r="68">
          <cell r="A68">
            <v>42673</v>
          </cell>
          <cell r="B68" t="str">
            <v>Base de brita 1, inclusive fornecimento, exclusive transporte da brita</v>
          </cell>
          <cell r="C68" t="str">
            <v>m³</v>
          </cell>
          <cell r="D68" t="str">
            <v>101,27</v>
          </cell>
          <cell r="E68">
            <v>0</v>
          </cell>
        </row>
        <row r="69">
          <cell r="A69">
            <v>40803</v>
          </cell>
          <cell r="B69" t="str">
            <v>Base de escória de aciaria, inclusive fornecimento e transporte da escória</v>
          </cell>
          <cell r="C69" t="str">
            <v>m³</v>
          </cell>
          <cell r="D69" t="str">
            <v>85,41</v>
          </cell>
          <cell r="E69" t="str">
            <v>A incluir</v>
          </cell>
        </row>
        <row r="70">
          <cell r="A70">
            <v>41406</v>
          </cell>
          <cell r="B70" t="str">
            <v>Base de escória/argila na proporção 80:20, inclusive aquisição e transporte da escória, exclusive argila</v>
          </cell>
          <cell r="C70" t="str">
            <v>m³</v>
          </cell>
          <cell r="D70" t="str">
            <v>73,00</v>
          </cell>
          <cell r="E70" t="str">
            <v>A incluir</v>
          </cell>
        </row>
        <row r="71">
          <cell r="A71">
            <v>41100</v>
          </cell>
          <cell r="B71" t="str">
            <v>Base de escória/solo na proporção 75:25, inclusive fornecimento da escória, exceto fornecimento do solo e transporte do solo e escória</v>
          </cell>
          <cell r="C71" t="str">
            <v>m³</v>
          </cell>
          <cell r="D71" t="str">
            <v>69,75</v>
          </cell>
          <cell r="E71">
            <v>0</v>
          </cell>
        </row>
        <row r="72">
          <cell r="A72">
            <v>40979</v>
          </cell>
          <cell r="B72" t="str">
            <v>Base de solo brita, 20% em peso, inclusive fornecim. da brita, exclusive transporte da brita e do solo (100% P.IM)</v>
          </cell>
          <cell r="C72" t="str">
            <v>m³</v>
          </cell>
          <cell r="D72" t="str">
            <v>42,02</v>
          </cell>
          <cell r="E72">
            <v>0</v>
          </cell>
        </row>
        <row r="73">
          <cell r="A73">
            <v>40815</v>
          </cell>
          <cell r="B73" t="str">
            <v>Base de solo brita, 40% em peso, inclusive fornecimento, exclusive transporte da brita</v>
          </cell>
          <cell r="C73" t="str">
            <v>m³</v>
          </cell>
          <cell r="D73" t="str">
            <v>55,85</v>
          </cell>
          <cell r="E73">
            <v>0</v>
          </cell>
        </row>
        <row r="74">
          <cell r="A74">
            <v>40809</v>
          </cell>
          <cell r="B74" t="str">
            <v>Base de solo brita, 50% em peso, inclusive fornecimento, exclusive transporte da brita</v>
          </cell>
          <cell r="C74" t="str">
            <v>m³</v>
          </cell>
          <cell r="D74" t="str">
            <v>65,17</v>
          </cell>
          <cell r="E74">
            <v>0</v>
          </cell>
        </row>
        <row r="75">
          <cell r="A75">
            <v>40810</v>
          </cell>
          <cell r="B75" t="str">
            <v>Base de solo brita, 70% em peso, inclusive fornecimento, exclusive transporte da brita</v>
          </cell>
          <cell r="C75" t="str">
            <v>m³</v>
          </cell>
          <cell r="D75" t="str">
            <v>83,88</v>
          </cell>
          <cell r="E75">
            <v>0</v>
          </cell>
        </row>
        <row r="76">
          <cell r="A76">
            <v>41097</v>
          </cell>
          <cell r="B76" t="str">
            <v>Base de solo brita, 80% em peso, inclusive fornecimento e transporte da brita</v>
          </cell>
          <cell r="C76" t="str">
            <v>m³</v>
          </cell>
          <cell r="D76" t="str">
            <v>95,18</v>
          </cell>
          <cell r="E76" t="str">
            <v>A incluir</v>
          </cell>
        </row>
        <row r="77">
          <cell r="A77">
            <v>41364</v>
          </cell>
          <cell r="B77" t="str">
            <v>Base estabilizada granulométricamente. com mistura de escória de aciaria 80% e argila exceto fornecimento da argila e transporte da argila e escória</v>
          </cell>
          <cell r="C77" t="str">
            <v>m³</v>
          </cell>
          <cell r="D77" t="str">
            <v>73,00</v>
          </cell>
          <cell r="E77">
            <v>0</v>
          </cell>
        </row>
        <row r="78">
          <cell r="A78">
            <v>40777</v>
          </cell>
          <cell r="B78" t="str">
            <v>Base solo brita, 20% em peso, inclusive fornecimento e transporte da brita</v>
          </cell>
          <cell r="C78" t="str">
            <v>m³</v>
          </cell>
          <cell r="D78" t="str">
            <v>37,34</v>
          </cell>
          <cell r="E78" t="str">
            <v>A incluir</v>
          </cell>
        </row>
        <row r="79">
          <cell r="A79">
            <v>40779</v>
          </cell>
          <cell r="B79" t="str">
            <v>Base solo brita, 30% em peso, inclusive fornecimento e transporte da brita</v>
          </cell>
          <cell r="C79" t="str">
            <v>m³</v>
          </cell>
          <cell r="D79" t="str">
            <v>44,60</v>
          </cell>
          <cell r="E79" t="str">
            <v>A incluir</v>
          </cell>
        </row>
        <row r="80">
          <cell r="A80">
            <v>40781</v>
          </cell>
          <cell r="B80" t="str">
            <v>Base solo brita, 50% em peso, inclusive fornecimento e transporte da brita</v>
          </cell>
          <cell r="C80" t="str">
            <v>m³</v>
          </cell>
          <cell r="D80" t="str">
            <v>65,17</v>
          </cell>
          <cell r="E80" t="str">
            <v>A incluir</v>
          </cell>
        </row>
        <row r="81">
          <cell r="A81">
            <v>40783</v>
          </cell>
          <cell r="B81" t="str">
            <v>Base solo brita, 70% em peso, inclusive fornecimento e transporte da brita</v>
          </cell>
          <cell r="C81" t="str">
            <v>m³</v>
          </cell>
          <cell r="D81" t="str">
            <v>83,88</v>
          </cell>
          <cell r="E81" t="str">
            <v>A incluir</v>
          </cell>
        </row>
        <row r="82">
          <cell r="A82">
            <v>41366</v>
          </cell>
          <cell r="B82" t="str">
            <v>Base solo brita, 80% em peso, inclusive fornecimento, exclusive transporte da brita</v>
          </cell>
          <cell r="C82" t="str">
            <v>m³</v>
          </cell>
          <cell r="D82" t="str">
            <v>95,18</v>
          </cell>
          <cell r="E82">
            <v>0</v>
          </cell>
        </row>
        <row r="83">
          <cell r="A83">
            <v>40834</v>
          </cell>
          <cell r="B83" t="str">
            <v>Capa selante (emulsão e areia) exclusive fornecimento e transporte comercial da emulsão, inclusive transporte da areia</v>
          </cell>
          <cell r="C83" t="str">
            <v>m²</v>
          </cell>
          <cell r="D83" t="str">
            <v>1,51</v>
          </cell>
          <cell r="E83" t="str">
            <v>A incluir</v>
          </cell>
        </row>
        <row r="84">
          <cell r="A84">
            <v>40835</v>
          </cell>
          <cell r="B84" t="str">
            <v>Capa selante (emulsão e areia) inclusive fornecimento e transporte comercial da emulsão</v>
          </cell>
          <cell r="C84" t="str">
            <v>m²</v>
          </cell>
          <cell r="D84" t="str">
            <v>2,20</v>
          </cell>
          <cell r="E84" t="str">
            <v>A incluir</v>
          </cell>
        </row>
        <row r="85">
          <cell r="A85">
            <v>40841</v>
          </cell>
          <cell r="B85" t="str">
            <v>CBUQ (camada pronta - binder) exclusive fornecimento e transportes do CAP e massa, inclusive fornecimento e transporte da brita e pó de pedra</v>
          </cell>
          <cell r="C85" t="str">
            <v>t</v>
          </cell>
          <cell r="D85" t="str">
            <v>94,72</v>
          </cell>
          <cell r="E85" t="str">
            <v>A incluir</v>
          </cell>
        </row>
        <row r="86">
          <cell r="A86">
            <v>40842</v>
          </cell>
          <cell r="B86" t="str">
            <v>CBUQ (camada pronta - binder) inclusive fornecimento e transporte comercial do CAP, exclusive transporte da massa</v>
          </cell>
          <cell r="C86" t="str">
            <v>t</v>
          </cell>
          <cell r="D86" t="str">
            <v>209,06</v>
          </cell>
          <cell r="E86" t="str">
            <v>A incluir</v>
          </cell>
        </row>
        <row r="87">
          <cell r="A87">
            <v>40843</v>
          </cell>
          <cell r="B87" t="str">
            <v>CBUQ (camada pronta - capa) exclusive fornecimento e transportes do CAP e massa</v>
          </cell>
          <cell r="C87" t="str">
            <v>t</v>
          </cell>
          <cell r="D87" t="str">
            <v>97,98</v>
          </cell>
          <cell r="E87" t="str">
            <v>A incluir</v>
          </cell>
        </row>
        <row r="88">
          <cell r="A88">
            <v>40844</v>
          </cell>
          <cell r="B88" t="str">
            <v>CBUQ (camada pronta - capa) inclusive fornecimento e transporte comercial do CAP, exclusive transporte da massa</v>
          </cell>
          <cell r="C88" t="str">
            <v>t</v>
          </cell>
          <cell r="D88" t="str">
            <v>221,86</v>
          </cell>
          <cell r="E88" t="str">
            <v>A incluir</v>
          </cell>
        </row>
        <row r="89">
          <cell r="A89">
            <v>41112</v>
          </cell>
          <cell r="B89" t="str">
            <v>CBUQ (camada pronta Faixa "B" para revestimento) exclusive fornecimento do CAP e transp. de todos os materiais</v>
          </cell>
          <cell r="C89" t="str">
            <v>t</v>
          </cell>
          <cell r="D89" t="str">
            <v>92,85</v>
          </cell>
          <cell r="E89" t="str">
            <v>A incluir</v>
          </cell>
        </row>
        <row r="90">
          <cell r="A90">
            <v>43342</v>
          </cell>
          <cell r="B90" t="str">
            <v>CBUQ (camada pronta-faixa "C") , exclusive fornecimento do CAP e transporte de todos os materiais (traço padrão areia e brita)</v>
          </cell>
          <cell r="C90" t="str">
            <v>t</v>
          </cell>
          <cell r="D90" t="str">
            <v>99,90</v>
          </cell>
          <cell r="E90" t="str">
            <v>A incluir</v>
          </cell>
        </row>
        <row r="91">
          <cell r="A91">
            <v>40878</v>
          </cell>
          <cell r="B91" t="str">
            <v>CBUQ (camada pronta-faixa"C") exclusive fornecimento.do CAP e transporte de todos os materiais</v>
          </cell>
          <cell r="C91" t="str">
            <v>t</v>
          </cell>
          <cell r="D91" t="str">
            <v>98,54</v>
          </cell>
          <cell r="E91" t="str">
            <v>A incluir</v>
          </cell>
        </row>
        <row r="92">
          <cell r="A92">
            <v>40845</v>
          </cell>
          <cell r="B92" t="str">
            <v>CBUQ (massa asfáltica) exclusive fornecimento e transporte comercial do CAP</v>
          </cell>
          <cell r="C92" t="str">
            <v>t</v>
          </cell>
          <cell r="D92" t="str">
            <v>78,45</v>
          </cell>
          <cell r="E92" t="str">
            <v>A incluir</v>
          </cell>
        </row>
        <row r="93">
          <cell r="A93">
            <v>40846</v>
          </cell>
          <cell r="B93" t="str">
            <v>CBUQ (massa asfáltica) inclusive fornecimento e transporte comercial do CAP</v>
          </cell>
          <cell r="C93" t="str">
            <v>t</v>
          </cell>
          <cell r="D93" t="str">
            <v>202,32</v>
          </cell>
          <cell r="E93" t="str">
            <v>A incluir</v>
          </cell>
        </row>
        <row r="94">
          <cell r="A94">
            <v>40879</v>
          </cell>
          <cell r="B94" t="str">
            <v>CBUQ (massa asfáltica-faixa"C") exclusive fornecimento CAP e transporte de todos os materiais</v>
          </cell>
          <cell r="C94" t="str">
            <v>t</v>
          </cell>
          <cell r="D94" t="str">
            <v>79,00</v>
          </cell>
          <cell r="E94">
            <v>0</v>
          </cell>
        </row>
        <row r="95">
          <cell r="A95">
            <v>40877</v>
          </cell>
          <cell r="B95" t="str">
            <v>CBUQ (massa fina - faixa"D") exclusive fornecimento do CAP e transp.de todos os materiais</v>
          </cell>
          <cell r="C95" t="str">
            <v>t</v>
          </cell>
          <cell r="D95" t="str">
            <v>96,82</v>
          </cell>
          <cell r="E95" t="str">
            <v>A incluir</v>
          </cell>
        </row>
        <row r="96">
          <cell r="A96">
            <v>43341</v>
          </cell>
          <cell r="B96" t="str">
            <v>CBUQ (massa fina-faixa"D"), exclusive fornecimento do CAP e transporte de todos os materiais (traço padrão areia e brita)</v>
          </cell>
          <cell r="C96" t="str">
            <v>t</v>
          </cell>
          <cell r="D96" t="str">
            <v>98,47</v>
          </cell>
          <cell r="E96" t="str">
            <v>A incluir</v>
          </cell>
        </row>
        <row r="97">
          <cell r="A97">
            <v>40867</v>
          </cell>
          <cell r="B97" t="str">
            <v>Demolição e remoção de pavimento asfáltico</v>
          </cell>
          <cell r="C97" t="str">
            <v>m²</v>
          </cell>
          <cell r="D97" t="str">
            <v>2,20</v>
          </cell>
          <cell r="E97">
            <v>0</v>
          </cell>
        </row>
        <row r="98">
          <cell r="A98">
            <v>40763</v>
          </cell>
          <cell r="B98" t="str">
            <v>Escarificação de base H -&gt; 0,10m e capa asfáltica</v>
          </cell>
          <cell r="C98" t="str">
            <v>m²</v>
          </cell>
          <cell r="D98" t="str">
            <v>0,68</v>
          </cell>
          <cell r="E98">
            <v>0</v>
          </cell>
        </row>
        <row r="99">
          <cell r="A99">
            <v>40765</v>
          </cell>
          <cell r="B99" t="str">
            <v>Escarificação e compactação de base (100% P.I.) H-&gt;0,20m</v>
          </cell>
          <cell r="C99" t="str">
            <v>m²</v>
          </cell>
          <cell r="D99" t="str">
            <v>4,96</v>
          </cell>
          <cell r="E99">
            <v>0</v>
          </cell>
        </row>
        <row r="100">
          <cell r="A100">
            <v>40757</v>
          </cell>
          <cell r="B100" t="str">
            <v>Estabilização granulométrica de solo s/ mistura 100% P.I.</v>
          </cell>
          <cell r="C100" t="str">
            <v>m³</v>
          </cell>
          <cell r="D100" t="str">
            <v>15,08</v>
          </cell>
          <cell r="E100">
            <v>0</v>
          </cell>
        </row>
        <row r="101">
          <cell r="A101">
            <v>40758</v>
          </cell>
          <cell r="B101" t="str">
            <v>Estabilização granulométrica de solo s/ mistura 100% P.M.</v>
          </cell>
          <cell r="C101" t="str">
            <v>m³</v>
          </cell>
          <cell r="D101" t="str">
            <v>16,25</v>
          </cell>
          <cell r="E101">
            <v>0</v>
          </cell>
        </row>
        <row r="102">
          <cell r="A102">
            <v>40761</v>
          </cell>
          <cell r="B102" t="str">
            <v>Estabilização granulométrica de solos c/ mistura de areia na pista 100% P.M. (80%, 20%) exclusive transporte</v>
          </cell>
          <cell r="C102" t="str">
            <v>m³</v>
          </cell>
          <cell r="D102" t="str">
            <v>38,82</v>
          </cell>
          <cell r="E102">
            <v>0</v>
          </cell>
        </row>
        <row r="103">
          <cell r="A103">
            <v>40759</v>
          </cell>
          <cell r="B103" t="str">
            <v>Estabilização granulométrica de solos c/ mistura na pista 100 % P.I.</v>
          </cell>
          <cell r="C103" t="str">
            <v>m³</v>
          </cell>
          <cell r="D103" t="str">
            <v>16,56</v>
          </cell>
          <cell r="E103">
            <v>0</v>
          </cell>
        </row>
        <row r="104">
          <cell r="A104">
            <v>40760</v>
          </cell>
          <cell r="B104" t="str">
            <v>Estabilização granulométrica de solos c/ mistura na pista 100% P.M.</v>
          </cell>
          <cell r="C104" t="str">
            <v>m³</v>
          </cell>
          <cell r="D104" t="str">
            <v>17,03</v>
          </cell>
          <cell r="E104">
            <v>0</v>
          </cell>
        </row>
        <row r="105">
          <cell r="A105">
            <v>41069</v>
          </cell>
          <cell r="B105" t="str">
            <v>Fresagem de pavimento asfáltico a frio, esp. até 15cm, exclusive transporte de materiais</v>
          </cell>
          <cell r="C105" t="str">
            <v>m²</v>
          </cell>
          <cell r="D105" t="str">
            <v>7,58</v>
          </cell>
          <cell r="E105">
            <v>0</v>
          </cell>
        </row>
        <row r="106">
          <cell r="A106">
            <v>40985</v>
          </cell>
          <cell r="B106" t="str">
            <v>Fresagem de pavimento asfáltico a frio, esp-&gt;5cm, exclusive transporte de materiais</v>
          </cell>
          <cell r="C106" t="str">
            <v>m²</v>
          </cell>
          <cell r="D106" t="str">
            <v>6,57</v>
          </cell>
          <cell r="E106">
            <v>0</v>
          </cell>
        </row>
        <row r="107">
          <cell r="A107">
            <v>40868</v>
          </cell>
          <cell r="B107" t="str">
            <v>Fresagem de pavimento asfáltico a frio, esp.-&gt;5cm inclusive transporte do material</v>
          </cell>
          <cell r="C107" t="str">
            <v>m²</v>
          </cell>
          <cell r="D107" t="str">
            <v>10,29</v>
          </cell>
          <cell r="E107">
            <v>0</v>
          </cell>
        </row>
        <row r="108">
          <cell r="A108">
            <v>40816</v>
          </cell>
          <cell r="B108" t="str">
            <v>Imprimação exclusive fornecimento e transporte comercial do material betuminoso</v>
          </cell>
          <cell r="C108" t="str">
            <v>m²</v>
          </cell>
          <cell r="D108" t="str">
            <v>0,68</v>
          </cell>
          <cell r="E108">
            <v>0</v>
          </cell>
        </row>
        <row r="109">
          <cell r="A109">
            <v>40817</v>
          </cell>
          <cell r="B109" t="str">
            <v>Imprimação inclusive fornecimento e transporte comercial do material betuminoso</v>
          </cell>
          <cell r="C109" t="str">
            <v>m²</v>
          </cell>
          <cell r="D109" t="str">
            <v>3,94</v>
          </cell>
          <cell r="E109" t="str">
            <v>A incluir</v>
          </cell>
        </row>
        <row r="110">
          <cell r="A110">
            <v>40850</v>
          </cell>
          <cell r="B110" t="str">
            <v>Lama asfáltica (faixa I - ISSA) exclusive fornecimento e transporte comercial da emulsão</v>
          </cell>
          <cell r="C110" t="str">
            <v>m²</v>
          </cell>
          <cell r="D110" t="str">
            <v>1,32</v>
          </cell>
          <cell r="E110" t="str">
            <v>A incluir</v>
          </cell>
        </row>
        <row r="111">
          <cell r="A111">
            <v>40851</v>
          </cell>
          <cell r="B111" t="str">
            <v>Lama asfáltica (faixa I - ISSA) inclusive fornecimento e transporte comercial da emulsão</v>
          </cell>
          <cell r="C111" t="str">
            <v>m²</v>
          </cell>
          <cell r="D111" t="str">
            <v>2,60</v>
          </cell>
          <cell r="E111" t="str">
            <v>A incluir</v>
          </cell>
        </row>
        <row r="112">
          <cell r="A112">
            <v>40852</v>
          </cell>
          <cell r="B112" t="str">
            <v>Lama asfáltica (faixa II - ISSA) exclusive fornecimento e transporte comercial da emulsão</v>
          </cell>
          <cell r="C112" t="str">
            <v>m²</v>
          </cell>
          <cell r="D112" t="str">
            <v>1,43</v>
          </cell>
          <cell r="E112" t="str">
            <v>A incluir</v>
          </cell>
        </row>
        <row r="113">
          <cell r="A113">
            <v>40853</v>
          </cell>
          <cell r="B113" t="str">
            <v>Lama asfáltica (faixa II - ISSA) inclusive fornecimento e transporte comercial da emulsão</v>
          </cell>
          <cell r="C113" t="str">
            <v>m²</v>
          </cell>
          <cell r="D113" t="str">
            <v>3,47</v>
          </cell>
          <cell r="E113" t="str">
            <v>A incluir</v>
          </cell>
        </row>
        <row r="114">
          <cell r="A114">
            <v>40854</v>
          </cell>
          <cell r="B114" t="str">
            <v>Lama asfáltica (faixa III - ISSA) exclusive fornecimento e transporte comercial da emulsão</v>
          </cell>
          <cell r="C114" t="str">
            <v>m²</v>
          </cell>
          <cell r="D114" t="str">
            <v>1,52</v>
          </cell>
          <cell r="E114" t="str">
            <v>A incluir</v>
          </cell>
        </row>
        <row r="115">
          <cell r="A115">
            <v>40855</v>
          </cell>
          <cell r="B115" t="str">
            <v>Lama asfáltica (faixa III - ISSA) inclusive fornecimento e transporte comercial da emulsão</v>
          </cell>
          <cell r="C115" t="str">
            <v>m²</v>
          </cell>
          <cell r="D115" t="str">
            <v>4,48</v>
          </cell>
          <cell r="E115" t="str">
            <v>A incluir</v>
          </cell>
        </row>
        <row r="116">
          <cell r="A116">
            <v>40856</v>
          </cell>
          <cell r="B116" t="str">
            <v>Lama asfáltica (faixa IV - ISSA) exclusive fornecimento e transporte comercial da emulsão</v>
          </cell>
          <cell r="C116" t="str">
            <v>m²</v>
          </cell>
          <cell r="D116" t="str">
            <v>1,84</v>
          </cell>
          <cell r="E116" t="str">
            <v>A incluir</v>
          </cell>
        </row>
        <row r="117">
          <cell r="A117">
            <v>40857</v>
          </cell>
          <cell r="B117" t="str">
            <v>Lama asfáltica (faixa IV - ISSA) inclusive fornecimento e transporte comercial da emulsão</v>
          </cell>
          <cell r="C117" t="str">
            <v>m²</v>
          </cell>
          <cell r="D117" t="str">
            <v>5,91</v>
          </cell>
          <cell r="E117" t="str">
            <v>A incluir</v>
          </cell>
        </row>
        <row r="118">
          <cell r="A118">
            <v>40894</v>
          </cell>
          <cell r="B118" t="str">
            <v>Meio fio (assentamento), inclusive caiação</v>
          </cell>
          <cell r="C118" t="str">
            <v>m</v>
          </cell>
          <cell r="D118" t="str">
            <v>24,37</v>
          </cell>
          <cell r="E118">
            <v>0</v>
          </cell>
        </row>
        <row r="119">
          <cell r="A119">
            <v>40895</v>
          </cell>
          <cell r="B119" t="str">
            <v>Meio fio (remoção e reassentamento), inclusive caiação</v>
          </cell>
          <cell r="C119" t="str">
            <v>m</v>
          </cell>
          <cell r="D119" t="str">
            <v>42,92</v>
          </cell>
          <cell r="E119">
            <v>0</v>
          </cell>
        </row>
        <row r="120">
          <cell r="A120">
            <v>40869</v>
          </cell>
          <cell r="B120" t="str">
            <v>Micro revestimento asfáltico à frio exclusive fornecimento e transporte comercial do material betuminoso</v>
          </cell>
          <cell r="C120" t="str">
            <v>m²</v>
          </cell>
          <cell r="D120" t="str">
            <v>4,61</v>
          </cell>
          <cell r="E120" t="str">
            <v>A incluir</v>
          </cell>
        </row>
        <row r="121">
          <cell r="A121">
            <v>40881</v>
          </cell>
          <cell r="B121" t="str">
            <v>Micro revestimento asfáltico à frio exclusive fornecimento emulsão e transp. de todos os materiais</v>
          </cell>
          <cell r="C121" t="str">
            <v>m²</v>
          </cell>
          <cell r="D121" t="str">
            <v>4,61</v>
          </cell>
          <cell r="E121">
            <v>0</v>
          </cell>
        </row>
        <row r="122">
          <cell r="A122">
            <v>40870</v>
          </cell>
          <cell r="B122" t="str">
            <v>Micro revestimento asfáltico à frio inclusive fornecimento e transporte comercial do material betuminoso</v>
          </cell>
          <cell r="C122" t="str">
            <v>m²</v>
          </cell>
          <cell r="D122" t="str">
            <v>9,82</v>
          </cell>
          <cell r="E122" t="str">
            <v>A incluir</v>
          </cell>
        </row>
        <row r="123">
          <cell r="A123">
            <v>40860</v>
          </cell>
          <cell r="B123" t="str">
            <v>Obturação de buracos c/ CBUQ exclusive fornecimento e transporte comercial dos materiais betuminosos</v>
          </cell>
          <cell r="C123" t="str">
            <v>m²</v>
          </cell>
          <cell r="D123" t="str">
            <v>36,87</v>
          </cell>
          <cell r="E123" t="str">
            <v>A incluir</v>
          </cell>
        </row>
        <row r="124">
          <cell r="A124">
            <v>40864</v>
          </cell>
          <cell r="B124" t="str">
            <v>Obturação de buracos c/ CBUQ exclusive fornecimento e transporte dos materiais betuminosos</v>
          </cell>
          <cell r="C124" t="str">
            <v>t</v>
          </cell>
          <cell r="D124" t="str">
            <v>378,54</v>
          </cell>
          <cell r="E124" t="str">
            <v>A incluir</v>
          </cell>
        </row>
        <row r="125">
          <cell r="A125">
            <v>40861</v>
          </cell>
          <cell r="B125" t="str">
            <v>Obturação de buracos c/ CBUQ inclusive fornecimento e transporte comercial dos materiais betuminosos</v>
          </cell>
          <cell r="C125" t="str">
            <v>m²</v>
          </cell>
          <cell r="D125" t="str">
            <v>52,60</v>
          </cell>
          <cell r="E125" t="str">
            <v>A incluir</v>
          </cell>
        </row>
        <row r="126">
          <cell r="A126">
            <v>40865</v>
          </cell>
          <cell r="B126" t="str">
            <v>Obturação de buracos c/ CBUQ inclusive fornecimento e transporte dos materiais betuminosos</v>
          </cell>
          <cell r="C126" t="str">
            <v>t</v>
          </cell>
          <cell r="D126" t="str">
            <v>520,72</v>
          </cell>
          <cell r="E126" t="str">
            <v>A incluir</v>
          </cell>
        </row>
        <row r="127">
          <cell r="A127">
            <v>40880</v>
          </cell>
          <cell r="B127" t="str">
            <v>Obturação de buracos c/ CBUQ-faixa "C", exclusive forn.do CAP e transporte de todos os materiais</v>
          </cell>
          <cell r="C127" t="str">
            <v>m²</v>
          </cell>
          <cell r="D127" t="str">
            <v>40,41</v>
          </cell>
          <cell r="E127">
            <v>0</v>
          </cell>
        </row>
        <row r="128">
          <cell r="A128">
            <v>40858</v>
          </cell>
          <cell r="B128" t="str">
            <v>Obturação de buracos c/ PMF exclusive fornecimento e transporte comercial da emulsão</v>
          </cell>
          <cell r="C128" t="str">
            <v>m²</v>
          </cell>
          <cell r="D128" t="str">
            <v>33,70</v>
          </cell>
          <cell r="E128" t="str">
            <v>A incluir</v>
          </cell>
        </row>
        <row r="129">
          <cell r="A129">
            <v>40862</v>
          </cell>
          <cell r="B129" t="str">
            <v>Obturação de buracos c/ PMF exclusive fornecimento e transporte dos materiais betuminosos</v>
          </cell>
          <cell r="C129" t="str">
            <v>t</v>
          </cell>
          <cell r="D129" t="str">
            <v>345,37</v>
          </cell>
          <cell r="E129" t="str">
            <v>A incluir</v>
          </cell>
        </row>
        <row r="130">
          <cell r="A130">
            <v>40859</v>
          </cell>
          <cell r="B130" t="str">
            <v>Obturação de buracos c/ PMF inclusive fornecimento e transporte comercial da emulsão</v>
          </cell>
          <cell r="C130" t="str">
            <v>m²</v>
          </cell>
          <cell r="D130" t="str">
            <v>47,34</v>
          </cell>
          <cell r="E130" t="str">
            <v>A incluir</v>
          </cell>
        </row>
        <row r="131">
          <cell r="A131">
            <v>40863</v>
          </cell>
          <cell r="B131" t="str">
            <v>Obturação de buracos c/ PMF inclusive fornecimento e transporte dos materiais betuminosos</v>
          </cell>
          <cell r="C131" t="str">
            <v>t</v>
          </cell>
          <cell r="D131" t="str">
            <v>489,05</v>
          </cell>
          <cell r="E131" t="str">
            <v>A incluir</v>
          </cell>
        </row>
        <row r="132">
          <cell r="A132">
            <v>40883</v>
          </cell>
          <cell r="B132" t="str">
            <v>Pavimentação com blocos de concreto (35 MPa), esp.-&gt; 06 cm, sobre colchão areia esp.-&gt; 5 cm, inclusive fornecimento e transporte dos blocos e areia</v>
          </cell>
          <cell r="C132" t="str">
            <v>m²</v>
          </cell>
          <cell r="D132" t="str">
            <v>64,72</v>
          </cell>
          <cell r="E132" t="str">
            <v>A incluir</v>
          </cell>
        </row>
        <row r="133">
          <cell r="A133">
            <v>40885</v>
          </cell>
          <cell r="B133" t="str">
            <v>Pavimentação com blocos de concreto (35 MPa), esp. -&gt; 10 cm, sobre colchão areia esp.-&gt; 5cm, inclusive fornecimento e transporte dos blocos e areia</v>
          </cell>
          <cell r="C133" t="str">
            <v>m²</v>
          </cell>
          <cell r="D133" t="str">
            <v>89,04</v>
          </cell>
          <cell r="E133" t="str">
            <v>A incluir</v>
          </cell>
        </row>
        <row r="134">
          <cell r="A134">
            <v>40897</v>
          </cell>
          <cell r="B134" t="str">
            <v>Pavimentação com blocos de concreto (35 MPa), esp.-&gt; 06cm, sobre colchão areia esp.-&gt;5cm, inclusive fornecim. do bloco e areia, exclus. transp.materiais</v>
          </cell>
          <cell r="C134" t="str">
            <v>m²</v>
          </cell>
          <cell r="D134" t="str">
            <v>64,72</v>
          </cell>
          <cell r="E134">
            <v>0</v>
          </cell>
        </row>
        <row r="135">
          <cell r="A135">
            <v>40884</v>
          </cell>
          <cell r="B135" t="str">
            <v>Pavimentação com blocos de concreto (35 MPa), esp.-&gt; 08 cm, colchão areia esp.-&gt; 5cm, inclusive fornecimento e transporte dos blocos e areia</v>
          </cell>
          <cell r="C135" t="str">
            <v>m²</v>
          </cell>
          <cell r="D135" t="str">
            <v>72,73</v>
          </cell>
          <cell r="E135" t="str">
            <v>A incluir</v>
          </cell>
        </row>
        <row r="136">
          <cell r="A136">
            <v>40898</v>
          </cell>
          <cell r="B136" t="str">
            <v>Pavimentação com blocos de concreto (35 MPa) esp.-&gt;08 cm,colchão areia esp.-&gt;5cm, inclusive fornecim. do bloco e areia, exclusive transp. blocos e areia</v>
          </cell>
          <cell r="C136" t="str">
            <v>m²</v>
          </cell>
          <cell r="D136" t="str">
            <v>72,73</v>
          </cell>
          <cell r="E136">
            <v>0</v>
          </cell>
        </row>
        <row r="137">
          <cell r="A137">
            <v>40896</v>
          </cell>
          <cell r="B137" t="str">
            <v>Pavimentação com blocos de concreto (35MPa), esp.-&gt;10 cm, sobre colchão de areia esp.-&gt;5cm, inclusive fornecim. do bloco e areia , exclusive transportes</v>
          </cell>
          <cell r="C137" t="str">
            <v>m²</v>
          </cell>
          <cell r="D137" t="str">
            <v>89,04</v>
          </cell>
          <cell r="E137">
            <v>0</v>
          </cell>
        </row>
        <row r="138">
          <cell r="A138">
            <v>40886</v>
          </cell>
          <cell r="B138" t="str">
            <v>Pavimentação com paralelepípedo, sobre colchão areia esp.-&gt; 5cm, inclus. fornecimento e transport. da areia, exclus. fornecim. e transp. paralelepípedo</v>
          </cell>
          <cell r="C138" t="str">
            <v>m²</v>
          </cell>
          <cell r="D138" t="str">
            <v>27,58</v>
          </cell>
          <cell r="E138" t="str">
            <v>A incluir</v>
          </cell>
        </row>
        <row r="139">
          <cell r="A139">
            <v>40887</v>
          </cell>
          <cell r="B139" t="str">
            <v>Pavimentação com paralelepípedo, sobre colchão areia esp.-&gt; 5cm, inclusive fornecimento e transporte do paralelepípedo e areia</v>
          </cell>
          <cell r="C139" t="str">
            <v>m²</v>
          </cell>
          <cell r="D139" t="str">
            <v>85,91</v>
          </cell>
          <cell r="E139" t="str">
            <v>A incluir</v>
          </cell>
        </row>
        <row r="140">
          <cell r="A140">
            <v>40888</v>
          </cell>
          <cell r="B140" t="str">
            <v>Pavimentação com paralelepípedo, sobre colchão pó de pedra esp.-&gt; 5cm, inclusive fornecimento e transporte do paralelepípedo e pó de pedra</v>
          </cell>
          <cell r="C140" t="str">
            <v>m²</v>
          </cell>
          <cell r="D140" t="str">
            <v>84,60</v>
          </cell>
          <cell r="E140" t="str">
            <v>A incluir</v>
          </cell>
        </row>
        <row r="141">
          <cell r="A141">
            <v>40889</v>
          </cell>
          <cell r="B141" t="str">
            <v>Pavimentação com pedra portuguesa, inclusive fornecimento e transporte da pedra portuguesa, cimento e areia</v>
          </cell>
          <cell r="C141" t="str">
            <v>m²</v>
          </cell>
          <cell r="D141" t="str">
            <v>104,42</v>
          </cell>
          <cell r="E141" t="str">
            <v>A incluir</v>
          </cell>
        </row>
        <row r="142">
          <cell r="A142">
            <v>40818</v>
          </cell>
          <cell r="B142" t="str">
            <v>Pintura de ligação exclusive fornecimento e transporte comercial do material betuminoso</v>
          </cell>
          <cell r="C142" t="str">
            <v>m²</v>
          </cell>
          <cell r="D142" t="str">
            <v>0,57</v>
          </cell>
          <cell r="E142">
            <v>0</v>
          </cell>
        </row>
        <row r="143">
          <cell r="A143">
            <v>40819</v>
          </cell>
          <cell r="B143" t="str">
            <v>Pintura de ligação inclusive fornecimento e transporte comercial do material betuminoso</v>
          </cell>
          <cell r="C143" t="str">
            <v>m²</v>
          </cell>
          <cell r="D143" t="str">
            <v>1,50</v>
          </cell>
          <cell r="E143" t="str">
            <v>A incluir</v>
          </cell>
        </row>
        <row r="144">
          <cell r="A144">
            <v>40872</v>
          </cell>
          <cell r="B144" t="str">
            <v>PMF camada pronta exclusive fornecimento e transporte comercial da emulsão</v>
          </cell>
          <cell r="C144" t="str">
            <v>t</v>
          </cell>
          <cell r="D144" t="str">
            <v>63,75</v>
          </cell>
          <cell r="E144" t="str">
            <v>A incluir</v>
          </cell>
        </row>
        <row r="145">
          <cell r="A145">
            <v>40836</v>
          </cell>
          <cell r="B145" t="str">
            <v>PMF (massa asfáltica) exclusive fornecimento e transporte comercial da emulsão</v>
          </cell>
          <cell r="C145" t="str">
            <v>t</v>
          </cell>
          <cell r="D145" t="str">
            <v>45,27</v>
          </cell>
          <cell r="E145" t="str">
            <v>A incluir</v>
          </cell>
        </row>
        <row r="146">
          <cell r="A146">
            <v>40837</v>
          </cell>
          <cell r="B146" t="str">
            <v>PMF (massa asfáltica) inclusive fornecimento e transporte comercial da emulsão</v>
          </cell>
          <cell r="C146" t="str">
            <v>t</v>
          </cell>
          <cell r="D146" t="str">
            <v>170,65</v>
          </cell>
          <cell r="E146" t="str">
            <v>A incluir</v>
          </cell>
        </row>
        <row r="147">
          <cell r="A147">
            <v>41076</v>
          </cell>
          <cell r="B147" t="str">
            <v>Pó de pedra, fornecimento</v>
          </cell>
          <cell r="C147" t="str">
            <v>m³</v>
          </cell>
          <cell r="D147" t="str">
            <v>46,66</v>
          </cell>
          <cell r="E147">
            <v>0</v>
          </cell>
        </row>
        <row r="148">
          <cell r="A148">
            <v>41556</v>
          </cell>
          <cell r="B148" t="str">
            <v>Pó de pedra, fornecimento e espalhamento</v>
          </cell>
          <cell r="C148" t="str">
            <v>m³</v>
          </cell>
          <cell r="D148" t="str">
            <v>50,29</v>
          </cell>
          <cell r="E148" t="str">
            <v>A incluir</v>
          </cell>
        </row>
        <row r="149">
          <cell r="A149">
            <v>43345</v>
          </cell>
          <cell r="B149" t="str">
            <v>Produção de brita no canteiro, exclusive o desmonte e fragmentação de rocha</v>
          </cell>
          <cell r="C149" t="str">
            <v>m³</v>
          </cell>
          <cell r="D149" t="str">
            <v>24,97</v>
          </cell>
          <cell r="E149">
            <v>0</v>
          </cell>
        </row>
        <row r="150">
          <cell r="A150">
            <v>40720</v>
          </cell>
          <cell r="B150" t="str">
            <v>Produção de brita no canteiro, inclusive o desmonte e fragmentação de rocha</v>
          </cell>
          <cell r="C150" t="str">
            <v>m³</v>
          </cell>
          <cell r="D150" t="str">
            <v>59,61</v>
          </cell>
          <cell r="E150">
            <v>0</v>
          </cell>
        </row>
        <row r="151">
          <cell r="A151">
            <v>41070</v>
          </cell>
          <cell r="B151" t="str">
            <v>Reciclagem de pavimento (base) c/ adição de 20% de brita1, 10% de brita 0 e 2% de cimento, inclusive fornecimento e transportes dos materiais</v>
          </cell>
          <cell r="C151" t="str">
            <v>m³</v>
          </cell>
          <cell r="D151" t="str">
            <v>86,96</v>
          </cell>
          <cell r="E151" t="str">
            <v>A incluir</v>
          </cell>
        </row>
        <row r="152">
          <cell r="A152">
            <v>41134</v>
          </cell>
          <cell r="B152" t="str">
            <v>Reciclagem de pavimento (base) c/ adição de 20% de brita1, 10% de brita0 e 2% de cimento, inclusive fornecimento e transportes dos materiais</v>
          </cell>
          <cell r="C152" t="str">
            <v>m³</v>
          </cell>
          <cell r="D152" t="str">
            <v>87,82</v>
          </cell>
          <cell r="E152" t="str">
            <v>A incluir</v>
          </cell>
        </row>
        <row r="153">
          <cell r="A153">
            <v>40984</v>
          </cell>
          <cell r="B153" t="str">
            <v>Reciclagem de pavimento (Base existente + CBUQ) sem adição de materiais</v>
          </cell>
          <cell r="C153" t="str">
            <v>m³</v>
          </cell>
          <cell r="D153" t="str">
            <v>38,69</v>
          </cell>
          <cell r="E153">
            <v>0</v>
          </cell>
        </row>
        <row r="154">
          <cell r="A154">
            <v>41330</v>
          </cell>
          <cell r="B154" t="str">
            <v>Reciclagem de pavimento (base existente + T.S.D.) c/ adição de 3% de cimento e 15% de brita, inclusive fornecimento e transporte dos materiais</v>
          </cell>
          <cell r="C154" t="str">
            <v>m³</v>
          </cell>
          <cell r="D154" t="str">
            <v>74,40</v>
          </cell>
          <cell r="E154" t="str">
            <v>A incluir</v>
          </cell>
        </row>
        <row r="155">
          <cell r="A155">
            <v>41356</v>
          </cell>
          <cell r="B155" t="str">
            <v>Reciclagem de pavimento (Base existente + T.S.D.) c/ adição de 30% de brita, inclusive fornecimento e transporte da brita</v>
          </cell>
          <cell r="C155" t="str">
            <v>m³</v>
          </cell>
          <cell r="D155" t="str">
            <v>84,57</v>
          </cell>
          <cell r="E155" t="str">
            <v>A incluir</v>
          </cell>
        </row>
        <row r="156">
          <cell r="A156">
            <v>40774</v>
          </cell>
          <cell r="B156" t="str">
            <v>Reciclagem de pavimento (Base existente + T.S.D.) c/ adição de 30% de brita, inclusive fornecimento, exclusive transporte da brita</v>
          </cell>
          <cell r="C156" t="str">
            <v>m³</v>
          </cell>
          <cell r="D156" t="str">
            <v>84,57</v>
          </cell>
          <cell r="E156">
            <v>0</v>
          </cell>
        </row>
        <row r="157">
          <cell r="A157">
            <v>40768</v>
          </cell>
          <cell r="B157" t="str">
            <v>Reciclagem de pavimento (Base existente + T.S.D.) com adição de 20% de brita, inclusive fornecimento e transporte da brita.</v>
          </cell>
          <cell r="C157" t="str">
            <v>m³</v>
          </cell>
          <cell r="D157" t="str">
            <v>75,25</v>
          </cell>
          <cell r="E157" t="str">
            <v>A incluir</v>
          </cell>
        </row>
        <row r="158">
          <cell r="A158">
            <v>40767</v>
          </cell>
          <cell r="B158" t="str">
            <v>Reciclagem de pavimento (Base existente + T.S.D.) com adição de 3% de cimento, inclusive fornecimento e tarnsporte do cimento</v>
          </cell>
          <cell r="C158" t="str">
            <v>m³</v>
          </cell>
          <cell r="D158" t="str">
            <v>79,11</v>
          </cell>
          <cell r="E158" t="str">
            <v>A incluir</v>
          </cell>
        </row>
        <row r="159">
          <cell r="A159">
            <v>40769</v>
          </cell>
          <cell r="B159" t="str">
            <v>Reciclagem de pavimento (Base existente + T.S.D.) com adição de 40% de brita, inclusive fornecimento e transporte da brita.</v>
          </cell>
          <cell r="C159" t="str">
            <v>m³</v>
          </cell>
          <cell r="D159" t="str">
            <v>93,87</v>
          </cell>
          <cell r="E159" t="str">
            <v>A incluir</v>
          </cell>
        </row>
        <row r="160">
          <cell r="A160">
            <v>40766</v>
          </cell>
          <cell r="B160" t="str">
            <v>Reciclagem de pavimento (Base existente + T.S.D.) sem adição de materiais</v>
          </cell>
          <cell r="C160" t="str">
            <v>m³</v>
          </cell>
          <cell r="D160" t="str">
            <v>42,22</v>
          </cell>
          <cell r="E160">
            <v>0</v>
          </cell>
        </row>
        <row r="161">
          <cell r="A161">
            <v>40771</v>
          </cell>
          <cell r="B161" t="str">
            <v>Reciclagem de pavimento (Base existente+TSD) com adição de Ligante Betuminoso, inclusive fornecimento e transporte da emulsão</v>
          </cell>
          <cell r="C161" t="str">
            <v>m³</v>
          </cell>
          <cell r="D161" t="str">
            <v>145,35</v>
          </cell>
          <cell r="E161" t="str">
            <v>A incluir</v>
          </cell>
        </row>
        <row r="162">
          <cell r="A162">
            <v>40773</v>
          </cell>
          <cell r="B162" t="str">
            <v>Reciclagem de pavimento com adição de 2% de cimento, inclusive fornecimento e transporte do cimento</v>
          </cell>
          <cell r="C162" t="str">
            <v>m³</v>
          </cell>
          <cell r="D162" t="str">
            <v>66,66</v>
          </cell>
          <cell r="E162" t="str">
            <v>A incluir</v>
          </cell>
        </row>
        <row r="163">
          <cell r="A163">
            <v>40775</v>
          </cell>
          <cell r="B163" t="str">
            <v>Reciclagem de pavimento(Base existente + T.S.D.) com adição de 40% de brita, inclusive fornecimento, exclusive transporte da brita</v>
          </cell>
          <cell r="C163" t="str">
            <v>m³</v>
          </cell>
          <cell r="D163" t="str">
            <v>93,87</v>
          </cell>
          <cell r="E163">
            <v>0</v>
          </cell>
        </row>
        <row r="164">
          <cell r="A164">
            <v>40762</v>
          </cell>
          <cell r="B164" t="str">
            <v>Recuperação de base de acostamento exclusive transporte do material (solo)</v>
          </cell>
          <cell r="C164" t="str">
            <v>m²</v>
          </cell>
          <cell r="D164" t="str">
            <v>5,05</v>
          </cell>
          <cell r="E164">
            <v>0</v>
          </cell>
        </row>
        <row r="165">
          <cell r="A165">
            <v>40804</v>
          </cell>
          <cell r="B165" t="str">
            <v>Recuperação de base de acostamentos, inclusive fornecimento e transporte da brita</v>
          </cell>
          <cell r="C165" t="str">
            <v>m²</v>
          </cell>
          <cell r="D165" t="str">
            <v>8,75</v>
          </cell>
          <cell r="E165" t="str">
            <v>A incluir</v>
          </cell>
        </row>
        <row r="166">
          <cell r="A166">
            <v>40811</v>
          </cell>
          <cell r="B166" t="str">
            <v>Reestabilização da base com adição de 50% de brita, inclusive fonecimento, exclusive transporte da brita</v>
          </cell>
          <cell r="C166" t="str">
            <v>m³</v>
          </cell>
          <cell r="D166" t="str">
            <v>62,11</v>
          </cell>
          <cell r="E166">
            <v>0</v>
          </cell>
        </row>
        <row r="167">
          <cell r="A167">
            <v>42211</v>
          </cell>
          <cell r="B167" t="str">
            <v>Reestabilização de base com adição de 50% de brita, inclusive fornecimento e transporte da brita</v>
          </cell>
          <cell r="C167" t="str">
            <v>m³</v>
          </cell>
          <cell r="D167" t="str">
            <v>62,11</v>
          </cell>
          <cell r="E167" t="str">
            <v>A incluir</v>
          </cell>
        </row>
        <row r="168">
          <cell r="A168">
            <v>40756</v>
          </cell>
          <cell r="B168" t="str">
            <v>Reforço do sub leito 100% P.I.</v>
          </cell>
          <cell r="C168" t="str">
            <v>m³</v>
          </cell>
          <cell r="D168" t="str">
            <v>13,52</v>
          </cell>
          <cell r="E168">
            <v>0</v>
          </cell>
        </row>
        <row r="169">
          <cell r="A169">
            <v>40753</v>
          </cell>
          <cell r="B169" t="str">
            <v>Regularização e compactação do sub-leito (100% P.I.) H -&gt; 0,15 m</v>
          </cell>
          <cell r="C169" t="str">
            <v>m²</v>
          </cell>
          <cell r="D169" t="str">
            <v>3,03</v>
          </cell>
          <cell r="E169">
            <v>0</v>
          </cell>
        </row>
        <row r="170">
          <cell r="A170">
            <v>40754</v>
          </cell>
          <cell r="B170" t="str">
            <v>Regularização e compactação do sub-leito (100% P.I.) H -&gt; 0,20 m</v>
          </cell>
          <cell r="C170" t="str">
            <v>m²</v>
          </cell>
          <cell r="D170" t="str">
            <v>4,04</v>
          </cell>
          <cell r="E170">
            <v>0</v>
          </cell>
        </row>
        <row r="171">
          <cell r="A171">
            <v>40751</v>
          </cell>
          <cell r="B171" t="str">
            <v>Regularização e compactação do sub-leito (100% P.N.) H -&gt; 0,15m</v>
          </cell>
          <cell r="C171" t="str">
            <v>m²</v>
          </cell>
          <cell r="D171" t="str">
            <v>2,72</v>
          </cell>
          <cell r="E171">
            <v>0</v>
          </cell>
        </row>
        <row r="172">
          <cell r="A172">
            <v>40752</v>
          </cell>
          <cell r="B172" t="str">
            <v>Regularização e compactação do sub-leito (100% P.N.) H -&gt; 0,20 m</v>
          </cell>
          <cell r="C172" t="str">
            <v>m²</v>
          </cell>
          <cell r="D172" t="str">
            <v>3,62</v>
          </cell>
          <cell r="E172">
            <v>0</v>
          </cell>
        </row>
        <row r="173">
          <cell r="A173">
            <v>40866</v>
          </cell>
          <cell r="B173" t="str">
            <v>Remoção de capa asfáltica em TSS, TSD, ou TST exclusive transporte</v>
          </cell>
          <cell r="C173" t="str">
            <v>m²</v>
          </cell>
          <cell r="D173" t="str">
            <v>0,68</v>
          </cell>
          <cell r="E173">
            <v>0</v>
          </cell>
        </row>
        <row r="174">
          <cell r="A174">
            <v>40893</v>
          </cell>
          <cell r="B174" t="str">
            <v>Remoção de meio fio</v>
          </cell>
          <cell r="C174" t="str">
            <v>m</v>
          </cell>
          <cell r="D174" t="str">
            <v>18,53</v>
          </cell>
          <cell r="E174">
            <v>0</v>
          </cell>
        </row>
        <row r="175">
          <cell r="A175">
            <v>40891</v>
          </cell>
          <cell r="B175" t="str">
            <v>Remoção de pavimentação poliédrica</v>
          </cell>
          <cell r="C175" t="str">
            <v>m²</v>
          </cell>
          <cell r="D175" t="str">
            <v>14,98</v>
          </cell>
          <cell r="E175">
            <v>0</v>
          </cell>
        </row>
        <row r="176">
          <cell r="A176">
            <v>40890</v>
          </cell>
          <cell r="B176" t="str">
            <v>Remoção e reassentamento de blocos de concreto, inclusive perdas</v>
          </cell>
          <cell r="C176" t="str">
            <v>m²</v>
          </cell>
          <cell r="D176" t="str">
            <v>53,51</v>
          </cell>
          <cell r="E176" t="str">
            <v>A incluir</v>
          </cell>
        </row>
        <row r="177">
          <cell r="A177">
            <v>40892</v>
          </cell>
          <cell r="B177" t="str">
            <v>Remoção e reassentamento de paralelepípedos, inclusive perdas, colchão de areia e transportes de areia e paralelepípedo</v>
          </cell>
          <cell r="C177" t="str">
            <v>m²</v>
          </cell>
          <cell r="D177" t="str">
            <v>53,20</v>
          </cell>
          <cell r="E177" t="str">
            <v>A incluir</v>
          </cell>
        </row>
        <row r="178">
          <cell r="A178">
            <v>40749</v>
          </cell>
          <cell r="B178" t="str">
            <v>Revestimento em estradas vicinais (saibro)</v>
          </cell>
          <cell r="C178" t="str">
            <v>m²</v>
          </cell>
          <cell r="D178" t="str">
            <v>0,14</v>
          </cell>
          <cell r="E178">
            <v>0</v>
          </cell>
        </row>
        <row r="179">
          <cell r="A179">
            <v>40750</v>
          </cell>
          <cell r="B179" t="str">
            <v>Revestimento primário, espalhamento e compactação (espessura até 0,15m)</v>
          </cell>
          <cell r="C179" t="str">
            <v>m²</v>
          </cell>
          <cell r="D179" t="str">
            <v>0,66</v>
          </cell>
          <cell r="E179">
            <v>0</v>
          </cell>
        </row>
        <row r="180">
          <cell r="A180">
            <v>40792</v>
          </cell>
          <cell r="B180" t="str">
            <v>Sub-base c/ mistura de argila 30%, pó de pedra 30% e brita 40%, inclusive fornecimento e transporte do pó de pedra e da brita</v>
          </cell>
          <cell r="C180" t="str">
            <v>m³</v>
          </cell>
          <cell r="D180" t="str">
            <v>76,39</v>
          </cell>
          <cell r="E180" t="str">
            <v>A incluir</v>
          </cell>
        </row>
        <row r="181">
          <cell r="A181">
            <v>40794</v>
          </cell>
          <cell r="B181" t="str">
            <v>Sub-base c/ mistura de solo 80% e areia 20%, inclusive transporte da areia</v>
          </cell>
          <cell r="C181" t="str">
            <v>m³</v>
          </cell>
          <cell r="D181" t="str">
            <v>38,44</v>
          </cell>
          <cell r="E181" t="str">
            <v>A incluir</v>
          </cell>
        </row>
        <row r="182">
          <cell r="A182">
            <v>40796</v>
          </cell>
          <cell r="B182" t="str">
            <v>Sub-base com mistura de argila 70% e escória de aciaria 30%, inclusive fornecim. e transporte da escória, exceto fornecimento e transporte da argila</v>
          </cell>
          <cell r="C182" t="str">
            <v>m³</v>
          </cell>
          <cell r="D182" t="str">
            <v>40,40</v>
          </cell>
          <cell r="E182" t="str">
            <v>A incluir</v>
          </cell>
        </row>
        <row r="183">
          <cell r="A183">
            <v>41098</v>
          </cell>
          <cell r="B183" t="str">
            <v>Sub-base com solo/escória na proporção 70:30, inclusive fornecimento da escória, exceto fornecimento do solo e transporte do solo e escória</v>
          </cell>
          <cell r="C183" t="str">
            <v>m³</v>
          </cell>
          <cell r="D183" t="str">
            <v>40,40</v>
          </cell>
          <cell r="E183">
            <v>0</v>
          </cell>
        </row>
        <row r="184">
          <cell r="A184">
            <v>40786</v>
          </cell>
          <cell r="B184" t="str">
            <v>Sub-base de brita graduada, inclusive fornecimento e transporte da brita</v>
          </cell>
          <cell r="C184" t="str">
            <v>m³</v>
          </cell>
          <cell r="D184" t="str">
            <v>104,09</v>
          </cell>
          <cell r="E184" t="str">
            <v>A incluir</v>
          </cell>
        </row>
        <row r="185">
          <cell r="A185">
            <v>43327</v>
          </cell>
          <cell r="B185" t="str">
            <v>Sub-base de brita graduada, inclusive fornecimento, exclusive transporte da brita</v>
          </cell>
          <cell r="C185" t="str">
            <v>m³</v>
          </cell>
          <cell r="D185" t="str">
            <v>104,09</v>
          </cell>
          <cell r="E185">
            <v>0</v>
          </cell>
        </row>
        <row r="186">
          <cell r="A186">
            <v>42675</v>
          </cell>
          <cell r="B186" t="str">
            <v>Sub-base de brita 1, inclusive fornecimento, exclusive transporte da brita</v>
          </cell>
          <cell r="C186" t="str">
            <v>m³</v>
          </cell>
          <cell r="D186" t="str">
            <v>101,27</v>
          </cell>
          <cell r="E186">
            <v>0</v>
          </cell>
        </row>
        <row r="187">
          <cell r="A187">
            <v>40802</v>
          </cell>
          <cell r="B187" t="str">
            <v>Sub-base de escória de aciaria, inclusive fornecimento e transporte da escória</v>
          </cell>
          <cell r="C187" t="str">
            <v>m³</v>
          </cell>
          <cell r="D187" t="str">
            <v>85,41</v>
          </cell>
          <cell r="E187" t="str">
            <v>A incluir</v>
          </cell>
        </row>
        <row r="188">
          <cell r="A188">
            <v>41074</v>
          </cell>
          <cell r="B188" t="str">
            <v>Sub-base de solo brita, 50% em peso, inclusive fornecimento, exclusive transporte da brita</v>
          </cell>
          <cell r="C188" t="str">
            <v>m³</v>
          </cell>
          <cell r="D188" t="str">
            <v>62,84</v>
          </cell>
          <cell r="E188">
            <v>0</v>
          </cell>
        </row>
        <row r="189">
          <cell r="A189">
            <v>40776</v>
          </cell>
          <cell r="B189" t="str">
            <v>Sub-base solo brita, 20% em peso, inclusive fornecimento e transporte da brita.</v>
          </cell>
          <cell r="C189" t="str">
            <v>m³</v>
          </cell>
          <cell r="D189" t="str">
            <v>37,34</v>
          </cell>
          <cell r="E189" t="str">
            <v>A incluir</v>
          </cell>
        </row>
        <row r="190">
          <cell r="A190">
            <v>40778</v>
          </cell>
          <cell r="B190" t="str">
            <v>Sub-base solo brita, 30% em peso, inclusive fornecimento e transporte da brita</v>
          </cell>
          <cell r="C190" t="str">
            <v>m³</v>
          </cell>
          <cell r="D190" t="str">
            <v>44,60</v>
          </cell>
          <cell r="E190" t="str">
            <v>A incluir</v>
          </cell>
        </row>
        <row r="191">
          <cell r="A191">
            <v>40780</v>
          </cell>
          <cell r="B191" t="str">
            <v>Sub-base solo brita, 50% em peso, inclusive fornecimento e transporte da brita</v>
          </cell>
          <cell r="C191" t="str">
            <v>m³</v>
          </cell>
          <cell r="D191" t="str">
            <v>65,17</v>
          </cell>
          <cell r="E191" t="str">
            <v>A incluir</v>
          </cell>
        </row>
        <row r="192">
          <cell r="A192">
            <v>40782</v>
          </cell>
          <cell r="B192" t="str">
            <v>Sub-base solo brita, 70% em peso, inclusive fornecimento e transporte da brita</v>
          </cell>
          <cell r="C192" t="str">
            <v>m³</v>
          </cell>
          <cell r="D192" t="str">
            <v>83,88</v>
          </cell>
          <cell r="E192" t="str">
            <v>A incluir</v>
          </cell>
        </row>
        <row r="193">
          <cell r="A193">
            <v>40830</v>
          </cell>
          <cell r="B193" t="str">
            <v>T.S.B.D. com capa selante exclusive fornecimento e transporte comercial da emulsão, inclusive lavagem da brita e transporte da areia e brita</v>
          </cell>
          <cell r="C193" t="str">
            <v>m²</v>
          </cell>
          <cell r="D193" t="str">
            <v>6,48</v>
          </cell>
          <cell r="E193" t="str">
            <v>A incluir</v>
          </cell>
        </row>
        <row r="194">
          <cell r="A194">
            <v>40873</v>
          </cell>
          <cell r="B194" t="str">
            <v>T.S.B.D. com capa selante, executado c/ Multidistribuidor exclus. forn. e transp. com. da emulsão, inclus. lavagem brita e transp. comerc.areia, brita</v>
          </cell>
          <cell r="C194" t="str">
            <v>m²</v>
          </cell>
          <cell r="D194" t="str">
            <v>5,27</v>
          </cell>
          <cell r="E194" t="str">
            <v>A incluir</v>
          </cell>
        </row>
        <row r="195">
          <cell r="A195">
            <v>40876</v>
          </cell>
          <cell r="B195" t="str">
            <v>T.S.B.D. com capa selante executado c/ Multidistribuidor,inclus.fornec.areia/brita e lavagem brita, excl.fornec.da emulsão e trnasp.todos os materiais</v>
          </cell>
          <cell r="C195" t="str">
            <v>m²</v>
          </cell>
          <cell r="D195" t="str">
            <v>5,71</v>
          </cell>
          <cell r="E195">
            <v>0</v>
          </cell>
        </row>
        <row r="196">
          <cell r="A196">
            <v>41363</v>
          </cell>
          <cell r="B196" t="str">
            <v>T.S.B.D. com capa selante, executado com Multidistribuidor inclusive fornecimento, transporte comercial dos materiais e lavagem da brita</v>
          </cell>
          <cell r="C196" t="str">
            <v>m²</v>
          </cell>
          <cell r="D196" t="str">
            <v>8,40</v>
          </cell>
          <cell r="E196" t="str">
            <v>A incluir</v>
          </cell>
        </row>
        <row r="197">
          <cell r="A197">
            <v>40831</v>
          </cell>
          <cell r="B197" t="str">
            <v>T.S.B.D. com capa selante inclusive fornecimento e transporte comercial dos materiais e lavagem da brita</v>
          </cell>
          <cell r="C197" t="str">
            <v>m²</v>
          </cell>
          <cell r="D197" t="str">
            <v>11,74</v>
          </cell>
          <cell r="E197" t="str">
            <v>A incluir</v>
          </cell>
        </row>
        <row r="198">
          <cell r="A198">
            <v>40827</v>
          </cell>
          <cell r="B198" t="str">
            <v>T.S.B.D. sem capa selante, inclusive fornecimento e transporte comercial dos materiais e lavagem de brita</v>
          </cell>
          <cell r="C198" t="str">
            <v>m²</v>
          </cell>
          <cell r="D198" t="str">
            <v>7,85</v>
          </cell>
          <cell r="E198" t="str">
            <v>A incluir</v>
          </cell>
        </row>
        <row r="199">
          <cell r="A199">
            <v>40828</v>
          </cell>
          <cell r="B199" t="str">
            <v>T.S.B.D. sem capa selante exclusive fornecimento e transporte comercial da emulsão, inclusive lavagem e transporte comercial da brita</v>
          </cell>
          <cell r="C199" t="str">
            <v>m²</v>
          </cell>
          <cell r="D199" t="str">
            <v>5,88</v>
          </cell>
          <cell r="E199" t="str">
            <v>A incluir</v>
          </cell>
        </row>
        <row r="200">
          <cell r="A200">
            <v>40874</v>
          </cell>
          <cell r="B200" t="str">
            <v>T.S.B.D. sem capa selante, executado c/ Multidistribuidor exclusive fornec.e transp. comercial da emulsão, inclusive lavagem e transp. comerc.da brita</v>
          </cell>
          <cell r="C200" t="str">
            <v>m²</v>
          </cell>
          <cell r="D200" t="str">
            <v>5,80</v>
          </cell>
          <cell r="E200" t="str">
            <v>A incluir</v>
          </cell>
        </row>
        <row r="201">
          <cell r="A201">
            <v>40875</v>
          </cell>
          <cell r="B201" t="str">
            <v>T.S.B.D. sem capa selante executado com Multidistribuidor excl. forn. da emulsão e transp. comerciais da emulsão e da brita, inclus. lavagem da brita</v>
          </cell>
          <cell r="C201" t="str">
            <v>m²</v>
          </cell>
          <cell r="D201" t="str">
            <v>5,57</v>
          </cell>
          <cell r="E201">
            <v>0</v>
          </cell>
        </row>
        <row r="202">
          <cell r="A202">
            <v>40829</v>
          </cell>
          <cell r="B202" t="str">
            <v>T.S.B.D. sem capa selante inclusive fornecimento e transporte comercial dos materiais e lavagem da brita</v>
          </cell>
          <cell r="C202" t="str">
            <v>m²</v>
          </cell>
          <cell r="D202" t="str">
            <v>10,73</v>
          </cell>
          <cell r="E202" t="str">
            <v>A incluir</v>
          </cell>
        </row>
        <row r="203">
          <cell r="A203">
            <v>40824</v>
          </cell>
          <cell r="B203" t="str">
            <v>T.S.B.S. com capa selante exclusive fornecimento e transporte comercial da emulsão, inclusive lavagem e transporte comercial da brita</v>
          </cell>
          <cell r="C203" t="str">
            <v>m²</v>
          </cell>
          <cell r="D203" t="str">
            <v>3,70</v>
          </cell>
          <cell r="E203" t="str">
            <v>A incluir</v>
          </cell>
        </row>
        <row r="204">
          <cell r="A204">
            <v>40825</v>
          </cell>
          <cell r="B204" t="str">
            <v>T.S.B.S. com capa selante inclusive fornecimento e transporte comercial dos materiais e lavagem da brita</v>
          </cell>
          <cell r="C204" t="str">
            <v>m²</v>
          </cell>
          <cell r="D204" t="str">
            <v>5,67</v>
          </cell>
          <cell r="E204" t="str">
            <v>A incluir</v>
          </cell>
        </row>
        <row r="205">
          <cell r="A205">
            <v>40820</v>
          </cell>
          <cell r="B205" t="str">
            <v>T.S.B.S. exclusive fornecimento e transporte comercial do material betuminoso, inclusive fornecimento, transporte e lavagem da brita</v>
          </cell>
          <cell r="C205" t="str">
            <v>m²</v>
          </cell>
          <cell r="D205" t="str">
            <v>3,38</v>
          </cell>
          <cell r="E205" t="str">
            <v>A incluir</v>
          </cell>
        </row>
        <row r="206">
          <cell r="A206">
            <v>40821</v>
          </cell>
          <cell r="B206" t="str">
            <v>T.S.B.S. inclusive fornecimento e transporte comercial dos materiais e lavagem da brita</v>
          </cell>
          <cell r="C206" t="str">
            <v>m²</v>
          </cell>
          <cell r="D206" t="str">
            <v>5,35</v>
          </cell>
          <cell r="E206" t="str">
            <v>A incluir</v>
          </cell>
        </row>
        <row r="207">
          <cell r="A207">
            <v>40840</v>
          </cell>
          <cell r="B207" t="str">
            <v>Usinagem de concreto betuminoso usinado a quente (CBUQ), inclusive transporte comercial do oleo combustível</v>
          </cell>
          <cell r="C207" t="str">
            <v>t</v>
          </cell>
          <cell r="D207" t="str">
            <v>37,46</v>
          </cell>
          <cell r="E207" t="str">
            <v>A incluir</v>
          </cell>
        </row>
        <row r="208">
          <cell r="A208">
            <v>43331</v>
          </cell>
          <cell r="B208" t="str">
            <v>Usinagem de mistura de solo brita</v>
          </cell>
          <cell r="C208" t="str">
            <v>m³</v>
          </cell>
          <cell r="D208" t="str">
            <v>5,25</v>
          </cell>
          <cell r="E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 t="e">
            <v>#N/A</v>
          </cell>
        </row>
        <row r="210">
          <cell r="A210" t="str">
            <v>Grupo de Serviço: 3 - OBRAS DE ARTE CORRENTES E DRENAGEM</v>
          </cell>
          <cell r="B210">
            <v>0</v>
          </cell>
          <cell r="C210">
            <v>0</v>
          </cell>
          <cell r="D210">
            <v>0</v>
          </cell>
          <cell r="E210" t="e">
            <v>#N/A</v>
          </cell>
        </row>
        <row r="211">
          <cell r="A211">
            <v>100394</v>
          </cell>
          <cell r="B211" t="str">
            <v>Aço CA-25, fornecimento, dobragem e colocação nas formas</v>
          </cell>
          <cell r="C211" t="str">
            <v>kg</v>
          </cell>
          <cell r="D211" t="str">
            <v>8,33</v>
          </cell>
          <cell r="E211">
            <v>0</v>
          </cell>
        </row>
        <row r="212">
          <cell r="A212">
            <v>40376</v>
          </cell>
          <cell r="B212" t="str">
            <v>Aço CA-50, fornecimento, dobragem e colocação nas formas (preço médio das bitolas)</v>
          </cell>
          <cell r="C212" t="str">
            <v>kg</v>
          </cell>
          <cell r="D212" t="str">
            <v>8,14</v>
          </cell>
          <cell r="E212">
            <v>0</v>
          </cell>
        </row>
        <row r="213">
          <cell r="A213">
            <v>43351</v>
          </cell>
          <cell r="B213" t="str">
            <v>Aço CA-50 grossa, diâmetro de 12.5 a 25 mm, fornecimento, dobragem e colocação nas formas</v>
          </cell>
          <cell r="C213" t="str">
            <v>kg</v>
          </cell>
          <cell r="D213" t="str">
            <v>8,43</v>
          </cell>
          <cell r="E213">
            <v>0</v>
          </cell>
        </row>
        <row r="214">
          <cell r="A214">
            <v>43350</v>
          </cell>
          <cell r="B214" t="str">
            <v>Aço CA-50 média, diâmetro de 6.3 a 10 mm, fornecimento, dobragem e colocação nas formas</v>
          </cell>
          <cell r="C214" t="str">
            <v>kg</v>
          </cell>
          <cell r="D214" t="str">
            <v>7,79</v>
          </cell>
          <cell r="E214">
            <v>0</v>
          </cell>
        </row>
        <row r="215">
          <cell r="A215">
            <v>41261</v>
          </cell>
          <cell r="B215" t="str">
            <v>Aço CA-60 fina, diâmetro de 4.2 a 5.0 mm, fornecimento, dobragem e colocação nas formas</v>
          </cell>
          <cell r="C215" t="str">
            <v>kg</v>
          </cell>
          <cell r="D215" t="str">
            <v>7,59</v>
          </cell>
          <cell r="E215">
            <v>0</v>
          </cell>
        </row>
        <row r="216">
          <cell r="A216">
            <v>41023</v>
          </cell>
          <cell r="B216" t="str">
            <v>Aluguel mensal de escoramento tubular com tubos metálicos com até 10 metros de altura</v>
          </cell>
          <cell r="C216" t="str">
            <v>m</v>
          </cell>
          <cell r="D216" t="str">
            <v>123,01</v>
          </cell>
          <cell r="E216">
            <v>0</v>
          </cell>
        </row>
        <row r="217">
          <cell r="A217">
            <v>41575</v>
          </cell>
          <cell r="B217" t="str">
            <v>Alvenaria de bloco (39 x 19 x 09) cm espessura 09 cm, inclusive transporte da areia, cimento e bloco</v>
          </cell>
          <cell r="C217" t="str">
            <v>m²</v>
          </cell>
          <cell r="D217" t="str">
            <v>45,05</v>
          </cell>
          <cell r="E217" t="str">
            <v>A incluir</v>
          </cell>
        </row>
        <row r="218">
          <cell r="A218">
            <v>40346</v>
          </cell>
          <cell r="B218" t="str">
            <v>Alvenaria de bloco (39 x 19 x 19) cm espessura 19 cm, inclusive fornecimento e transporte do bloco, areia e cimento</v>
          </cell>
          <cell r="C218" t="str">
            <v>m²</v>
          </cell>
          <cell r="D218" t="str">
            <v>75,82</v>
          </cell>
          <cell r="E218" t="str">
            <v>A incluir</v>
          </cell>
        </row>
        <row r="219">
          <cell r="A219">
            <v>40345</v>
          </cell>
          <cell r="B219" t="str">
            <v>Alvenaria de lajota (20 x 20 x 10) cm espessura 10 cm, inclusive transporte de areia, lajota e cimento</v>
          </cell>
          <cell r="C219" t="str">
            <v>m²</v>
          </cell>
          <cell r="D219" t="str">
            <v>52,87</v>
          </cell>
          <cell r="E219" t="str">
            <v>A incluir</v>
          </cell>
        </row>
        <row r="220">
          <cell r="A220">
            <v>40343</v>
          </cell>
          <cell r="B220" t="str">
            <v>Alvenaria de pedra de mão argamassada (argamassa cimento areia 1:4), inclusive transporte da pedra</v>
          </cell>
          <cell r="C220" t="str">
            <v>m³</v>
          </cell>
          <cell r="D220" t="str">
            <v>304,64</v>
          </cell>
          <cell r="E220" t="str">
            <v>A incluir</v>
          </cell>
        </row>
        <row r="221">
          <cell r="A221">
            <v>40344</v>
          </cell>
          <cell r="B221" t="str">
            <v>Alvenaria de pedra de mão (junta seca), inclusive transporte da pedra</v>
          </cell>
          <cell r="C221" t="str">
            <v>m³</v>
          </cell>
          <cell r="D221" t="str">
            <v>205,26</v>
          </cell>
          <cell r="E221" t="str">
            <v>A incluir</v>
          </cell>
        </row>
        <row r="222">
          <cell r="A222">
            <v>41027</v>
          </cell>
          <cell r="B222" t="str">
            <v>Andaime de madeira para altura até 7 m, compreendendo montagem e desmontagem</v>
          </cell>
          <cell r="C222" t="str">
            <v>m³</v>
          </cell>
          <cell r="D222" t="str">
            <v>18,08</v>
          </cell>
          <cell r="E222">
            <v>0</v>
          </cell>
        </row>
        <row r="223">
          <cell r="A223">
            <v>40337</v>
          </cell>
          <cell r="B223" t="str">
            <v>Andaime suspenso em madeira, inclusive montagem e desmontagem</v>
          </cell>
          <cell r="C223" t="str">
            <v>m²</v>
          </cell>
          <cell r="D223" t="str">
            <v>109,58</v>
          </cell>
          <cell r="E223">
            <v>0</v>
          </cell>
        </row>
        <row r="224">
          <cell r="A224">
            <v>40395</v>
          </cell>
          <cell r="B224" t="str">
            <v>Apicoamento manual de superfície de concreto</v>
          </cell>
          <cell r="C224" t="str">
            <v>m²</v>
          </cell>
          <cell r="D224" t="str">
            <v>18,80</v>
          </cell>
          <cell r="E224">
            <v>0</v>
          </cell>
        </row>
        <row r="225">
          <cell r="A225">
            <v>40300</v>
          </cell>
          <cell r="B225" t="str">
            <v>Apiloamento manual</v>
          </cell>
          <cell r="C225" t="str">
            <v>m³</v>
          </cell>
          <cell r="D225" t="str">
            <v>39,51</v>
          </cell>
          <cell r="E225">
            <v>0</v>
          </cell>
        </row>
        <row r="226">
          <cell r="A226">
            <v>40348</v>
          </cell>
          <cell r="B226" t="str">
            <v>Argamassa cimento e areia traço 1:4, tudo incluído</v>
          </cell>
          <cell r="C226" t="str">
            <v>m³</v>
          </cell>
          <cell r="D226" t="str">
            <v>457,34</v>
          </cell>
          <cell r="E226" t="str">
            <v>A incluir</v>
          </cell>
        </row>
        <row r="227">
          <cell r="A227">
            <v>40347</v>
          </cell>
          <cell r="B227" t="str">
            <v>Argamassa cimento (nata), inclusive transporte de cimento</v>
          </cell>
          <cell r="C227" t="str">
            <v>m³</v>
          </cell>
          <cell r="D227" t="str">
            <v>949,56</v>
          </cell>
          <cell r="E227" t="str">
            <v>A incluir</v>
          </cell>
        </row>
        <row r="228">
          <cell r="A228">
            <v>41415</v>
          </cell>
          <cell r="B228" t="str">
            <v>Argamassa de cimento e areia, traço 1:4, consumo de cimento 400 kg/m³</v>
          </cell>
          <cell r="C228" t="str">
            <v>m³</v>
          </cell>
          <cell r="D228" t="str">
            <v>477,56</v>
          </cell>
          <cell r="E228" t="str">
            <v>A incluir</v>
          </cell>
        </row>
        <row r="229">
          <cell r="A229">
            <v>42257</v>
          </cell>
          <cell r="B229" t="str">
            <v>Aterro com areia, exceto fornecimento da areia</v>
          </cell>
          <cell r="C229" t="str">
            <v>m³</v>
          </cell>
          <cell r="D229" t="str">
            <v>5,57</v>
          </cell>
          <cell r="E229">
            <v>0</v>
          </cell>
        </row>
        <row r="230">
          <cell r="A230">
            <v>40519</v>
          </cell>
          <cell r="B230" t="str">
            <v>Berço de concreto ciclópico para BDTC diâmetro 0,60 m</v>
          </cell>
          <cell r="C230" t="str">
            <v>m</v>
          </cell>
          <cell r="D230" t="str">
            <v>240,45</v>
          </cell>
          <cell r="E230" t="str">
            <v>A incluir</v>
          </cell>
        </row>
        <row r="231">
          <cell r="A231">
            <v>40520</v>
          </cell>
          <cell r="B231" t="str">
            <v>Berço de concreto ciclópico para BDTC diâmetro 0,80 m</v>
          </cell>
          <cell r="C231" t="str">
            <v>m</v>
          </cell>
          <cell r="D231" t="str">
            <v>376,56</v>
          </cell>
          <cell r="E231" t="str">
            <v>A incluir</v>
          </cell>
        </row>
        <row r="232">
          <cell r="A232">
            <v>40521</v>
          </cell>
          <cell r="B232" t="str">
            <v>Berço de concreto ciclópico para BDTC diâmetro 1,00 m</v>
          </cell>
          <cell r="C232" t="str">
            <v>m</v>
          </cell>
          <cell r="D232" t="str">
            <v>542,63</v>
          </cell>
          <cell r="E232" t="str">
            <v>A incluir</v>
          </cell>
        </row>
        <row r="233">
          <cell r="A233">
            <v>40522</v>
          </cell>
          <cell r="B233" t="str">
            <v>Berço de concreto ciclópico para BDTC diâmetro 1,20 m</v>
          </cell>
          <cell r="C233" t="str">
            <v>m</v>
          </cell>
          <cell r="D233" t="str">
            <v>733,34</v>
          </cell>
          <cell r="E233" t="str">
            <v>A incluir</v>
          </cell>
        </row>
        <row r="234">
          <cell r="A234">
            <v>40523</v>
          </cell>
          <cell r="B234" t="str">
            <v>Berço de concreto ciclópico para BDTC diâmetro 1,50 m</v>
          </cell>
          <cell r="C234" t="str">
            <v>m</v>
          </cell>
          <cell r="D234" t="str">
            <v>1.060,01</v>
          </cell>
          <cell r="E234" t="str">
            <v>A incluir</v>
          </cell>
        </row>
        <row r="235">
          <cell r="A235">
            <v>40513</v>
          </cell>
          <cell r="B235" t="str">
            <v>Berço de concreto ciclópico para BSTC diâmetro 0,40 m</v>
          </cell>
          <cell r="C235" t="str">
            <v>m</v>
          </cell>
          <cell r="D235" t="str">
            <v>84,79</v>
          </cell>
          <cell r="E235" t="str">
            <v>A incluir</v>
          </cell>
        </row>
        <row r="236">
          <cell r="A236">
            <v>40514</v>
          </cell>
          <cell r="B236" t="str">
            <v>Berço de concreto ciclópico para BSTC diâmetro 0,60 m</v>
          </cell>
          <cell r="C236" t="str">
            <v>m</v>
          </cell>
          <cell r="D236" t="str">
            <v>142,72</v>
          </cell>
          <cell r="E236" t="str">
            <v>A incluir</v>
          </cell>
        </row>
        <row r="237">
          <cell r="A237">
            <v>40515</v>
          </cell>
          <cell r="B237" t="str">
            <v>Berço de concreto ciclópico para BSTC diâmetro 0,80 m</v>
          </cell>
          <cell r="C237" t="str">
            <v>m</v>
          </cell>
          <cell r="D237" t="str">
            <v>218,06</v>
          </cell>
          <cell r="E237" t="str">
            <v>A incluir</v>
          </cell>
        </row>
        <row r="238">
          <cell r="A238">
            <v>40516</v>
          </cell>
          <cell r="B238" t="str">
            <v>Berço de concreto ciclópico para BSTC diâmetro 1,00 m</v>
          </cell>
          <cell r="C238" t="str">
            <v>m</v>
          </cell>
          <cell r="D238" t="str">
            <v>308,16</v>
          </cell>
          <cell r="E238" t="str">
            <v>A incluir</v>
          </cell>
        </row>
        <row r="239">
          <cell r="A239">
            <v>40517</v>
          </cell>
          <cell r="B239" t="str">
            <v>Berço de concreto ciclópico para BSTC diâmetro 1,20 m</v>
          </cell>
          <cell r="C239" t="str">
            <v>m</v>
          </cell>
          <cell r="D239" t="str">
            <v>411,01</v>
          </cell>
          <cell r="E239" t="str">
            <v>A incluir</v>
          </cell>
        </row>
        <row r="240">
          <cell r="A240">
            <v>40518</v>
          </cell>
          <cell r="B240" t="str">
            <v>Berço de concreto ciclópico para BSTC diâmetro 1,50 m</v>
          </cell>
          <cell r="C240" t="str">
            <v>m</v>
          </cell>
          <cell r="D240" t="str">
            <v>584,94</v>
          </cell>
          <cell r="E240" t="str">
            <v>A incluir</v>
          </cell>
        </row>
        <row r="241">
          <cell r="A241">
            <v>40524</v>
          </cell>
          <cell r="B241" t="str">
            <v>Berço de concreto ciclópico para BTTC diâmetro 0,60 m</v>
          </cell>
          <cell r="C241" t="str">
            <v>m</v>
          </cell>
          <cell r="D241" t="str">
            <v>336,53</v>
          </cell>
          <cell r="E241" t="str">
            <v>A incluir</v>
          </cell>
        </row>
        <row r="242">
          <cell r="A242">
            <v>40525</v>
          </cell>
          <cell r="B242" t="str">
            <v>Berço de concreto ciclópico para BTTC diâmetro 0,80 m</v>
          </cell>
          <cell r="C242" t="str">
            <v>m</v>
          </cell>
          <cell r="D242" t="str">
            <v>535,87</v>
          </cell>
          <cell r="E242" t="str">
            <v>A incluir</v>
          </cell>
        </row>
        <row r="243">
          <cell r="A243">
            <v>40526</v>
          </cell>
          <cell r="B243" t="str">
            <v>Berço de concreto ciclópico para BTTC diâmetro 1,00 m</v>
          </cell>
          <cell r="C243" t="str">
            <v>m</v>
          </cell>
          <cell r="D243" t="str">
            <v>776,66</v>
          </cell>
          <cell r="E243" t="str">
            <v>A incluir</v>
          </cell>
        </row>
        <row r="244">
          <cell r="A244">
            <v>40527</v>
          </cell>
          <cell r="B244" t="str">
            <v>Berço de concreto ciclópico para BTTC diâmetro 1,20 m</v>
          </cell>
          <cell r="C244" t="str">
            <v>m</v>
          </cell>
          <cell r="D244" t="str">
            <v>1.055,66</v>
          </cell>
          <cell r="E244" t="str">
            <v>A incluir</v>
          </cell>
        </row>
        <row r="245">
          <cell r="A245">
            <v>40528</v>
          </cell>
          <cell r="B245" t="str">
            <v>Berço de concreto ciclópico para BTTC diâmetro 1,50 m</v>
          </cell>
          <cell r="C245" t="str">
            <v>m</v>
          </cell>
          <cell r="D245" t="str">
            <v>1.535,07</v>
          </cell>
          <cell r="E245" t="str">
            <v>A incluir</v>
          </cell>
        </row>
        <row r="246">
          <cell r="A246">
            <v>41177</v>
          </cell>
          <cell r="B246" t="str">
            <v>Berço em brita para BSTC diâm. -&gt; 1,00 m</v>
          </cell>
          <cell r="C246" t="str">
            <v>m</v>
          </cell>
          <cell r="D246" t="str">
            <v>34,15</v>
          </cell>
          <cell r="E246" t="str">
            <v>A incluir</v>
          </cell>
        </row>
        <row r="247">
          <cell r="A247">
            <v>100391</v>
          </cell>
          <cell r="B247" t="str">
            <v>Berço em brita para BSTC diâm. -&gt; 1,20 m</v>
          </cell>
          <cell r="C247" t="str">
            <v>m</v>
          </cell>
          <cell r="D247" t="str">
            <v>38,03</v>
          </cell>
          <cell r="E247" t="str">
            <v>A incluir</v>
          </cell>
        </row>
        <row r="248">
          <cell r="A248">
            <v>41172</v>
          </cell>
          <cell r="B248" t="str">
            <v>Berço em concreto ciclópico para BSTC diâm. -&gt; 0,30m</v>
          </cell>
          <cell r="C248" t="str">
            <v>m</v>
          </cell>
          <cell r="D248" t="str">
            <v>73,31</v>
          </cell>
          <cell r="E248" t="str">
            <v>A incluir</v>
          </cell>
        </row>
        <row r="249">
          <cell r="A249">
            <v>40620</v>
          </cell>
          <cell r="B249" t="str">
            <v>Boca de BDCC 1,50 x 1,50 m projeto DNIT</v>
          </cell>
          <cell r="C249" t="str">
            <v>un</v>
          </cell>
          <cell r="D249" t="str">
            <v>12.758,78</v>
          </cell>
          <cell r="E249">
            <v>0</v>
          </cell>
        </row>
        <row r="250">
          <cell r="A250">
            <v>40626</v>
          </cell>
          <cell r="B250" t="str">
            <v>Boca de BDCC 2,00 x 1,20 m conforme projeto</v>
          </cell>
          <cell r="C250" t="str">
            <v>un</v>
          </cell>
          <cell r="D250" t="str">
            <v>12.362,90</v>
          </cell>
          <cell r="E250">
            <v>0</v>
          </cell>
        </row>
        <row r="251">
          <cell r="A251">
            <v>40621</v>
          </cell>
          <cell r="B251" t="str">
            <v>Boca de BDCC 2,00 x 2,00 m projeto DNIT</v>
          </cell>
          <cell r="C251" t="str">
            <v>un</v>
          </cell>
          <cell r="D251" t="str">
            <v>19.456,99</v>
          </cell>
          <cell r="E251">
            <v>0</v>
          </cell>
        </row>
        <row r="252">
          <cell r="A252">
            <v>40622</v>
          </cell>
          <cell r="B252" t="str">
            <v>Boca de BDCC 2,00 x 3,00 m projeto DNIT</v>
          </cell>
          <cell r="C252" t="str">
            <v>un</v>
          </cell>
          <cell r="D252" t="str">
            <v>30.071,59</v>
          </cell>
          <cell r="E252">
            <v>0</v>
          </cell>
        </row>
        <row r="253">
          <cell r="A253">
            <v>40627</v>
          </cell>
          <cell r="B253" t="str">
            <v>Boca de BDCC 2,50 x 2,00 m conforme projeto</v>
          </cell>
          <cell r="C253" t="str">
            <v>un</v>
          </cell>
          <cell r="D253" t="str">
            <v>22.763,98</v>
          </cell>
          <cell r="E253">
            <v>0</v>
          </cell>
        </row>
        <row r="254">
          <cell r="A254">
            <v>40623</v>
          </cell>
          <cell r="B254" t="str">
            <v>Boca de BDCC 2,50 x 2,50 m projeto DNIT</v>
          </cell>
          <cell r="C254" t="str">
            <v>un</v>
          </cell>
          <cell r="D254" t="str">
            <v>27.009,90</v>
          </cell>
          <cell r="E254">
            <v>0</v>
          </cell>
        </row>
        <row r="255">
          <cell r="A255">
            <v>40624</v>
          </cell>
          <cell r="B255" t="str">
            <v>Boca de BDCC 2,50 x 3,00 m projeto DNIT</v>
          </cell>
          <cell r="C255" t="str">
            <v>un</v>
          </cell>
          <cell r="D255" t="str">
            <v>34.074,51</v>
          </cell>
          <cell r="E255">
            <v>0</v>
          </cell>
        </row>
        <row r="256">
          <cell r="A256">
            <v>40625</v>
          </cell>
          <cell r="B256" t="str">
            <v>Boca de BDCC 3,00 x 3,00 m projeto DNIT</v>
          </cell>
          <cell r="C256" t="str">
            <v>un</v>
          </cell>
          <cell r="D256" t="str">
            <v>38.345,61</v>
          </cell>
          <cell r="E256">
            <v>0</v>
          </cell>
        </row>
        <row r="257">
          <cell r="A257">
            <v>40613</v>
          </cell>
          <cell r="B257" t="str">
            <v>Boca de BSCC 1,50 x 1,50 m projeto DNIT</v>
          </cell>
          <cell r="C257" t="str">
            <v>un</v>
          </cell>
          <cell r="D257" t="str">
            <v>11.172,44</v>
          </cell>
          <cell r="E257">
            <v>0</v>
          </cell>
        </row>
        <row r="258">
          <cell r="A258">
            <v>40614</v>
          </cell>
          <cell r="B258" t="str">
            <v>Boca de BSCC 2,00 x 2,00 m projeto DNIT</v>
          </cell>
          <cell r="C258" t="str">
            <v>un</v>
          </cell>
          <cell r="D258" t="str">
            <v>17.102,48</v>
          </cell>
          <cell r="E258">
            <v>0</v>
          </cell>
        </row>
        <row r="259">
          <cell r="A259">
            <v>40615</v>
          </cell>
          <cell r="B259" t="str">
            <v>Boca de BSCC 2,00 x 3,00 m projeto DNIT</v>
          </cell>
          <cell r="C259" t="str">
            <v>un</v>
          </cell>
          <cell r="D259" t="str">
            <v>25.548,07</v>
          </cell>
          <cell r="E259">
            <v>0</v>
          </cell>
        </row>
        <row r="260">
          <cell r="A260">
            <v>40616</v>
          </cell>
          <cell r="B260" t="str">
            <v>Boca de BSCC 2,50 x 2,50 m projeto DNIT</v>
          </cell>
          <cell r="C260" t="str">
            <v>un</v>
          </cell>
          <cell r="D260" t="str">
            <v>22.513,33</v>
          </cell>
          <cell r="E260">
            <v>0</v>
          </cell>
        </row>
        <row r="261">
          <cell r="A261">
            <v>40617</v>
          </cell>
          <cell r="B261" t="str">
            <v>Boca de BSCC 2,50 x 3,00 m projeto DNIT</v>
          </cell>
          <cell r="C261" t="str">
            <v>un</v>
          </cell>
          <cell r="D261" t="str">
            <v>28.544,47</v>
          </cell>
          <cell r="E261">
            <v>0</v>
          </cell>
        </row>
        <row r="262">
          <cell r="A262">
            <v>40618</v>
          </cell>
          <cell r="B262" t="str">
            <v>Boca de BSCC 3,00 x 3,00 m projeto DNIT</v>
          </cell>
          <cell r="C262" t="str">
            <v>un</v>
          </cell>
          <cell r="D262" t="str">
            <v>32.061,76</v>
          </cell>
          <cell r="E262">
            <v>0</v>
          </cell>
        </row>
        <row r="263">
          <cell r="A263">
            <v>40629</v>
          </cell>
          <cell r="B263" t="str">
            <v>Boca de BTCC 1,50 x 1,50 m projeto DNIT</v>
          </cell>
          <cell r="C263" t="str">
            <v>un</v>
          </cell>
          <cell r="D263" t="str">
            <v>15.773,52</v>
          </cell>
          <cell r="E263">
            <v>0</v>
          </cell>
        </row>
        <row r="264">
          <cell r="A264">
            <v>40630</v>
          </cell>
          <cell r="B264" t="str">
            <v>Boca de BTCC 2,00 x 2,00 m projeto DNIT</v>
          </cell>
          <cell r="C264" t="str">
            <v>un</v>
          </cell>
          <cell r="D264" t="str">
            <v>23.752,90</v>
          </cell>
          <cell r="E264">
            <v>0</v>
          </cell>
        </row>
        <row r="265">
          <cell r="A265">
            <v>40631</v>
          </cell>
          <cell r="B265" t="str">
            <v>Boca de BTCC 2,00 x 3,00 m projeto DNIT</v>
          </cell>
          <cell r="C265" t="str">
            <v>un</v>
          </cell>
          <cell r="D265" t="str">
            <v>35.694,57</v>
          </cell>
          <cell r="E265">
            <v>0</v>
          </cell>
        </row>
        <row r="266">
          <cell r="A266">
            <v>40632</v>
          </cell>
          <cell r="B266" t="str">
            <v>Boca de BTCC 2,50 x 2,50 m projeto DNIT</v>
          </cell>
          <cell r="C266" t="str">
            <v>un</v>
          </cell>
          <cell r="D266" t="str">
            <v>32.966,78</v>
          </cell>
          <cell r="E266">
            <v>0</v>
          </cell>
        </row>
        <row r="267">
          <cell r="A267">
            <v>40633</v>
          </cell>
          <cell r="B267" t="str">
            <v>Boca de BTCC 2,50 x 3,00 m projeto DNIT</v>
          </cell>
          <cell r="C267" t="str">
            <v>un</v>
          </cell>
          <cell r="D267" t="str">
            <v>40.571,86</v>
          </cell>
          <cell r="E267">
            <v>0</v>
          </cell>
        </row>
        <row r="268">
          <cell r="A268">
            <v>40634</v>
          </cell>
          <cell r="B268" t="str">
            <v>Boca de BTCC 3,00 x 3,00 m projeto DNIT</v>
          </cell>
          <cell r="C268" t="str">
            <v>un</v>
          </cell>
          <cell r="D268" t="str">
            <v>46.023,10</v>
          </cell>
          <cell r="E268">
            <v>0</v>
          </cell>
        </row>
        <row r="269">
          <cell r="A269">
            <v>40535</v>
          </cell>
          <cell r="B269" t="str">
            <v>Boca de concreto ciclópico para BDTC diâmetro 0,60 m</v>
          </cell>
          <cell r="C269" t="str">
            <v>un</v>
          </cell>
          <cell r="D269" t="str">
            <v>1.226,37</v>
          </cell>
          <cell r="E269" t="str">
            <v>A incluir</v>
          </cell>
        </row>
        <row r="270">
          <cell r="A270">
            <v>40536</v>
          </cell>
          <cell r="B270" t="str">
            <v>Boca de concreto ciclópico para BDTC diâmetro 0,80 m</v>
          </cell>
          <cell r="C270" t="str">
            <v>un</v>
          </cell>
          <cell r="D270" t="str">
            <v>2.032,46</v>
          </cell>
          <cell r="E270" t="str">
            <v>A incluir</v>
          </cell>
        </row>
        <row r="271">
          <cell r="A271">
            <v>40537</v>
          </cell>
          <cell r="B271" t="str">
            <v>Boca de concreto ciclópico para BDTC diâmetro 1,00 m</v>
          </cell>
          <cell r="C271" t="str">
            <v>un</v>
          </cell>
          <cell r="D271" t="str">
            <v>3.759,30</v>
          </cell>
          <cell r="E271" t="str">
            <v>A incluir</v>
          </cell>
        </row>
        <row r="272">
          <cell r="A272">
            <v>40538</v>
          </cell>
          <cell r="B272" t="str">
            <v>Boca de concreto ciclópico para BDTC diâmetro 1,20 m</v>
          </cell>
          <cell r="C272" t="str">
            <v>un</v>
          </cell>
          <cell r="D272" t="str">
            <v>5.428,15</v>
          </cell>
          <cell r="E272" t="str">
            <v>A incluir</v>
          </cell>
        </row>
        <row r="273">
          <cell r="A273">
            <v>40539</v>
          </cell>
          <cell r="B273" t="str">
            <v>Boca de concreto ciclópico para BDTC diâmetro 1,50 m</v>
          </cell>
          <cell r="C273" t="str">
            <v>un</v>
          </cell>
          <cell r="D273" t="str">
            <v>9.539,69</v>
          </cell>
          <cell r="E273" t="str">
            <v>A incluir</v>
          </cell>
        </row>
        <row r="274">
          <cell r="A274">
            <v>40529</v>
          </cell>
          <cell r="B274" t="str">
            <v>Boca de concreto ciclópico para BSTC diâmetro 0,40 m</v>
          </cell>
          <cell r="C274" t="str">
            <v>un</v>
          </cell>
          <cell r="D274" t="str">
            <v>351,97</v>
          </cell>
          <cell r="E274" t="str">
            <v>A incluir</v>
          </cell>
        </row>
        <row r="275">
          <cell r="A275">
            <v>40530</v>
          </cell>
          <cell r="B275" t="str">
            <v>Boca de concreto ciclópico para BSTC diâmetro 0,60 m</v>
          </cell>
          <cell r="C275" t="str">
            <v>un</v>
          </cell>
          <cell r="D275" t="str">
            <v>1.061,07</v>
          </cell>
          <cell r="E275" t="str">
            <v>A incluir</v>
          </cell>
        </row>
        <row r="276">
          <cell r="A276">
            <v>40531</v>
          </cell>
          <cell r="B276" t="str">
            <v>Boca de concreto ciclópico para BSTC diâmetro 0,80 m</v>
          </cell>
          <cell r="C276" t="str">
            <v>un</v>
          </cell>
          <cell r="D276" t="str">
            <v>1.759,76</v>
          </cell>
          <cell r="E276" t="str">
            <v>A incluir</v>
          </cell>
        </row>
        <row r="277">
          <cell r="A277">
            <v>40532</v>
          </cell>
          <cell r="B277" t="str">
            <v>Boca de concreto ciclópico para BSTC diâmetro 1,00 m</v>
          </cell>
          <cell r="C277" t="str">
            <v>un</v>
          </cell>
          <cell r="D277" t="str">
            <v>2.701,43</v>
          </cell>
          <cell r="E277" t="str">
            <v>A incluir</v>
          </cell>
        </row>
        <row r="278">
          <cell r="A278">
            <v>40533</v>
          </cell>
          <cell r="B278" t="str">
            <v>Boca de concreto ciclópico para BSTC diâmetro 1,20 m</v>
          </cell>
          <cell r="C278" t="str">
            <v>un</v>
          </cell>
          <cell r="D278" t="str">
            <v>3.889,63</v>
          </cell>
          <cell r="E278" t="str">
            <v>A incluir</v>
          </cell>
        </row>
        <row r="279">
          <cell r="A279">
            <v>40534</v>
          </cell>
          <cell r="B279" t="str">
            <v>Boca de concreto ciclópico para BSTC diâmetro 1,50 m</v>
          </cell>
          <cell r="C279" t="str">
            <v>un</v>
          </cell>
          <cell r="D279" t="str">
            <v>7.005,34</v>
          </cell>
          <cell r="E279" t="str">
            <v>A incluir</v>
          </cell>
        </row>
        <row r="280">
          <cell r="A280">
            <v>40540</v>
          </cell>
          <cell r="B280" t="str">
            <v>Boca de concreto ciclópico para BTTC diâmetro 0,60 m</v>
          </cell>
          <cell r="C280" t="str">
            <v>un</v>
          </cell>
          <cell r="D280" t="str">
            <v>1.530,51</v>
          </cell>
          <cell r="E280" t="str">
            <v>A incluir</v>
          </cell>
        </row>
        <row r="281">
          <cell r="A281">
            <v>40541</v>
          </cell>
          <cell r="B281" t="str">
            <v>Boca de concreto ciclópico para BTTC diâmetro 0,80 m</v>
          </cell>
          <cell r="C281" t="str">
            <v>un</v>
          </cell>
          <cell r="D281" t="str">
            <v>2.495,09</v>
          </cell>
          <cell r="E281" t="str">
            <v>A incluir</v>
          </cell>
        </row>
        <row r="282">
          <cell r="A282">
            <v>40542</v>
          </cell>
          <cell r="B282" t="str">
            <v>Boca de concreto ciclópico para BTTC diâmetro 1,00 m</v>
          </cell>
          <cell r="C282" t="str">
            <v>un</v>
          </cell>
          <cell r="D282" t="str">
            <v>4.817,18</v>
          </cell>
          <cell r="E282" t="str">
            <v>A incluir</v>
          </cell>
        </row>
        <row r="283">
          <cell r="A283">
            <v>40543</v>
          </cell>
          <cell r="B283" t="str">
            <v>Boca de concreto ciclópico para BTTC diâmetro 1,20 m</v>
          </cell>
          <cell r="C283" t="str">
            <v>un</v>
          </cell>
          <cell r="D283" t="str">
            <v>6.965,87</v>
          </cell>
          <cell r="E283" t="str">
            <v>A incluir</v>
          </cell>
        </row>
        <row r="284">
          <cell r="A284">
            <v>40544</v>
          </cell>
          <cell r="B284" t="str">
            <v>Boca de concreto ciclópico para BTTC diâmetro 1,50 m</v>
          </cell>
          <cell r="C284" t="str">
            <v>un</v>
          </cell>
          <cell r="D284" t="str">
            <v>12.120,58</v>
          </cell>
          <cell r="E284" t="str">
            <v>A incluir</v>
          </cell>
        </row>
        <row r="285">
          <cell r="A285">
            <v>40565</v>
          </cell>
          <cell r="B285" t="str">
            <v>Boca de lobo simples</v>
          </cell>
          <cell r="C285" t="str">
            <v>un</v>
          </cell>
          <cell r="D285" t="str">
            <v>2.747,52</v>
          </cell>
          <cell r="E285">
            <v>0</v>
          </cell>
        </row>
        <row r="286">
          <cell r="A286">
            <v>40656</v>
          </cell>
          <cell r="B286" t="str">
            <v>Boca de saída de dreno profundo BSD-01</v>
          </cell>
          <cell r="C286" t="str">
            <v>un</v>
          </cell>
          <cell r="D286" t="str">
            <v>223,83</v>
          </cell>
          <cell r="E286" t="str">
            <v>A incluir</v>
          </cell>
        </row>
        <row r="287">
          <cell r="A287">
            <v>41102</v>
          </cell>
          <cell r="B287" t="str">
            <v>BSCC (pré-moldado) 1,50 x 1,50 x 1,00m CL 45t, inclusive transporte do Anel de Bueiro Celular Pré-moldado</v>
          </cell>
          <cell r="C287" t="str">
            <v>m</v>
          </cell>
          <cell r="D287" t="str">
            <v>4.207,99</v>
          </cell>
          <cell r="E287" t="str">
            <v>A incluir</v>
          </cell>
        </row>
        <row r="288">
          <cell r="A288">
            <v>41103</v>
          </cell>
          <cell r="B288" t="str">
            <v>BSCC (pré-moldado) 2,00 x 2,00 x 1,00m CL 45t, inclusive transporte de Anel de Bueiro Celular Pré-moldado</v>
          </cell>
          <cell r="C288" t="str">
            <v>m</v>
          </cell>
          <cell r="D288" t="str">
            <v>5.626,65</v>
          </cell>
          <cell r="E288" t="str">
            <v>A incluir</v>
          </cell>
        </row>
        <row r="289">
          <cell r="A289">
            <v>41104</v>
          </cell>
          <cell r="B289" t="str">
            <v>BSCC (pré-moldado) 2,50 x 2,50 x 1,00m CL 45t, inclusive transporte de Anel de Bueiro Celular Pré-moldado</v>
          </cell>
          <cell r="C289" t="str">
            <v>m</v>
          </cell>
          <cell r="D289" t="str">
            <v>5.940,74</v>
          </cell>
          <cell r="E289" t="str">
            <v>A incluir</v>
          </cell>
        </row>
        <row r="290">
          <cell r="A290">
            <v>41155</v>
          </cell>
          <cell r="B290" t="str">
            <v>BSCC (pré-moldado) 3,00 x 3,00 x 1,00m CL 45t, inclusive transporte de Anel de Bueiro Celular Pré-moldado</v>
          </cell>
          <cell r="C290" t="str">
            <v>m</v>
          </cell>
          <cell r="D290" t="str">
            <v>7.926,62</v>
          </cell>
          <cell r="E290" t="str">
            <v>A incluir</v>
          </cell>
        </row>
        <row r="291">
          <cell r="A291">
            <v>40635</v>
          </cell>
          <cell r="B291" t="str">
            <v>Bueiro Metálico BSTM - D -&gt; 3,00 m - T.L. com tratamento epóxi e -&gt; 2,7 mm - método não destrutivo</v>
          </cell>
          <cell r="C291" t="str">
            <v>m</v>
          </cell>
          <cell r="D291" t="str">
            <v>8.931,85</v>
          </cell>
          <cell r="E291" t="str">
            <v>A incluir</v>
          </cell>
        </row>
        <row r="292">
          <cell r="A292">
            <v>42230</v>
          </cell>
          <cell r="B292" t="str">
            <v>Bueiro Metálico BSTM - D-&gt;3,05m - MP-152 com tratamento epóxi e-&gt;2,7mm - método destrutivo, inclusive lastro de brita</v>
          </cell>
          <cell r="C292" t="str">
            <v>m</v>
          </cell>
          <cell r="D292" t="str">
            <v>6.095,90</v>
          </cell>
          <cell r="E292" t="str">
            <v>A incluir</v>
          </cell>
        </row>
        <row r="293">
          <cell r="A293">
            <v>40658</v>
          </cell>
          <cell r="B293" t="str">
            <v>Caiação de meio fios, sarjetas, etc</v>
          </cell>
          <cell r="C293" t="str">
            <v>m²</v>
          </cell>
          <cell r="D293" t="str">
            <v>4,84</v>
          </cell>
          <cell r="E293">
            <v>0</v>
          </cell>
        </row>
        <row r="294">
          <cell r="A294">
            <v>41161</v>
          </cell>
          <cell r="B294" t="str">
            <v>Caixa Boca de Lobo em bloco pré-moldado 1,20 x 1,20m</v>
          </cell>
          <cell r="C294" t="str">
            <v>un</v>
          </cell>
          <cell r="D294" t="str">
            <v>3.850,15</v>
          </cell>
          <cell r="E294">
            <v>0</v>
          </cell>
        </row>
        <row r="295">
          <cell r="A295">
            <v>40563</v>
          </cell>
          <cell r="B295" t="str">
            <v>Caixa coletora concreto armado H-&gt; 2,00 m, inclusive escavação</v>
          </cell>
          <cell r="C295" t="str">
            <v>un</v>
          </cell>
          <cell r="D295" t="str">
            <v>4.040,03</v>
          </cell>
          <cell r="E295">
            <v>0</v>
          </cell>
        </row>
        <row r="296">
          <cell r="A296">
            <v>40564</v>
          </cell>
          <cell r="B296" t="str">
            <v>Caixa coletora concreto armado H-&gt; 2,50 m, inclusive escavação</v>
          </cell>
          <cell r="C296" t="str">
            <v>un</v>
          </cell>
          <cell r="D296" t="str">
            <v>4.964,76</v>
          </cell>
          <cell r="E296">
            <v>0</v>
          </cell>
        </row>
        <row r="297">
          <cell r="A297">
            <v>41333</v>
          </cell>
          <cell r="B297" t="str">
            <v>Caixa coletora em bloco pré-moldado para d-&gt;0,60m (1,00 x 1,00m)</v>
          </cell>
          <cell r="C297" t="str">
            <v>un</v>
          </cell>
          <cell r="D297" t="str">
            <v>1.938,42</v>
          </cell>
          <cell r="E297" t="str">
            <v>A incluir</v>
          </cell>
        </row>
        <row r="298">
          <cell r="A298">
            <v>40545</v>
          </cell>
          <cell r="B298" t="str">
            <v>Caixa de concreto para BSTC diâmetro 0,40 m H-&gt;1,60 m</v>
          </cell>
          <cell r="C298" t="str">
            <v>un</v>
          </cell>
          <cell r="D298" t="str">
            <v>1.879,82</v>
          </cell>
          <cell r="E298" t="str">
            <v>A incluir</v>
          </cell>
        </row>
        <row r="299">
          <cell r="A299">
            <v>40546</v>
          </cell>
          <cell r="B299" t="str">
            <v>Caixa de concreto para BSTC diâmetro 0,60 m H-&gt;2,00 m</v>
          </cell>
          <cell r="C299" t="str">
            <v>un</v>
          </cell>
          <cell r="D299" t="str">
            <v>2.922,18</v>
          </cell>
          <cell r="E299" t="str">
            <v>A incluir</v>
          </cell>
        </row>
        <row r="300">
          <cell r="A300">
            <v>40547</v>
          </cell>
          <cell r="B300" t="str">
            <v>Caixa de concreto para BSTC diâmetro 0,80 m H-&gt;2,50 m</v>
          </cell>
          <cell r="C300" t="str">
            <v>un</v>
          </cell>
          <cell r="D300" t="str">
            <v>3.626,24</v>
          </cell>
          <cell r="E300" t="str">
            <v>A incluir</v>
          </cell>
        </row>
        <row r="301">
          <cell r="A301">
            <v>40548</v>
          </cell>
          <cell r="B301" t="str">
            <v>Caixa de concreto para BSTC diâmetro 1,00 m H-&gt;3,00 m</v>
          </cell>
          <cell r="C301" t="str">
            <v>un</v>
          </cell>
          <cell r="D301" t="str">
            <v>4.307,29</v>
          </cell>
          <cell r="E301" t="str">
            <v>A incluir</v>
          </cell>
        </row>
        <row r="302">
          <cell r="A302">
            <v>40549</v>
          </cell>
          <cell r="B302" t="str">
            <v>Caixa de passagem para tubos de D-&gt;0,40 m H-&gt;1,10 m</v>
          </cell>
          <cell r="C302" t="str">
            <v>un</v>
          </cell>
          <cell r="D302" t="str">
            <v>1.246,52</v>
          </cell>
          <cell r="E302">
            <v>0</v>
          </cell>
        </row>
        <row r="303">
          <cell r="A303">
            <v>40550</v>
          </cell>
          <cell r="B303" t="str">
            <v>Caixa de passagem para tubos de D-&gt;0,60 m H-&gt;1,30 m</v>
          </cell>
          <cell r="C303" t="str">
            <v>un</v>
          </cell>
          <cell r="D303" t="str">
            <v>1.571,69</v>
          </cell>
          <cell r="E303">
            <v>0</v>
          </cell>
        </row>
        <row r="304">
          <cell r="A304">
            <v>40551</v>
          </cell>
          <cell r="B304" t="str">
            <v>Caixa de passagem para tubos de D-&gt;0,80 m H-&gt;1,50 m</v>
          </cell>
          <cell r="C304" t="str">
            <v>un</v>
          </cell>
          <cell r="D304" t="str">
            <v>1.974,22</v>
          </cell>
          <cell r="E304">
            <v>0</v>
          </cell>
        </row>
        <row r="305">
          <cell r="A305">
            <v>40552</v>
          </cell>
          <cell r="B305" t="str">
            <v>Caixa de passagem para tubos de D-&gt;1,00 m H-&gt;1,80 m</v>
          </cell>
          <cell r="C305" t="str">
            <v>un</v>
          </cell>
          <cell r="D305" t="str">
            <v>3.131,40</v>
          </cell>
          <cell r="E305">
            <v>0</v>
          </cell>
        </row>
        <row r="306">
          <cell r="A306">
            <v>41320</v>
          </cell>
          <cell r="B306" t="str">
            <v>Caixa de passagem (2,50 x 2,50m)</v>
          </cell>
          <cell r="C306" t="str">
            <v>un</v>
          </cell>
          <cell r="D306" t="str">
            <v>6.897,61</v>
          </cell>
          <cell r="E306" t="str">
            <v>A incluir</v>
          </cell>
        </row>
        <row r="307">
          <cell r="A307">
            <v>41184</v>
          </cell>
          <cell r="B307" t="str">
            <v>Caixa para rede de dutos, dimensões 100 x 100 x 100 cm</v>
          </cell>
          <cell r="C307" t="str">
            <v>m</v>
          </cell>
          <cell r="D307" t="str">
            <v>1.138,03</v>
          </cell>
          <cell r="E307">
            <v>0</v>
          </cell>
        </row>
        <row r="308">
          <cell r="A308">
            <v>41338</v>
          </cell>
          <cell r="B308" t="str">
            <v>Caixa para rede de dutos, dimensões 60 x 60 x 60 cm</v>
          </cell>
          <cell r="C308" t="str">
            <v>un</v>
          </cell>
          <cell r="D308" t="str">
            <v>521,56</v>
          </cell>
          <cell r="E308">
            <v>0</v>
          </cell>
        </row>
        <row r="309">
          <cell r="A309">
            <v>40561</v>
          </cell>
          <cell r="B309" t="str">
            <v>Caixa ralo de elementos pré-moldados em concreto (tudo incluído)</v>
          </cell>
          <cell r="C309" t="str">
            <v>un</v>
          </cell>
          <cell r="D309" t="str">
            <v>675,35</v>
          </cell>
          <cell r="E309" t="str">
            <v>A incluir</v>
          </cell>
        </row>
        <row r="310">
          <cell r="A310">
            <v>40672</v>
          </cell>
          <cell r="B310" t="str">
            <v>Canaleta com grelha DP-1, inclusive transporte da grelha</v>
          </cell>
          <cell r="C310" t="str">
            <v>m</v>
          </cell>
          <cell r="D310" t="str">
            <v>558,32</v>
          </cell>
          <cell r="E310" t="str">
            <v>A incluir</v>
          </cell>
        </row>
        <row r="311">
          <cell r="A311">
            <v>40703</v>
          </cell>
          <cell r="B311" t="str">
            <v>Canaleta de concreto, com forma retangular inclusive caiação - parede 12 cm</v>
          </cell>
          <cell r="C311" t="str">
            <v>m</v>
          </cell>
          <cell r="D311" t="str">
            <v>187,89</v>
          </cell>
          <cell r="E311">
            <v>0</v>
          </cell>
        </row>
        <row r="312">
          <cell r="A312">
            <v>40671</v>
          </cell>
          <cell r="B312" t="str">
            <v>Canaleta de concreto retangular (0,130m³/m) inclusive caiação</v>
          </cell>
          <cell r="C312" t="str">
            <v>m</v>
          </cell>
          <cell r="D312" t="str">
            <v>232,85</v>
          </cell>
          <cell r="E312">
            <v>0</v>
          </cell>
        </row>
        <row r="313">
          <cell r="A313">
            <v>41016</v>
          </cell>
          <cell r="B313" t="str">
            <v>Canaleta de concreto (0,130m³/m) forma trapezoidal inclusive caiação</v>
          </cell>
          <cell r="C313" t="str">
            <v>m</v>
          </cell>
          <cell r="D313" t="str">
            <v>170,21</v>
          </cell>
          <cell r="E313" t="str">
            <v>A incluir</v>
          </cell>
        </row>
        <row r="314">
          <cell r="A314">
            <v>40952</v>
          </cell>
          <cell r="B314" t="str">
            <v>Cerca de tela de arame galvanizado h -&gt; 1,20 m</v>
          </cell>
          <cell r="C314" t="str">
            <v>m²</v>
          </cell>
          <cell r="D314" t="str">
            <v>28,31</v>
          </cell>
          <cell r="E314">
            <v>0</v>
          </cell>
        </row>
        <row r="315">
          <cell r="A315">
            <v>40953</v>
          </cell>
          <cell r="B315" t="str">
            <v>Cerca de tela galvanizada fio 12 malha 3"x3", com altura de 1,80 m</v>
          </cell>
          <cell r="C315" t="str">
            <v>m</v>
          </cell>
          <cell r="D315" t="str">
            <v>67,93</v>
          </cell>
          <cell r="E315" t="str">
            <v>A incluir</v>
          </cell>
        </row>
        <row r="316">
          <cell r="A316">
            <v>40708</v>
          </cell>
          <cell r="B316" t="str">
            <v>Cerca em tela revestida em PVC com mourões de concreto, 10 x 10 x 2,40 m, fornecimento e execução</v>
          </cell>
          <cell r="C316" t="str">
            <v>m²</v>
          </cell>
          <cell r="D316" t="str">
            <v>68,25</v>
          </cell>
          <cell r="E316">
            <v>0</v>
          </cell>
        </row>
        <row r="317">
          <cell r="A317">
            <v>40377</v>
          </cell>
          <cell r="B317" t="str">
            <v>Chapisco com argamassa de cimento e areia no traço 1:3</v>
          </cell>
          <cell r="C317" t="str">
            <v>m²</v>
          </cell>
          <cell r="D317" t="str">
            <v>5,06</v>
          </cell>
          <cell r="E317">
            <v>0</v>
          </cell>
        </row>
        <row r="318">
          <cell r="A318">
            <v>40378</v>
          </cell>
          <cell r="B318" t="str">
            <v>Chapisco com argamassa de cimento e pedrisco no traço 1:4</v>
          </cell>
          <cell r="C318" t="str">
            <v>m²</v>
          </cell>
          <cell r="D318" t="str">
            <v>7,80</v>
          </cell>
          <cell r="E318">
            <v>0</v>
          </cell>
        </row>
        <row r="319">
          <cell r="A319">
            <v>41389</v>
          </cell>
          <cell r="B319" t="str">
            <v>Colchão drenante de areia para fundação de aterros, exclusive o fornecimento de areia</v>
          </cell>
          <cell r="C319" t="str">
            <v>m³</v>
          </cell>
          <cell r="D319" t="str">
            <v>4,10</v>
          </cell>
          <cell r="E319">
            <v>0</v>
          </cell>
        </row>
        <row r="320">
          <cell r="A320">
            <v>40715</v>
          </cell>
          <cell r="B320" t="str">
            <v>Colchão drenante de areia para fundação de aterros, inclusive fornecimento e transporte da areia</v>
          </cell>
          <cell r="C320" t="str">
            <v>m³</v>
          </cell>
          <cell r="D320" t="str">
            <v>77,02</v>
          </cell>
          <cell r="E320" t="str">
            <v>A incluir</v>
          </cell>
        </row>
        <row r="321">
          <cell r="A321">
            <v>40716</v>
          </cell>
          <cell r="B321" t="str">
            <v>Colchão drenante de brita 1 inclusive fornecimento, espalhamento, compactação e transporte da brita</v>
          </cell>
          <cell r="C321" t="str">
            <v>m³</v>
          </cell>
          <cell r="D321" t="str">
            <v>94,97</v>
          </cell>
          <cell r="E321" t="str">
            <v>A incluir</v>
          </cell>
        </row>
        <row r="322">
          <cell r="A322">
            <v>40717</v>
          </cell>
          <cell r="B322" t="str">
            <v>Colchão drenante de brita 2 inclusive fornecimento, espalhamento, compactação e transporte da brita</v>
          </cell>
          <cell r="C322" t="str">
            <v>m³</v>
          </cell>
          <cell r="D322" t="str">
            <v>92,25</v>
          </cell>
          <cell r="E322" t="str">
            <v>A incluir</v>
          </cell>
        </row>
        <row r="323">
          <cell r="A323">
            <v>40718</v>
          </cell>
          <cell r="B323" t="str">
            <v>Colchão drenante de brita 3 inclusive fornecimento, espalhamento, compactação e transporte da brita</v>
          </cell>
          <cell r="C323" t="str">
            <v>m³</v>
          </cell>
          <cell r="D323" t="str">
            <v>100,15</v>
          </cell>
          <cell r="E323" t="str">
            <v>A incluir</v>
          </cell>
        </row>
        <row r="324">
          <cell r="A324">
            <v>40652</v>
          </cell>
          <cell r="B324" t="str">
            <v>Coleta drenante (1,00x1,00) m c/ geotêxtil não tecido RT 16kn/m, inclusive transporte da brita</v>
          </cell>
          <cell r="C324" t="str">
            <v>m</v>
          </cell>
          <cell r="D324" t="str">
            <v>303,02</v>
          </cell>
          <cell r="E324" t="str">
            <v>A incluir</v>
          </cell>
        </row>
        <row r="325">
          <cell r="A325">
            <v>41090</v>
          </cell>
          <cell r="B325" t="str">
            <v>Concreto armado, dosado para resist. 20 Mpa, incluindo 60kg aço CA-50A, mão de obra p/ corte, dobragem e montagem, exclusive forma</v>
          </cell>
          <cell r="C325" t="str">
            <v>m³</v>
          </cell>
          <cell r="D325" t="str">
            <v>793,41</v>
          </cell>
          <cell r="E325">
            <v>0</v>
          </cell>
        </row>
        <row r="326">
          <cell r="A326">
            <v>40350</v>
          </cell>
          <cell r="B326" t="str">
            <v>Concreto ciclópico com 70% concreto 10,0 MPa e 30% de pedra de mão, tudo incluído</v>
          </cell>
          <cell r="C326" t="str">
            <v>m³</v>
          </cell>
          <cell r="D326" t="str">
            <v>372,02</v>
          </cell>
          <cell r="E326" t="str">
            <v>A incluir</v>
          </cell>
        </row>
        <row r="327">
          <cell r="A327">
            <v>40351</v>
          </cell>
          <cell r="B327" t="str">
            <v>Concreto ciclópico com 70% concreto 15,0 MPa e 30% de pedra de mão, tudo incluído</v>
          </cell>
          <cell r="C327" t="str">
            <v>m³</v>
          </cell>
          <cell r="D327" t="str">
            <v>410,60</v>
          </cell>
          <cell r="E327" t="str">
            <v>A incluir</v>
          </cell>
        </row>
        <row r="328">
          <cell r="A328">
            <v>40353</v>
          </cell>
          <cell r="B328" t="str">
            <v>Concreto ciclópico com 70% concreto 20,0 MPa e 30% de pedra de mão, tudo incluído</v>
          </cell>
          <cell r="C328" t="str">
            <v>m³</v>
          </cell>
          <cell r="D328" t="str">
            <v>429,91</v>
          </cell>
          <cell r="E328" t="str">
            <v>A incluir</v>
          </cell>
        </row>
        <row r="329">
          <cell r="A329">
            <v>40383</v>
          </cell>
          <cell r="B329" t="str">
            <v>Concreto de Cim.Port. com equip peq.porte (custo SICRO/DNIT)</v>
          </cell>
          <cell r="C329" t="str">
            <v>m³</v>
          </cell>
          <cell r="D329" t="str">
            <v>449,85</v>
          </cell>
          <cell r="E329">
            <v>0</v>
          </cell>
        </row>
        <row r="330">
          <cell r="A330">
            <v>40349</v>
          </cell>
          <cell r="B330" t="str">
            <v>Concreto de regularização, tudo incluído</v>
          </cell>
          <cell r="C330" t="str">
            <v>m³</v>
          </cell>
          <cell r="D330" t="str">
            <v>399,48</v>
          </cell>
          <cell r="E330" t="str">
            <v>A incluir</v>
          </cell>
        </row>
        <row r="331">
          <cell r="A331">
            <v>40358</v>
          </cell>
          <cell r="B331" t="str">
            <v>Concreto estrutural fck -&gt; 15,0 MPa, tudo incluído</v>
          </cell>
          <cell r="C331" t="str">
            <v>m³</v>
          </cell>
          <cell r="D331" t="str">
            <v>544,99</v>
          </cell>
          <cell r="E331" t="str">
            <v>A incluir</v>
          </cell>
        </row>
        <row r="332">
          <cell r="A332">
            <v>40361</v>
          </cell>
          <cell r="B332" t="str">
            <v>Concreto estrutural fck -&gt; 20,0 MPa com plastificante, tudo incluído</v>
          </cell>
          <cell r="C332" t="str">
            <v>m³</v>
          </cell>
          <cell r="D332" t="str">
            <v>574,76</v>
          </cell>
          <cell r="E332" t="str">
            <v>A incluir</v>
          </cell>
        </row>
        <row r="333">
          <cell r="A333">
            <v>40360</v>
          </cell>
          <cell r="B333" t="str">
            <v>Concreto estrutural fck -&gt; 20,0 MPa, tudo incluído</v>
          </cell>
          <cell r="C333" t="str">
            <v>m³</v>
          </cell>
          <cell r="D333" t="str">
            <v>572,58</v>
          </cell>
          <cell r="E333" t="str">
            <v>A incluir</v>
          </cell>
        </row>
        <row r="334">
          <cell r="A334">
            <v>40363</v>
          </cell>
          <cell r="B334" t="str">
            <v>Concreto estrutural fck -&gt; 25,0 MPa com plastificante, tudo incluído</v>
          </cell>
          <cell r="C334" t="str">
            <v>m³</v>
          </cell>
          <cell r="D334" t="str">
            <v>604,37</v>
          </cell>
          <cell r="E334" t="str">
            <v>A incluir</v>
          </cell>
        </row>
        <row r="335">
          <cell r="A335">
            <v>40362</v>
          </cell>
          <cell r="B335" t="str">
            <v>Concreto estrutural fck -&gt; 25,0 MPa, inclusive fornecimento e transporte do cimento, areia e pedra britada</v>
          </cell>
          <cell r="C335" t="str">
            <v>m³</v>
          </cell>
          <cell r="D335" t="str">
            <v>601,93</v>
          </cell>
          <cell r="E335" t="str">
            <v>A incluir</v>
          </cell>
        </row>
        <row r="336">
          <cell r="A336">
            <v>40368</v>
          </cell>
          <cell r="B336" t="str">
            <v>Concreto estrutural fck -&gt; 30,0 MPa com micro-silica e Sikacrete BR ou equivalente</v>
          </cell>
          <cell r="C336" t="str">
            <v>m³</v>
          </cell>
          <cell r="D336" t="str">
            <v>744,76</v>
          </cell>
          <cell r="E336" t="str">
            <v>A incluir</v>
          </cell>
        </row>
        <row r="337">
          <cell r="A337">
            <v>40365</v>
          </cell>
          <cell r="B337" t="str">
            <v>Concreto estrutural fck -&gt; 30,0 MPa com plastificante</v>
          </cell>
          <cell r="C337" t="str">
            <v>m³</v>
          </cell>
          <cell r="D337" t="str">
            <v>631,63</v>
          </cell>
          <cell r="E337" t="str">
            <v>A incluir</v>
          </cell>
        </row>
        <row r="338">
          <cell r="A338">
            <v>40364</v>
          </cell>
          <cell r="B338" t="str">
            <v>Concreto estrutural fck -&gt; 30,0 MPa, tudo incluído</v>
          </cell>
          <cell r="C338" t="str">
            <v>m³</v>
          </cell>
          <cell r="D338" t="str">
            <v>628,95</v>
          </cell>
          <cell r="E338" t="str">
            <v>A incluir</v>
          </cell>
        </row>
        <row r="339">
          <cell r="A339">
            <v>40369</v>
          </cell>
          <cell r="B339" t="str">
            <v>Concreto estrutural fck -&gt; 35,0 MPa com micro-silica e Sikacrete BR ou equivalente</v>
          </cell>
          <cell r="C339" t="str">
            <v>m³</v>
          </cell>
          <cell r="D339" t="str">
            <v>784,49</v>
          </cell>
          <cell r="E339" t="str">
            <v>A incluir</v>
          </cell>
        </row>
        <row r="340">
          <cell r="A340">
            <v>40371</v>
          </cell>
          <cell r="B340" t="str">
            <v>Concreto submerso fck -&gt; 20,0 MPa, tudo incluído</v>
          </cell>
          <cell r="C340" t="str">
            <v>m³</v>
          </cell>
          <cell r="D340" t="str">
            <v>1.111,71</v>
          </cell>
          <cell r="E340" t="str">
            <v>A incluir</v>
          </cell>
        </row>
        <row r="341">
          <cell r="A341">
            <v>41205</v>
          </cell>
          <cell r="B341" t="str">
            <v>Conjunto Moto-bomba submersível de 15CV, fornecimento e assentamento</v>
          </cell>
          <cell r="C341" t="str">
            <v>un</v>
          </cell>
          <cell r="D341" t="str">
            <v>32.264,69</v>
          </cell>
          <cell r="E341">
            <v>0</v>
          </cell>
        </row>
        <row r="342">
          <cell r="A342">
            <v>40467</v>
          </cell>
          <cell r="B342" t="str">
            <v>Corpo BDTC (grota) diâmetro 0,60 m CA-1 MF exclusive escavação e reaterro, inclusive transporte do tubo</v>
          </cell>
          <cell r="C342" t="str">
            <v>m</v>
          </cell>
          <cell r="D342" t="str">
            <v>275,01</v>
          </cell>
          <cell r="E342" t="str">
            <v>A incluir</v>
          </cell>
        </row>
        <row r="343">
          <cell r="A343">
            <v>40468</v>
          </cell>
          <cell r="B343" t="str">
            <v>Corpo BDTC (grota) diâmetro 0,60 m CA-1 PB exclusive escavação e reaterro, inclusive transporte do tubo</v>
          </cell>
          <cell r="C343" t="str">
            <v>m</v>
          </cell>
          <cell r="D343" t="str">
            <v>285,45</v>
          </cell>
          <cell r="E343" t="str">
            <v>A incluir</v>
          </cell>
        </row>
        <row r="344">
          <cell r="A344">
            <v>40469</v>
          </cell>
          <cell r="B344" t="str">
            <v>Corpo BDTC (grota) diâmetro 0,60 m CA-2 MF exclusive escavação e reaterro, inclusive transporte do tubo</v>
          </cell>
          <cell r="C344" t="str">
            <v>m</v>
          </cell>
          <cell r="D344" t="str">
            <v>278,89</v>
          </cell>
          <cell r="E344" t="str">
            <v>A incluir</v>
          </cell>
        </row>
        <row r="345">
          <cell r="A345">
            <v>40470</v>
          </cell>
          <cell r="B345" t="str">
            <v>Corpo BDTC (grota) diâmetro 0,60 m CA-2 PB exclusive escavação e reaterro, inclusive transporte do tubo</v>
          </cell>
          <cell r="C345" t="str">
            <v>m</v>
          </cell>
          <cell r="D345" t="str">
            <v>285,58</v>
          </cell>
          <cell r="E345" t="str">
            <v>A incluir</v>
          </cell>
        </row>
        <row r="346">
          <cell r="A346">
            <v>40471</v>
          </cell>
          <cell r="B346" t="str">
            <v>Corpo BDTC (grota) diâmetro 0,80 m CA-1 MF exclusive escavação e reaterro, inclusive transporte do tubo</v>
          </cell>
          <cell r="C346" t="str">
            <v>m</v>
          </cell>
          <cell r="D346" t="str">
            <v>571,90</v>
          </cell>
          <cell r="E346" t="str">
            <v>A incluir</v>
          </cell>
        </row>
        <row r="347">
          <cell r="A347">
            <v>40472</v>
          </cell>
          <cell r="B347" t="str">
            <v>Corpo BDTC (grota) diâmetro 0,80 m CA-1 PB exclusive escavação e reaterro, inclusive transporte do tubo</v>
          </cell>
          <cell r="C347" t="str">
            <v>m</v>
          </cell>
          <cell r="D347" t="str">
            <v>585,46</v>
          </cell>
          <cell r="E347" t="str">
            <v>A incluir</v>
          </cell>
        </row>
        <row r="348">
          <cell r="A348">
            <v>40473</v>
          </cell>
          <cell r="B348" t="str">
            <v>Corpo BDTC (grota) diâmetro 0,80 m CA-2 MF exclusive escavação e reaterro, inclusive transporte do tubo</v>
          </cell>
          <cell r="C348" t="str">
            <v>m</v>
          </cell>
          <cell r="D348" t="str">
            <v>591,34</v>
          </cell>
          <cell r="E348" t="str">
            <v>A incluir</v>
          </cell>
        </row>
        <row r="349">
          <cell r="A349">
            <v>40474</v>
          </cell>
          <cell r="B349" t="str">
            <v>Corpo BDTC (grota) diâmetro 0,80 m CA-2 PB exclusive escavação e reaterro, inclusive transporte do tubo</v>
          </cell>
          <cell r="C349" t="str">
            <v>m</v>
          </cell>
          <cell r="D349" t="str">
            <v>619,29</v>
          </cell>
          <cell r="E349" t="str">
            <v>A incluir</v>
          </cell>
        </row>
        <row r="350">
          <cell r="A350">
            <v>40475</v>
          </cell>
          <cell r="B350" t="str">
            <v>Corpo BDTC (grota) diâmetro 1,00 m CA-1 MF exclusive escavação e reaterro, inclusive transporte do tubo</v>
          </cell>
          <cell r="C350" t="str">
            <v>m</v>
          </cell>
          <cell r="D350" t="str">
            <v>731,45</v>
          </cell>
          <cell r="E350" t="str">
            <v>A incluir</v>
          </cell>
        </row>
        <row r="351">
          <cell r="A351">
            <v>40476</v>
          </cell>
          <cell r="B351" t="str">
            <v>Corpo BDTC (grota) diâmetro 1,00 m CA-1 PB exclusive escavação e reaterro, inclusive transporte do tubo</v>
          </cell>
          <cell r="C351" t="str">
            <v>m</v>
          </cell>
          <cell r="D351" t="str">
            <v>748,35</v>
          </cell>
          <cell r="E351" t="str">
            <v>A incluir</v>
          </cell>
        </row>
        <row r="352">
          <cell r="A352">
            <v>40477</v>
          </cell>
          <cell r="B352" t="str">
            <v>Corpo BDTC (grota) diâmetro 1,00 m CA-2 MF exclusive escavação e reaterro, inclusive transporte do tubo</v>
          </cell>
          <cell r="C352" t="str">
            <v>m</v>
          </cell>
          <cell r="D352" t="str">
            <v>757,37</v>
          </cell>
          <cell r="E352" t="str">
            <v>A incluir</v>
          </cell>
        </row>
        <row r="353">
          <cell r="A353">
            <v>40478</v>
          </cell>
          <cell r="B353" t="str">
            <v>Corpo BDTC (grota) diâmetro 1,00 m CA-2 PB exclusive escavação e reaterro, inclusive transporte do tubo</v>
          </cell>
          <cell r="C353" t="str">
            <v>m</v>
          </cell>
          <cell r="D353" t="str">
            <v>788,48</v>
          </cell>
          <cell r="E353" t="str">
            <v>A incluir</v>
          </cell>
        </row>
        <row r="354">
          <cell r="A354">
            <v>40479</v>
          </cell>
          <cell r="B354" t="str">
            <v>Corpo BDTC (grota) diâmetro 1,00 m CA-3 MF exclusive escavação e reaterro, inclusive transporte do tubo</v>
          </cell>
          <cell r="C354" t="str">
            <v>m</v>
          </cell>
          <cell r="D354" t="str">
            <v>828,67</v>
          </cell>
          <cell r="E354" t="str">
            <v>A incluir</v>
          </cell>
        </row>
        <row r="355">
          <cell r="A355">
            <v>40480</v>
          </cell>
          <cell r="B355" t="str">
            <v>Corpo BDTC (grota) diâmetro 1,20 m CA-1 MF exclusive escavação e reaterro, inclusive transporte do tubo</v>
          </cell>
          <cell r="C355" t="str">
            <v>m</v>
          </cell>
          <cell r="D355" t="str">
            <v>1.086,36</v>
          </cell>
          <cell r="E355" t="str">
            <v>A incluir</v>
          </cell>
        </row>
        <row r="356">
          <cell r="A356">
            <v>40481</v>
          </cell>
          <cell r="B356" t="str">
            <v>Corpo BDTC (grota) diâmetro 1,20 m CA-1 PB exclusive escavação e reaterro, inclusive transporte do tubo</v>
          </cell>
          <cell r="C356" t="str">
            <v>m</v>
          </cell>
          <cell r="D356" t="str">
            <v>1.118,33</v>
          </cell>
          <cell r="E356" t="str">
            <v>A incluir</v>
          </cell>
        </row>
        <row r="357">
          <cell r="A357">
            <v>40482</v>
          </cell>
          <cell r="B357" t="str">
            <v>Corpo BDTC (grota) diâmetro 1,20 m CA-2 MF exclusive escavação e reaterro, inclusive transporte do tubo</v>
          </cell>
          <cell r="C357" t="str">
            <v>m</v>
          </cell>
          <cell r="D357" t="str">
            <v>1.125,25</v>
          </cell>
          <cell r="E357" t="str">
            <v>A incluir</v>
          </cell>
        </row>
        <row r="358">
          <cell r="A358">
            <v>40483</v>
          </cell>
          <cell r="B358" t="str">
            <v>Corpo BDTC (grota) diâmetro 1,20 m CA-2 PB exclusive escavação e reaterro, inclusive transporte do tubo</v>
          </cell>
          <cell r="C358" t="str">
            <v>m</v>
          </cell>
          <cell r="D358" t="str">
            <v>1.191,36</v>
          </cell>
          <cell r="E358" t="str">
            <v>A incluir</v>
          </cell>
        </row>
        <row r="359">
          <cell r="A359">
            <v>40484</v>
          </cell>
          <cell r="B359" t="str">
            <v>Corpo BDTC (grota) diâmetro 1,20 m CA-3 MF exclusive escavação e reaterro, inclusive transporte do tubo</v>
          </cell>
          <cell r="C359" t="str">
            <v>m</v>
          </cell>
          <cell r="D359" t="str">
            <v>1.157,66</v>
          </cell>
          <cell r="E359" t="str">
            <v>A incluir</v>
          </cell>
        </row>
        <row r="360">
          <cell r="A360">
            <v>40485</v>
          </cell>
          <cell r="B360" t="str">
            <v>Corpo BDTC (grota) diâmetro 1,50 m CA-1 MF exclusive escavação e reaterro, inclusive transporte do tubo</v>
          </cell>
          <cell r="C360" t="str">
            <v>m</v>
          </cell>
          <cell r="D360" t="str">
            <v>1.815,07</v>
          </cell>
          <cell r="E360" t="str">
            <v>A incluir</v>
          </cell>
        </row>
        <row r="361">
          <cell r="A361">
            <v>40486</v>
          </cell>
          <cell r="B361" t="str">
            <v>Corpo BDTC (grota) diâmetro 1,50 m CA-1 PB exclusive escavação e reaterro, inclusive transporte do tubo</v>
          </cell>
          <cell r="C361" t="str">
            <v>m</v>
          </cell>
          <cell r="D361" t="str">
            <v>1.587,76</v>
          </cell>
          <cell r="E361" t="str">
            <v>A incluir</v>
          </cell>
        </row>
        <row r="362">
          <cell r="A362">
            <v>40487</v>
          </cell>
          <cell r="B362" t="str">
            <v>Corpo BDTC (grota) diâmetro 1,50 m CA-2 MF exclusive escavação e reaterro, inclusive transporte do tubo</v>
          </cell>
          <cell r="C362" t="str">
            <v>m</v>
          </cell>
          <cell r="D362" t="str">
            <v>1.892,85</v>
          </cell>
          <cell r="E362" t="str">
            <v>A incluir</v>
          </cell>
        </row>
        <row r="363">
          <cell r="A363">
            <v>40488</v>
          </cell>
          <cell r="B363" t="str">
            <v>Corpo BDTC (grota) diâmetro 1,50 m CA-2 PB exclusive escavação e reaterro, inclusive transporte do tubo</v>
          </cell>
          <cell r="C363" t="str">
            <v>m</v>
          </cell>
          <cell r="D363" t="str">
            <v>1.686,95</v>
          </cell>
          <cell r="E363" t="str">
            <v>A incluir</v>
          </cell>
        </row>
        <row r="364">
          <cell r="A364">
            <v>40489</v>
          </cell>
          <cell r="B364" t="str">
            <v>Corpo BDTC (grota) diâmetro 1,50 m CA-3 MF exclusive escavação e reaterro, inclusive transporte do tubo</v>
          </cell>
          <cell r="C364" t="str">
            <v>m</v>
          </cell>
          <cell r="D364" t="str">
            <v>1.452,11</v>
          </cell>
          <cell r="E364" t="str">
            <v>A incluir</v>
          </cell>
        </row>
        <row r="365">
          <cell r="A365">
            <v>40417</v>
          </cell>
          <cell r="B365" t="str">
            <v>Corpo BSTC diâmetro 0,20 m C.S. MF inclusive escavação, reaterro e transporte do tubo</v>
          </cell>
          <cell r="C365" t="str">
            <v>m</v>
          </cell>
          <cell r="D365" t="str">
            <v>80,66</v>
          </cell>
          <cell r="E365" t="str">
            <v>A incluir</v>
          </cell>
        </row>
        <row r="366">
          <cell r="A366">
            <v>40418</v>
          </cell>
          <cell r="B366" t="str">
            <v>Corpo BSTC diâmetro 0,20 m C.S. PB inclusive escavação, reaterro e transporte do tubo</v>
          </cell>
          <cell r="C366" t="str">
            <v>m</v>
          </cell>
          <cell r="D366" t="str">
            <v>80,66</v>
          </cell>
          <cell r="E366" t="str">
            <v>A incluir</v>
          </cell>
        </row>
        <row r="367">
          <cell r="A367">
            <v>40419</v>
          </cell>
          <cell r="B367" t="str">
            <v>Corpo BSTC diâmetro 0,30 m C.S. MF inclusive escavação, reaterro e transporte do tubo</v>
          </cell>
          <cell r="C367" t="str">
            <v>m</v>
          </cell>
          <cell r="D367" t="str">
            <v>101,30</v>
          </cell>
          <cell r="E367" t="str">
            <v>A incluir</v>
          </cell>
        </row>
        <row r="368">
          <cell r="A368">
            <v>40420</v>
          </cell>
          <cell r="B368" t="str">
            <v>Corpo BSTC diâmetro 0,30 m C.S. PB inclusive escavação, reaterro e transporte do tubo</v>
          </cell>
          <cell r="C368" t="str">
            <v>m</v>
          </cell>
          <cell r="D368" t="str">
            <v>104,67</v>
          </cell>
          <cell r="E368" t="str">
            <v>A incluir</v>
          </cell>
        </row>
        <row r="369">
          <cell r="A369">
            <v>40422</v>
          </cell>
          <cell r="B369" t="str">
            <v>Corpo BSTC diâmetro 0,40 m C.S. MF inclusive escavação, reaterro e transporte do tubo</v>
          </cell>
          <cell r="C369" t="str">
            <v>m</v>
          </cell>
          <cell r="D369" t="str">
            <v>134,40</v>
          </cell>
          <cell r="E369" t="str">
            <v>A incluir</v>
          </cell>
        </row>
        <row r="370">
          <cell r="A370">
            <v>40423</v>
          </cell>
          <cell r="B370" t="str">
            <v>Corpo BSTC diâmetro 0,40 m C.S. PB inclusive escavação, reaterro e transporte do tubo</v>
          </cell>
          <cell r="C370" t="str">
            <v>m</v>
          </cell>
          <cell r="D370" t="str">
            <v>137,55</v>
          </cell>
          <cell r="E370" t="str">
            <v>A incluir</v>
          </cell>
        </row>
        <row r="371">
          <cell r="A371">
            <v>40426</v>
          </cell>
          <cell r="B371" t="str">
            <v>Corpo BSTC diâmetro 0,60 m C.S. MF inclusive escavação, reaterro e transporte do tubo</v>
          </cell>
          <cell r="C371" t="str">
            <v>m</v>
          </cell>
          <cell r="D371" t="str">
            <v>219,16</v>
          </cell>
          <cell r="E371" t="str">
            <v>A incluir</v>
          </cell>
        </row>
        <row r="372">
          <cell r="A372">
            <v>40427</v>
          </cell>
          <cell r="B372" t="str">
            <v>Corpo BSTC diâmetro 0,60 m C.S. PB inclusive escavação, reaterro e transporte do tubo</v>
          </cell>
          <cell r="C372" t="str">
            <v>m</v>
          </cell>
          <cell r="D372" t="str">
            <v>224,16</v>
          </cell>
          <cell r="E372" t="str">
            <v>A incluir</v>
          </cell>
        </row>
        <row r="373">
          <cell r="A373">
            <v>40421</v>
          </cell>
          <cell r="B373" t="str">
            <v>Corpo BSTC (greide) diâmetro 0,30 m CA-1 MF inclusive escavação, reaterro e transporte do tubo</v>
          </cell>
          <cell r="C373" t="str">
            <v>m</v>
          </cell>
          <cell r="D373" t="str">
            <v>103,89</v>
          </cell>
          <cell r="E373" t="str">
            <v>A incluir</v>
          </cell>
        </row>
        <row r="374">
          <cell r="A374">
            <v>40424</v>
          </cell>
          <cell r="B374" t="str">
            <v>Corpo BSTC (greide) diâmetro 0,40 m CA-1 MF inclusive escavação, reaterro e transporte do tubo</v>
          </cell>
          <cell r="C374" t="str">
            <v>m</v>
          </cell>
          <cell r="D374" t="str">
            <v>143,47</v>
          </cell>
          <cell r="E374" t="str">
            <v>A incluir</v>
          </cell>
        </row>
        <row r="375">
          <cell r="A375">
            <v>40425</v>
          </cell>
          <cell r="B375" t="str">
            <v>Corpo BSTC (greide) diâmetro 0,40 m CA-2 MF inclusive escavação, reaterro e transporte do tubo</v>
          </cell>
          <cell r="C375" t="str">
            <v>m</v>
          </cell>
          <cell r="D375" t="str">
            <v>148,65</v>
          </cell>
          <cell r="E375" t="str">
            <v>A incluir</v>
          </cell>
        </row>
        <row r="376">
          <cell r="A376">
            <v>40428</v>
          </cell>
          <cell r="B376" t="str">
            <v>Corpo BSTC (greide) diâmetro 0,60 m CA-1 MF inclusive escavação, reaterro e transporte do tubo</v>
          </cell>
          <cell r="C376" t="str">
            <v>m</v>
          </cell>
          <cell r="D376" t="str">
            <v>223,70</v>
          </cell>
          <cell r="E376" t="str">
            <v>A incluir</v>
          </cell>
        </row>
        <row r="377">
          <cell r="A377">
            <v>40429</v>
          </cell>
          <cell r="B377" t="str">
            <v>Corpo BSTC (greide) diâmetro 0,60 m CA-1 PB inclusive escavação, reaterro e transporte do tubo</v>
          </cell>
          <cell r="C377" t="str">
            <v>m</v>
          </cell>
          <cell r="D377" t="str">
            <v>228,92</v>
          </cell>
          <cell r="E377" t="str">
            <v>A incluir</v>
          </cell>
        </row>
        <row r="378">
          <cell r="A378">
            <v>40430</v>
          </cell>
          <cell r="B378" t="str">
            <v>Corpo BSTC (greide) diâmetro 0,60 m CA-2 MF inclusive escavação, reaterro e transporte do tubo</v>
          </cell>
          <cell r="C378" t="str">
            <v>m</v>
          </cell>
          <cell r="D378" t="str">
            <v>225,64</v>
          </cell>
          <cell r="E378" t="str">
            <v>A incluir</v>
          </cell>
        </row>
        <row r="379">
          <cell r="A379">
            <v>40431</v>
          </cell>
          <cell r="B379" t="str">
            <v>Corpo BSTC (greide) diâmetro 0,60 m CA-2 PB inclusive escavação, reaterro e transporte do tubo</v>
          </cell>
          <cell r="C379" t="str">
            <v>m</v>
          </cell>
          <cell r="D379" t="str">
            <v>228,99</v>
          </cell>
          <cell r="E379" t="str">
            <v>A incluir</v>
          </cell>
        </row>
        <row r="380">
          <cell r="A380">
            <v>40432</v>
          </cell>
          <cell r="B380" t="str">
            <v>Corpo BSTC (greide) diâmetro 0,80 m CA-1 MF inclusive escavação, reaterro e transporte do tubo</v>
          </cell>
          <cell r="C380" t="str">
            <v>m</v>
          </cell>
          <cell r="D380" t="str">
            <v>440,35</v>
          </cell>
          <cell r="E380" t="str">
            <v>A incluir</v>
          </cell>
        </row>
        <row r="381">
          <cell r="A381">
            <v>40433</v>
          </cell>
          <cell r="B381" t="str">
            <v>Corpo BSTC (greide) diâmetro 0,80 m CA-1 PB inclusive escavação, reaterro e transporte do tubo</v>
          </cell>
          <cell r="C381" t="str">
            <v>m</v>
          </cell>
          <cell r="D381" t="str">
            <v>447,13</v>
          </cell>
          <cell r="E381" t="str">
            <v>A incluir</v>
          </cell>
        </row>
        <row r="382">
          <cell r="A382">
            <v>40434</v>
          </cell>
          <cell r="B382" t="str">
            <v>Corpo BSTC (greide) diâmetro 0,80 m CA-2 MF inclusive escavação, reaterro e transporte do tubo</v>
          </cell>
          <cell r="C382" t="str">
            <v>m</v>
          </cell>
          <cell r="D382" t="str">
            <v>450,07</v>
          </cell>
          <cell r="E382" t="str">
            <v>A incluir</v>
          </cell>
        </row>
        <row r="383">
          <cell r="A383">
            <v>40435</v>
          </cell>
          <cell r="B383" t="str">
            <v>Corpo BSTC (greide) diâmetro 0,80 m CA-2 PB inclusive escavação, reaterro e transporte do tubo</v>
          </cell>
          <cell r="C383" t="str">
            <v>m</v>
          </cell>
          <cell r="D383" t="str">
            <v>464,04</v>
          </cell>
          <cell r="E383" t="str">
            <v>A incluir</v>
          </cell>
        </row>
        <row r="384">
          <cell r="A384">
            <v>40436</v>
          </cell>
          <cell r="B384" t="str">
            <v>Corpo BSTC (greide) diâmetro 1,00 m CA-1 MF inclusive escavação, reaterro e transporte do tubo</v>
          </cell>
          <cell r="C384" t="str">
            <v>m</v>
          </cell>
          <cell r="D384" t="str">
            <v>592,91</v>
          </cell>
          <cell r="E384" t="str">
            <v>A incluir</v>
          </cell>
        </row>
        <row r="385">
          <cell r="A385">
            <v>40437</v>
          </cell>
          <cell r="B385" t="str">
            <v>Corpo BSTC (greide) diâmetro 1,00 m CA-1 PB inclusive escavação, reaterro e transporte do tubo</v>
          </cell>
          <cell r="C385" t="str">
            <v>m</v>
          </cell>
          <cell r="D385" t="str">
            <v>601,36</v>
          </cell>
          <cell r="E385" t="str">
            <v>A incluir</v>
          </cell>
        </row>
        <row r="386">
          <cell r="A386">
            <v>40438</v>
          </cell>
          <cell r="B386" t="str">
            <v>Corpo BSTC (greide) diâmetro 1,00 m CA-2 MF inclusive escavação, reaterro e transporte do tubo</v>
          </cell>
          <cell r="C386" t="str">
            <v>m</v>
          </cell>
          <cell r="D386" t="str">
            <v>605,87</v>
          </cell>
          <cell r="E386" t="str">
            <v>A incluir</v>
          </cell>
        </row>
        <row r="387">
          <cell r="A387">
            <v>40439</v>
          </cell>
          <cell r="B387" t="str">
            <v>Corpo BSTC (greide) diâmetro 1,00 m CA-2 PB inclusive escavação, reaterro e transporte do tubo</v>
          </cell>
          <cell r="C387" t="str">
            <v>m</v>
          </cell>
          <cell r="D387" t="str">
            <v>621,43</v>
          </cell>
          <cell r="E387" t="str">
            <v>A incluir</v>
          </cell>
        </row>
        <row r="388">
          <cell r="A388">
            <v>40440</v>
          </cell>
          <cell r="B388" t="str">
            <v>Corpo BSTC (greide) diâmetro 1,20 m CA-1 MF inclusive escavação, reaterro e transporte do tubo</v>
          </cell>
          <cell r="C388" t="str">
            <v>m</v>
          </cell>
          <cell r="D388" t="str">
            <v>841,32</v>
          </cell>
          <cell r="E388" t="str">
            <v>A incluir</v>
          </cell>
        </row>
        <row r="389">
          <cell r="A389">
            <v>40441</v>
          </cell>
          <cell r="B389" t="str">
            <v>Corpo BSTC (greide) diâmetro 1,20 m CA-1 PB inclusive escavação, reaterro e transporte do tubo</v>
          </cell>
          <cell r="C389" t="str">
            <v>m</v>
          </cell>
          <cell r="D389" t="str">
            <v>857,30</v>
          </cell>
          <cell r="E389" t="str">
            <v>A incluir</v>
          </cell>
        </row>
        <row r="390">
          <cell r="A390">
            <v>40442</v>
          </cell>
          <cell r="B390" t="str">
            <v>Corpo BSTC (greide) diâmetro 1,20 m CA-2 MF inclusive escavação, reaterro e transporte do tubo</v>
          </cell>
          <cell r="C390" t="str">
            <v>m</v>
          </cell>
          <cell r="D390" t="str">
            <v>860,76</v>
          </cell>
          <cell r="E390" t="str">
            <v>A incluir</v>
          </cell>
        </row>
        <row r="391">
          <cell r="A391">
            <v>40443</v>
          </cell>
          <cell r="B391" t="str">
            <v>Corpo BSTC (greide) diâmetro 1,20 m CA-2 PB inclusive escavação, reaterro e transporte do tubo</v>
          </cell>
          <cell r="C391" t="str">
            <v>m</v>
          </cell>
          <cell r="D391" t="str">
            <v>893,82</v>
          </cell>
          <cell r="E391" t="str">
            <v>A incluir</v>
          </cell>
        </row>
        <row r="392">
          <cell r="A392">
            <v>40444</v>
          </cell>
          <cell r="B392" t="str">
            <v>Corpo BSTC (grota) diâmetro 0,60 m CA-1 MF exclusive escavação e reaterro, inclusive transporte do tubo</v>
          </cell>
          <cell r="C392" t="str">
            <v>m</v>
          </cell>
          <cell r="D392" t="str">
            <v>138,79</v>
          </cell>
          <cell r="E392" t="str">
            <v>A incluir</v>
          </cell>
        </row>
        <row r="393">
          <cell r="A393">
            <v>40445</v>
          </cell>
          <cell r="B393" t="str">
            <v>Corpo BSTC (grota) diâmetro 0,60 m CA-1 PB exclusive escavação e reaterro, inclusive transporte do tubo</v>
          </cell>
          <cell r="C393" t="str">
            <v>m</v>
          </cell>
          <cell r="D393" t="str">
            <v>144,01</v>
          </cell>
          <cell r="E393" t="str">
            <v>A incluir</v>
          </cell>
        </row>
        <row r="394">
          <cell r="A394">
            <v>40446</v>
          </cell>
          <cell r="B394" t="str">
            <v>Corpo BSTC (grota) diâmetro 0,60 m CA-2 MF exclusive escavação e reaterro, inclusive transporte do tubo</v>
          </cell>
          <cell r="C394" t="str">
            <v>m</v>
          </cell>
          <cell r="D394" t="str">
            <v>140,73</v>
          </cell>
          <cell r="E394" t="str">
            <v>A incluir</v>
          </cell>
        </row>
        <row r="395">
          <cell r="A395">
            <v>40447</v>
          </cell>
          <cell r="B395" t="str">
            <v>Corpo BSTC (grota) diâmetro 0,60 m CA-2 PB exclusive escavação e reaterro, inclusive transporte do tubo</v>
          </cell>
          <cell r="C395" t="str">
            <v>m</v>
          </cell>
          <cell r="D395" t="str">
            <v>144,08</v>
          </cell>
          <cell r="E395" t="str">
            <v>A incluir</v>
          </cell>
        </row>
        <row r="396">
          <cell r="A396">
            <v>40448</v>
          </cell>
          <cell r="B396" t="str">
            <v>Corpo BSTC (grota) diâmetro 0,80 m CA-1 MF exclusive escavação e reaterro, inclusive transporte do tubo</v>
          </cell>
          <cell r="C396" t="str">
            <v>m</v>
          </cell>
          <cell r="D396" t="str">
            <v>320,48</v>
          </cell>
          <cell r="E396" t="str">
            <v>A incluir</v>
          </cell>
        </row>
        <row r="397">
          <cell r="A397">
            <v>40449</v>
          </cell>
          <cell r="B397" t="str">
            <v>Corpo BSTC (grota) diâmetro 0,80 m CA-1 PB exclusive escavação e reaterro, inclusive transporte do tubo</v>
          </cell>
          <cell r="C397" t="str">
            <v>m</v>
          </cell>
          <cell r="D397" t="str">
            <v>327,26</v>
          </cell>
          <cell r="E397" t="str">
            <v>A incluir</v>
          </cell>
        </row>
        <row r="398">
          <cell r="A398">
            <v>40450</v>
          </cell>
          <cell r="B398" t="str">
            <v>Corpo BSTC (grota) diâmetro 0,80 m CA-2 MF exclusive escavação e reaterro, inclusive transporte do tubo</v>
          </cell>
          <cell r="C398" t="str">
            <v>m</v>
          </cell>
          <cell r="D398" t="str">
            <v>330,20</v>
          </cell>
          <cell r="E398" t="str">
            <v>A incluir</v>
          </cell>
        </row>
        <row r="399">
          <cell r="A399">
            <v>40451</v>
          </cell>
          <cell r="B399" t="str">
            <v>Corpo BSTC (grota) diâmetro 0,80 m CA-2 PB exclusive escavação e reaterro, inclusive transporte do tubo</v>
          </cell>
          <cell r="C399" t="str">
            <v>m</v>
          </cell>
          <cell r="D399" t="str">
            <v>344,18</v>
          </cell>
          <cell r="E399" t="str">
            <v>A incluir</v>
          </cell>
        </row>
        <row r="400">
          <cell r="A400">
            <v>40452</v>
          </cell>
          <cell r="B400" t="str">
            <v>Corpo BSTC (grota) diâmetro 1,00 m CA-1 MF exclusive escavação e reaterro, inclusive transporte do tubo</v>
          </cell>
          <cell r="C400" t="str">
            <v>m</v>
          </cell>
          <cell r="D400" t="str">
            <v>399,54</v>
          </cell>
          <cell r="E400" t="str">
            <v>A incluir</v>
          </cell>
        </row>
        <row r="401">
          <cell r="A401">
            <v>40453</v>
          </cell>
          <cell r="B401" t="str">
            <v>Corpo BSTC (grota) diâmetro 1,00 m CA-1 PB exclusive escavação e reaterro, inclusive transporte do tubo</v>
          </cell>
          <cell r="C401" t="str">
            <v>m</v>
          </cell>
          <cell r="D401" t="str">
            <v>407,99</v>
          </cell>
          <cell r="E401" t="str">
            <v>A incluir</v>
          </cell>
        </row>
        <row r="402">
          <cell r="A402">
            <v>40454</v>
          </cell>
          <cell r="B402" t="str">
            <v>Corpo BSTC (grota) diâmetro 1,00 m CA-2 MF exclusive escavação e reaterro, inclusive transporte do tubo</v>
          </cell>
          <cell r="C402" t="str">
            <v>m</v>
          </cell>
          <cell r="D402" t="str">
            <v>412,50</v>
          </cell>
          <cell r="E402" t="str">
            <v>A incluir</v>
          </cell>
        </row>
        <row r="403">
          <cell r="A403">
            <v>40455</v>
          </cell>
          <cell r="B403" t="str">
            <v>Corpo BSTC (grota) diâmetro 1,00 m CA-2 PB exclusive escavação e reaterro, inclusive transporte do tubo</v>
          </cell>
          <cell r="C403" t="str">
            <v>m</v>
          </cell>
          <cell r="D403" t="str">
            <v>428,06</v>
          </cell>
          <cell r="E403" t="str">
            <v>A incluir</v>
          </cell>
        </row>
        <row r="404">
          <cell r="A404">
            <v>40456</v>
          </cell>
          <cell r="B404" t="str">
            <v>Corpo BSTC (grota) diâmetro 1,00 m CA-3 MF exclusive escavação e reaterro, inclusive transporte do tubo</v>
          </cell>
          <cell r="C404" t="str">
            <v>m</v>
          </cell>
          <cell r="D404" t="str">
            <v>448,15</v>
          </cell>
          <cell r="E404" t="str">
            <v>A incluir</v>
          </cell>
        </row>
        <row r="405">
          <cell r="A405">
            <v>40457</v>
          </cell>
          <cell r="B405" t="str">
            <v>Corpo BSTC (grota) diâmetro 1,20 m CA-1 MF exclusive escavação e reaterro, inclusive transporte do tubo</v>
          </cell>
          <cell r="C405" t="str">
            <v>m</v>
          </cell>
          <cell r="D405" t="str">
            <v>579,57</v>
          </cell>
          <cell r="E405" t="str">
            <v>A incluir</v>
          </cell>
        </row>
        <row r="406">
          <cell r="A406">
            <v>40458</v>
          </cell>
          <cell r="B406" t="str">
            <v>Corpo BSTC (grota) diâmetro 1,20 m CA-1 PB exclusive escavação e reaterro, inclusive transporte do tubo</v>
          </cell>
          <cell r="C406" t="str">
            <v>m</v>
          </cell>
          <cell r="D406" t="str">
            <v>595,55</v>
          </cell>
          <cell r="E406" t="str">
            <v>A incluir</v>
          </cell>
        </row>
        <row r="407">
          <cell r="A407">
            <v>40459</v>
          </cell>
          <cell r="B407" t="str">
            <v>Corpo BSTC (grota) diâmetro 1,20 m CA-2 MF exclusive escavação e reaterro, inclusive transporte do tubo</v>
          </cell>
          <cell r="C407" t="str">
            <v>m</v>
          </cell>
          <cell r="D407" t="str">
            <v>599,02</v>
          </cell>
          <cell r="E407" t="str">
            <v>A incluir</v>
          </cell>
        </row>
        <row r="408">
          <cell r="A408">
            <v>40460</v>
          </cell>
          <cell r="B408" t="str">
            <v>Corpo BSTC (grota) diâmetro 1,20 m CA-2 PB exclusive escavação e reaterro, inclusive transporte do tubo</v>
          </cell>
          <cell r="C408" t="str">
            <v>m</v>
          </cell>
          <cell r="D408" t="str">
            <v>632,07</v>
          </cell>
          <cell r="E408" t="str">
            <v>A incluir</v>
          </cell>
        </row>
        <row r="409">
          <cell r="A409">
            <v>40461</v>
          </cell>
          <cell r="B409" t="str">
            <v>Corpo BSTC (grota) diâmetro 1,20 m CA-3 MF exclusive escavação e reaterro, inclusive transporte do tubo</v>
          </cell>
          <cell r="C409" t="str">
            <v>m</v>
          </cell>
          <cell r="D409" t="str">
            <v>615,22</v>
          </cell>
          <cell r="E409" t="str">
            <v>A incluir</v>
          </cell>
        </row>
        <row r="410">
          <cell r="A410">
            <v>40462</v>
          </cell>
          <cell r="B410" t="str">
            <v>Corpo BSTC (grota) diâmetro 1,50 m CA-1 MF exclusive escavação e reaterro, inclusive transporte do tubo</v>
          </cell>
          <cell r="C410" t="str">
            <v>m</v>
          </cell>
          <cell r="D410" t="str">
            <v>941,34</v>
          </cell>
          <cell r="E410" t="str">
            <v>A incluir</v>
          </cell>
        </row>
        <row r="411">
          <cell r="A411">
            <v>40463</v>
          </cell>
          <cell r="B411" t="str">
            <v>Corpo BSTC (grota) diâmetro 1,50 m CA-1 PB exclusive escavação e reaterro, inclusive transporte do tubo</v>
          </cell>
          <cell r="C411" t="str">
            <v>m</v>
          </cell>
          <cell r="D411" t="str">
            <v>827,68</v>
          </cell>
          <cell r="E411" t="str">
            <v>A incluir</v>
          </cell>
        </row>
        <row r="412">
          <cell r="A412">
            <v>40464</v>
          </cell>
          <cell r="B412" t="str">
            <v>Corpo BSTC (grota) diâmetro 1,50 m CA-2 MF exclusive escavação e reaterro, inclusive transporte do tubo</v>
          </cell>
          <cell r="C412" t="str">
            <v>m</v>
          </cell>
          <cell r="D412" t="str">
            <v>980,23</v>
          </cell>
          <cell r="E412" t="str">
            <v>A incluir</v>
          </cell>
        </row>
        <row r="413">
          <cell r="A413">
            <v>40465</v>
          </cell>
          <cell r="B413" t="str">
            <v>Corpo BSTC (grota) diâmetro 1,50 m CA-2 PB exclusive escavação e reaterro, inclusive transporte do tubo</v>
          </cell>
          <cell r="C413" t="str">
            <v>m</v>
          </cell>
          <cell r="D413" t="str">
            <v>877,28</v>
          </cell>
          <cell r="E413" t="str">
            <v>A incluir</v>
          </cell>
        </row>
        <row r="414">
          <cell r="A414">
            <v>40466</v>
          </cell>
          <cell r="B414" t="str">
            <v>Corpo BSTC (grota) diâmetro 1,50 m CA-3 MF exclusive escavação e reaterro, inclusive transporte do tubo</v>
          </cell>
          <cell r="C414" t="str">
            <v>m</v>
          </cell>
          <cell r="D414" t="str">
            <v>759,86</v>
          </cell>
          <cell r="E414" t="str">
            <v>A incluir</v>
          </cell>
        </row>
        <row r="415">
          <cell r="A415">
            <v>40490</v>
          </cell>
          <cell r="B415" t="str">
            <v>Corpo BTTC (grota) diâmetro 0,60 m CA-1 MF exclusive escavação e reaterro, inclusive transporte do tubo</v>
          </cell>
          <cell r="C415" t="str">
            <v>m</v>
          </cell>
          <cell r="D415" t="str">
            <v>413,81</v>
          </cell>
          <cell r="E415" t="str">
            <v>A incluir</v>
          </cell>
        </row>
        <row r="416">
          <cell r="A416">
            <v>40491</v>
          </cell>
          <cell r="B416" t="str">
            <v>Corpo BTTC (grota) diâmetro 0,60 m CA-1 PB exclusive escavação e reaterro, inclusive transporte do tubo</v>
          </cell>
          <cell r="C416" t="str">
            <v>m</v>
          </cell>
          <cell r="D416" t="str">
            <v>429,49</v>
          </cell>
          <cell r="E416" t="str">
            <v>A incluir</v>
          </cell>
        </row>
        <row r="417">
          <cell r="A417">
            <v>40492</v>
          </cell>
          <cell r="B417" t="str">
            <v>Corpo BTTC (grota) diâmetro 0,60 m CA-2 MF exclusive escavação e reaterro, inclusive transporte do tubo</v>
          </cell>
          <cell r="C417" t="str">
            <v>m</v>
          </cell>
          <cell r="D417" t="str">
            <v>419,65</v>
          </cell>
          <cell r="E417" t="str">
            <v>A incluir</v>
          </cell>
        </row>
        <row r="418">
          <cell r="A418">
            <v>40493</v>
          </cell>
          <cell r="B418" t="str">
            <v>Corpo BTTC (grota) diâmetro 0,60 m CA-2 PB exclusive escavação e reaterro, inclusive transporte do tubo</v>
          </cell>
          <cell r="C418" t="str">
            <v>m</v>
          </cell>
          <cell r="D418" t="str">
            <v>429,68</v>
          </cell>
          <cell r="E418" t="str">
            <v>A incluir</v>
          </cell>
        </row>
        <row r="419">
          <cell r="A419">
            <v>40494</v>
          </cell>
          <cell r="B419" t="str">
            <v>Corpo BTTC (grota) diâmetro 0,80 m CA-1 MF exclusive escavação e reaterro, inclusive transporte do tubo</v>
          </cell>
          <cell r="C419" t="str">
            <v>m</v>
          </cell>
          <cell r="D419" t="str">
            <v>826,17</v>
          </cell>
          <cell r="E419" t="str">
            <v>A incluir</v>
          </cell>
        </row>
        <row r="420">
          <cell r="A420">
            <v>40495</v>
          </cell>
          <cell r="B420" t="str">
            <v>Corpo BTTC (grota) diâmetro 0,80 m CA-1 PB exclusive escavação e reaterro, inclusive transporte do tubo</v>
          </cell>
          <cell r="C420" t="str">
            <v>m</v>
          </cell>
          <cell r="D420" t="str">
            <v>846,50</v>
          </cell>
          <cell r="E420" t="str">
            <v>A incluir</v>
          </cell>
        </row>
        <row r="421">
          <cell r="A421">
            <v>40496</v>
          </cell>
          <cell r="B421" t="str">
            <v>Corpo BTTC (grota) diâmetro 0,80 m CA-2 MF exclusive escavação e reaterro, inclusive transporte do tubo</v>
          </cell>
          <cell r="C421" t="str">
            <v>m</v>
          </cell>
          <cell r="D421" t="str">
            <v>855,33</v>
          </cell>
          <cell r="E421" t="str">
            <v>A incluir</v>
          </cell>
        </row>
        <row r="422">
          <cell r="A422">
            <v>40497</v>
          </cell>
          <cell r="B422" t="str">
            <v>Corpo BTTC (grota) diâmetro 0,80 m CA-2 PB exclusive escavação e reaterro, inclusive transporte do tubo</v>
          </cell>
          <cell r="C422" t="str">
            <v>m</v>
          </cell>
          <cell r="D422" t="str">
            <v>897,25</v>
          </cell>
          <cell r="E422" t="str">
            <v>A incluir</v>
          </cell>
        </row>
        <row r="423">
          <cell r="A423">
            <v>40498</v>
          </cell>
          <cell r="B423" t="str">
            <v>Corpo BTTC (grota) diâmetro 1,00 m CA-1 MF exclusive escavação e reaterro, inclusive transporte do tubo</v>
          </cell>
          <cell r="C423" t="str">
            <v>m</v>
          </cell>
          <cell r="D423" t="str">
            <v>1.063,35</v>
          </cell>
          <cell r="E423" t="str">
            <v>A incluir</v>
          </cell>
        </row>
        <row r="424">
          <cell r="A424">
            <v>40499</v>
          </cell>
          <cell r="B424" t="str">
            <v>Corpo BTTC (grota) diâmetro 1,00 m CA-1 PB exclusive escavação e reaterro, inclusive transporte do tubo</v>
          </cell>
          <cell r="C424" t="str">
            <v>m</v>
          </cell>
          <cell r="D424" t="str">
            <v>1.088,71</v>
          </cell>
          <cell r="E424" t="str">
            <v>A incluir</v>
          </cell>
        </row>
        <row r="425">
          <cell r="A425">
            <v>40500</v>
          </cell>
          <cell r="B425" t="str">
            <v>Corpo BTTC (grota) diâmetro 1,00 m CA-2 MF exclusive escavação e reaterro, inclusive transporte do tubo</v>
          </cell>
          <cell r="C425" t="str">
            <v>m</v>
          </cell>
          <cell r="D425" t="str">
            <v>1.102,24</v>
          </cell>
          <cell r="E425" t="str">
            <v>A incluir</v>
          </cell>
        </row>
        <row r="426">
          <cell r="A426">
            <v>40501</v>
          </cell>
          <cell r="B426" t="str">
            <v>Corpo BTTC (grota) diâmetro 1,00 m CA-2 PB exclusive escavação e reaterro, inclusive transporte do tubo</v>
          </cell>
          <cell r="C426" t="str">
            <v>m</v>
          </cell>
          <cell r="D426" t="str">
            <v>1.148,91</v>
          </cell>
          <cell r="E426" t="str">
            <v>A incluir</v>
          </cell>
        </row>
        <row r="427">
          <cell r="A427">
            <v>40502</v>
          </cell>
          <cell r="B427" t="str">
            <v>Corpo BTTC (grota) diâmetro 1,00 m CA-3 MF exclusive escavação e reaterro, inclusive transporte do tubo</v>
          </cell>
          <cell r="C427" t="str">
            <v>m</v>
          </cell>
          <cell r="D427" t="str">
            <v>1.209,18</v>
          </cell>
          <cell r="E427" t="str">
            <v>A incluir</v>
          </cell>
        </row>
        <row r="428">
          <cell r="A428">
            <v>40503</v>
          </cell>
          <cell r="B428" t="str">
            <v>Corpo BTTC (grota) diâmetro 1,20 m CA-1 MF exclusive escavação e reaterro, inclusive transporte do tubo</v>
          </cell>
          <cell r="C428" t="str">
            <v>m</v>
          </cell>
          <cell r="D428" t="str">
            <v>1.603,45</v>
          </cell>
          <cell r="E428" t="str">
            <v>A incluir</v>
          </cell>
        </row>
        <row r="429">
          <cell r="A429">
            <v>40504</v>
          </cell>
          <cell r="B429" t="str">
            <v>Corpo BTTC (grota) diâmetro 1,20 m CA-1 PB exclusive escavação e reaterro, inclusive transporte do tubo</v>
          </cell>
          <cell r="C429" t="str">
            <v>m</v>
          </cell>
          <cell r="D429" t="str">
            <v>1.651,40</v>
          </cell>
          <cell r="E429" t="str">
            <v>A incluir</v>
          </cell>
        </row>
        <row r="430">
          <cell r="A430">
            <v>40505</v>
          </cell>
          <cell r="B430" t="str">
            <v>Corpo BTTC (grota) diâmetro 1,20 m CA-2 MF exclusive escavação e reaterro, inclusive transporte do tubo</v>
          </cell>
          <cell r="C430" t="str">
            <v>m</v>
          </cell>
          <cell r="D430" t="str">
            <v>1.661,79</v>
          </cell>
          <cell r="E430" t="str">
            <v>A incluir</v>
          </cell>
        </row>
        <row r="431">
          <cell r="A431">
            <v>40506</v>
          </cell>
          <cell r="B431" t="str">
            <v>Corpo BTTC (grota) diâmetro 1,20 m CA-2 PB exclusive escavação e reaterro, inclusive transporte do tubo</v>
          </cell>
          <cell r="C431" t="str">
            <v>m</v>
          </cell>
          <cell r="D431" t="str">
            <v>1.760,95</v>
          </cell>
          <cell r="E431" t="str">
            <v>A incluir</v>
          </cell>
        </row>
        <row r="432">
          <cell r="A432">
            <v>40507</v>
          </cell>
          <cell r="B432" t="str">
            <v>Corpo BTTC (grota) diâmetro 1,20 m CA-3 MF exclusive escavação e reaterro, inclusive transporte do tubo</v>
          </cell>
          <cell r="C432" t="str">
            <v>m</v>
          </cell>
          <cell r="D432" t="str">
            <v>1.710,40</v>
          </cell>
          <cell r="E432" t="str">
            <v>A incluir</v>
          </cell>
        </row>
        <row r="433">
          <cell r="A433">
            <v>40508</v>
          </cell>
          <cell r="B433" t="str">
            <v>Corpo BTTC (grota) diâmetro 1,50 m CA-1 MF exclusive escavação e reaterro, inclusive transporte do tubo</v>
          </cell>
          <cell r="C433" t="str">
            <v>m</v>
          </cell>
          <cell r="D433" t="str">
            <v>2.688,81</v>
          </cell>
          <cell r="E433" t="str">
            <v>A incluir</v>
          </cell>
        </row>
        <row r="434">
          <cell r="A434">
            <v>40509</v>
          </cell>
          <cell r="B434" t="str">
            <v>Corpo BTTC (grota) diâmetro 1,50 m CA-1 PB exclusive escavação e reaterro, inclusive transporte do tubo</v>
          </cell>
          <cell r="C434" t="str">
            <v>m</v>
          </cell>
          <cell r="D434" t="str">
            <v>2.347,83</v>
          </cell>
          <cell r="E434" t="str">
            <v>A incluir</v>
          </cell>
        </row>
        <row r="435">
          <cell r="A435">
            <v>40510</v>
          </cell>
          <cell r="B435" t="str">
            <v>Corpo BTTC (grota) diâmetro 1,50 m CA-2 MF exclusive escavação e reaterro, inclusive transporte do tubo</v>
          </cell>
          <cell r="C435" t="str">
            <v>m</v>
          </cell>
          <cell r="D435" t="str">
            <v>2.805,47</v>
          </cell>
          <cell r="E435" t="str">
            <v>A incluir</v>
          </cell>
        </row>
        <row r="436">
          <cell r="A436">
            <v>40511</v>
          </cell>
          <cell r="B436" t="str">
            <v>Corpo BTTC (grota) diâmetro 1,50 m CA-2 PB exclusive escavação e reaterro, inclusive transporte do tubo</v>
          </cell>
          <cell r="C436" t="str">
            <v>m</v>
          </cell>
          <cell r="D436" t="str">
            <v>2.496,62</v>
          </cell>
          <cell r="E436" t="str">
            <v>A incluir</v>
          </cell>
        </row>
        <row r="437">
          <cell r="A437">
            <v>40512</v>
          </cell>
          <cell r="B437" t="str">
            <v>Corpo BTTC (grota) diâmetro 1,50 m CA-3 MF exclusive escavação e reaterro, inclusive transporte do tubo</v>
          </cell>
          <cell r="C437" t="str">
            <v>m</v>
          </cell>
          <cell r="D437" t="str">
            <v>2.144,36</v>
          </cell>
          <cell r="E437" t="str">
            <v>A incluir</v>
          </cell>
        </row>
        <row r="438">
          <cell r="A438">
            <v>40586</v>
          </cell>
          <cell r="B438" t="str">
            <v>Corpo de BDCC 1,50 x 1,50 m projeto DNIT para H &lt; -&gt; 2,50 m</v>
          </cell>
          <cell r="C438" t="str">
            <v>m</v>
          </cell>
          <cell r="D438" t="str">
            <v>3.704,96</v>
          </cell>
          <cell r="E438">
            <v>0</v>
          </cell>
        </row>
        <row r="439">
          <cell r="A439">
            <v>40592</v>
          </cell>
          <cell r="B439" t="str">
            <v>Corpo de BDCC 1,50 x 1,50 m projeto DNIT para 2,50 &lt; H &lt; 5,00 m</v>
          </cell>
          <cell r="C439" t="str">
            <v>m</v>
          </cell>
          <cell r="D439" t="str">
            <v>3.867,78</v>
          </cell>
          <cell r="E439">
            <v>0</v>
          </cell>
        </row>
        <row r="440">
          <cell r="A440">
            <v>40598</v>
          </cell>
          <cell r="B440" t="str">
            <v>Corpo de BDCC 2,00 x 1,20 m -tudo incluido conforme projeto</v>
          </cell>
          <cell r="C440" t="str">
            <v>m</v>
          </cell>
          <cell r="D440" t="str">
            <v>5.390,62</v>
          </cell>
          <cell r="E440">
            <v>0</v>
          </cell>
        </row>
        <row r="441">
          <cell r="A441">
            <v>40587</v>
          </cell>
          <cell r="B441" t="str">
            <v>Corpo de BDCC 2,00 x 2,00 m projeto DNIT para H &lt; -&gt; 2,50 m</v>
          </cell>
          <cell r="C441" t="str">
            <v>m</v>
          </cell>
          <cell r="D441" t="str">
            <v>5.326,40</v>
          </cell>
          <cell r="E441">
            <v>0</v>
          </cell>
        </row>
        <row r="442">
          <cell r="A442">
            <v>40593</v>
          </cell>
          <cell r="B442" t="str">
            <v>Corpo de BDCC 2,00 x 2,00 m projeto DNIT para 2,50 &lt; H &lt;5,00 m</v>
          </cell>
          <cell r="C442" t="str">
            <v>m</v>
          </cell>
          <cell r="D442" t="str">
            <v>5.885,26</v>
          </cell>
          <cell r="E442">
            <v>0</v>
          </cell>
        </row>
        <row r="443">
          <cell r="A443">
            <v>40588</v>
          </cell>
          <cell r="B443" t="str">
            <v>Corpo de BDCC 2,00 x 3,00 m projeto DNIT para H &lt; -&gt; 2,50 m</v>
          </cell>
          <cell r="C443" t="str">
            <v>m</v>
          </cell>
          <cell r="D443" t="str">
            <v>7.584,32</v>
          </cell>
          <cell r="E443">
            <v>0</v>
          </cell>
        </row>
        <row r="444">
          <cell r="A444">
            <v>40594</v>
          </cell>
          <cell r="B444" t="str">
            <v>Corpo de BDCC 2,00 x 3,00 m projeto DNIT para 2,50 &lt; H &lt; 5,00 m</v>
          </cell>
          <cell r="C444" t="str">
            <v>m</v>
          </cell>
          <cell r="D444" t="str">
            <v>8.845,71</v>
          </cell>
          <cell r="E444">
            <v>0</v>
          </cell>
        </row>
        <row r="445">
          <cell r="A445">
            <v>40599</v>
          </cell>
          <cell r="B445" t="str">
            <v>Corpo de BDCC 2,50 x 2,00 m - tudo incluído conforme projeto</v>
          </cell>
          <cell r="C445" t="str">
            <v>m</v>
          </cell>
          <cell r="D445" t="str">
            <v>7.780,04</v>
          </cell>
          <cell r="E445">
            <v>0</v>
          </cell>
        </row>
        <row r="446">
          <cell r="A446">
            <v>40589</v>
          </cell>
          <cell r="B446" t="str">
            <v>Corpo de BDCC 2,50 x 2,50 m projeto DNIT para H &lt; -&gt; 2,50 m</v>
          </cell>
          <cell r="C446" t="str">
            <v>m</v>
          </cell>
          <cell r="D446" t="str">
            <v>7.150,71</v>
          </cell>
          <cell r="E446">
            <v>0</v>
          </cell>
        </row>
        <row r="447">
          <cell r="A447">
            <v>40595</v>
          </cell>
          <cell r="B447" t="str">
            <v>Corpo de BDCC 2,50 x 2,50 m projeto DNIT para 2,50 &lt; H &lt; 5,00 m</v>
          </cell>
          <cell r="C447" t="str">
            <v>m</v>
          </cell>
          <cell r="D447" t="str">
            <v>7.992,77</v>
          </cell>
          <cell r="E447">
            <v>0</v>
          </cell>
        </row>
        <row r="448">
          <cell r="A448">
            <v>40590</v>
          </cell>
          <cell r="B448" t="str">
            <v>Corpo de BDCC 2,50 x 3,00 m projeto DNIT para H &lt; -&gt; 2,50 m</v>
          </cell>
          <cell r="C448" t="str">
            <v>m</v>
          </cell>
          <cell r="D448" t="str">
            <v>8.668,85</v>
          </cell>
          <cell r="E448">
            <v>0</v>
          </cell>
        </row>
        <row r="449">
          <cell r="A449">
            <v>40596</v>
          </cell>
          <cell r="B449" t="str">
            <v>Corpo de BDCC 2,50 x 3,00 m projeto DNIT para 2,50 &lt; H &lt; 5,00 m</v>
          </cell>
          <cell r="C449" t="str">
            <v>m</v>
          </cell>
          <cell r="D449" t="str">
            <v>9.600,72</v>
          </cell>
          <cell r="E449">
            <v>0</v>
          </cell>
        </row>
        <row r="450">
          <cell r="A450">
            <v>40591</v>
          </cell>
          <cell r="B450" t="str">
            <v>Corpo de BDCC 3,00 x 3,00 m projeto DNIT para H &lt; -&gt; 2,50 m</v>
          </cell>
          <cell r="C450" t="str">
            <v>m</v>
          </cell>
          <cell r="D450" t="str">
            <v>9.513,20</v>
          </cell>
          <cell r="E450">
            <v>0</v>
          </cell>
        </row>
        <row r="451">
          <cell r="A451">
            <v>40597</v>
          </cell>
          <cell r="B451" t="str">
            <v>Corpo de BDCC 3,00 x 3,00 m projeto DNIT para 2,50 &lt; H &lt; 5,00 m</v>
          </cell>
          <cell r="C451" t="str">
            <v>m</v>
          </cell>
          <cell r="D451" t="str">
            <v>10.270,19</v>
          </cell>
          <cell r="E451">
            <v>0</v>
          </cell>
        </row>
        <row r="452">
          <cell r="A452">
            <v>40573</v>
          </cell>
          <cell r="B452" t="str">
            <v>Corpo de BSCC 1,50 x 1,50 m projeto DNIT para H &lt; -&gt; 2,50 m</v>
          </cell>
          <cell r="C452" t="str">
            <v>m</v>
          </cell>
          <cell r="D452" t="str">
            <v>2.250,89</v>
          </cell>
          <cell r="E452">
            <v>0</v>
          </cell>
        </row>
        <row r="453">
          <cell r="A453">
            <v>40579</v>
          </cell>
          <cell r="B453" t="str">
            <v>Corpo de BSCC 1,50 x 1,50 m projeto DNIT para 2,50 &lt; H &lt; 5,00 m</v>
          </cell>
          <cell r="C453" t="str">
            <v>m</v>
          </cell>
          <cell r="D453" t="str">
            <v>2.373,00</v>
          </cell>
          <cell r="E453">
            <v>0</v>
          </cell>
        </row>
        <row r="454">
          <cell r="A454">
            <v>41113</v>
          </cell>
          <cell r="B454" t="str">
            <v>Corpo de BSCC 2,00 x 2,00 m projeto DNIT para 5,00 &lt; H &lt; 7,50 m</v>
          </cell>
          <cell r="C454" t="str">
            <v>m</v>
          </cell>
          <cell r="D454" t="str">
            <v>3.868,50</v>
          </cell>
          <cell r="E454">
            <v>0</v>
          </cell>
        </row>
        <row r="455">
          <cell r="A455">
            <v>40574</v>
          </cell>
          <cell r="B455" t="str">
            <v>Corpo de BSCC 2,00 x 2,00 m projeto DNIT para H &lt; -&gt; 2,50 m</v>
          </cell>
          <cell r="C455" t="str">
            <v>m</v>
          </cell>
          <cell r="D455" t="str">
            <v>3.182,22</v>
          </cell>
          <cell r="E455">
            <v>0</v>
          </cell>
        </row>
        <row r="456">
          <cell r="A456">
            <v>40580</v>
          </cell>
          <cell r="B456" t="str">
            <v>Corpo de BSCC 2,00 x 2,00 m projeto DNIT para 2,50 &lt; H &lt; 5,00 m</v>
          </cell>
          <cell r="C456" t="str">
            <v>m</v>
          </cell>
          <cell r="D456" t="str">
            <v>3.583,58</v>
          </cell>
          <cell r="E456">
            <v>0</v>
          </cell>
        </row>
        <row r="457">
          <cell r="A457">
            <v>40575</v>
          </cell>
          <cell r="B457" t="str">
            <v>Corpo de BSCC 2,00 x 3,00 m projeto DNIT para H &lt; -&gt; 2,50 m</v>
          </cell>
          <cell r="C457" t="str">
            <v>m</v>
          </cell>
          <cell r="D457" t="str">
            <v>4.615,92</v>
          </cell>
          <cell r="E457">
            <v>0</v>
          </cell>
        </row>
        <row r="458">
          <cell r="A458">
            <v>40581</v>
          </cell>
          <cell r="B458" t="str">
            <v>Corpo de BSCC 2,00 x 3,00 m projeto DNIT para 2,50 &lt; H &lt; 5,00 m</v>
          </cell>
          <cell r="C458" t="str">
            <v>m</v>
          </cell>
          <cell r="D458" t="str">
            <v>5.815,26</v>
          </cell>
          <cell r="E458">
            <v>0</v>
          </cell>
        </row>
        <row r="459">
          <cell r="A459">
            <v>40576</v>
          </cell>
          <cell r="B459" t="str">
            <v>Corpo de BSCC 2,50 x 2,50 m projeto DNIT para H &lt; -&gt; 2,50 m</v>
          </cell>
          <cell r="C459" t="str">
            <v>m</v>
          </cell>
          <cell r="D459" t="str">
            <v>4.523,32</v>
          </cell>
          <cell r="E459">
            <v>0</v>
          </cell>
        </row>
        <row r="460">
          <cell r="A460">
            <v>40582</v>
          </cell>
          <cell r="B460" t="str">
            <v>Corpo de BSCC 2,50 x 2,50 m projeto DNIT para 2,50 &lt; H &lt; 5,00 m</v>
          </cell>
          <cell r="C460" t="str">
            <v>m</v>
          </cell>
          <cell r="D460" t="str">
            <v>4.954,78</v>
          </cell>
          <cell r="E460">
            <v>0</v>
          </cell>
        </row>
        <row r="461">
          <cell r="A461">
            <v>40577</v>
          </cell>
          <cell r="B461" t="str">
            <v>Corpo de BSCC 2,50 x 3,00 m projeto DNIT para H &lt; -&gt; 2,50 m</v>
          </cell>
          <cell r="C461" t="str">
            <v>m</v>
          </cell>
          <cell r="D461" t="str">
            <v>5.680,80</v>
          </cell>
          <cell r="E461">
            <v>0</v>
          </cell>
        </row>
        <row r="462">
          <cell r="A462">
            <v>40583</v>
          </cell>
          <cell r="B462" t="str">
            <v>Corpo de BSCC 2,50 x 3,00 m projeto DNIT para 2,50 &lt; H &lt; 5,00 m</v>
          </cell>
          <cell r="C462" t="str">
            <v>m</v>
          </cell>
          <cell r="D462" t="str">
            <v>6.771,44</v>
          </cell>
          <cell r="E462">
            <v>0</v>
          </cell>
        </row>
        <row r="463">
          <cell r="A463">
            <v>40578</v>
          </cell>
          <cell r="B463" t="str">
            <v>Corpo de BSCC 3,00 x 3,00 m projeto DNIT para H &lt; -&gt; 2,50 m</v>
          </cell>
          <cell r="C463" t="str">
            <v>m</v>
          </cell>
          <cell r="D463" t="str">
            <v>6.187,46</v>
          </cell>
          <cell r="E463">
            <v>0</v>
          </cell>
        </row>
        <row r="464">
          <cell r="A464">
            <v>40584</v>
          </cell>
          <cell r="B464" t="str">
            <v>Corpo de BSCC 3,00 x 3,00 m projeto DNIT para 2,50 &lt; H &lt; 5,00 m</v>
          </cell>
          <cell r="C464" t="str">
            <v>m</v>
          </cell>
          <cell r="D464" t="str">
            <v>7.075,21</v>
          </cell>
          <cell r="E464">
            <v>0</v>
          </cell>
        </row>
        <row r="465">
          <cell r="A465">
            <v>40601</v>
          </cell>
          <cell r="B465" t="str">
            <v>Corpo de BTCC 1,50 x 1,50 m projeto DNIT para H &lt; -&gt; 2,50 m</v>
          </cell>
          <cell r="C465" t="str">
            <v>m</v>
          </cell>
          <cell r="D465" t="str">
            <v>5.198,81</v>
          </cell>
          <cell r="E465">
            <v>0</v>
          </cell>
        </row>
        <row r="466">
          <cell r="A466">
            <v>40607</v>
          </cell>
          <cell r="B466" t="str">
            <v>Corpo de BTCC 1,50 x 1,50 m projeto DNIT para 2,50 &lt; H &lt; 5,00 m</v>
          </cell>
          <cell r="C466" t="str">
            <v>m</v>
          </cell>
          <cell r="D466" t="str">
            <v>5.500,01</v>
          </cell>
          <cell r="E466">
            <v>0</v>
          </cell>
        </row>
        <row r="467">
          <cell r="A467">
            <v>40602</v>
          </cell>
          <cell r="B467" t="str">
            <v>Corpo de BTCC 2,00 x 2,00 m projeto DNIT para H &lt; -&gt; 2,50 m</v>
          </cell>
          <cell r="C467" t="str">
            <v>m</v>
          </cell>
          <cell r="D467" t="str">
            <v>7.563,96</v>
          </cell>
          <cell r="E467">
            <v>0</v>
          </cell>
        </row>
        <row r="468">
          <cell r="A468">
            <v>40608</v>
          </cell>
          <cell r="B468" t="str">
            <v>Corpo de BTCC 2,00 x 2,00 m projeto DNIT para 2,50 &lt; H &lt; 5,00 m</v>
          </cell>
          <cell r="C468" t="str">
            <v>m</v>
          </cell>
          <cell r="D468" t="str">
            <v>8.079,68</v>
          </cell>
          <cell r="E468">
            <v>0</v>
          </cell>
        </row>
        <row r="469">
          <cell r="A469">
            <v>40603</v>
          </cell>
          <cell r="B469" t="str">
            <v>Corpo de BTCC 2,00 x 3,00 m projeto DNIT para H &lt; -&gt; 2,50 m</v>
          </cell>
          <cell r="C469" t="str">
            <v>m</v>
          </cell>
          <cell r="D469" t="str">
            <v>11.001,02</v>
          </cell>
          <cell r="E469">
            <v>0</v>
          </cell>
        </row>
        <row r="470">
          <cell r="A470">
            <v>40609</v>
          </cell>
          <cell r="B470" t="str">
            <v>Corpo de BTCC 2,00 x 3,00 m projeto DNIT para 2,50 &lt; H &lt; 5,00 m</v>
          </cell>
          <cell r="C470" t="str">
            <v>m</v>
          </cell>
          <cell r="D470" t="str">
            <v>12.455,99</v>
          </cell>
          <cell r="E470">
            <v>0</v>
          </cell>
        </row>
        <row r="471">
          <cell r="A471">
            <v>40604</v>
          </cell>
          <cell r="B471" t="str">
            <v>Corpo de BTCC 2,50 x 2,50 m projeto DNIT para H &lt; -&gt; 2,50 m</v>
          </cell>
          <cell r="C471" t="str">
            <v>m</v>
          </cell>
          <cell r="D471" t="str">
            <v>9.907,19</v>
          </cell>
          <cell r="E471">
            <v>0</v>
          </cell>
        </row>
        <row r="472">
          <cell r="A472">
            <v>40610</v>
          </cell>
          <cell r="B472" t="str">
            <v>Corpo de BTCC 2,50 x 2,50 m projeto DNIT para 2,50 &lt; H &lt; 5,00 m</v>
          </cell>
          <cell r="C472" t="str">
            <v>m</v>
          </cell>
          <cell r="D472" t="str">
            <v>11.106,93</v>
          </cell>
          <cell r="E472">
            <v>0</v>
          </cell>
        </row>
        <row r="473">
          <cell r="A473">
            <v>40605</v>
          </cell>
          <cell r="B473" t="str">
            <v>Corpo de BTCC 2,50 x 3,00 m projeto DNIT para H &lt; -&gt; 2,50 m</v>
          </cell>
          <cell r="C473" t="str">
            <v>m</v>
          </cell>
          <cell r="D473" t="str">
            <v>12.306,26</v>
          </cell>
          <cell r="E473">
            <v>0</v>
          </cell>
        </row>
        <row r="474">
          <cell r="A474">
            <v>40611</v>
          </cell>
          <cell r="B474" t="str">
            <v>Corpo de BTCC 2,50 x 3,00 m projeto DNIT para 2,50 &lt; H &lt; 5,00 m</v>
          </cell>
          <cell r="C474" t="str">
            <v>m</v>
          </cell>
          <cell r="D474" t="str">
            <v>13.932,36</v>
          </cell>
          <cell r="E474">
            <v>0</v>
          </cell>
        </row>
        <row r="475">
          <cell r="A475">
            <v>40606</v>
          </cell>
          <cell r="B475" t="str">
            <v>Corpo de BTCC 3,00 x 3,00 m projeto DNIT para H &lt; -&gt; 2,50 m</v>
          </cell>
          <cell r="C475" t="str">
            <v>m</v>
          </cell>
          <cell r="D475" t="str">
            <v>13.235,39</v>
          </cell>
          <cell r="E475">
            <v>0</v>
          </cell>
        </row>
        <row r="476">
          <cell r="A476">
            <v>40612</v>
          </cell>
          <cell r="B476" t="str">
            <v>Corpo de BTCC 3,00 x 3,00 m projeto DNIT para 2,50 &lt; H &lt; 5,00 m</v>
          </cell>
          <cell r="C476" t="str">
            <v>m</v>
          </cell>
          <cell r="D476" t="str">
            <v>14.821,12</v>
          </cell>
          <cell r="E476">
            <v>0</v>
          </cell>
        </row>
        <row r="477">
          <cell r="A477">
            <v>40305</v>
          </cell>
          <cell r="B477" t="str">
            <v>Corta-rio (escavação mecânica em material de 1ª cat.) H -&gt; 1,50 a 3,00 m</v>
          </cell>
          <cell r="C477" t="str">
            <v>m³</v>
          </cell>
          <cell r="D477" t="str">
            <v>11,16</v>
          </cell>
          <cell r="E477">
            <v>0</v>
          </cell>
        </row>
        <row r="478">
          <cell r="A478">
            <v>40306</v>
          </cell>
          <cell r="B478" t="str">
            <v>Corta-rio (escavação mecânica em material de 2ª cat.) H -&gt; 1,50 a 3,00 m</v>
          </cell>
          <cell r="C478" t="str">
            <v>m³</v>
          </cell>
          <cell r="D478" t="str">
            <v>22,33</v>
          </cell>
          <cell r="E478">
            <v>0</v>
          </cell>
        </row>
        <row r="479">
          <cell r="A479">
            <v>40307</v>
          </cell>
          <cell r="B479" t="str">
            <v>Corta-rio (escavação mecânica em material de 3º cat.) H -&gt; 0,00 a 1,50 m</v>
          </cell>
          <cell r="C479" t="str">
            <v>m³</v>
          </cell>
          <cell r="D479" t="str">
            <v>97,19</v>
          </cell>
          <cell r="E479">
            <v>0</v>
          </cell>
        </row>
        <row r="480">
          <cell r="A480">
            <v>41049</v>
          </cell>
          <cell r="B480" t="str">
            <v>Corte e esmerilhamento de pontas de tubo de ferro fundido DN 500 a 200mm</v>
          </cell>
          <cell r="C480" t="str">
            <v>m</v>
          </cell>
          <cell r="D480" t="str">
            <v>15,68</v>
          </cell>
          <cell r="E480">
            <v>0</v>
          </cell>
        </row>
        <row r="481">
          <cell r="A481">
            <v>41124</v>
          </cell>
          <cell r="B481" t="str">
            <v>Curva 90° de PVC, junta elástica PBA, D-&gt;75mm, fornecimento e assentamento</v>
          </cell>
          <cell r="C481" t="str">
            <v>un</v>
          </cell>
          <cell r="D481" t="str">
            <v>52,79</v>
          </cell>
          <cell r="E481">
            <v>0</v>
          </cell>
        </row>
        <row r="482">
          <cell r="A482">
            <v>40372</v>
          </cell>
          <cell r="B482" t="str">
            <v>Demolição manual alvenaria tijolo furado assentado com argamassa</v>
          </cell>
          <cell r="C482" t="str">
            <v>m³</v>
          </cell>
          <cell r="D482" t="str">
            <v>154,89</v>
          </cell>
          <cell r="E482">
            <v>0</v>
          </cell>
        </row>
        <row r="483">
          <cell r="A483">
            <v>40374</v>
          </cell>
          <cell r="B483" t="str">
            <v>Demolição manual de concreto armado</v>
          </cell>
          <cell r="C483" t="str">
            <v>m³</v>
          </cell>
          <cell r="D483" t="str">
            <v>228,55</v>
          </cell>
          <cell r="E483">
            <v>0</v>
          </cell>
        </row>
        <row r="484">
          <cell r="A484">
            <v>40373</v>
          </cell>
          <cell r="B484" t="str">
            <v>Demolição manual de concreto simples ou ciclópico</v>
          </cell>
          <cell r="C484" t="str">
            <v>m³</v>
          </cell>
          <cell r="D484" t="str">
            <v>201,66</v>
          </cell>
          <cell r="E484">
            <v>0</v>
          </cell>
        </row>
        <row r="485">
          <cell r="A485">
            <v>40375</v>
          </cell>
          <cell r="B485" t="str">
            <v>Demolição mecânica de concreto</v>
          </cell>
          <cell r="C485" t="str">
            <v>m³</v>
          </cell>
          <cell r="D485" t="str">
            <v>131,36</v>
          </cell>
          <cell r="E485">
            <v>0</v>
          </cell>
        </row>
        <row r="486">
          <cell r="A486">
            <v>40678</v>
          </cell>
          <cell r="B486" t="str">
            <v>Descida d'água concreto armado (calha) c/ caiação (DSA-01A) canal</v>
          </cell>
          <cell r="C486" t="str">
            <v>m</v>
          </cell>
          <cell r="D486" t="str">
            <v>326,31</v>
          </cell>
          <cell r="E486">
            <v>0</v>
          </cell>
        </row>
        <row r="487">
          <cell r="A487">
            <v>40679</v>
          </cell>
          <cell r="B487" t="str">
            <v>Descida d'água concreto armado (calha) c/ caiação (DSA-01A) dispersor</v>
          </cell>
          <cell r="C487" t="str">
            <v>un</v>
          </cell>
          <cell r="D487" t="str">
            <v>649,34</v>
          </cell>
          <cell r="E487">
            <v>0</v>
          </cell>
        </row>
        <row r="488">
          <cell r="A488">
            <v>40684</v>
          </cell>
          <cell r="B488" t="str">
            <v>Descida d'água concreto armado (degraus) c/ caiação (DSA-03A) apoio</v>
          </cell>
          <cell r="C488" t="str">
            <v>un</v>
          </cell>
          <cell r="D488" t="str">
            <v>712,39</v>
          </cell>
          <cell r="E488">
            <v>0</v>
          </cell>
        </row>
        <row r="489">
          <cell r="A489">
            <v>40683</v>
          </cell>
          <cell r="B489" t="str">
            <v>Descida d'água concreto armado (degraus) c/ caiação (DSA-03A) degrau</v>
          </cell>
          <cell r="C489" t="str">
            <v>m</v>
          </cell>
          <cell r="D489" t="str">
            <v>341,51</v>
          </cell>
          <cell r="E489">
            <v>0</v>
          </cell>
        </row>
        <row r="490">
          <cell r="A490">
            <v>40685</v>
          </cell>
          <cell r="B490" t="str">
            <v>Descida d'água concreto armado (degraus) c/ caiação (DSA-03A) dispersor</v>
          </cell>
          <cell r="C490" t="str">
            <v>un</v>
          </cell>
          <cell r="D490" t="str">
            <v>619,76</v>
          </cell>
          <cell r="E490">
            <v>0</v>
          </cell>
        </row>
        <row r="491">
          <cell r="A491">
            <v>40686</v>
          </cell>
          <cell r="B491" t="str">
            <v>Descida d'água concreto armado DP-1 (calha) c/ caiação</v>
          </cell>
          <cell r="C491" t="str">
            <v>m</v>
          </cell>
          <cell r="D491" t="str">
            <v>446,10</v>
          </cell>
          <cell r="E491">
            <v>0</v>
          </cell>
        </row>
        <row r="492">
          <cell r="A492">
            <v>40687</v>
          </cell>
          <cell r="B492" t="str">
            <v>Descida d'água concreto armado DP-1 (degraus) c/ caiação</v>
          </cell>
          <cell r="C492" t="str">
            <v>m</v>
          </cell>
          <cell r="D492" t="str">
            <v>425,74</v>
          </cell>
          <cell r="E492">
            <v>0</v>
          </cell>
        </row>
        <row r="493">
          <cell r="A493">
            <v>40676</v>
          </cell>
          <cell r="B493" t="str">
            <v>Descida d'água concreto simples (calha) c/ caiação (DSA-01) canal</v>
          </cell>
          <cell r="C493" t="str">
            <v>m</v>
          </cell>
          <cell r="D493" t="str">
            <v>269,33</v>
          </cell>
          <cell r="E493">
            <v>0</v>
          </cell>
        </row>
        <row r="494">
          <cell r="A494">
            <v>40677</v>
          </cell>
          <cell r="B494" t="str">
            <v>Descida d'água concreto simples (calha) c/ caiação (DSA-01) dispersor</v>
          </cell>
          <cell r="C494" t="str">
            <v>un</v>
          </cell>
          <cell r="D494" t="str">
            <v>584,21</v>
          </cell>
          <cell r="E494">
            <v>0</v>
          </cell>
        </row>
        <row r="495">
          <cell r="A495">
            <v>40681</v>
          </cell>
          <cell r="B495" t="str">
            <v>Descida d'água concreto simples (degraus) c/ caiação (DSA-03) apoio</v>
          </cell>
          <cell r="C495" t="str">
            <v>un</v>
          </cell>
          <cell r="D495" t="str">
            <v>664,78</v>
          </cell>
          <cell r="E495">
            <v>0</v>
          </cell>
        </row>
        <row r="496">
          <cell r="A496">
            <v>40680</v>
          </cell>
          <cell r="B496" t="str">
            <v>Descida d'água concreto simples (degraus) c/ caiação (DSA-03) degrau</v>
          </cell>
          <cell r="C496" t="str">
            <v>m</v>
          </cell>
          <cell r="D496" t="str">
            <v>325,22</v>
          </cell>
          <cell r="E496">
            <v>0</v>
          </cell>
        </row>
        <row r="497">
          <cell r="A497">
            <v>40682</v>
          </cell>
          <cell r="B497" t="str">
            <v>Descida d'água concreto simples (degraus) c/ caiação (DSA-03) dispersor</v>
          </cell>
          <cell r="C497" t="str">
            <v>un</v>
          </cell>
          <cell r="D497" t="str">
            <v>579,05</v>
          </cell>
          <cell r="E497">
            <v>0</v>
          </cell>
        </row>
        <row r="498">
          <cell r="A498">
            <v>41189</v>
          </cell>
          <cell r="B498" t="str">
            <v>Deslocamento de cerca de tela galvanizada fio 12 malha 3" x 3"</v>
          </cell>
          <cell r="C498" t="str">
            <v>m</v>
          </cell>
          <cell r="D498" t="str">
            <v>32,55</v>
          </cell>
          <cell r="E498" t="str">
            <v>A incluir</v>
          </cell>
        </row>
        <row r="499">
          <cell r="A499">
            <v>40728</v>
          </cell>
          <cell r="B499" t="str">
            <v>Dissipador de energia aplicado a saída d'água tipo DP-1</v>
          </cell>
          <cell r="C499" t="str">
            <v>un</v>
          </cell>
          <cell r="D499" t="str">
            <v>305,21</v>
          </cell>
          <cell r="E499" t="str">
            <v>A incluir</v>
          </cell>
        </row>
        <row r="500">
          <cell r="A500">
            <v>40732</v>
          </cell>
          <cell r="B500" t="str">
            <v>Dissipador de energia aplicado a saída de bueiro/descida d'agua de aterro (DEB-01)</v>
          </cell>
          <cell r="C500" t="str">
            <v>un</v>
          </cell>
          <cell r="D500" t="str">
            <v>546,75</v>
          </cell>
          <cell r="E500" t="str">
            <v>A incluir</v>
          </cell>
        </row>
        <row r="501">
          <cell r="A501">
            <v>40733</v>
          </cell>
          <cell r="B501" t="str">
            <v>Dissipador de energia aplicado a saída de bueiro/descida d'água de aterro (DEB-02)</v>
          </cell>
          <cell r="C501" t="str">
            <v>un</v>
          </cell>
          <cell r="D501" t="str">
            <v>1.349,60</v>
          </cell>
          <cell r="E501" t="str">
            <v>A incluir</v>
          </cell>
        </row>
        <row r="502">
          <cell r="A502">
            <v>40734</v>
          </cell>
          <cell r="B502" t="str">
            <v>Dissipador de energia aplicado a saída de bueiro/descida d'água de aterro (DEB-03)</v>
          </cell>
          <cell r="C502" t="str">
            <v>un</v>
          </cell>
          <cell r="D502" t="str">
            <v>2.112,77</v>
          </cell>
          <cell r="E502" t="str">
            <v>A incluir</v>
          </cell>
        </row>
        <row r="503">
          <cell r="A503">
            <v>40735</v>
          </cell>
          <cell r="B503" t="str">
            <v>Dissipador de energia aplicado a saída de bueiro/descida d'água de aterro (DEB-04)</v>
          </cell>
          <cell r="C503" t="str">
            <v>un</v>
          </cell>
          <cell r="D503" t="str">
            <v>3.051,74</v>
          </cell>
          <cell r="E503" t="str">
            <v>A incluir</v>
          </cell>
        </row>
        <row r="504">
          <cell r="A504">
            <v>40736</v>
          </cell>
          <cell r="B504" t="str">
            <v>Dissipador de energia aplicado a saída de bueiro/descida d'água de aterro (DEB-05)</v>
          </cell>
          <cell r="C504" t="str">
            <v>un</v>
          </cell>
          <cell r="D504" t="str">
            <v>4.104,20</v>
          </cell>
          <cell r="E504" t="str">
            <v>A incluir</v>
          </cell>
        </row>
        <row r="505">
          <cell r="A505">
            <v>40737</v>
          </cell>
          <cell r="B505" t="str">
            <v>Dissipador de energia aplicado a saída de bueiro/descida d'água de aterro (DEB-06)</v>
          </cell>
          <cell r="C505" t="str">
            <v>un</v>
          </cell>
          <cell r="D505" t="str">
            <v>6.519,18</v>
          </cell>
          <cell r="E505" t="str">
            <v>A incluir</v>
          </cell>
        </row>
        <row r="506">
          <cell r="A506">
            <v>40738</v>
          </cell>
          <cell r="B506" t="str">
            <v>Dissipador de energia aplicado a saída de bueiro/descida d'água de aterro (DEB-07)</v>
          </cell>
          <cell r="C506" t="str">
            <v>un</v>
          </cell>
          <cell r="D506" t="str">
            <v>4.176,03</v>
          </cell>
          <cell r="E506" t="str">
            <v>A incluir</v>
          </cell>
        </row>
        <row r="507">
          <cell r="A507">
            <v>40739</v>
          </cell>
          <cell r="B507" t="str">
            <v>Dissipador de energia aplicado a saída de bueiro/descida d'água de aterro (DEB-08)</v>
          </cell>
          <cell r="C507" t="str">
            <v>un</v>
          </cell>
          <cell r="D507" t="str">
            <v>5.620,04</v>
          </cell>
          <cell r="E507" t="str">
            <v>A incluir</v>
          </cell>
        </row>
        <row r="508">
          <cell r="A508">
            <v>40740</v>
          </cell>
          <cell r="B508" t="str">
            <v>Dissipador de energia aplicado a saída de bueiro/descida d'água de aterro (DEB-09)</v>
          </cell>
          <cell r="C508" t="str">
            <v>un</v>
          </cell>
          <cell r="D508" t="str">
            <v>8.711,00</v>
          </cell>
          <cell r="E508" t="str">
            <v>A incluir</v>
          </cell>
        </row>
        <row r="509">
          <cell r="A509">
            <v>40741</v>
          </cell>
          <cell r="B509" t="str">
            <v>Dissipador de energia aplicado a saída de bueiro/descida d'água de aterro (DEB-10)</v>
          </cell>
          <cell r="C509" t="str">
            <v>un</v>
          </cell>
          <cell r="D509" t="str">
            <v>5.306,23</v>
          </cell>
          <cell r="E509" t="str">
            <v>A incluir</v>
          </cell>
        </row>
        <row r="510">
          <cell r="A510">
            <v>40742</v>
          </cell>
          <cell r="B510" t="str">
            <v>Dissipador de energia aplicado a saída de bueiro/descida d'água de aterro (DEB-12)</v>
          </cell>
          <cell r="C510" t="str">
            <v>un</v>
          </cell>
          <cell r="D510" t="str">
            <v>10.901,13</v>
          </cell>
          <cell r="E510" t="str">
            <v>A incluir</v>
          </cell>
        </row>
        <row r="511">
          <cell r="A511">
            <v>40729</v>
          </cell>
          <cell r="B511" t="str">
            <v>Dissipador de energia aplicado a saída de sarjeta/valeta (DES-01)</v>
          </cell>
          <cell r="C511" t="str">
            <v>un</v>
          </cell>
          <cell r="D511" t="str">
            <v>256,61</v>
          </cell>
          <cell r="E511" t="str">
            <v>A incluir</v>
          </cell>
        </row>
        <row r="512">
          <cell r="A512">
            <v>40730</v>
          </cell>
          <cell r="B512" t="str">
            <v>Dissipador de energia aplicado a saída de sarjeta/valeta (DES-02)</v>
          </cell>
          <cell r="C512" t="str">
            <v>un</v>
          </cell>
          <cell r="D512" t="str">
            <v>305,21</v>
          </cell>
          <cell r="E512" t="str">
            <v>A incluir</v>
          </cell>
        </row>
        <row r="513">
          <cell r="A513">
            <v>40731</v>
          </cell>
          <cell r="B513" t="str">
            <v>Dissipador de energia aplicado a saída de sarjeta/valeta (DES-03)</v>
          </cell>
          <cell r="C513" t="str">
            <v>un</v>
          </cell>
          <cell r="D513" t="str">
            <v>363,92</v>
          </cell>
          <cell r="E513" t="str">
            <v>A incluir</v>
          </cell>
        </row>
        <row r="514">
          <cell r="A514">
            <v>40650</v>
          </cell>
          <cell r="B514" t="str">
            <v>Dreno de alívio de pavimento (DP - DAP - 01), com utilização de geotêxtil não tecido RT 07 kn/m, inclusive transporte da brita</v>
          </cell>
          <cell r="C514" t="str">
            <v>m</v>
          </cell>
          <cell r="D514" t="str">
            <v>45,62</v>
          </cell>
          <cell r="E514" t="str">
            <v>A incluir</v>
          </cell>
        </row>
        <row r="515">
          <cell r="A515">
            <v>40637</v>
          </cell>
          <cell r="B515" t="str">
            <v>Dreno de PVC D -&gt; 100 mm</v>
          </cell>
          <cell r="C515" t="str">
            <v>m</v>
          </cell>
          <cell r="D515" t="str">
            <v>27,04</v>
          </cell>
          <cell r="E515">
            <v>0</v>
          </cell>
        </row>
        <row r="516">
          <cell r="A516">
            <v>40636</v>
          </cell>
          <cell r="B516" t="str">
            <v>Dreno de PVC D -&gt; 50 mm</v>
          </cell>
          <cell r="C516" t="str">
            <v>m</v>
          </cell>
          <cell r="D516" t="str">
            <v>16,25</v>
          </cell>
          <cell r="E516">
            <v>0</v>
          </cell>
        </row>
        <row r="517">
          <cell r="A517">
            <v>40712</v>
          </cell>
          <cell r="B517" t="str">
            <v>Dreno Longitudinal tipo Trincheira Drenante, H -&gt; 0,90 m com tubo poroso tipo PEAD de diâm -&gt; 110 mm, incluindo esc. em mat. 1ª cat.</v>
          </cell>
          <cell r="C517" t="str">
            <v>m</v>
          </cell>
          <cell r="D517" t="str">
            <v>80,72</v>
          </cell>
          <cell r="E517" t="str">
            <v>A incluir</v>
          </cell>
        </row>
        <row r="518">
          <cell r="A518">
            <v>40713</v>
          </cell>
          <cell r="B518" t="str">
            <v>Dreno Longitudinal tipo Trincheira Drenante, H -&gt; 0,90 m com tubo poroso tipo PEAD de diâm -&gt; 110 mm, incluindo esc. mat. 3ª cat.</v>
          </cell>
          <cell r="C518" t="str">
            <v>m</v>
          </cell>
          <cell r="D518" t="str">
            <v>100,42</v>
          </cell>
          <cell r="E518" t="str">
            <v>A incluir</v>
          </cell>
        </row>
        <row r="519">
          <cell r="A519">
            <v>41262</v>
          </cell>
          <cell r="B519" t="str">
            <v>Dreno Longitudinal tipo Trincheira Drenante, H-&gt;0,40m c/ tubo poroso tipo PEAD d-&gt;65mm, inclus. esc. em mat. 1ª cat.e geotêxtil não tecido RT 07 kN/m</v>
          </cell>
          <cell r="C519" t="str">
            <v>m</v>
          </cell>
          <cell r="D519" t="str">
            <v>77,01</v>
          </cell>
          <cell r="E519">
            <v>0</v>
          </cell>
        </row>
        <row r="520">
          <cell r="A520">
            <v>41259</v>
          </cell>
          <cell r="B520" t="str">
            <v>Dreno ou Barbacã em tubo PVC, diâmetro de 2"</v>
          </cell>
          <cell r="C520" t="str">
            <v>m</v>
          </cell>
          <cell r="D520" t="str">
            <v>14,49</v>
          </cell>
          <cell r="E520">
            <v>0</v>
          </cell>
        </row>
        <row r="521">
          <cell r="A521">
            <v>40640</v>
          </cell>
          <cell r="B521" t="str">
            <v>Dreno profundo com enchimento de areia, escavação em material 1ª categoria, inclusive transporte da areia</v>
          </cell>
          <cell r="C521" t="str">
            <v>m</v>
          </cell>
          <cell r="D521" t="str">
            <v>86,33</v>
          </cell>
          <cell r="E521" t="str">
            <v>A incluir</v>
          </cell>
        </row>
        <row r="522">
          <cell r="A522">
            <v>40642</v>
          </cell>
          <cell r="B522" t="str">
            <v>Dreno profundo com enchimento de brita e areia (1:1) escavação em material 1ª categoria, inclusive transporte da areia e da brita</v>
          </cell>
          <cell r="C522" t="str">
            <v>m</v>
          </cell>
          <cell r="D522" t="str">
            <v>90,00</v>
          </cell>
          <cell r="E522" t="str">
            <v>A incluir</v>
          </cell>
        </row>
        <row r="523">
          <cell r="A523">
            <v>40643</v>
          </cell>
          <cell r="B523" t="str">
            <v>Dreno profundo com enchimento de brita e areia (1:1) escavação em material 2ª categoria, inclusive transporte da areia e da brita</v>
          </cell>
          <cell r="C523" t="str">
            <v>m</v>
          </cell>
          <cell r="D523" t="str">
            <v>96,34</v>
          </cell>
          <cell r="E523" t="str">
            <v>A incluir</v>
          </cell>
        </row>
        <row r="524">
          <cell r="A524">
            <v>40641</v>
          </cell>
          <cell r="B524" t="str">
            <v>Dreno profundo com enchimento de brita, escavação em material 1ª categoria, inclusive transporte da brita</v>
          </cell>
          <cell r="C524" t="str">
            <v>m</v>
          </cell>
          <cell r="D524" t="str">
            <v>87,88</v>
          </cell>
          <cell r="E524" t="str">
            <v>A incluir</v>
          </cell>
        </row>
        <row r="525">
          <cell r="A525">
            <v>40648</v>
          </cell>
          <cell r="B525" t="str">
            <v>Dreno profundo com tubo poroso, D -&gt; 0,20 m com enchimento de brita e areia, escavação em material 2ª categoria, inclusive transp.da areia, brita, tubo</v>
          </cell>
          <cell r="C525" t="str">
            <v>m</v>
          </cell>
          <cell r="D525" t="str">
            <v>115,34</v>
          </cell>
          <cell r="E525" t="str">
            <v>A incluir</v>
          </cell>
        </row>
        <row r="526">
          <cell r="A526">
            <v>40649</v>
          </cell>
          <cell r="B526" t="str">
            <v>Dreno profundo com tubo poroso, D -&gt; 0,20 m com enchimento de brita, escavação em material 3ª categoria (DPR-01), inclusive transporte da brita, tubo</v>
          </cell>
          <cell r="C526" t="str">
            <v>m</v>
          </cell>
          <cell r="D526" t="str">
            <v>86,63</v>
          </cell>
          <cell r="E526" t="str">
            <v>A incluir</v>
          </cell>
        </row>
        <row r="527">
          <cell r="A527">
            <v>40645</v>
          </cell>
          <cell r="B527" t="str">
            <v>Dreno profundo D -&gt; 0,10 m c/ enchim. brita, areia (1:1) escav. mat. 3º categ.incl. transp. areia, brita c/ geotêxtil não tecido res.long. mín 16kn/m</v>
          </cell>
          <cell r="C527" t="str">
            <v>m</v>
          </cell>
          <cell r="D527" t="str">
            <v>181,81</v>
          </cell>
          <cell r="E527" t="str">
            <v>A incluir</v>
          </cell>
        </row>
        <row r="528">
          <cell r="A528">
            <v>40644</v>
          </cell>
          <cell r="B528" t="str">
            <v>Dreno profundo D -&gt; 0,10 m c/enchim. brita e areia (1:1) escav.mat. 1º categ., inclus.transp.areia, brita,c/ geotêxtil não tecido res.long. mín 16 kn/m</v>
          </cell>
          <cell r="C528" t="str">
            <v>m</v>
          </cell>
          <cell r="D528" t="str">
            <v>116,53</v>
          </cell>
          <cell r="E528" t="str">
            <v>A incluir</v>
          </cell>
        </row>
        <row r="529">
          <cell r="A529">
            <v>40646</v>
          </cell>
          <cell r="B529" t="str">
            <v>Dreno profundo D -&gt; 0,20 m com enchimento de areia, escavação em material 1ª categoria (DPS-01), inclusive transporte da areia e do tubo</v>
          </cell>
          <cell r="C529" t="str">
            <v>m</v>
          </cell>
          <cell r="D529" t="str">
            <v>110,72</v>
          </cell>
          <cell r="E529" t="str">
            <v>A incluir</v>
          </cell>
        </row>
        <row r="530">
          <cell r="A530">
            <v>40647</v>
          </cell>
          <cell r="B530" t="str">
            <v>Dreno profundo D -&gt; 0,20 m com enchimento de brita e areia, escavação em material 1ª categoria, inclusive transporte da brita e da areia</v>
          </cell>
          <cell r="C530" t="str">
            <v>m</v>
          </cell>
          <cell r="D530" t="str">
            <v>109,00</v>
          </cell>
          <cell r="E530" t="str">
            <v>A incluir</v>
          </cell>
        </row>
        <row r="531">
          <cell r="A531">
            <v>40704</v>
          </cell>
          <cell r="B531" t="str">
            <v>Dreno profundo em solo com tubo PVC perfur. D-&gt;0,10 m, envolto por geotêxtil não tecido RT16 kn/m, preenchim. c/ brita, incl. transporte</v>
          </cell>
          <cell r="C531" t="str">
            <v>m</v>
          </cell>
          <cell r="D531" t="str">
            <v>80,13</v>
          </cell>
          <cell r="E531" t="str">
            <v>A incluir</v>
          </cell>
        </row>
        <row r="532">
          <cell r="A532">
            <v>41107</v>
          </cell>
          <cell r="B532" t="str">
            <v>Dreno profundo para corte em solo, com enchimento em brita revestido com geotextil não tecido RT 16 kn/m, inclusive transporte da brita</v>
          </cell>
          <cell r="C532" t="str">
            <v>m</v>
          </cell>
          <cell r="D532" t="str">
            <v>110,44</v>
          </cell>
          <cell r="E532" t="str">
            <v>A incluir</v>
          </cell>
        </row>
        <row r="533">
          <cell r="A533">
            <v>40638</v>
          </cell>
          <cell r="B533" t="str">
            <v>Dreno sub-horizontal D -&gt; 50 mm em PVC, com geotêxtil não tecido RT 16 kn/m, exclusive transportes</v>
          </cell>
          <cell r="C533" t="str">
            <v>m</v>
          </cell>
          <cell r="D533" t="str">
            <v>370,57</v>
          </cell>
          <cell r="E533">
            <v>0</v>
          </cell>
        </row>
        <row r="534">
          <cell r="A534">
            <v>41188</v>
          </cell>
          <cell r="B534" t="str">
            <v>Dreno sub-horizontal D-&gt;50mm em PVC (escavação em alteração de rocha), inclusive geotêxtil não tecido RT 16 kn/m, exclusive transportes</v>
          </cell>
          <cell r="C534" t="str">
            <v>m</v>
          </cell>
          <cell r="D534" t="str">
            <v>564,18</v>
          </cell>
          <cell r="E534">
            <v>0</v>
          </cell>
        </row>
        <row r="535">
          <cell r="A535">
            <v>41187</v>
          </cell>
          <cell r="B535" t="str">
            <v>Dreno sub-horizontal D-&gt;50mm em PVC (escavação em rocha sã), inlusive geotêxtil não tecido RT 16 kn/m, exclusive transportes</v>
          </cell>
          <cell r="C535" t="str">
            <v>m</v>
          </cell>
          <cell r="D535" t="str">
            <v>736,20</v>
          </cell>
          <cell r="E535">
            <v>0</v>
          </cell>
        </row>
        <row r="536">
          <cell r="A536">
            <v>40705</v>
          </cell>
          <cell r="B536" t="str">
            <v>Dreno sub-superficial rocha (h-&gt;0,55m) c/ tubo PVC perfur. d-&gt;0,10m, env. por geotêxtil16kn/m,preenc.c/ brita,inclus.transp. dreno, exclus transp.brita</v>
          </cell>
          <cell r="C536" t="str">
            <v>m</v>
          </cell>
          <cell r="D536" t="str">
            <v>64,06</v>
          </cell>
          <cell r="E536" t="str">
            <v>A incluir</v>
          </cell>
        </row>
        <row r="537">
          <cell r="A537">
            <v>40639</v>
          </cell>
          <cell r="B537" t="str">
            <v>Dreno vertical D -&gt; 75 mm em PVC, com geotêxtil não tecido resistência longitudinal 16 kn/m</v>
          </cell>
          <cell r="C537" t="str">
            <v>m</v>
          </cell>
          <cell r="D537" t="str">
            <v>376,35</v>
          </cell>
          <cell r="E537">
            <v>0</v>
          </cell>
        </row>
        <row r="538">
          <cell r="A538">
            <v>41227</v>
          </cell>
          <cell r="B538" t="str">
            <v>Eletroduto de ferro galvanizado DN 4", inclusive conexões, exclusive escavação e reaterro, fornecimento e assentamento</v>
          </cell>
          <cell r="C538" t="str">
            <v>m</v>
          </cell>
          <cell r="D538" t="str">
            <v>90,32</v>
          </cell>
          <cell r="E538">
            <v>0</v>
          </cell>
        </row>
        <row r="539">
          <cell r="A539">
            <v>40951</v>
          </cell>
          <cell r="B539" t="str">
            <v>Eletroduto para rede de lógica, inclusive conexões</v>
          </cell>
          <cell r="C539" t="str">
            <v>m</v>
          </cell>
          <cell r="D539" t="str">
            <v>17,04</v>
          </cell>
          <cell r="E539">
            <v>0</v>
          </cell>
        </row>
        <row r="540">
          <cell r="A540">
            <v>41121</v>
          </cell>
          <cell r="B540" t="str">
            <v>Eletroduto PVC diâmetro 75mm, fornecimento e assentamento</v>
          </cell>
          <cell r="C540" t="str">
            <v>m</v>
          </cell>
          <cell r="D540" t="str">
            <v>21,14</v>
          </cell>
          <cell r="E540">
            <v>0</v>
          </cell>
        </row>
        <row r="541">
          <cell r="A541">
            <v>41120</v>
          </cell>
          <cell r="B541" t="str">
            <v>Eletroduto PVC rígido roscável diâm. 50mm, fornecimento e assentamento</v>
          </cell>
          <cell r="C541" t="str">
            <v>m</v>
          </cell>
          <cell r="D541" t="str">
            <v>10,75</v>
          </cell>
          <cell r="E541">
            <v>0</v>
          </cell>
        </row>
        <row r="542">
          <cell r="A542">
            <v>41128</v>
          </cell>
          <cell r="B542" t="str">
            <v>Eletroduto tipo Kanaflex diâmetro 1 1/4", fornecimento e assentamento</v>
          </cell>
          <cell r="C542" t="str">
            <v>m</v>
          </cell>
          <cell r="D542" t="str">
            <v>10,95</v>
          </cell>
          <cell r="E542">
            <v>0</v>
          </cell>
        </row>
        <row r="543">
          <cell r="A543">
            <v>41129</v>
          </cell>
          <cell r="B543" t="str">
            <v>Eletroduto tipo Kanaflex diâmetro 1 1/2", fornecimento e assentamento</v>
          </cell>
          <cell r="C543" t="str">
            <v>m</v>
          </cell>
          <cell r="D543" t="str">
            <v>13,72</v>
          </cell>
          <cell r="E543">
            <v>0</v>
          </cell>
        </row>
        <row r="544">
          <cell r="A544">
            <v>41131</v>
          </cell>
          <cell r="B544" t="str">
            <v>Eletroduto tipo Kanaflex diâmetro 2", fornecimento e assentamento</v>
          </cell>
          <cell r="C544" t="str">
            <v>m</v>
          </cell>
          <cell r="D544" t="str">
            <v>17,15</v>
          </cell>
          <cell r="E544">
            <v>0</v>
          </cell>
        </row>
        <row r="545">
          <cell r="A545">
            <v>41130</v>
          </cell>
          <cell r="B545" t="str">
            <v>Eletroduto tipo Kanaflex diâmetro 4", fornecimento e assentamento</v>
          </cell>
          <cell r="C545" t="str">
            <v>m</v>
          </cell>
          <cell r="D545" t="str">
            <v>29,84</v>
          </cell>
          <cell r="E545">
            <v>0</v>
          </cell>
        </row>
        <row r="546">
          <cell r="A546">
            <v>40997</v>
          </cell>
          <cell r="B546" t="str">
            <v>Enrocamento de pedra arrumada com pá carregadeira e escavadeira, inclusive fornecimento, exclusive transporte da pedra</v>
          </cell>
          <cell r="C546" t="str">
            <v>m³</v>
          </cell>
          <cell r="D546" t="str">
            <v>75,17</v>
          </cell>
          <cell r="E546">
            <v>0</v>
          </cell>
        </row>
        <row r="547">
          <cell r="A547">
            <v>40724</v>
          </cell>
          <cell r="B547" t="str">
            <v>Enrocamento de pedra de mão arrumada exclusive transporte</v>
          </cell>
          <cell r="C547" t="str">
            <v>m³</v>
          </cell>
          <cell r="D547" t="str">
            <v>129,99</v>
          </cell>
          <cell r="E547">
            <v>0</v>
          </cell>
        </row>
        <row r="548">
          <cell r="A548">
            <v>40722</v>
          </cell>
          <cell r="B548" t="str">
            <v>Enrocamento de pedra jogada exclusive fornecimento e transporte (utilização de material considerado em medição)</v>
          </cell>
          <cell r="C548" t="str">
            <v>m³</v>
          </cell>
          <cell r="D548" t="str">
            <v>8,02</v>
          </cell>
          <cell r="E548">
            <v>0</v>
          </cell>
        </row>
        <row r="549">
          <cell r="A549">
            <v>40998</v>
          </cell>
          <cell r="B549" t="str">
            <v>Enrocamento de pedra jogada exclusive o fornecimento e transporte da pedra</v>
          </cell>
          <cell r="C549" t="str">
            <v>m³</v>
          </cell>
          <cell r="D549" t="str">
            <v>8,86</v>
          </cell>
          <cell r="E549">
            <v>0</v>
          </cell>
        </row>
        <row r="550">
          <cell r="A550">
            <v>40723</v>
          </cell>
          <cell r="B550" t="str">
            <v>Enrocamento de pedra jogada inclusive fornecimento, exclusive transporte da pedra</v>
          </cell>
          <cell r="C550" t="str">
            <v>m³</v>
          </cell>
          <cell r="D550" t="str">
            <v>52,92</v>
          </cell>
          <cell r="E550">
            <v>0</v>
          </cell>
        </row>
        <row r="551">
          <cell r="A551">
            <v>40335</v>
          </cell>
          <cell r="B551" t="str">
            <v>Ensecadeira dupla de madeira esp.-&gt; 5 cm com 1 reaproveitamento</v>
          </cell>
          <cell r="C551" t="str">
            <v>m²</v>
          </cell>
          <cell r="D551" t="str">
            <v>494,07</v>
          </cell>
          <cell r="E551" t="str">
            <v>A incluir</v>
          </cell>
        </row>
        <row r="552">
          <cell r="A552">
            <v>40334</v>
          </cell>
          <cell r="B552" t="str">
            <v>Ensecadeira dupla de madeira esp.-&gt; 5 cm sem reaproveitamento, tudo incluído</v>
          </cell>
          <cell r="C552" t="str">
            <v>m²</v>
          </cell>
          <cell r="D552" t="str">
            <v>710,29</v>
          </cell>
          <cell r="E552" t="str">
            <v>A incluir</v>
          </cell>
        </row>
        <row r="553">
          <cell r="A553">
            <v>40333</v>
          </cell>
          <cell r="B553" t="str">
            <v>Ensecadeira simples de madeira esp.-&gt; 5 cm com 1 reaproveitamento, inclusive transporte das madeiras</v>
          </cell>
          <cell r="C553" t="str">
            <v>m²</v>
          </cell>
          <cell r="D553" t="str">
            <v>247,03</v>
          </cell>
          <cell r="E553" t="str">
            <v>A incluir</v>
          </cell>
        </row>
        <row r="554">
          <cell r="A554">
            <v>40332</v>
          </cell>
          <cell r="B554" t="str">
            <v>Ensecadeira simples de madeira esp.-&gt; 5 cm sem reaproveitamento, inclusive transporte das madeiras</v>
          </cell>
          <cell r="C554" t="str">
            <v>m²</v>
          </cell>
          <cell r="D554" t="str">
            <v>355,14</v>
          </cell>
          <cell r="E554" t="str">
            <v>A incluir</v>
          </cell>
        </row>
        <row r="555">
          <cell r="A555">
            <v>40675</v>
          </cell>
          <cell r="B555" t="str">
            <v>Entrada para descida d'agua DP-1 (calha/degraus) inclusive caiação</v>
          </cell>
          <cell r="C555" t="str">
            <v>un</v>
          </cell>
          <cell r="D555" t="str">
            <v>189,41</v>
          </cell>
          <cell r="E555">
            <v>0</v>
          </cell>
        </row>
        <row r="556">
          <cell r="A556">
            <v>40673</v>
          </cell>
          <cell r="B556" t="str">
            <v>Entrada para descida d'água EDA-01</v>
          </cell>
          <cell r="C556" t="str">
            <v>un</v>
          </cell>
          <cell r="D556" t="str">
            <v>68,63</v>
          </cell>
          <cell r="E556">
            <v>0</v>
          </cell>
        </row>
        <row r="557">
          <cell r="A557">
            <v>40674</v>
          </cell>
          <cell r="B557" t="str">
            <v>Entrada para descida d'água EDA-02</v>
          </cell>
          <cell r="C557" t="str">
            <v>un</v>
          </cell>
          <cell r="D557" t="str">
            <v>73,15</v>
          </cell>
          <cell r="E557">
            <v>0</v>
          </cell>
        </row>
        <row r="558">
          <cell r="A558">
            <v>41037</v>
          </cell>
          <cell r="B558" t="str">
            <v>Escada de madeira executada sobre terreno inclinado, com 80 cm de largura mínima</v>
          </cell>
          <cell r="C558" t="str">
            <v>m</v>
          </cell>
          <cell r="D558" t="str">
            <v>53,99</v>
          </cell>
          <cell r="E558">
            <v>0</v>
          </cell>
        </row>
        <row r="559">
          <cell r="A559">
            <v>40258</v>
          </cell>
          <cell r="B559" t="str">
            <v>Escavação manual em mat. 1ª cat. H-&gt; 0,00 a 1,50 m</v>
          </cell>
          <cell r="C559" t="str">
            <v>m³</v>
          </cell>
          <cell r="D559" t="str">
            <v>48,36</v>
          </cell>
          <cell r="E559">
            <v>0</v>
          </cell>
        </row>
        <row r="560">
          <cell r="A560">
            <v>40261</v>
          </cell>
          <cell r="B560" t="str">
            <v>Escavação manual em mat. 1ª cat. H-&gt; 0,00 a 1,50 m com esgotamento</v>
          </cell>
          <cell r="C560" t="str">
            <v>m³</v>
          </cell>
          <cell r="D560" t="str">
            <v>55,11</v>
          </cell>
          <cell r="E560">
            <v>0</v>
          </cell>
        </row>
        <row r="561">
          <cell r="A561">
            <v>40259</v>
          </cell>
          <cell r="B561" t="str">
            <v>Escavação manual em mat. 1ª cat. H-&gt; 1,50 a 3,00 m</v>
          </cell>
          <cell r="C561" t="str">
            <v>m³</v>
          </cell>
          <cell r="D561" t="str">
            <v>71,25</v>
          </cell>
          <cell r="E561">
            <v>0</v>
          </cell>
        </row>
        <row r="562">
          <cell r="A562">
            <v>40262</v>
          </cell>
          <cell r="B562" t="str">
            <v>Escavação manual em mat. 1ª cat. H-&gt; 1,50 a 3,00 m com esgotamento</v>
          </cell>
          <cell r="C562" t="str">
            <v>m³</v>
          </cell>
          <cell r="D562" t="str">
            <v>78,01</v>
          </cell>
          <cell r="E562">
            <v>0</v>
          </cell>
        </row>
        <row r="563">
          <cell r="A563">
            <v>40260</v>
          </cell>
          <cell r="B563" t="str">
            <v>Escavação manual em mat. 1ª cat. H-&gt; 3,00 a 4,50 m</v>
          </cell>
          <cell r="C563" t="str">
            <v>m³</v>
          </cell>
          <cell r="D563" t="str">
            <v>105,59</v>
          </cell>
          <cell r="E563">
            <v>0</v>
          </cell>
        </row>
        <row r="564">
          <cell r="A564">
            <v>40263</v>
          </cell>
          <cell r="B564" t="str">
            <v>Escavação manual em mat. 1ª cat. H-&gt; 3,00 a 4,50 m com esgotamento</v>
          </cell>
          <cell r="C564" t="str">
            <v>m³</v>
          </cell>
          <cell r="D564" t="str">
            <v>112,35</v>
          </cell>
          <cell r="E564">
            <v>0</v>
          </cell>
        </row>
        <row r="565">
          <cell r="A565">
            <v>40267</v>
          </cell>
          <cell r="B565" t="str">
            <v>Escavação manual em mat. 2ª cat. H-&gt; 0,00 a 1,50 m com esgotamento</v>
          </cell>
          <cell r="C565" t="str">
            <v>m³</v>
          </cell>
          <cell r="D565" t="str">
            <v>117,40</v>
          </cell>
          <cell r="E565">
            <v>0</v>
          </cell>
        </row>
        <row r="566">
          <cell r="A566">
            <v>40264</v>
          </cell>
          <cell r="B566" t="str">
            <v>Escavação manual em mat. 2ª cat. H-&gt; 0,00 a 1,50 m sem detonação</v>
          </cell>
          <cell r="C566" t="str">
            <v>m³</v>
          </cell>
          <cell r="D566" t="str">
            <v>110,65</v>
          </cell>
          <cell r="E566">
            <v>0</v>
          </cell>
        </row>
        <row r="567">
          <cell r="A567">
            <v>40268</v>
          </cell>
          <cell r="B567" t="str">
            <v>Escavação manual em mat. 2ª cat. H-&gt; 1,50 a 3,00 m com esgotamento</v>
          </cell>
          <cell r="C567" t="str">
            <v>m³</v>
          </cell>
          <cell r="D567" t="str">
            <v>144,34</v>
          </cell>
          <cell r="E567">
            <v>0</v>
          </cell>
        </row>
        <row r="568">
          <cell r="A568">
            <v>40265</v>
          </cell>
          <cell r="B568" t="str">
            <v>Escavação manual em mat. 2ª cat. H-&gt; 1,50 a 3,00 m sem detonação</v>
          </cell>
          <cell r="C568" t="str">
            <v>m³</v>
          </cell>
          <cell r="D568" t="str">
            <v>137,58</v>
          </cell>
          <cell r="E568">
            <v>0</v>
          </cell>
        </row>
        <row r="569">
          <cell r="A569">
            <v>40269</v>
          </cell>
          <cell r="B569" t="str">
            <v>Escavação manual em mat. 2ª cat. H-&gt; 3,00 a 4,50 m com esgotamento</v>
          </cell>
          <cell r="C569" t="str">
            <v>m³</v>
          </cell>
          <cell r="D569" t="str">
            <v>250,96</v>
          </cell>
          <cell r="E569">
            <v>0</v>
          </cell>
        </row>
        <row r="570">
          <cell r="A570">
            <v>40266</v>
          </cell>
          <cell r="B570" t="str">
            <v>Escavação manual em mat. 2ª cat. H-&gt; 3,00 a 4,50 m sem detonação</v>
          </cell>
          <cell r="C570" t="str">
            <v>m³</v>
          </cell>
          <cell r="D570" t="str">
            <v>244,20</v>
          </cell>
          <cell r="E570">
            <v>0</v>
          </cell>
        </row>
        <row r="571">
          <cell r="A571">
            <v>40276</v>
          </cell>
          <cell r="B571" t="str">
            <v>Escavação manual em mat. 3ª cat. H-&gt; 0,00 a 1,50 m, a fogo</v>
          </cell>
          <cell r="C571" t="str">
            <v>m³</v>
          </cell>
          <cell r="D571" t="str">
            <v>318,72</v>
          </cell>
          <cell r="E571">
            <v>0</v>
          </cell>
        </row>
        <row r="572">
          <cell r="A572">
            <v>40256</v>
          </cell>
          <cell r="B572" t="str">
            <v>Escavação manual furos, valetas mat. 1ª cat. H-&gt; 0,00 a 1,50 m (dim. reduz.)</v>
          </cell>
          <cell r="C572" t="str">
            <v>m³</v>
          </cell>
          <cell r="D572" t="str">
            <v>71,25</v>
          </cell>
          <cell r="E572">
            <v>0</v>
          </cell>
        </row>
        <row r="573">
          <cell r="A573">
            <v>40257</v>
          </cell>
          <cell r="B573" t="str">
            <v>Escavação manual furos, valetas mat. 2ª cat. H-&gt; 0,00 a 1,50 m sem detonação (dim. reduz.)</v>
          </cell>
          <cell r="C573" t="str">
            <v>m³</v>
          </cell>
          <cell r="D573" t="str">
            <v>164,69</v>
          </cell>
          <cell r="E573">
            <v>0</v>
          </cell>
        </row>
        <row r="574">
          <cell r="A574">
            <v>41192</v>
          </cell>
          <cell r="B574" t="str">
            <v>Escavação mecânica de valas em material de 1ª categoria, 3,00 a 4,50m, com esgotamento, carga do material, transporte do material para bota-fora</v>
          </cell>
          <cell r="C574" t="str">
            <v>m³</v>
          </cell>
          <cell r="D574" t="str">
            <v>188,00</v>
          </cell>
          <cell r="E574" t="str">
            <v>A incluir</v>
          </cell>
        </row>
        <row r="575">
          <cell r="A575">
            <v>41198</v>
          </cell>
          <cell r="B575" t="str">
            <v>Escavação mecânica de valas em 1ª categoria, profundidade de 4,50 a 6,00m com esgotamento, transp. DMT-&gt;20km, descarga e espalhamento</v>
          </cell>
          <cell r="C575" t="str">
            <v>m³</v>
          </cell>
          <cell r="D575" t="str">
            <v>189,70</v>
          </cell>
          <cell r="E575" t="str">
            <v>A incluir</v>
          </cell>
        </row>
        <row r="576">
          <cell r="A576">
            <v>40282</v>
          </cell>
          <cell r="B576" t="str">
            <v>Escavação mecânica em material de 1ª cat. H-&gt; 0,00 a 1,50 m</v>
          </cell>
          <cell r="C576" t="str">
            <v>m³</v>
          </cell>
          <cell r="D576" t="str">
            <v>10,15</v>
          </cell>
          <cell r="E576">
            <v>0</v>
          </cell>
        </row>
        <row r="577">
          <cell r="A577">
            <v>40285</v>
          </cell>
          <cell r="B577" t="str">
            <v>Escavação mecânica em material de 1ª cat. H-&gt; 0,00 a 1,50 m com esgotamento</v>
          </cell>
          <cell r="C577" t="str">
            <v>m³</v>
          </cell>
          <cell r="D577" t="str">
            <v>16,90</v>
          </cell>
          <cell r="E577">
            <v>0</v>
          </cell>
        </row>
        <row r="578">
          <cell r="A578">
            <v>40283</v>
          </cell>
          <cell r="B578" t="str">
            <v>Escavação mecânica em material de 1ª cat. H-&gt; 1,50 a 3,00 m</v>
          </cell>
          <cell r="C578" t="str">
            <v>m³</v>
          </cell>
          <cell r="D578" t="str">
            <v>11,16</v>
          </cell>
          <cell r="E578">
            <v>0</v>
          </cell>
        </row>
        <row r="579">
          <cell r="A579">
            <v>40286</v>
          </cell>
          <cell r="B579" t="str">
            <v>Escavação mecânica em material de 1ª cat. H-&gt; 1,50 a 3,00 m com esgotamento</v>
          </cell>
          <cell r="C579" t="str">
            <v>m³</v>
          </cell>
          <cell r="D579" t="str">
            <v>17,91</v>
          </cell>
          <cell r="E579">
            <v>0</v>
          </cell>
        </row>
        <row r="580">
          <cell r="A580">
            <v>40284</v>
          </cell>
          <cell r="B580" t="str">
            <v>Escavação mecânica em material de 1ª cat. H-&gt; 3,00 a 4,50 m</v>
          </cell>
          <cell r="C580" t="str">
            <v>m³</v>
          </cell>
          <cell r="D580" t="str">
            <v>13,13</v>
          </cell>
          <cell r="E580">
            <v>0</v>
          </cell>
        </row>
        <row r="581">
          <cell r="A581">
            <v>40287</v>
          </cell>
          <cell r="B581" t="str">
            <v>Escavação mecânica em material de 1º cat. H-&gt; 3,00 a 4,50 m com esgotamento</v>
          </cell>
          <cell r="C581" t="str">
            <v>m³</v>
          </cell>
          <cell r="D581" t="str">
            <v>19,88</v>
          </cell>
          <cell r="E581">
            <v>0</v>
          </cell>
        </row>
        <row r="582">
          <cell r="A582">
            <v>40288</v>
          </cell>
          <cell r="B582" t="str">
            <v>Escavação mecânica em material de 2ª cat. H-&gt; 0,00 a 1,50 m</v>
          </cell>
          <cell r="C582" t="str">
            <v>m³</v>
          </cell>
          <cell r="D582" t="str">
            <v>18,60</v>
          </cell>
          <cell r="E582">
            <v>0</v>
          </cell>
        </row>
        <row r="583">
          <cell r="A583">
            <v>40291</v>
          </cell>
          <cell r="B583" t="str">
            <v>Escavação mecânica em material de 2ª cat. H-&gt; 0,00 a 1,50 m com esgotamento</v>
          </cell>
          <cell r="C583" t="str">
            <v>m³</v>
          </cell>
          <cell r="D583" t="str">
            <v>25,35</v>
          </cell>
          <cell r="E583">
            <v>0</v>
          </cell>
        </row>
        <row r="584">
          <cell r="A584">
            <v>40289</v>
          </cell>
          <cell r="B584" t="str">
            <v>Escavação mecânica em material de 2ª cat. H-&gt; 1,50 a 3,00 m</v>
          </cell>
          <cell r="C584" t="str">
            <v>m³</v>
          </cell>
          <cell r="D584" t="str">
            <v>22,33</v>
          </cell>
          <cell r="E584">
            <v>0</v>
          </cell>
        </row>
        <row r="585">
          <cell r="A585">
            <v>40292</v>
          </cell>
          <cell r="B585" t="str">
            <v>Escavação mecânica em material de 2ª cat. H-&gt; 1,50 a 3,00 m com esgotamento</v>
          </cell>
          <cell r="C585" t="str">
            <v>m³</v>
          </cell>
          <cell r="D585" t="str">
            <v>29,08</v>
          </cell>
          <cell r="E585">
            <v>0</v>
          </cell>
        </row>
        <row r="586">
          <cell r="A586">
            <v>40290</v>
          </cell>
          <cell r="B586" t="str">
            <v>Escavação mecânica em material de 2ª cat. H-&gt; 3,00 a 4,50 m</v>
          </cell>
          <cell r="C586" t="str">
            <v>m³</v>
          </cell>
          <cell r="D586" t="str">
            <v>27,90</v>
          </cell>
          <cell r="E586">
            <v>0</v>
          </cell>
        </row>
        <row r="587">
          <cell r="A587">
            <v>40293</v>
          </cell>
          <cell r="B587" t="str">
            <v>Escavação mecânica em material de 2º cat. H-&gt; 3,00 a 4,50 m com esgotamento</v>
          </cell>
          <cell r="C587" t="str">
            <v>m³</v>
          </cell>
          <cell r="D587" t="str">
            <v>34,66</v>
          </cell>
          <cell r="E587">
            <v>0</v>
          </cell>
        </row>
        <row r="588">
          <cell r="A588">
            <v>40294</v>
          </cell>
          <cell r="B588" t="str">
            <v>Escavação mecânica em material de 3ª cat. H-&gt; 0,00 a 1,50 m</v>
          </cell>
          <cell r="C588" t="str">
            <v>m³</v>
          </cell>
          <cell r="D588" t="str">
            <v>97,19</v>
          </cell>
          <cell r="E588">
            <v>0</v>
          </cell>
        </row>
        <row r="589">
          <cell r="A589">
            <v>40297</v>
          </cell>
          <cell r="B589" t="str">
            <v>Escavação mecânica em material de 3ª cat. H-&gt; 0,00 a 1,50 m com esgotamento</v>
          </cell>
          <cell r="C589" t="str">
            <v>m³</v>
          </cell>
          <cell r="D589" t="str">
            <v>103,95</v>
          </cell>
          <cell r="E589">
            <v>0</v>
          </cell>
        </row>
        <row r="590">
          <cell r="A590">
            <v>40295</v>
          </cell>
          <cell r="B590" t="str">
            <v>Escavação mecânica em material de 3ª cat. H-&gt; 1,50 a 3,00 m</v>
          </cell>
          <cell r="C590" t="str">
            <v>m³</v>
          </cell>
          <cell r="D590" t="str">
            <v>109,43</v>
          </cell>
          <cell r="E590">
            <v>0</v>
          </cell>
        </row>
        <row r="591">
          <cell r="A591">
            <v>40298</v>
          </cell>
          <cell r="B591" t="str">
            <v>Escavação mecânica em material de 3ª cat. H-&gt; 1,50 a 3,00 m com esgotamento</v>
          </cell>
          <cell r="C591" t="str">
            <v>m³</v>
          </cell>
          <cell r="D591" t="str">
            <v>116,18</v>
          </cell>
          <cell r="E591">
            <v>0</v>
          </cell>
        </row>
        <row r="592">
          <cell r="A592">
            <v>40296</v>
          </cell>
          <cell r="B592" t="str">
            <v>Escavação mecânica em material de 3ª cat. H-&gt; 3,00 a 4,50 m</v>
          </cell>
          <cell r="C592" t="str">
            <v>m³</v>
          </cell>
          <cell r="D592" t="str">
            <v>131,79</v>
          </cell>
          <cell r="E592">
            <v>0</v>
          </cell>
        </row>
        <row r="593">
          <cell r="A593">
            <v>40299</v>
          </cell>
          <cell r="B593" t="str">
            <v>Escavação mecânica em material de 3ª cat. H-&gt; 3,00 a 4,50 m com esgotamento</v>
          </cell>
          <cell r="C593" t="str">
            <v>m³</v>
          </cell>
          <cell r="D593" t="str">
            <v>138,54</v>
          </cell>
          <cell r="E593">
            <v>0</v>
          </cell>
        </row>
        <row r="594">
          <cell r="A594">
            <v>40327</v>
          </cell>
          <cell r="B594" t="str">
            <v>Escoramento de cavas e valas, inclusive fornecimento e transportes das madeiras</v>
          </cell>
          <cell r="C594" t="str">
            <v>m²</v>
          </cell>
          <cell r="D594" t="str">
            <v>174,46</v>
          </cell>
          <cell r="E594" t="str">
            <v>A incluir</v>
          </cell>
        </row>
        <row r="595">
          <cell r="A595">
            <v>40328</v>
          </cell>
          <cell r="B595" t="str">
            <v>Escoramento e cimbramento (bueiro celular), inclusive fornecimento e transportes das madeiras</v>
          </cell>
          <cell r="C595" t="str">
            <v>m³</v>
          </cell>
          <cell r="D595" t="str">
            <v>105,38</v>
          </cell>
          <cell r="E595" t="str">
            <v>A incluir</v>
          </cell>
        </row>
        <row r="596">
          <cell r="A596">
            <v>0</v>
          </cell>
          <cell r="B596">
            <v>0</v>
          </cell>
          <cell r="C596">
            <v>0</v>
          </cell>
          <cell r="E596" t="e">
            <v>#N/A</v>
          </cell>
        </row>
        <row r="597">
          <cell r="A597">
            <v>43332</v>
          </cell>
          <cell r="B597" t="str">
            <v>Esgotamento de escavações para rebaixamento do nível dágua nos serviços de bueiros,galerias e outros, com conj. moto bomba</v>
          </cell>
          <cell r="C597" t="str">
            <v>mês</v>
          </cell>
          <cell r="D597" t="str">
            <v>4.966,26</v>
          </cell>
          <cell r="E597">
            <v>0</v>
          </cell>
        </row>
        <row r="598">
          <cell r="A598">
            <v>40316</v>
          </cell>
          <cell r="B598" t="str">
            <v>Forma especial de madeira para meio fio, inclusive fornecimento e transporte das madeiras</v>
          </cell>
          <cell r="C598" t="str">
            <v>m²</v>
          </cell>
          <cell r="D598" t="str">
            <v>66,96</v>
          </cell>
          <cell r="E598" t="str">
            <v>A incluir</v>
          </cell>
        </row>
        <row r="599">
          <cell r="A599">
            <v>40317</v>
          </cell>
          <cell r="B599" t="str">
            <v>Forma especial de madeira para sarjeta (gabarito), inclusive fornecimento e transporte da madeira</v>
          </cell>
          <cell r="C599" t="str">
            <v>m²</v>
          </cell>
          <cell r="D599" t="str">
            <v>58,03</v>
          </cell>
          <cell r="E599" t="str">
            <v>A incluir</v>
          </cell>
        </row>
        <row r="600">
          <cell r="A600">
            <v>40318</v>
          </cell>
          <cell r="B600" t="str">
            <v>Forma metálica para meio fio</v>
          </cell>
          <cell r="C600" t="str">
            <v>m²</v>
          </cell>
          <cell r="D600" t="str">
            <v>6,13</v>
          </cell>
          <cell r="E600">
            <v>0</v>
          </cell>
        </row>
        <row r="601">
          <cell r="A601">
            <v>40311</v>
          </cell>
          <cell r="B601" t="str">
            <v>Formas planas de madeira com 01 (um) reaproveitamento, inclusive fornecimento e transporte das madeiras</v>
          </cell>
          <cell r="C601" t="str">
            <v>m²</v>
          </cell>
          <cell r="D601" t="str">
            <v>95,23</v>
          </cell>
          <cell r="E601" t="str">
            <v>A incluir</v>
          </cell>
        </row>
        <row r="602">
          <cell r="A602">
            <v>40312</v>
          </cell>
          <cell r="B602" t="str">
            <v>Formas planas de madeira com 02 (dois) reaproveitamentos, inclusive fornecimento e transporte das madeiras</v>
          </cell>
          <cell r="C602" t="str">
            <v>m²</v>
          </cell>
          <cell r="D602" t="str">
            <v>78,87</v>
          </cell>
          <cell r="E602" t="str">
            <v>A incluir</v>
          </cell>
        </row>
        <row r="603">
          <cell r="A603">
            <v>40313</v>
          </cell>
          <cell r="B603" t="str">
            <v>Formas planas de madeira com 04 (quatro) reaproveitamentos, inclusive fornecimento e transporte das madeiras</v>
          </cell>
          <cell r="C603" t="str">
            <v>m²</v>
          </cell>
          <cell r="D603" t="str">
            <v>66,20</v>
          </cell>
          <cell r="E603" t="str">
            <v>A incluir</v>
          </cell>
        </row>
        <row r="604">
          <cell r="A604">
            <v>40310</v>
          </cell>
          <cell r="B604" t="str">
            <v>Formas planas de madeira sem reaproveitamento (forma perdida), inclusive fornecimento e transporte das madeiras</v>
          </cell>
          <cell r="C604" t="str">
            <v>m²</v>
          </cell>
          <cell r="D604" t="str">
            <v>141,82</v>
          </cell>
          <cell r="E604" t="str">
            <v>A incluir</v>
          </cell>
        </row>
        <row r="605">
          <cell r="A605">
            <v>40748</v>
          </cell>
          <cell r="B605" t="str">
            <v>Gabião manta/colchão, malha hex 6x8mm Zn-Al/PVC, e-&gt;2,8mm,h-&gt;0,23m, inclus.aquis./assentam. pedra mão, exclus. transp. p/ revestim. canal</v>
          </cell>
          <cell r="C605" t="str">
            <v>m²</v>
          </cell>
          <cell r="D605" t="str">
            <v>153,55</v>
          </cell>
          <cell r="E605">
            <v>0</v>
          </cell>
        </row>
        <row r="606">
          <cell r="A606">
            <v>41400</v>
          </cell>
          <cell r="B606" t="str">
            <v>Gabiões com caixas e sacos galvanizados, com geotêxtil não tecido RT 07 kN/m, incluisve transp. de madeira e pedra de mão</v>
          </cell>
          <cell r="C606" t="str">
            <v>m³</v>
          </cell>
          <cell r="D606" t="str">
            <v>318,31</v>
          </cell>
          <cell r="E606" t="str">
            <v>A incluir</v>
          </cell>
        </row>
        <row r="607">
          <cell r="A607">
            <v>40726</v>
          </cell>
          <cell r="B607" t="str">
            <v>Gabiões com caixas galvanizadas com utilização de geotêxtil não tecido RT 07 kN/m, inclus. transp. madeira e pedra mão</v>
          </cell>
          <cell r="C607" t="str">
            <v>m³</v>
          </cell>
          <cell r="D607" t="str">
            <v>303,03</v>
          </cell>
          <cell r="E607" t="str">
            <v>A incluir</v>
          </cell>
        </row>
        <row r="608">
          <cell r="A608">
            <v>40725</v>
          </cell>
          <cell r="B608" t="str">
            <v>Gabiões com caixas galvanizadas, sem manta</v>
          </cell>
          <cell r="C608" t="str">
            <v>m³</v>
          </cell>
          <cell r="D608" t="str">
            <v>299,73</v>
          </cell>
          <cell r="E608" t="str">
            <v>A incluir</v>
          </cell>
        </row>
        <row r="609">
          <cell r="A609">
            <v>41394</v>
          </cell>
          <cell r="B609" t="str">
            <v>Geogrelha com resistência londitudinal a tração 35 a 40 kN, resist. transversal a tração 30 kN, fornecimento e aplicação</v>
          </cell>
          <cell r="C609" t="str">
            <v>m²</v>
          </cell>
          <cell r="D609" t="str">
            <v>22,49</v>
          </cell>
          <cell r="E609">
            <v>0</v>
          </cell>
        </row>
        <row r="610">
          <cell r="A610">
            <v>41393</v>
          </cell>
          <cell r="B610" t="str">
            <v>Geogrelha com resistência londitudinal a tração 55 a 60 kN, resist. transversal a tração 30 kN, fornecimento e aplicação</v>
          </cell>
          <cell r="C610" t="str">
            <v>m²</v>
          </cell>
          <cell r="D610" t="str">
            <v>26,22</v>
          </cell>
          <cell r="E610">
            <v>0</v>
          </cell>
        </row>
        <row r="611">
          <cell r="A611">
            <v>41391</v>
          </cell>
          <cell r="B611" t="str">
            <v>Geogrelha com resistência longitudinal a tração 300 kN, resist. transversal a tração 30 kN, fornecimento e aplicação</v>
          </cell>
          <cell r="C611" t="str">
            <v>m²</v>
          </cell>
          <cell r="D611" t="str">
            <v>70,81</v>
          </cell>
          <cell r="E611">
            <v>0</v>
          </cell>
        </row>
        <row r="612">
          <cell r="A612">
            <v>41392</v>
          </cell>
          <cell r="B612" t="str">
            <v>Geogrelha com resistência longitudinal a tração 80 a 90 kN, resist. transversal a tração 30 kN, fornecimento e aplicação</v>
          </cell>
          <cell r="C612" t="str">
            <v>m²</v>
          </cell>
          <cell r="D612" t="str">
            <v>32,69</v>
          </cell>
          <cell r="E612">
            <v>0</v>
          </cell>
        </row>
        <row r="613">
          <cell r="A613">
            <v>41197</v>
          </cell>
          <cell r="B613" t="str">
            <v>Geogrelha monodirecional 200KN, fornecimento e assentamento</v>
          </cell>
          <cell r="C613" t="str">
            <v>m²</v>
          </cell>
          <cell r="D613" t="str">
            <v>54,70</v>
          </cell>
          <cell r="E613">
            <v>0</v>
          </cell>
        </row>
        <row r="614">
          <cell r="A614">
            <v>40709</v>
          </cell>
          <cell r="B614" t="str">
            <v>Geogrelha tecida bidirecional de polipropileno de alto módulo inicial c/ módulo de rigidez nominal -&gt; 400KN/m nas duas direções, fornecimento/aplicação</v>
          </cell>
          <cell r="C614" t="str">
            <v>m²</v>
          </cell>
          <cell r="D614" t="str">
            <v>18,97</v>
          </cell>
          <cell r="E614">
            <v>0</v>
          </cell>
        </row>
        <row r="615">
          <cell r="A615">
            <v>40721</v>
          </cell>
          <cell r="B615" t="str">
            <v>Lastro de brita, inclusive transporte da brita</v>
          </cell>
          <cell r="C615" t="str">
            <v>m³</v>
          </cell>
          <cell r="D615" t="str">
            <v>96,91</v>
          </cell>
          <cell r="E615" t="str">
            <v>A incluir</v>
          </cell>
        </row>
        <row r="616">
          <cell r="A616">
            <v>40396</v>
          </cell>
          <cell r="B616" t="str">
            <v>Limpeza e apicoamento manual de superfície de rocha</v>
          </cell>
          <cell r="C616" t="str">
            <v>m²</v>
          </cell>
          <cell r="D616" t="str">
            <v>26,80</v>
          </cell>
          <cell r="E616">
            <v>0</v>
          </cell>
        </row>
        <row r="617">
          <cell r="A617">
            <v>40744</v>
          </cell>
          <cell r="B617" t="str">
            <v>Limpeza e desobstrução de BDTC e BDCC</v>
          </cell>
          <cell r="C617" t="str">
            <v>m</v>
          </cell>
          <cell r="D617" t="str">
            <v>24,17</v>
          </cell>
          <cell r="E617">
            <v>0</v>
          </cell>
        </row>
        <row r="618">
          <cell r="A618">
            <v>40746</v>
          </cell>
          <cell r="B618" t="str">
            <v>Limpeza e desobstrução de BQTC</v>
          </cell>
          <cell r="C618" t="str">
            <v>m</v>
          </cell>
          <cell r="D618" t="str">
            <v>47,06</v>
          </cell>
          <cell r="E618">
            <v>0</v>
          </cell>
        </row>
        <row r="619">
          <cell r="A619">
            <v>40743</v>
          </cell>
          <cell r="B619" t="str">
            <v>Limpeza e desobstrução de BSTC e BSCC</v>
          </cell>
          <cell r="C619" t="str">
            <v>m</v>
          </cell>
          <cell r="D619" t="str">
            <v>12,72</v>
          </cell>
          <cell r="E619">
            <v>0</v>
          </cell>
        </row>
        <row r="620">
          <cell r="A620">
            <v>40745</v>
          </cell>
          <cell r="B620" t="str">
            <v>Limpeza e desobstrução de BTTC e BTCC</v>
          </cell>
          <cell r="C620" t="str">
            <v>m</v>
          </cell>
          <cell r="D620" t="str">
            <v>35,62</v>
          </cell>
          <cell r="E620">
            <v>0</v>
          </cell>
        </row>
        <row r="621">
          <cell r="A621">
            <v>40397</v>
          </cell>
          <cell r="B621" t="str">
            <v>Limpeza e preparo de superfície de aço</v>
          </cell>
          <cell r="C621" t="str">
            <v>m²</v>
          </cell>
          <cell r="D621" t="str">
            <v>70,12</v>
          </cell>
          <cell r="E621">
            <v>0</v>
          </cell>
        </row>
        <row r="622">
          <cell r="A622">
            <v>41221</v>
          </cell>
          <cell r="B622" t="str">
            <v>Lona plástica preta para isolamento de concretagem sobre solo, fornecimento e colocação</v>
          </cell>
          <cell r="C622" t="str">
            <v>m²</v>
          </cell>
          <cell r="D622" t="str">
            <v>3,30</v>
          </cell>
          <cell r="E622">
            <v>0</v>
          </cell>
        </row>
        <row r="623">
          <cell r="A623">
            <v>41401</v>
          </cell>
          <cell r="B623" t="str">
            <v>Manta Geotêxtil não tecida com resistência longitudinal a tração 10kN/m, fornecimento e aplicação</v>
          </cell>
          <cell r="C623" t="str">
            <v>m²</v>
          </cell>
          <cell r="D623" t="str">
            <v>5,97</v>
          </cell>
          <cell r="E623">
            <v>0</v>
          </cell>
        </row>
        <row r="624">
          <cell r="A624">
            <v>40714</v>
          </cell>
          <cell r="B624" t="str">
            <v>Manta Geotêxtil não tecida RT - 16 kn/m, fornecimento e aplicação</v>
          </cell>
          <cell r="C624" t="str">
            <v>m²</v>
          </cell>
          <cell r="D624" t="str">
            <v>8,50</v>
          </cell>
          <cell r="E624">
            <v>0</v>
          </cell>
        </row>
        <row r="625">
          <cell r="A625">
            <v>40660</v>
          </cell>
          <cell r="B625" t="str">
            <v>Meio fio de concreto DP-1, inclusive caiação</v>
          </cell>
          <cell r="C625" t="str">
            <v>m</v>
          </cell>
          <cell r="D625" t="str">
            <v>50,72</v>
          </cell>
          <cell r="E625">
            <v>0</v>
          </cell>
        </row>
        <row r="626">
          <cell r="A626">
            <v>40661</v>
          </cell>
          <cell r="B626" t="str">
            <v>Meio fio de concreto MFC 01, inclusive caiação</v>
          </cell>
          <cell r="C626" t="str">
            <v>m</v>
          </cell>
          <cell r="D626" t="str">
            <v>101,48</v>
          </cell>
          <cell r="E626">
            <v>0</v>
          </cell>
        </row>
        <row r="627">
          <cell r="A627">
            <v>40662</v>
          </cell>
          <cell r="B627" t="str">
            <v>Meio fio de concreto MFC 05, inclusive caiação</v>
          </cell>
          <cell r="C627" t="str">
            <v>m</v>
          </cell>
          <cell r="D627" t="str">
            <v>53,86</v>
          </cell>
          <cell r="E627">
            <v>0</v>
          </cell>
        </row>
        <row r="628">
          <cell r="A628">
            <v>40663</v>
          </cell>
          <cell r="B628" t="str">
            <v>Meio fio de concreto pré-moldado (12 x 30 x 15) cm, inclusive caiação e transporte do meio fio</v>
          </cell>
          <cell r="C628" t="str">
            <v>m</v>
          </cell>
          <cell r="D628" t="str">
            <v>45,65</v>
          </cell>
          <cell r="E628" t="str">
            <v>A incluir</v>
          </cell>
        </row>
        <row r="629">
          <cell r="A629">
            <v>41018</v>
          </cell>
          <cell r="B629" t="str">
            <v>Meio fio de concreto pré-moldado (1,20m x 0,12m x 0,15m x 0,30m), exclusive transporte</v>
          </cell>
          <cell r="C629" t="str">
            <v>m</v>
          </cell>
          <cell r="D629" t="str">
            <v>46,03</v>
          </cell>
          <cell r="E629">
            <v>0</v>
          </cell>
        </row>
        <row r="630">
          <cell r="A630">
            <v>40665</v>
          </cell>
          <cell r="B630" t="str">
            <v>Meio fio de pedra (fornecimento e assentamento), inclusive caiação e transporte do meio fio</v>
          </cell>
          <cell r="C630" t="str">
            <v>m</v>
          </cell>
          <cell r="D630" t="str">
            <v>48,27</v>
          </cell>
          <cell r="E630" t="str">
            <v>A incluir</v>
          </cell>
        </row>
        <row r="631">
          <cell r="A631">
            <v>40659</v>
          </cell>
          <cell r="B631" t="str">
            <v>Meio fio sarjeta de concreto tipo DP-1 (0,035 m³/m) inclusive caiação</v>
          </cell>
          <cell r="C631" t="str">
            <v>m</v>
          </cell>
          <cell r="D631" t="str">
            <v>46,23</v>
          </cell>
          <cell r="E631">
            <v>0</v>
          </cell>
        </row>
        <row r="632">
          <cell r="A632">
            <v>41024</v>
          </cell>
          <cell r="B632" t="str">
            <v>Montagem e desmontagem de escoramento tubular normal, em obras de arte na densidade de 5m de tubo por m³ de escoramento</v>
          </cell>
          <cell r="C632" t="str">
            <v>m</v>
          </cell>
          <cell r="D632" t="str">
            <v>15,71</v>
          </cell>
          <cell r="E632">
            <v>0</v>
          </cell>
        </row>
        <row r="633">
          <cell r="A633">
            <v>40657</v>
          </cell>
          <cell r="B633" t="str">
            <v>Mureta de corte em rocha</v>
          </cell>
          <cell r="C633" t="str">
            <v>m</v>
          </cell>
          <cell r="D633" t="str">
            <v>168,03</v>
          </cell>
          <cell r="E633">
            <v>0</v>
          </cell>
        </row>
        <row r="634">
          <cell r="A634">
            <v>41395</v>
          </cell>
          <cell r="B634" t="str">
            <v>Muro com Terramesh System ou similar, altura H&lt;-&gt; 4,00 metros (4 cx 1x1x4m), tudo incluído</v>
          </cell>
          <cell r="C634" t="str">
            <v>m²</v>
          </cell>
          <cell r="D634" t="str">
            <v>576,45</v>
          </cell>
          <cell r="E634" t="str">
            <v>A incluir</v>
          </cell>
        </row>
        <row r="635">
          <cell r="A635">
            <v>41396</v>
          </cell>
          <cell r="B635" t="str">
            <v>Muro com Terramesh System ou similar, altura 4,00 &lt; H &lt;-&gt; 5,00 metros (3 cx 1x1x4m e 4 cx 0,5x1x4m) , execução, tudo incluído</v>
          </cell>
          <cell r="C635" t="str">
            <v>m²</v>
          </cell>
          <cell r="D635" t="str">
            <v>675,64</v>
          </cell>
          <cell r="E635" t="str">
            <v>A incluir</v>
          </cell>
        </row>
        <row r="636">
          <cell r="A636">
            <v>41397</v>
          </cell>
          <cell r="B636" t="str">
            <v>Muro com Terramesh System ou similar, altura 5,00 &lt; H &lt;-&gt; 6,00 metros (4 cx 1x1x4m e 4 cx 0,5x1x4m) , tudo incluído</v>
          </cell>
          <cell r="C636" t="str">
            <v>m²</v>
          </cell>
          <cell r="D636" t="str">
            <v>660,98</v>
          </cell>
          <cell r="E636" t="str">
            <v>A incluir</v>
          </cell>
        </row>
        <row r="637">
          <cell r="A637">
            <v>41398</v>
          </cell>
          <cell r="B637" t="str">
            <v>Muro com Terramesh System ou similar, altura 6,00 &lt; H &lt;-&gt; 7,50 metros (3cx 1x1x4m, 2cx 1x1x5 e 5cx 0,5x1x6m), tudo incluído</v>
          </cell>
          <cell r="C637" t="str">
            <v>m²</v>
          </cell>
          <cell r="D637" t="str">
            <v>701,49</v>
          </cell>
          <cell r="E637" t="str">
            <v>A incluir</v>
          </cell>
        </row>
        <row r="638">
          <cell r="A638">
            <v>41399</v>
          </cell>
          <cell r="B638" t="str">
            <v>Muro com Terramesh System ou similar, altura 7,50 &lt; H &lt;-&gt; 9,00 metros (4 cx 1x1x4m, 2 cx 1x1x5, 3 cx 0,5x1x6m e 3cx 0,5x1x7), tudo incluído</v>
          </cell>
          <cell r="C638" t="str">
            <v>m²</v>
          </cell>
          <cell r="D638" t="str">
            <v>710,69</v>
          </cell>
          <cell r="E638" t="str">
            <v>A incluir</v>
          </cell>
        </row>
        <row r="639">
          <cell r="A639">
            <v>40654</v>
          </cell>
          <cell r="B639" t="str">
            <v>Muro de testa em concreto para saída de dreno profundo em rocha, inclusive transporte do tubo</v>
          </cell>
          <cell r="C639" t="str">
            <v>un</v>
          </cell>
          <cell r="D639" t="str">
            <v>524,14</v>
          </cell>
          <cell r="E639" t="str">
            <v>A incluir</v>
          </cell>
        </row>
        <row r="640">
          <cell r="A640">
            <v>40653</v>
          </cell>
          <cell r="B640" t="str">
            <v>Muro de testa em concreto para saída de dreno profundo em solo, inclusive transporte do tubo</v>
          </cell>
          <cell r="C640" t="str">
            <v>un</v>
          </cell>
          <cell r="D640" t="str">
            <v>580,05</v>
          </cell>
          <cell r="E640" t="str">
            <v>A incluir</v>
          </cell>
        </row>
        <row r="641">
          <cell r="A641">
            <v>41337</v>
          </cell>
          <cell r="B641" t="str">
            <v>Passagem d'água 1,10 x 1,00 - Canteiro</v>
          </cell>
          <cell r="C641" t="str">
            <v>un</v>
          </cell>
          <cell r="D641" t="str">
            <v>266,23</v>
          </cell>
          <cell r="E641" t="str">
            <v>A incluir</v>
          </cell>
        </row>
        <row r="642">
          <cell r="A642">
            <v>40719</v>
          </cell>
          <cell r="B642" t="str">
            <v>Pedra de mão para (concreto ciclópico ou alvenaria) rocha paga em medição</v>
          </cell>
          <cell r="C642" t="str">
            <v>m³</v>
          </cell>
          <cell r="D642" t="str">
            <v>41,09</v>
          </cell>
          <cell r="E642">
            <v>0</v>
          </cell>
        </row>
        <row r="643">
          <cell r="A643">
            <v>41019</v>
          </cell>
          <cell r="B643" t="str">
            <v>Perfuração rotativa inclinada, em rocha sã, com coroa de diamante, diâmetro N (75mm), inclusive deslocamento e posicionamento em cada furo.</v>
          </cell>
          <cell r="C643" t="str">
            <v>m</v>
          </cell>
          <cell r="D643" t="str">
            <v>524,15</v>
          </cell>
          <cell r="E643">
            <v>0</v>
          </cell>
        </row>
        <row r="644">
          <cell r="A644">
            <v>40557</v>
          </cell>
          <cell r="B644" t="str">
            <v>Pescoço de poço de visita H-&gt;0,30 m, diâm. -&gt; 0,60 m, fornecimento, assentamento e transporte</v>
          </cell>
          <cell r="C644" t="str">
            <v>un</v>
          </cell>
          <cell r="D644" t="str">
            <v>124,67</v>
          </cell>
          <cell r="E644" t="str">
            <v>A incluir</v>
          </cell>
        </row>
        <row r="645">
          <cell r="A645">
            <v>40391</v>
          </cell>
          <cell r="B645" t="str">
            <v>Pintura com nata de cimento</v>
          </cell>
          <cell r="C645" t="str">
            <v>m²</v>
          </cell>
          <cell r="D645" t="str">
            <v>4,53</v>
          </cell>
          <cell r="E645">
            <v>0</v>
          </cell>
        </row>
        <row r="646">
          <cell r="A646">
            <v>40380</v>
          </cell>
          <cell r="B646" t="str">
            <v>Pintura interna ou externa sobre ferro, com tinta a base de resina de borracha clorada</v>
          </cell>
          <cell r="C646" t="str">
            <v>m²</v>
          </cell>
          <cell r="D646" t="str">
            <v>41,27</v>
          </cell>
          <cell r="E646">
            <v>0</v>
          </cell>
        </row>
        <row r="647">
          <cell r="A647">
            <v>40399</v>
          </cell>
          <cell r="B647" t="str">
            <v>Placas pré-moldadas para passeio</v>
          </cell>
          <cell r="C647" t="str">
            <v>m²</v>
          </cell>
          <cell r="D647" t="str">
            <v>160,79</v>
          </cell>
          <cell r="E647">
            <v>0</v>
          </cell>
        </row>
        <row r="648">
          <cell r="A648">
            <v>41028</v>
          </cell>
          <cell r="B648" t="str">
            <v>Plataforma ou passarela de pinho de 1ª ou similar, 1" x 12"</v>
          </cell>
          <cell r="C648" t="str">
            <v>m²</v>
          </cell>
          <cell r="D648" t="str">
            <v>2,33</v>
          </cell>
          <cell r="E648">
            <v>0</v>
          </cell>
        </row>
        <row r="649">
          <cell r="A649">
            <v>41167</v>
          </cell>
          <cell r="B649" t="str">
            <v>Poço de visita em bloco pré-moldado para d-&gt;0,30 e 0,40m (0,80x0,80m)</v>
          </cell>
          <cell r="C649" t="str">
            <v>un</v>
          </cell>
          <cell r="D649" t="str">
            <v>2.096,37</v>
          </cell>
          <cell r="E649">
            <v>0</v>
          </cell>
        </row>
        <row r="650">
          <cell r="A650">
            <v>41168</v>
          </cell>
          <cell r="B650" t="str">
            <v>Poço de visita em bloco pré-moldado para d-&gt;0,60m (1,00x1,00m)</v>
          </cell>
          <cell r="C650" t="str">
            <v>un</v>
          </cell>
          <cell r="D650" t="str">
            <v>2.456,68</v>
          </cell>
          <cell r="E650">
            <v>0</v>
          </cell>
        </row>
        <row r="651">
          <cell r="A651">
            <v>40570</v>
          </cell>
          <cell r="B651" t="str">
            <v>Poço de visita para BDTC diam. 1,00 m - tudo incluido</v>
          </cell>
          <cell r="C651" t="str">
            <v>un</v>
          </cell>
          <cell r="D651" t="str">
            <v>9.161,72</v>
          </cell>
          <cell r="E651" t="str">
            <v>A incluir</v>
          </cell>
        </row>
        <row r="652">
          <cell r="A652">
            <v>41115</v>
          </cell>
          <cell r="B652" t="str">
            <v>Poço de Visita para BSTC diâm. 0,40m em blocos de concreto</v>
          </cell>
          <cell r="C652" t="str">
            <v>un</v>
          </cell>
          <cell r="D652" t="str">
            <v>1.154,69</v>
          </cell>
          <cell r="E652">
            <v>0</v>
          </cell>
        </row>
        <row r="653">
          <cell r="A653">
            <v>41116</v>
          </cell>
          <cell r="B653" t="str">
            <v>Poço de visita para BSTC diâm. 0,60m em blocos de concreto</v>
          </cell>
          <cell r="C653" t="str">
            <v>un</v>
          </cell>
          <cell r="D653" t="str">
            <v>1.542,88</v>
          </cell>
          <cell r="E653">
            <v>0</v>
          </cell>
        </row>
        <row r="654">
          <cell r="A654">
            <v>41117</v>
          </cell>
          <cell r="B654" t="str">
            <v>Poço de visita para BSTC diâm. 0,80m em blocos de concreto</v>
          </cell>
          <cell r="C654" t="str">
            <v>un</v>
          </cell>
          <cell r="D654" t="str">
            <v>1.920,54</v>
          </cell>
          <cell r="E654">
            <v>0</v>
          </cell>
        </row>
        <row r="655">
          <cell r="A655">
            <v>40572</v>
          </cell>
          <cell r="B655" t="str">
            <v>Poço de visita para BTTC diam. 1,20 m - tudo incluído</v>
          </cell>
          <cell r="C655" t="str">
            <v>un</v>
          </cell>
          <cell r="D655" t="str">
            <v>15.032,99</v>
          </cell>
          <cell r="E655" t="str">
            <v>A incluir</v>
          </cell>
        </row>
        <row r="656">
          <cell r="A656">
            <v>40553</v>
          </cell>
          <cell r="B656" t="str">
            <v>Poço de visita (tubo D-&gt;0,40 m) H-&gt;1,50 m com tampão F.F.A.P., inclusive escavação e transporte do tampão</v>
          </cell>
          <cell r="C656" t="str">
            <v>un</v>
          </cell>
          <cell r="D656" t="str">
            <v>3.291,35</v>
          </cell>
          <cell r="E656" t="str">
            <v>A incluir</v>
          </cell>
        </row>
        <row r="657">
          <cell r="A657">
            <v>40554</v>
          </cell>
          <cell r="B657" t="str">
            <v>Poço de visita (tubo D-&gt;0,60 m) H-&gt;1,70 m com tampão F.F.A.P., inclusive escavação e transporte do tampão</v>
          </cell>
          <cell r="C657" t="str">
            <v>un</v>
          </cell>
          <cell r="D657" t="str">
            <v>3.660,80</v>
          </cell>
          <cell r="E657" t="str">
            <v>A incluir</v>
          </cell>
        </row>
        <row r="658">
          <cell r="A658">
            <v>40555</v>
          </cell>
          <cell r="B658" t="str">
            <v>Poço de visita (tubo D-&gt;0,80 m) H-&gt;1,90 m com tampão F.F.A.P., inclusive escavação e transporte do tampão</v>
          </cell>
          <cell r="C658" t="str">
            <v>un</v>
          </cell>
          <cell r="D658" t="str">
            <v>4.030,22</v>
          </cell>
          <cell r="E658" t="str">
            <v>A incluir</v>
          </cell>
        </row>
        <row r="659">
          <cell r="A659">
            <v>40556</v>
          </cell>
          <cell r="B659" t="str">
            <v>Poço de visita (tubo D-&gt;1,00 m) H-&gt;2,10 m com tampão F.F.A.P., inclusive escavação e transporte do tampão</v>
          </cell>
          <cell r="C659" t="str">
            <v>un</v>
          </cell>
          <cell r="D659" t="str">
            <v>4.399,61</v>
          </cell>
          <cell r="E659" t="str">
            <v>A incluir</v>
          </cell>
        </row>
        <row r="660">
          <cell r="A660">
            <v>41086</v>
          </cell>
          <cell r="B660" t="str">
            <v>Preparo manual de talude, compreendendo acerto, raspagem eventual de até 0,30m de prof. e afastamento lateral</v>
          </cell>
          <cell r="C660" t="str">
            <v>m²</v>
          </cell>
          <cell r="D660" t="str">
            <v>8,14</v>
          </cell>
          <cell r="E660">
            <v>0</v>
          </cell>
        </row>
        <row r="661">
          <cell r="A661">
            <v>41021</v>
          </cell>
          <cell r="B661" t="str">
            <v>Preparo manual de terreno, compreendendo acerto raspagem até 25cm de profundidade e afastamento lateral do material excedente</v>
          </cell>
          <cell r="C661" t="str">
            <v>m²</v>
          </cell>
          <cell r="D661" t="str">
            <v>6,53</v>
          </cell>
          <cell r="E661">
            <v>0</v>
          </cell>
        </row>
        <row r="662">
          <cell r="A662">
            <v>40304</v>
          </cell>
          <cell r="B662" t="str">
            <v>Reaterro com areia, tudo incluído</v>
          </cell>
          <cell r="C662" t="str">
            <v>m³</v>
          </cell>
          <cell r="D662" t="str">
            <v>65,17</v>
          </cell>
          <cell r="E662" t="str">
            <v>A incluir</v>
          </cell>
        </row>
        <row r="663">
          <cell r="A663">
            <v>40302</v>
          </cell>
          <cell r="B663" t="str">
            <v>Reaterro de cavas c/ compactação manual (apiloamento)</v>
          </cell>
          <cell r="C663" t="str">
            <v>m³</v>
          </cell>
          <cell r="D663" t="str">
            <v>50,95</v>
          </cell>
          <cell r="E663">
            <v>0</v>
          </cell>
        </row>
        <row r="664">
          <cell r="A664">
            <v>40301</v>
          </cell>
          <cell r="B664" t="str">
            <v>Reaterro de cavas c/ compactação manual (apiloamento) (dim. reduz.)</v>
          </cell>
          <cell r="C664" t="str">
            <v>m³</v>
          </cell>
          <cell r="D664" t="str">
            <v>73,85</v>
          </cell>
          <cell r="E664">
            <v>0</v>
          </cell>
        </row>
        <row r="665">
          <cell r="A665">
            <v>40303</v>
          </cell>
          <cell r="B665" t="str">
            <v>Reaterro de cavas c/ compactação mecânica (compactador manual)</v>
          </cell>
          <cell r="C665" t="str">
            <v>m³</v>
          </cell>
          <cell r="D665" t="str">
            <v>32,67</v>
          </cell>
          <cell r="E665">
            <v>0</v>
          </cell>
        </row>
        <row r="666">
          <cell r="A666">
            <v>40559</v>
          </cell>
          <cell r="B666" t="str">
            <v>Recuperação de poço de visita inclusive fornecimento tampão F.F.A.P.</v>
          </cell>
          <cell r="C666" t="str">
            <v>un</v>
          </cell>
          <cell r="D666" t="str">
            <v>528,55</v>
          </cell>
          <cell r="E666" t="str">
            <v>A incluir</v>
          </cell>
        </row>
        <row r="667">
          <cell r="A667">
            <v>41339</v>
          </cell>
          <cell r="B667" t="str">
            <v>Rede de dutos 65mm (duplo), envelopada com brita 3</v>
          </cell>
          <cell r="C667" t="str">
            <v>m</v>
          </cell>
          <cell r="D667" t="str">
            <v>71,95</v>
          </cell>
          <cell r="E667">
            <v>0</v>
          </cell>
        </row>
        <row r="668">
          <cell r="A668">
            <v>41332</v>
          </cell>
          <cell r="B668" t="str">
            <v>Rede em PVC Vinilfort ou similar DN -&gt; 200mm</v>
          </cell>
          <cell r="C668" t="str">
            <v>m</v>
          </cell>
          <cell r="D668" t="str">
            <v>204,94</v>
          </cell>
          <cell r="E668">
            <v>0</v>
          </cell>
        </row>
        <row r="669">
          <cell r="A669">
            <v>41224</v>
          </cell>
          <cell r="B669" t="str">
            <v>Religação de rede de água em PVC DN 20mm, inclusive conexões</v>
          </cell>
          <cell r="C669" t="str">
            <v>m</v>
          </cell>
          <cell r="D669" t="str">
            <v>14,12</v>
          </cell>
          <cell r="E669">
            <v>0</v>
          </cell>
        </row>
        <row r="670">
          <cell r="A670">
            <v>41225</v>
          </cell>
          <cell r="B670" t="str">
            <v>Religação de rede de água em PVC DN 25mm, incluisve conexões</v>
          </cell>
          <cell r="C670" t="str">
            <v>m</v>
          </cell>
          <cell r="D670" t="str">
            <v>17,18</v>
          </cell>
          <cell r="E670">
            <v>0</v>
          </cell>
        </row>
        <row r="671">
          <cell r="A671">
            <v>41226</v>
          </cell>
          <cell r="B671" t="str">
            <v>Religação de rede de água em PVC DN 32mm, incluisve conexões</v>
          </cell>
          <cell r="C671" t="str">
            <v>m</v>
          </cell>
          <cell r="D671" t="str">
            <v>20,63</v>
          </cell>
          <cell r="E671">
            <v>0</v>
          </cell>
        </row>
        <row r="672">
          <cell r="A672">
            <v>41060</v>
          </cell>
          <cell r="B672" t="str">
            <v>Religação de rede de água em PVC DN 75mm, inclusive conexões</v>
          </cell>
          <cell r="C672" t="str">
            <v>m</v>
          </cell>
          <cell r="D672" t="str">
            <v>49,11</v>
          </cell>
          <cell r="E672">
            <v>0</v>
          </cell>
        </row>
        <row r="673">
          <cell r="A673">
            <v>41059</v>
          </cell>
          <cell r="B673" t="str">
            <v>Religação de rede de água em PVC PBA CL 15 DN 100mm, inclusive conexões</v>
          </cell>
          <cell r="C673" t="str">
            <v>m</v>
          </cell>
          <cell r="D673" t="str">
            <v>76,79</v>
          </cell>
          <cell r="E673">
            <v>0</v>
          </cell>
        </row>
        <row r="674">
          <cell r="A674">
            <v>40567</v>
          </cell>
          <cell r="B674" t="str">
            <v>Remanejamento de ligação e religação de redes de esgoto</v>
          </cell>
          <cell r="C674" t="str">
            <v>m</v>
          </cell>
          <cell r="D674" t="str">
            <v>62,58</v>
          </cell>
          <cell r="E674">
            <v>0</v>
          </cell>
        </row>
        <row r="675">
          <cell r="A675">
            <v>40747</v>
          </cell>
          <cell r="B675" t="str">
            <v>Remoção de bueiros existentes</v>
          </cell>
          <cell r="C675" t="str">
            <v>m</v>
          </cell>
          <cell r="D675" t="str">
            <v>99,27</v>
          </cell>
          <cell r="E675">
            <v>0</v>
          </cell>
        </row>
        <row r="676">
          <cell r="A676">
            <v>40727</v>
          </cell>
          <cell r="B676" t="str">
            <v>Rip-rap c/ argamassa cimento areia 1:6, inclusive aquisição e transporte dos materiais</v>
          </cell>
          <cell r="C676" t="str">
            <v>m³</v>
          </cell>
          <cell r="D676" t="str">
            <v>312,46</v>
          </cell>
          <cell r="E676" t="str">
            <v>A incluir</v>
          </cell>
        </row>
        <row r="677">
          <cell r="A677">
            <v>41264</v>
          </cell>
          <cell r="B677" t="str">
            <v>Rip-rap de areia inclusive escavação, transporte e fornecimento de materiais</v>
          </cell>
          <cell r="C677" t="str">
            <v>m³</v>
          </cell>
          <cell r="D677" t="str">
            <v>336,09</v>
          </cell>
          <cell r="E677" t="str">
            <v>A incluir</v>
          </cell>
        </row>
        <row r="678">
          <cell r="A678">
            <v>41239</v>
          </cell>
          <cell r="B678" t="str">
            <v>Rip-rap de solo e cimento (Traço 1:15)</v>
          </cell>
          <cell r="C678" t="str">
            <v>m³</v>
          </cell>
          <cell r="D678" t="str">
            <v>83,76</v>
          </cell>
          <cell r="E678">
            <v>0</v>
          </cell>
        </row>
        <row r="679">
          <cell r="A679">
            <v>40688</v>
          </cell>
          <cell r="B679" t="str">
            <v>Saída d'água concreto armado DP-1 c/ caiação</v>
          </cell>
          <cell r="C679" t="str">
            <v>un</v>
          </cell>
          <cell r="D679" t="str">
            <v>262,39</v>
          </cell>
          <cell r="E679">
            <v>0</v>
          </cell>
        </row>
        <row r="680">
          <cell r="A680">
            <v>40690</v>
          </cell>
          <cell r="B680" t="str">
            <v>Saída d'água concreto p/ aterro c/ caiação (SDA-01)</v>
          </cell>
          <cell r="C680" t="str">
            <v>un</v>
          </cell>
          <cell r="D680" t="str">
            <v>1.293,05</v>
          </cell>
          <cell r="E680">
            <v>0</v>
          </cell>
        </row>
        <row r="681">
          <cell r="A681">
            <v>40691</v>
          </cell>
          <cell r="B681" t="str">
            <v>Saída d'água concreto p/ aterro c/ caiação (SDA-02)</v>
          </cell>
          <cell r="C681" t="str">
            <v>un</v>
          </cell>
          <cell r="D681" t="str">
            <v>1.535,24</v>
          </cell>
          <cell r="E681">
            <v>0</v>
          </cell>
        </row>
        <row r="682">
          <cell r="A682">
            <v>40689</v>
          </cell>
          <cell r="B682" t="str">
            <v>Saída d'água concreto p/ corte c/ caiação (SDC-01)</v>
          </cell>
          <cell r="C682" t="str">
            <v>un</v>
          </cell>
          <cell r="D682" t="str">
            <v>666,22</v>
          </cell>
          <cell r="E682">
            <v>0</v>
          </cell>
        </row>
        <row r="683">
          <cell r="A683">
            <v>40666</v>
          </cell>
          <cell r="B683" t="str">
            <v>Sarjeta de concreto DP-1 (0,081 m³/m) calha triangular, inclusive caiação</v>
          </cell>
          <cell r="C683" t="str">
            <v>m</v>
          </cell>
          <cell r="D683" t="str">
            <v>76,83</v>
          </cell>
          <cell r="E683">
            <v>0</v>
          </cell>
        </row>
        <row r="684">
          <cell r="A684">
            <v>40667</v>
          </cell>
          <cell r="B684" t="str">
            <v>Sarjeta de concreto DP-2 (0,085 m³/m) calha triangular, inclusive caiação</v>
          </cell>
          <cell r="C684" t="str">
            <v>m</v>
          </cell>
          <cell r="D684" t="str">
            <v>80,26</v>
          </cell>
          <cell r="E684">
            <v>0</v>
          </cell>
        </row>
        <row r="685">
          <cell r="A685">
            <v>41180</v>
          </cell>
          <cell r="B685" t="str">
            <v>Sarjeta de concreto SCA 40/10</v>
          </cell>
          <cell r="C685" t="str">
            <v>m</v>
          </cell>
          <cell r="D685" t="str">
            <v>66,86</v>
          </cell>
          <cell r="E685" t="str">
            <v>A incluir</v>
          </cell>
        </row>
        <row r="686">
          <cell r="A686">
            <v>40668</v>
          </cell>
          <cell r="B686" t="str">
            <v>Sarjeta de concreto (SCA 70/15) calha triangular, inclusive caiação</v>
          </cell>
          <cell r="C686" t="str">
            <v>m</v>
          </cell>
          <cell r="D686" t="str">
            <v>90,01</v>
          </cell>
          <cell r="E686">
            <v>0</v>
          </cell>
        </row>
        <row r="687">
          <cell r="A687">
            <v>40982</v>
          </cell>
          <cell r="B687" t="str">
            <v>Sarjeta de concreto (SCA 90/10) calha triangular, inclusive caiação</v>
          </cell>
          <cell r="C687" t="str">
            <v>m</v>
          </cell>
          <cell r="D687" t="str">
            <v>161,36</v>
          </cell>
          <cell r="E687">
            <v>0</v>
          </cell>
        </row>
        <row r="688">
          <cell r="A688">
            <v>41336</v>
          </cell>
          <cell r="B688" t="str">
            <v>Sarjeta de concreto SCC 40/15</v>
          </cell>
          <cell r="C688" t="str">
            <v>m</v>
          </cell>
          <cell r="D688" t="str">
            <v>84,19</v>
          </cell>
          <cell r="E688" t="str">
            <v>A incluir</v>
          </cell>
        </row>
        <row r="689">
          <cell r="A689">
            <v>40669</v>
          </cell>
          <cell r="B689" t="str">
            <v>Sarjeta de concreto (STC - 02) calha triangular em corte/aterro, inclusive caiação</v>
          </cell>
          <cell r="C689" t="str">
            <v>m</v>
          </cell>
          <cell r="D689" t="str">
            <v>74,84</v>
          </cell>
          <cell r="E689">
            <v>0</v>
          </cell>
        </row>
        <row r="690">
          <cell r="A690">
            <v>40670</v>
          </cell>
          <cell r="B690" t="str">
            <v>Sarjeta de concreto (STC - 04) calha triangular de bancada em corte, inclusive caiação</v>
          </cell>
          <cell r="C690" t="str">
            <v>m</v>
          </cell>
          <cell r="D690" t="str">
            <v>55,24</v>
          </cell>
          <cell r="E690">
            <v>0</v>
          </cell>
        </row>
        <row r="691">
          <cell r="A691">
            <v>40560</v>
          </cell>
          <cell r="B691" t="str">
            <v>Tampa de concreto em grelha, fornecimento, assentamento e transporte</v>
          </cell>
          <cell r="C691" t="str">
            <v>un</v>
          </cell>
          <cell r="D691" t="str">
            <v>178,82</v>
          </cell>
          <cell r="E691" t="str">
            <v>A incluir</v>
          </cell>
        </row>
        <row r="692">
          <cell r="A692">
            <v>40558</v>
          </cell>
          <cell r="B692" t="str">
            <v>Tampão F.F.A.P. com 100 kg, fornecimento, assentamento e transporte</v>
          </cell>
          <cell r="C692" t="str">
            <v>un</v>
          </cell>
          <cell r="D692" t="str">
            <v>290,39</v>
          </cell>
          <cell r="E692" t="str">
            <v>A incluir</v>
          </cell>
        </row>
        <row r="693">
          <cell r="A693">
            <v>0</v>
          </cell>
          <cell r="B693">
            <v>0</v>
          </cell>
          <cell r="C693">
            <v>0</v>
          </cell>
          <cell r="E693" t="e">
            <v>#N/A</v>
          </cell>
        </row>
        <row r="694">
          <cell r="A694">
            <v>41029</v>
          </cell>
          <cell r="B694" t="str">
            <v>Tapume de vedação e proteção, executado com chapas de compensado resinado com 6mm de espessura, exclusive pintura</v>
          </cell>
          <cell r="C694" t="str">
            <v>m²</v>
          </cell>
          <cell r="D694" t="str">
            <v>32,16</v>
          </cell>
          <cell r="E694">
            <v>0</v>
          </cell>
        </row>
        <row r="695">
          <cell r="A695">
            <v>41040</v>
          </cell>
          <cell r="B695" t="str">
            <v>Tela de aço soldada Telcon Q-138 ou similar, fornecimento e assentamento.</v>
          </cell>
          <cell r="C695" t="str">
            <v>m²</v>
          </cell>
          <cell r="D695" t="str">
            <v>25,77</v>
          </cell>
          <cell r="E695">
            <v>0</v>
          </cell>
        </row>
        <row r="696">
          <cell r="A696">
            <v>42658</v>
          </cell>
          <cell r="B696" t="str">
            <v>Tela de aço soldada Telcon Q-196 ou similar, fornecimento e assentamento.</v>
          </cell>
          <cell r="C696" t="str">
            <v>m²</v>
          </cell>
          <cell r="D696" t="str">
            <v>30,80</v>
          </cell>
          <cell r="E696">
            <v>0</v>
          </cell>
        </row>
        <row r="697">
          <cell r="A697">
            <v>40655</v>
          </cell>
          <cell r="B697" t="str">
            <v>Terminal de dreno de alívio de pavimento (DP - TDA - 01)</v>
          </cell>
          <cell r="C697" t="str">
            <v>un</v>
          </cell>
          <cell r="D697" t="str">
            <v>293,63</v>
          </cell>
          <cell r="E697" t="str">
            <v>A incluir</v>
          </cell>
        </row>
        <row r="698">
          <cell r="A698">
            <v>41092</v>
          </cell>
          <cell r="B698" t="str">
            <v>Transporte de materiais encosta abaixo, serviço manual, inclusive carga e descarga</v>
          </cell>
          <cell r="C698" t="str">
            <v>t dam</v>
          </cell>
          <cell r="D698" t="str">
            <v>18,52</v>
          </cell>
          <cell r="E698">
            <v>0</v>
          </cell>
        </row>
        <row r="699">
          <cell r="A699">
            <v>41091</v>
          </cell>
          <cell r="B699" t="str">
            <v>Transporte de materiais encosta acima, serviço manual, inclusive carga e descarga</v>
          </cell>
          <cell r="C699" t="str">
            <v>t dam</v>
          </cell>
          <cell r="D699" t="str">
            <v>25,07</v>
          </cell>
          <cell r="E699">
            <v>0</v>
          </cell>
        </row>
        <row r="700">
          <cell r="A700">
            <v>40706</v>
          </cell>
          <cell r="B700" t="str">
            <v>Transposição de segmento de sarjeta - TSS 01, inclusive transporte do tubo de concreto</v>
          </cell>
          <cell r="C700" t="str">
            <v>m</v>
          </cell>
          <cell r="D700" t="str">
            <v>265,31</v>
          </cell>
          <cell r="E700" t="str">
            <v>A incluir</v>
          </cell>
        </row>
        <row r="701">
          <cell r="A701">
            <v>40651</v>
          </cell>
          <cell r="B701" t="str">
            <v>Trincheira drenante cega (0,50 x 1,70) m, inclusive transporte da brita c/ geotêxtil não tecido res.long. mín 16 kn/m</v>
          </cell>
          <cell r="C701" t="str">
            <v>m</v>
          </cell>
          <cell r="D701" t="str">
            <v>324,21</v>
          </cell>
          <cell r="E701" t="str">
            <v>A incluir</v>
          </cell>
        </row>
        <row r="702">
          <cell r="A702">
            <v>41122</v>
          </cell>
          <cell r="B702" t="str">
            <v>Tubo de PVC NBR 5648 diâmetro 50 mm, fornecimento e assentamento</v>
          </cell>
          <cell r="C702" t="str">
            <v>m</v>
          </cell>
          <cell r="D702" t="str">
            <v>15,36</v>
          </cell>
          <cell r="E702">
            <v>0</v>
          </cell>
        </row>
        <row r="703">
          <cell r="A703">
            <v>41123</v>
          </cell>
          <cell r="B703" t="str">
            <v>Tubo de PVC NBR 5648 diâmetro 75 mm, fornecimento e assentamento</v>
          </cell>
          <cell r="C703" t="str">
            <v>m</v>
          </cell>
          <cell r="D703" t="str">
            <v>22,46</v>
          </cell>
          <cell r="E703">
            <v>0</v>
          </cell>
        </row>
        <row r="704">
          <cell r="A704">
            <v>41126</v>
          </cell>
          <cell r="B704" t="str">
            <v>Tubo de PVC PBA diâmetro 300 mm, fornecimento e assentamento</v>
          </cell>
          <cell r="C704" t="str">
            <v>m</v>
          </cell>
          <cell r="D704" t="str">
            <v>177,93</v>
          </cell>
          <cell r="E704">
            <v>0</v>
          </cell>
        </row>
        <row r="705">
          <cell r="A705">
            <v>41125</v>
          </cell>
          <cell r="B705" t="str">
            <v>Tubo de PVC rígido série R diâmetro 100 mm, fornecimento e assentamento</v>
          </cell>
          <cell r="C705" t="str">
            <v>m</v>
          </cell>
          <cell r="D705" t="str">
            <v>20,72</v>
          </cell>
          <cell r="E705">
            <v>0</v>
          </cell>
        </row>
        <row r="706">
          <cell r="A706">
            <v>41119</v>
          </cell>
          <cell r="B706" t="str">
            <v>Tubo irrifort agropecuário diâmetro 32 mm, fornecimento e assentamento</v>
          </cell>
          <cell r="C706" t="str">
            <v>m</v>
          </cell>
          <cell r="D706" t="str">
            <v>5,75</v>
          </cell>
          <cell r="E706">
            <v>0</v>
          </cell>
        </row>
        <row r="707">
          <cell r="A707">
            <v>41114</v>
          </cell>
          <cell r="B707" t="str">
            <v>Tubo para irrigação linha fixa PN40 50 mm, fornecimento e assentamento</v>
          </cell>
          <cell r="C707" t="str">
            <v>m</v>
          </cell>
          <cell r="D707" t="str">
            <v>7,36</v>
          </cell>
          <cell r="E707">
            <v>0</v>
          </cell>
        </row>
        <row r="708">
          <cell r="A708">
            <v>41127</v>
          </cell>
          <cell r="B708" t="str">
            <v>Tubo PVC PBA diâmetro 150 mm, fornecimento e assentamento</v>
          </cell>
          <cell r="C708" t="str">
            <v>m</v>
          </cell>
          <cell r="D708" t="str">
            <v>32,73</v>
          </cell>
          <cell r="E708">
            <v>0</v>
          </cell>
        </row>
        <row r="709">
          <cell r="A709">
            <v>40707</v>
          </cell>
          <cell r="B709" t="str">
            <v>Tubos de ferro fundido diâmetro 0,90 m, assentamento</v>
          </cell>
          <cell r="C709" t="str">
            <v>m</v>
          </cell>
          <cell r="D709" t="str">
            <v>215,00</v>
          </cell>
          <cell r="E709" t="str">
            <v>A incluir</v>
          </cell>
        </row>
        <row r="710">
          <cell r="A710">
            <v>41118</v>
          </cell>
          <cell r="B710" t="str">
            <v>Tubos para irrigação Linha fixa PN40, diâmetro 75 mm, fornecimento e assentamento</v>
          </cell>
          <cell r="C710" t="str">
            <v>m</v>
          </cell>
          <cell r="D710" t="str">
            <v>10,70</v>
          </cell>
          <cell r="E710">
            <v>0</v>
          </cell>
        </row>
        <row r="711">
          <cell r="A711">
            <v>40702</v>
          </cell>
          <cell r="B711" t="str">
            <v>Valeta de pedra argamassada VPAR</v>
          </cell>
          <cell r="C711" t="str">
            <v>m³</v>
          </cell>
          <cell r="D711" t="str">
            <v>304,64</v>
          </cell>
          <cell r="E711" t="str">
            <v>A incluir</v>
          </cell>
        </row>
        <row r="712">
          <cell r="A712">
            <v>40701</v>
          </cell>
          <cell r="B712" t="str">
            <v>Valeta de pedra jogada VPJ, inclusive transporte da pedra</v>
          </cell>
          <cell r="C712" t="str">
            <v>m³</v>
          </cell>
          <cell r="D712" t="str">
            <v>129,98</v>
          </cell>
          <cell r="E712" t="str">
            <v>A incluir</v>
          </cell>
        </row>
        <row r="713">
          <cell r="A713">
            <v>40698</v>
          </cell>
          <cell r="B713" t="str">
            <v>Valeta de proteção de aterro enleivada (VPA-01 DNIT)</v>
          </cell>
          <cell r="C713" t="str">
            <v>m</v>
          </cell>
          <cell r="D713" t="str">
            <v>68,53</v>
          </cell>
          <cell r="E713" t="str">
            <v>A incluir</v>
          </cell>
        </row>
        <row r="714">
          <cell r="A714">
            <v>40700</v>
          </cell>
          <cell r="B714" t="str">
            <v>Valeta de proteção de aterro revestida em concreto (VPA-03 DNIT)</v>
          </cell>
          <cell r="C714" t="str">
            <v>m</v>
          </cell>
          <cell r="D714" t="str">
            <v>82,91</v>
          </cell>
          <cell r="E714" t="str">
            <v>A incluir</v>
          </cell>
        </row>
        <row r="715">
          <cell r="A715">
            <v>40696</v>
          </cell>
          <cell r="B715" t="str">
            <v>Valeta de proteção de aterro VPA 02 (revestida em concreto)</v>
          </cell>
          <cell r="C715" t="str">
            <v>m</v>
          </cell>
          <cell r="D715" t="str">
            <v>159,35</v>
          </cell>
          <cell r="E715" t="str">
            <v>A incluir</v>
          </cell>
        </row>
        <row r="716">
          <cell r="A716">
            <v>40695</v>
          </cell>
          <cell r="B716" t="str">
            <v>Valeta de proteção de aterro VPA-01 (escavação)</v>
          </cell>
          <cell r="C716" t="str">
            <v>m</v>
          </cell>
          <cell r="D716" t="str">
            <v>50,19</v>
          </cell>
          <cell r="E716">
            <v>0</v>
          </cell>
        </row>
        <row r="717">
          <cell r="A717">
            <v>40692</v>
          </cell>
          <cell r="B717" t="str">
            <v>Valeta de proteção de corte - desobstrução e limpeza</v>
          </cell>
          <cell r="C717" t="str">
            <v>m</v>
          </cell>
          <cell r="D717" t="str">
            <v>2,80</v>
          </cell>
          <cell r="E717">
            <v>0</v>
          </cell>
        </row>
        <row r="718">
          <cell r="A718">
            <v>40697</v>
          </cell>
          <cell r="B718" t="str">
            <v>Valeta de proteção de corte enleivada (VPC-01 DNIT)</v>
          </cell>
          <cell r="C718" t="str">
            <v>m</v>
          </cell>
          <cell r="D718" t="str">
            <v>67,12</v>
          </cell>
          <cell r="E718" t="str">
            <v>A incluir</v>
          </cell>
        </row>
        <row r="719">
          <cell r="A719">
            <v>40699</v>
          </cell>
          <cell r="B719" t="str">
            <v>Valeta de proteção de corte revestida em concreto VPC-03</v>
          </cell>
          <cell r="C719" t="str">
            <v>m</v>
          </cell>
          <cell r="D719" t="str">
            <v>185,05</v>
          </cell>
          <cell r="E719" t="str">
            <v>A incluir</v>
          </cell>
        </row>
        <row r="720">
          <cell r="A720">
            <v>40693</v>
          </cell>
          <cell r="B720" t="str">
            <v>Valeta de proteção de corte VPC-01 (escavação)</v>
          </cell>
          <cell r="C720" t="str">
            <v>m</v>
          </cell>
          <cell r="D720" t="str">
            <v>27,17</v>
          </cell>
          <cell r="E720">
            <v>0</v>
          </cell>
        </row>
        <row r="721">
          <cell r="A721">
            <v>40694</v>
          </cell>
          <cell r="B721" t="str">
            <v>Valeta de proteção de corte VPC-02 (revestida em grama)</v>
          </cell>
          <cell r="C721" t="str">
            <v>m</v>
          </cell>
          <cell r="D721" t="str">
            <v>55,98</v>
          </cell>
          <cell r="E721" t="str">
            <v>A incluir</v>
          </cell>
        </row>
        <row r="722">
          <cell r="A722">
            <v>0</v>
          </cell>
          <cell r="B722">
            <v>0</v>
          </cell>
          <cell r="C722">
            <v>0</v>
          </cell>
          <cell r="D722">
            <v>0</v>
          </cell>
          <cell r="E722" t="e">
            <v>#N/A</v>
          </cell>
        </row>
        <row r="723">
          <cell r="A723" t="str">
            <v>Grupo de Serviço: 4 - MATERIAL BETUMINOSO</v>
          </cell>
          <cell r="B723">
            <v>0</v>
          </cell>
          <cell r="C723">
            <v>0</v>
          </cell>
          <cell r="E723" t="e">
            <v>#N/A</v>
          </cell>
        </row>
        <row r="724">
          <cell r="A724">
            <v>40972</v>
          </cell>
          <cell r="B724" t="str">
            <v>Bonificação de 20,93% sobre Materiais Betuminosos</v>
          </cell>
          <cell r="C724" t="str">
            <v>%</v>
          </cell>
          <cell r="D724" t="str">
            <v>0,00</v>
          </cell>
          <cell r="E724">
            <v>0</v>
          </cell>
        </row>
        <row r="725">
          <cell r="A725">
            <v>41405</v>
          </cell>
          <cell r="B725" t="str">
            <v>CAP FLEX 60/85, fornecimento</v>
          </cell>
          <cell r="C725" t="str">
            <v>t</v>
          </cell>
          <cell r="D725" t="str">
            <v>1.782,44</v>
          </cell>
          <cell r="E725">
            <v>0</v>
          </cell>
        </row>
        <row r="726">
          <cell r="A726">
            <v>41360</v>
          </cell>
          <cell r="B726" t="str">
            <v>CAP-50/70, fornecimento</v>
          </cell>
          <cell r="C726" t="str">
            <v>t</v>
          </cell>
          <cell r="D726" t="str">
            <v>1.307,23</v>
          </cell>
          <cell r="E726">
            <v>0</v>
          </cell>
        </row>
        <row r="727">
          <cell r="A727">
            <v>40968</v>
          </cell>
          <cell r="B727" t="str">
            <v>CM-30, fornecimento</v>
          </cell>
          <cell r="C727" t="str">
            <v>t</v>
          </cell>
          <cell r="D727" t="str">
            <v>2.099,09</v>
          </cell>
          <cell r="E727">
            <v>0</v>
          </cell>
        </row>
        <row r="728">
          <cell r="A728">
            <v>40976</v>
          </cell>
          <cell r="B728" t="str">
            <v>Dope, fornecimento</v>
          </cell>
          <cell r="C728" t="str">
            <v>t</v>
          </cell>
          <cell r="D728" t="str">
            <v>32.630,00</v>
          </cell>
          <cell r="E728">
            <v>0</v>
          </cell>
        </row>
        <row r="729">
          <cell r="A729">
            <v>42545</v>
          </cell>
          <cell r="B729" t="str">
            <v>Emulsão RL-1C- FLEX (Emulflex RL-1C-E), fornecimento</v>
          </cell>
          <cell r="C729" t="str">
            <v>t</v>
          </cell>
          <cell r="D729" t="str">
            <v>1.428,00</v>
          </cell>
          <cell r="E729">
            <v>0</v>
          </cell>
        </row>
        <row r="730">
          <cell r="A730">
            <v>40974</v>
          </cell>
          <cell r="B730" t="str">
            <v>Emulsão RM-1C, fornecimento</v>
          </cell>
          <cell r="C730" t="str">
            <v>t</v>
          </cell>
          <cell r="D730" t="str">
            <v>1.209,01</v>
          </cell>
          <cell r="E730">
            <v>0</v>
          </cell>
        </row>
        <row r="731">
          <cell r="A731">
            <v>40978</v>
          </cell>
          <cell r="B731" t="str">
            <v>Emulsão RR-1C FLEX (Emulflex RR-1C-E,) fornecimento</v>
          </cell>
          <cell r="C731" t="str">
            <v>t</v>
          </cell>
          <cell r="D731" t="str">
            <v>1.783,21</v>
          </cell>
          <cell r="E731">
            <v>0</v>
          </cell>
        </row>
        <row r="732">
          <cell r="A732">
            <v>40975</v>
          </cell>
          <cell r="B732" t="str">
            <v>Emulsão RR-1C, fornecimento</v>
          </cell>
          <cell r="C732" t="str">
            <v>t</v>
          </cell>
          <cell r="D732" t="str">
            <v>1.016,32</v>
          </cell>
          <cell r="E732">
            <v>0</v>
          </cell>
        </row>
        <row r="733">
          <cell r="A733">
            <v>40969</v>
          </cell>
          <cell r="B733" t="str">
            <v>Emulsão RR-2C, fornecimento</v>
          </cell>
          <cell r="C733" t="str">
            <v>t</v>
          </cell>
          <cell r="D733" t="str">
            <v>1.070,41</v>
          </cell>
          <cell r="E733">
            <v>0</v>
          </cell>
        </row>
        <row r="734">
          <cell r="A734">
            <v>40971</v>
          </cell>
          <cell r="B734" t="str">
            <v>Emulsão RR-2C-FLEX (Emulflex RR-2C-E), fornecimento</v>
          </cell>
          <cell r="C734" t="str">
            <v>t</v>
          </cell>
          <cell r="D734" t="str">
            <v>1.508,00</v>
          </cell>
          <cell r="E734">
            <v>0</v>
          </cell>
        </row>
        <row r="735">
          <cell r="A735">
            <v>0</v>
          </cell>
          <cell r="B735">
            <v>0</v>
          </cell>
          <cell r="C735">
            <v>0</v>
          </cell>
          <cell r="D735">
            <v>0</v>
          </cell>
          <cell r="E735" t="e">
            <v>#N/A</v>
          </cell>
        </row>
        <row r="736">
          <cell r="A736" t="str">
            <v>Grupo de Serviço: 5 - OBRAS COMPLEMENTARES</v>
          </cell>
          <cell r="B736">
            <v>0</v>
          </cell>
          <cell r="C736">
            <v>0</v>
          </cell>
          <cell r="E736" t="e">
            <v>#N/A</v>
          </cell>
        </row>
        <row r="737">
          <cell r="A737">
            <v>40910</v>
          </cell>
          <cell r="B737" t="str">
            <v>Abrigo de Ônibus - Rodovia Rural - 3,40 m x 6,00 m</v>
          </cell>
          <cell r="C737" t="str">
            <v>un</v>
          </cell>
          <cell r="D737" t="str">
            <v>11.172,13</v>
          </cell>
          <cell r="E737" t="str">
            <v>A incluir</v>
          </cell>
        </row>
        <row r="738">
          <cell r="A738">
            <v>0</v>
          </cell>
          <cell r="B738">
            <v>0</v>
          </cell>
          <cell r="C738">
            <v>0</v>
          </cell>
          <cell r="E738" t="e">
            <v>#N/A</v>
          </cell>
        </row>
        <row r="739">
          <cell r="A739">
            <v>41362</v>
          </cell>
          <cell r="B739" t="str">
            <v>Abrigo de Ônibus Urbano - Padrão reduzido - 2,40 x 6,00 m</v>
          </cell>
          <cell r="C739" t="str">
            <v>un</v>
          </cell>
          <cell r="D739" t="str">
            <v>10.526,72</v>
          </cell>
          <cell r="E739">
            <v>0</v>
          </cell>
        </row>
        <row r="740">
          <cell r="A740">
            <v>43343</v>
          </cell>
          <cell r="B740" t="str">
            <v>Alvenaria de tijolos cerâmicos maciços aparentes 5x10x20cm,assent.c/argam.de cimento,cal hidratada CH1 e areia no traço 1:0,5:8,juntas de 10mm e esp.</v>
          </cell>
          <cell r="C740" t="str">
            <v>m²</v>
          </cell>
          <cell r="D740" t="str">
            <v>150,68</v>
          </cell>
          <cell r="E740">
            <v>0</v>
          </cell>
        </row>
        <row r="741">
          <cell r="A741">
            <v>41151</v>
          </cell>
          <cell r="B741" t="str">
            <v>Braço galvanizado 101mm - projeção 4,70m, fornecimento e instalação</v>
          </cell>
          <cell r="C741" t="str">
            <v>un</v>
          </cell>
          <cell r="D741" t="str">
            <v>1.783,54</v>
          </cell>
          <cell r="E741">
            <v>0</v>
          </cell>
        </row>
        <row r="742">
          <cell r="A742">
            <v>41346</v>
          </cell>
          <cell r="B742" t="str">
            <v>Cabo de cobre nú, seção 35 mm², fornecimento e colocação</v>
          </cell>
          <cell r="C742" t="str">
            <v>m</v>
          </cell>
          <cell r="D742" t="str">
            <v>23,60</v>
          </cell>
          <cell r="E742">
            <v>0</v>
          </cell>
        </row>
        <row r="743">
          <cell r="A743">
            <v>41150</v>
          </cell>
          <cell r="B743" t="str">
            <v>Cabo flexível 2 x 1,5 mm², fornecimento e instalação</v>
          </cell>
          <cell r="C743" t="str">
            <v>m</v>
          </cell>
          <cell r="D743" t="str">
            <v>5,15</v>
          </cell>
          <cell r="E743">
            <v>0</v>
          </cell>
        </row>
        <row r="744">
          <cell r="A744">
            <v>41149</v>
          </cell>
          <cell r="B744" t="str">
            <v>Cabo flexível 2 x 2,5 mm², fornecimento e instalação</v>
          </cell>
          <cell r="C744" t="str">
            <v>m</v>
          </cell>
          <cell r="D744" t="str">
            <v>6,01</v>
          </cell>
          <cell r="E744">
            <v>0</v>
          </cell>
        </row>
        <row r="745">
          <cell r="A745">
            <v>41410</v>
          </cell>
          <cell r="B745" t="str">
            <v>Cabo flexível 3 x 1,5 mm², fornecimento e instalação</v>
          </cell>
          <cell r="C745" t="str">
            <v>m</v>
          </cell>
          <cell r="D745" t="str">
            <v>5,72</v>
          </cell>
          <cell r="E745">
            <v>0</v>
          </cell>
        </row>
        <row r="746">
          <cell r="A746">
            <v>41148</v>
          </cell>
          <cell r="B746" t="str">
            <v>Cabo flexível 4 x 1,5 mm², fornecimento e instalação</v>
          </cell>
          <cell r="C746" t="str">
            <v>m</v>
          </cell>
          <cell r="D746" t="str">
            <v>6,65</v>
          </cell>
          <cell r="E746">
            <v>0</v>
          </cell>
        </row>
        <row r="747">
          <cell r="A747">
            <v>41152</v>
          </cell>
          <cell r="B747" t="str">
            <v>Caixa de passagem de concreto armado de 0,40 x 0,40 x 0,40m</v>
          </cell>
          <cell r="C747" t="str">
            <v>un</v>
          </cell>
          <cell r="D747" t="str">
            <v>402,50</v>
          </cell>
          <cell r="E747">
            <v>0</v>
          </cell>
        </row>
        <row r="748">
          <cell r="A748">
            <v>41004</v>
          </cell>
          <cell r="B748" t="str">
            <v>Caixa de passagem de eletroduto de lógica</v>
          </cell>
          <cell r="C748" t="str">
            <v>un</v>
          </cell>
          <cell r="D748" t="str">
            <v>844,56</v>
          </cell>
          <cell r="E748">
            <v>0</v>
          </cell>
        </row>
        <row r="749">
          <cell r="A749">
            <v>40911</v>
          </cell>
          <cell r="B749" t="str">
            <v>Calçada de concreto</v>
          </cell>
          <cell r="C749" t="str">
            <v>m²</v>
          </cell>
          <cell r="D749" t="str">
            <v>39,71</v>
          </cell>
          <cell r="E749" t="str">
            <v>A incluir</v>
          </cell>
        </row>
        <row r="750">
          <cell r="A750">
            <v>40915</v>
          </cell>
          <cell r="B750" t="str">
            <v>Calçada de concreto fck-&gt;15 MP, camurçado c/ argam. cimento e areia 1:4, lastro de brita e 8 cm de concreto, incl. preparo da caixa e transp. da brita</v>
          </cell>
          <cell r="C750" t="str">
            <v>m²</v>
          </cell>
          <cell r="D750" t="str">
            <v>89,92</v>
          </cell>
          <cell r="E750" t="str">
            <v>A incluir</v>
          </cell>
        </row>
        <row r="751">
          <cell r="A751">
            <v>40899</v>
          </cell>
          <cell r="B751" t="str">
            <v>Cerca de arame farpado 4 fios com mourões a cada 2,0 m, esticadores de madeira, a cada 20,0 m, inclusive transporte de mourão e arame farpado)</v>
          </cell>
          <cell r="C751" t="str">
            <v>m</v>
          </cell>
          <cell r="D751" t="str">
            <v>14,37</v>
          </cell>
          <cell r="E751" t="str">
            <v>A incluir</v>
          </cell>
        </row>
        <row r="752">
          <cell r="A752">
            <v>40900</v>
          </cell>
          <cell r="B752" t="str">
            <v>Cerca de arame farpado 4 fios com mourões a cada 1,0 m, esticadores de madeira, a cada 20,0 m, inclusive transporte de mourão e arame farpado</v>
          </cell>
          <cell r="C752" t="str">
            <v>m</v>
          </cell>
          <cell r="D752" t="str">
            <v>20,14</v>
          </cell>
          <cell r="E752" t="str">
            <v>A incluir</v>
          </cell>
        </row>
        <row r="753">
          <cell r="A753">
            <v>41365</v>
          </cell>
          <cell r="B753" t="str">
            <v>Cerca de arame farpado 4 fios com mourões, a cada 2,5 m, esticadores de madeira a cada 60,0m, inclusive transporte de arame farpado e mourão</v>
          </cell>
          <cell r="C753" t="str">
            <v>m</v>
          </cell>
          <cell r="D753" t="str">
            <v>16,32</v>
          </cell>
          <cell r="E753" t="str">
            <v>A incluir</v>
          </cell>
        </row>
        <row r="754">
          <cell r="A754">
            <v>41110</v>
          </cell>
          <cell r="B754" t="str">
            <v>Cerca de arame farpado 4 fios com mourões a cada 3,0 metros e sem esticadores, inclusive transporte de arame e mourão</v>
          </cell>
          <cell r="C754" t="str">
            <v>m</v>
          </cell>
          <cell r="D754" t="str">
            <v>14,02</v>
          </cell>
          <cell r="E754" t="str">
            <v>A incluir</v>
          </cell>
        </row>
        <row r="755">
          <cell r="A755">
            <v>40903</v>
          </cell>
          <cell r="B755" t="str">
            <v>Cerca de arame farpado 4 fios com postes cada 2,5 m, esticadores de concreto a cada 25,0 m</v>
          </cell>
          <cell r="C755" t="str">
            <v>m</v>
          </cell>
          <cell r="D755" t="str">
            <v>18,83</v>
          </cell>
          <cell r="E755" t="str">
            <v>A incluir</v>
          </cell>
        </row>
        <row r="756">
          <cell r="A756">
            <v>40904</v>
          </cell>
          <cell r="B756" t="str">
            <v>Cerca de arame farpado 8 fios com postes concreto 10 x 10 x 220 cm, a cada 1,5 m</v>
          </cell>
          <cell r="C756" t="str">
            <v>m</v>
          </cell>
          <cell r="D756" t="str">
            <v>39,86</v>
          </cell>
          <cell r="E756" t="str">
            <v>A incluir</v>
          </cell>
        </row>
        <row r="757">
          <cell r="A757">
            <v>40905</v>
          </cell>
          <cell r="B757" t="str">
            <v>Cerca de arame farpado 8 fios com postes triangulares 10 x 200 cm, a cada 2,5 m, mourão de concreto 10 x 10 x 220 cm, a cada 50,0 m</v>
          </cell>
          <cell r="C757" t="str">
            <v>m</v>
          </cell>
          <cell r="D757" t="str">
            <v>20,66</v>
          </cell>
          <cell r="E757" t="str">
            <v>A incluir</v>
          </cell>
        </row>
        <row r="758">
          <cell r="A758">
            <v>43330</v>
          </cell>
          <cell r="B758" t="str">
            <v>Cerca de arame farpado,4 fios ,mourões de madeira a cada 2,5 m e esticadores de concreto/madeira a cada 40m</v>
          </cell>
          <cell r="C758" t="str">
            <v>m</v>
          </cell>
          <cell r="D758" t="str">
            <v>25,47</v>
          </cell>
          <cell r="E758" t="str">
            <v>A incluir</v>
          </cell>
        </row>
        <row r="759">
          <cell r="A759">
            <v>40901</v>
          </cell>
          <cell r="B759" t="str">
            <v>Cerca de arame liso 4 fios com mourões cada 2,0 m, esticadores de madeira, a cada 20,0 m, inclusive transporte de mourão e arame liso</v>
          </cell>
          <cell r="C759" t="str">
            <v>m</v>
          </cell>
          <cell r="D759" t="str">
            <v>13,71</v>
          </cell>
          <cell r="E759" t="str">
            <v>A incluir</v>
          </cell>
        </row>
        <row r="760">
          <cell r="A760">
            <v>42475</v>
          </cell>
          <cell r="B760" t="str">
            <v>Concreto estrutural fck -&gt; 10,0 MPa, inclusive transportes areia, cimento e pedra britada</v>
          </cell>
          <cell r="C760" t="str">
            <v>m³</v>
          </cell>
          <cell r="D760" t="str">
            <v>489,88</v>
          </cell>
          <cell r="E760" t="str">
            <v>A incluir</v>
          </cell>
        </row>
        <row r="761">
          <cell r="A761">
            <v>40945</v>
          </cell>
          <cell r="B761" t="str">
            <v>Corrimão em eucalipto tratado</v>
          </cell>
          <cell r="C761" t="str">
            <v>m</v>
          </cell>
          <cell r="D761" t="str">
            <v>51,95</v>
          </cell>
          <cell r="E761" t="str">
            <v>A incluir</v>
          </cell>
        </row>
        <row r="762">
          <cell r="A762">
            <v>41109</v>
          </cell>
          <cell r="B762" t="str">
            <v>Demolição de cerca de madeira com 4 fios</v>
          </cell>
          <cell r="C762" t="str">
            <v>m</v>
          </cell>
          <cell r="D762" t="str">
            <v>2,13</v>
          </cell>
          <cell r="E762">
            <v>0</v>
          </cell>
        </row>
        <row r="763">
          <cell r="A763">
            <v>40164</v>
          </cell>
          <cell r="B763" t="str">
            <v>Demolição de edificações</v>
          </cell>
          <cell r="C763" t="str">
            <v>m²</v>
          </cell>
          <cell r="D763" t="str">
            <v>35,89</v>
          </cell>
          <cell r="E763">
            <v>0</v>
          </cell>
        </row>
        <row r="764">
          <cell r="A764">
            <v>40944</v>
          </cell>
          <cell r="B764" t="str">
            <v>Descida d'água em madeira e pedra de mão, tudo incluído</v>
          </cell>
          <cell r="C764" t="str">
            <v>m</v>
          </cell>
          <cell r="D764" t="str">
            <v>466,83</v>
          </cell>
          <cell r="E764" t="str">
            <v>A incluir</v>
          </cell>
        </row>
        <row r="765">
          <cell r="A765">
            <v>40902</v>
          </cell>
          <cell r="B765" t="str">
            <v>Deslocamento de cerca de madeira com 4 fios de arame</v>
          </cell>
          <cell r="C765" t="str">
            <v>m</v>
          </cell>
          <cell r="D765" t="str">
            <v>3,82</v>
          </cell>
          <cell r="E765">
            <v>0</v>
          </cell>
        </row>
        <row r="766">
          <cell r="A766">
            <v>41344</v>
          </cell>
          <cell r="B766" t="str">
            <v>Eletroduto de aço galv. 1 1/4" inclusive abertura e fechamento de rasgos em alvenaria, e luvas</v>
          </cell>
          <cell r="C766" t="str">
            <v>m</v>
          </cell>
          <cell r="D766" t="str">
            <v>61,75</v>
          </cell>
          <cell r="E766">
            <v>0</v>
          </cell>
        </row>
        <row r="767">
          <cell r="A767">
            <v>41345</v>
          </cell>
          <cell r="B767" t="str">
            <v>Eletroduto de PVC diâmetro de 4", fornecimento e instalação</v>
          </cell>
          <cell r="C767" t="str">
            <v>m</v>
          </cell>
          <cell r="D767" t="str">
            <v>90,37</v>
          </cell>
          <cell r="E767">
            <v>0</v>
          </cell>
        </row>
        <row r="768">
          <cell r="A768">
            <v>41242</v>
          </cell>
          <cell r="B768" t="str">
            <v>Estrutura de madeira para telha cerâmica ancorada em laje ou alvenaria</v>
          </cell>
          <cell r="C768" t="str">
            <v>m²</v>
          </cell>
          <cell r="D768" t="str">
            <v>69,50</v>
          </cell>
          <cell r="E768">
            <v>0</v>
          </cell>
        </row>
        <row r="769">
          <cell r="A769">
            <v>42476</v>
          </cell>
          <cell r="B769" t="str">
            <v>Fita isolante em rolo de 19 mm x 20 m, número 33 Scoth ou equivalente</v>
          </cell>
          <cell r="C769" t="str">
            <v>un</v>
          </cell>
          <cell r="D769" t="str">
            <v>34,26</v>
          </cell>
          <cell r="E769">
            <v>0</v>
          </cell>
        </row>
        <row r="770">
          <cell r="A770">
            <v>41136</v>
          </cell>
          <cell r="B770" t="str">
            <v>Haste cobreada para aterramento diâmetro 5/8" x 2,4m ( fornecimento e instalação)</v>
          </cell>
          <cell r="C770" t="str">
            <v>un</v>
          </cell>
          <cell r="D770" t="str">
            <v>111,00</v>
          </cell>
          <cell r="E770">
            <v>0</v>
          </cell>
        </row>
        <row r="771">
          <cell r="A771">
            <v>41135</v>
          </cell>
          <cell r="B771" t="str">
            <v>Isolador de Porcelana tipo roldana com rack 3 x 16, instalação</v>
          </cell>
          <cell r="C771" t="str">
            <v>un</v>
          </cell>
          <cell r="D771" t="str">
            <v>76,84</v>
          </cell>
          <cell r="E771">
            <v>0</v>
          </cell>
        </row>
        <row r="772">
          <cell r="A772">
            <v>40912</v>
          </cell>
          <cell r="B772" t="str">
            <v>Ladrilho hidráulico (argamassa cimento e areia 1:4), fornecimento e assentamento</v>
          </cell>
          <cell r="C772" t="str">
            <v>m²</v>
          </cell>
          <cell r="D772" t="str">
            <v>81,82</v>
          </cell>
          <cell r="E772" t="str">
            <v>A incluir</v>
          </cell>
        </row>
        <row r="773">
          <cell r="A773">
            <v>40908</v>
          </cell>
          <cell r="B773" t="str">
            <v>Mata-burro</v>
          </cell>
          <cell r="C773" t="str">
            <v>un</v>
          </cell>
          <cell r="D773" t="str">
            <v>7.337,26</v>
          </cell>
          <cell r="E773" t="str">
            <v>A incluir</v>
          </cell>
        </row>
        <row r="774">
          <cell r="A774">
            <v>40907</v>
          </cell>
          <cell r="B774" t="str">
            <v>Passagem de gado (boca)</v>
          </cell>
          <cell r="C774" t="str">
            <v>un</v>
          </cell>
          <cell r="D774" t="str">
            <v>12.416,16</v>
          </cell>
          <cell r="E774" t="str">
            <v>A incluir</v>
          </cell>
        </row>
        <row r="775">
          <cell r="A775">
            <v>40906</v>
          </cell>
          <cell r="B775" t="str">
            <v>Passagem de gado (sem guarda corpo)</v>
          </cell>
          <cell r="C775" t="str">
            <v>m</v>
          </cell>
          <cell r="D775" t="str">
            <v>3.591,38</v>
          </cell>
          <cell r="E775">
            <v>0</v>
          </cell>
        </row>
        <row r="776">
          <cell r="A776">
            <v>41240</v>
          </cell>
          <cell r="B776" t="str">
            <v>Passeio em concreto, largura 2,00m, acabamento em ladrilho hidráulico podotátil (L-&gt;0,40m)</v>
          </cell>
          <cell r="C776" t="str">
            <v>m²</v>
          </cell>
          <cell r="D776" t="str">
            <v>71,76</v>
          </cell>
          <cell r="E776" t="str">
            <v>A incluir</v>
          </cell>
        </row>
        <row r="777">
          <cell r="A777">
            <v>40946</v>
          </cell>
          <cell r="B777" t="str">
            <v>Passeio pavimentado em blocos de concreto esp.-&gt;6cm, colorido, resistência 35 MPa, colchão de areia 5cm, inclusive transporte dos blocos e da areia</v>
          </cell>
          <cell r="C777" t="str">
            <v>m²</v>
          </cell>
          <cell r="D777" t="str">
            <v>84,62</v>
          </cell>
          <cell r="E777" t="str">
            <v>A incluir</v>
          </cell>
        </row>
        <row r="778">
          <cell r="A778">
            <v>40942</v>
          </cell>
          <cell r="B778" t="str">
            <v>Pavimentação com pedra de mão (pé de moleque) argamassada</v>
          </cell>
          <cell r="C778" t="str">
            <v>m²</v>
          </cell>
          <cell r="D778" t="str">
            <v>33,25</v>
          </cell>
          <cell r="E778" t="str">
            <v>A incluir</v>
          </cell>
        </row>
        <row r="779">
          <cell r="A779">
            <v>41245</v>
          </cell>
          <cell r="B779" t="str">
            <v>Pintura com tinta a óleo em esquadria de ferros duas demãos</v>
          </cell>
          <cell r="C779" t="str">
            <v>m²</v>
          </cell>
          <cell r="D779" t="str">
            <v>34,55</v>
          </cell>
          <cell r="E779">
            <v>0</v>
          </cell>
        </row>
        <row r="780">
          <cell r="A780">
            <v>41404</v>
          </cell>
          <cell r="B780" t="str">
            <v>Pintura em estrutura metálica com tinta epoxídica inclusive primer</v>
          </cell>
          <cell r="C780" t="str">
            <v>m²</v>
          </cell>
          <cell r="D780" t="str">
            <v>32,66</v>
          </cell>
          <cell r="E780">
            <v>0</v>
          </cell>
        </row>
        <row r="781">
          <cell r="A781">
            <v>41244</v>
          </cell>
          <cell r="B781" t="str">
            <v>Pintura em látex acrílica em parede externa, sem massa corrida, três demãos</v>
          </cell>
          <cell r="C781" t="str">
            <v>m²</v>
          </cell>
          <cell r="D781" t="str">
            <v>20,13</v>
          </cell>
          <cell r="E781">
            <v>0</v>
          </cell>
        </row>
        <row r="782">
          <cell r="A782">
            <v>43328</v>
          </cell>
          <cell r="B782" t="str">
            <v>Pintura logomarca DER-ES em mourões de concreto ( baixo relevo )</v>
          </cell>
          <cell r="C782" t="str">
            <v>un</v>
          </cell>
          <cell r="D782" t="str">
            <v>9,94</v>
          </cell>
          <cell r="E782">
            <v>0</v>
          </cell>
        </row>
        <row r="783">
          <cell r="A783">
            <v>40909</v>
          </cell>
          <cell r="B783" t="str">
            <v>Porteira, confecção e colocação, inclusive fornecimento e transporte da madeira e chapa de aço</v>
          </cell>
          <cell r="C783" t="str">
            <v>un</v>
          </cell>
          <cell r="D783" t="str">
            <v>2.468,85</v>
          </cell>
          <cell r="E783" t="str">
            <v>A incluir</v>
          </cell>
        </row>
        <row r="784">
          <cell r="A784">
            <v>41237</v>
          </cell>
          <cell r="B784" t="str">
            <v>Poste de iluminação urbana com luminária tipo chapeú chinês</v>
          </cell>
          <cell r="C784" t="str">
            <v>un</v>
          </cell>
          <cell r="D784" t="str">
            <v>1.579,96</v>
          </cell>
          <cell r="E784" t="str">
            <v>A incluir</v>
          </cell>
        </row>
        <row r="785">
          <cell r="A785">
            <v>41140</v>
          </cell>
          <cell r="B785" t="str">
            <v>Poste galvanizado 101mm simples, fornecimento e instalação</v>
          </cell>
          <cell r="C785" t="str">
            <v>un</v>
          </cell>
          <cell r="D785" t="str">
            <v>1.123,63</v>
          </cell>
          <cell r="E785">
            <v>0</v>
          </cell>
        </row>
        <row r="786">
          <cell r="A786">
            <v>41139</v>
          </cell>
          <cell r="B786" t="str">
            <v>Poste galvanizado 114 mm - 1boca, fornecimento e instalação</v>
          </cell>
          <cell r="C786" t="str">
            <v>un</v>
          </cell>
          <cell r="D786" t="str">
            <v>1.632,89</v>
          </cell>
          <cell r="E786">
            <v>0</v>
          </cell>
        </row>
        <row r="787">
          <cell r="A787">
            <v>41138</v>
          </cell>
          <cell r="B787" t="str">
            <v>Poste galvanizado 114mm - 2 bocas, fornecimento e instalação</v>
          </cell>
          <cell r="C787" t="str">
            <v>un</v>
          </cell>
          <cell r="D787" t="str">
            <v>1.820,91</v>
          </cell>
          <cell r="E787">
            <v>0</v>
          </cell>
        </row>
        <row r="788">
          <cell r="A788">
            <v>41246</v>
          </cell>
          <cell r="B788" t="str">
            <v>Rampa de pedestres, com piso em ladrilho hidráulico podotátil</v>
          </cell>
          <cell r="C788" t="str">
            <v>m</v>
          </cell>
          <cell r="D788" t="str">
            <v>43,87</v>
          </cell>
          <cell r="E788" t="str">
            <v>A incluir</v>
          </cell>
        </row>
        <row r="789">
          <cell r="A789">
            <v>40943</v>
          </cell>
          <cell r="B789" t="str">
            <v>Rampa em pedra de mão (pé de moleque) argamassada e travada</v>
          </cell>
          <cell r="C789" t="str">
            <v>m</v>
          </cell>
          <cell r="D789" t="str">
            <v>40,58</v>
          </cell>
          <cell r="E789" t="str">
            <v>A incluir</v>
          </cell>
        </row>
        <row r="790">
          <cell r="A790">
            <v>40922</v>
          </cell>
          <cell r="B790" t="str">
            <v>Remoção de camada vegetal</v>
          </cell>
          <cell r="C790" t="str">
            <v>m³</v>
          </cell>
          <cell r="D790" t="str">
            <v>4,45</v>
          </cell>
          <cell r="E790">
            <v>0</v>
          </cell>
        </row>
        <row r="791">
          <cell r="A791">
            <v>40914</v>
          </cell>
          <cell r="B791" t="str">
            <v>Retirada de Defensa Metálica</v>
          </cell>
          <cell r="C791" t="str">
            <v>m</v>
          </cell>
          <cell r="D791" t="str">
            <v>13,58</v>
          </cell>
          <cell r="E791" t="str">
            <v>A incluir</v>
          </cell>
        </row>
        <row r="792">
          <cell r="A792">
            <v>40913</v>
          </cell>
          <cell r="B792" t="str">
            <v>Retirada e recolocação de alambrado</v>
          </cell>
          <cell r="C792" t="str">
            <v>m</v>
          </cell>
          <cell r="D792" t="str">
            <v>91,51</v>
          </cell>
          <cell r="E792">
            <v>0</v>
          </cell>
        </row>
        <row r="793">
          <cell r="A793">
            <v>41191</v>
          </cell>
          <cell r="B793" t="str">
            <v>Sistema cercamento tipo Gradil Nylofor 3DPintura Simples (preto, verde ou branco), # 50x200m, fio 5,0mm, L-&gt;2,50m, H-&gt;2,03m, incl. forn./chumb. postes</v>
          </cell>
          <cell r="C793" t="str">
            <v>m</v>
          </cell>
          <cell r="D793" t="str">
            <v>301,96</v>
          </cell>
          <cell r="E793" t="str">
            <v>A incluir</v>
          </cell>
        </row>
        <row r="794">
          <cell r="A794">
            <v>40947</v>
          </cell>
          <cell r="B794" t="str">
            <v>Sumidouro cilíndrico pré-moldado diam. 2,00m com 5 anéis inclusive escavação</v>
          </cell>
          <cell r="C794" t="str">
            <v>un</v>
          </cell>
          <cell r="D794" t="str">
            <v>3.003,63</v>
          </cell>
          <cell r="E794" t="str">
            <v>A incluir</v>
          </cell>
        </row>
        <row r="795">
          <cell r="A795">
            <v>43329</v>
          </cell>
          <cell r="B795" t="str">
            <v>Suporte de concreto armado ( 15x15x280 ) com logomarca pintada em baixo relevo</v>
          </cell>
          <cell r="C795" t="str">
            <v>un</v>
          </cell>
          <cell r="D795" t="str">
            <v>170,15</v>
          </cell>
          <cell r="E795" t="str">
            <v>A incluir</v>
          </cell>
        </row>
        <row r="796">
          <cell r="A796">
            <v>0</v>
          </cell>
          <cell r="B796">
            <v>0</v>
          </cell>
          <cell r="C796">
            <v>0</v>
          </cell>
          <cell r="E796" t="e">
            <v>#N/A</v>
          </cell>
        </row>
        <row r="797">
          <cell r="A797">
            <v>42050</v>
          </cell>
          <cell r="B797" t="str">
            <v>Tela de aço galvanizado ,em malha hexagonal de dupla torção, tipo 8,0cm x 10,0cm, com fios de diâmetro 2,7mm, tudo incluído, fornecimento e execução</v>
          </cell>
          <cell r="C797" t="str">
            <v>m²</v>
          </cell>
          <cell r="D797" t="str">
            <v>89,30</v>
          </cell>
          <cell r="E797" t="str">
            <v>A incluir</v>
          </cell>
        </row>
        <row r="798">
          <cell r="A798">
            <v>0</v>
          </cell>
          <cell r="B798">
            <v>0</v>
          </cell>
          <cell r="C798">
            <v>0</v>
          </cell>
          <cell r="E798" t="e">
            <v>#N/A</v>
          </cell>
        </row>
        <row r="799">
          <cell r="A799" t="str">
            <v>Grupo de Serviço: 8 - SERVIÇOS AMBIENTAIS</v>
          </cell>
          <cell r="B799">
            <v>0</v>
          </cell>
          <cell r="C799">
            <v>0</v>
          </cell>
          <cell r="E799" t="e">
            <v>#N/A</v>
          </cell>
        </row>
        <row r="800">
          <cell r="A800">
            <v>42203</v>
          </cell>
          <cell r="B800" t="str">
            <v>Arborização para paisagismo ( mudas viveiro de espera) com altura maior que 150 cm</v>
          </cell>
          <cell r="C800" t="str">
            <v>un</v>
          </cell>
          <cell r="D800" t="str">
            <v>106,40</v>
          </cell>
          <cell r="E800" t="str">
            <v>A incluir</v>
          </cell>
        </row>
        <row r="801">
          <cell r="A801">
            <v>42202</v>
          </cell>
          <cell r="B801" t="str">
            <v>Arborização para paisagismo (mudas viveiro de espera) com altura até 150 cm</v>
          </cell>
          <cell r="C801" t="str">
            <v>un</v>
          </cell>
          <cell r="D801" t="str">
            <v>85,33</v>
          </cell>
          <cell r="E801" t="str">
            <v>A incluir</v>
          </cell>
        </row>
        <row r="802">
          <cell r="A802">
            <v>42041</v>
          </cell>
          <cell r="B802" t="str">
            <v>Barreira de Siltagem com escoras de eucalipto, diâm. 0,10m e a altura 1,60m, espaçadas a cada 2,0 m, 1 reaproveitamento</v>
          </cell>
          <cell r="C802" t="str">
            <v>m</v>
          </cell>
          <cell r="D802" t="str">
            <v>20,45</v>
          </cell>
          <cell r="E802" t="str">
            <v>A incluir</v>
          </cell>
        </row>
        <row r="803">
          <cell r="A803">
            <v>42199</v>
          </cell>
          <cell r="B803" t="str">
            <v>Conformação manual de taludes</v>
          </cell>
          <cell r="C803" t="str">
            <v>m²</v>
          </cell>
          <cell r="D803" t="str">
            <v>1,29</v>
          </cell>
          <cell r="E803">
            <v>0</v>
          </cell>
        </row>
        <row r="804">
          <cell r="A804">
            <v>42210</v>
          </cell>
          <cell r="B804" t="str">
            <v>Grama em placas em taludes com estacas de madeira, fornecimento e plantio</v>
          </cell>
          <cell r="C804" t="str">
            <v>m²</v>
          </cell>
          <cell r="D804" t="str">
            <v>18,23</v>
          </cell>
          <cell r="E804" t="str">
            <v>A incluir</v>
          </cell>
        </row>
        <row r="805">
          <cell r="A805">
            <v>42206</v>
          </cell>
          <cell r="B805" t="str">
            <v>Grama em placas, fornecimento e plantio (sem fixação com estacas)</v>
          </cell>
          <cell r="C805" t="str">
            <v>m²</v>
          </cell>
          <cell r="D805" t="str">
            <v>14,19</v>
          </cell>
          <cell r="E805" t="str">
            <v>A incluir</v>
          </cell>
        </row>
        <row r="806">
          <cell r="A806">
            <v>42208</v>
          </cell>
          <cell r="B806" t="str">
            <v>Gramínea em leiva, extração</v>
          </cell>
          <cell r="C806" t="str">
            <v>m²</v>
          </cell>
          <cell r="D806" t="str">
            <v>1,52</v>
          </cell>
          <cell r="E806">
            <v>0</v>
          </cell>
        </row>
        <row r="807">
          <cell r="A807">
            <v>42209</v>
          </cell>
          <cell r="B807" t="str">
            <v>Gramínea em leiva, extração, plantio e transporte</v>
          </cell>
          <cell r="C807" t="str">
            <v>m²</v>
          </cell>
          <cell r="D807" t="str">
            <v>6,75</v>
          </cell>
          <cell r="E807" t="str">
            <v>A incluir</v>
          </cell>
        </row>
        <row r="808">
          <cell r="A808">
            <v>42207</v>
          </cell>
          <cell r="B808" t="str">
            <v>Gramíneas em sementes, fornecimento e plantio a lanço</v>
          </cell>
          <cell r="C808" t="str">
            <v>m²</v>
          </cell>
          <cell r="D808" t="str">
            <v>2,96</v>
          </cell>
          <cell r="E808">
            <v>0</v>
          </cell>
        </row>
        <row r="809">
          <cell r="A809">
            <v>42200</v>
          </cell>
          <cell r="B809" t="str">
            <v>Hidrossemeadura simples em taludes</v>
          </cell>
          <cell r="C809" t="str">
            <v>m²</v>
          </cell>
          <cell r="D809" t="str">
            <v>5,80</v>
          </cell>
          <cell r="E809">
            <v>0</v>
          </cell>
        </row>
        <row r="810">
          <cell r="A810">
            <v>42201</v>
          </cell>
          <cell r="B810" t="str">
            <v>Hidrossemeadura simples em terrenos planos</v>
          </cell>
          <cell r="C810" t="str">
            <v>m²</v>
          </cell>
          <cell r="D810" t="str">
            <v>4,44</v>
          </cell>
          <cell r="E810">
            <v>0</v>
          </cell>
        </row>
        <row r="811">
          <cell r="A811">
            <v>41247</v>
          </cell>
          <cell r="B811" t="str">
            <v>Recomposição de talude de corte com aterro de solo argiloso compactado, exclusive material de aterro</v>
          </cell>
          <cell r="C811" t="str">
            <v>m³</v>
          </cell>
          <cell r="D811" t="str">
            <v>49,76</v>
          </cell>
          <cell r="E811">
            <v>0</v>
          </cell>
        </row>
        <row r="812">
          <cell r="A812">
            <v>42204</v>
          </cell>
          <cell r="B812" t="str">
            <v>Reflorestamento com espécies nativas da mata atlântica, mudas em sacolas ou tubetes</v>
          </cell>
          <cell r="C812" t="str">
            <v>un</v>
          </cell>
          <cell r="D812" t="str">
            <v>31,83</v>
          </cell>
          <cell r="E812" t="str">
            <v>A incluir</v>
          </cell>
        </row>
        <row r="813">
          <cell r="A813">
            <v>42044</v>
          </cell>
          <cell r="B813" t="str">
            <v>Reunião de Comunicação Social inclusive material de consumo</v>
          </cell>
          <cell r="C813" t="str">
            <v>un</v>
          </cell>
          <cell r="D813" t="str">
            <v>4.564,14</v>
          </cell>
          <cell r="E813">
            <v>0</v>
          </cell>
        </row>
        <row r="814">
          <cell r="A814">
            <v>40102</v>
          </cell>
          <cell r="B814" t="str">
            <v>Revestimento vegetal com grama em placas, inclusive transporte de grama</v>
          </cell>
          <cell r="C814" t="str">
            <v>m²</v>
          </cell>
          <cell r="D814" t="str">
            <v>13,53</v>
          </cell>
          <cell r="E814" t="str">
            <v>A incluir</v>
          </cell>
        </row>
        <row r="815">
          <cell r="A815">
            <v>42039</v>
          </cell>
          <cell r="B815" t="str">
            <v>Revestimento vegetal por hidrossemeadura com manta de fibras vegetais</v>
          </cell>
          <cell r="C815" t="str">
            <v>m²</v>
          </cell>
          <cell r="D815" t="str">
            <v>15,58</v>
          </cell>
          <cell r="E815" t="str">
            <v>A incluir</v>
          </cell>
        </row>
        <row r="816">
          <cell r="A816">
            <v>42205</v>
          </cell>
          <cell r="B816" t="str">
            <v>Roçada para manutenção de mudas</v>
          </cell>
          <cell r="C816" t="str">
            <v>m²</v>
          </cell>
          <cell r="D816" t="str">
            <v>1,24</v>
          </cell>
          <cell r="E816">
            <v>0</v>
          </cell>
        </row>
        <row r="817">
          <cell r="A817">
            <v>0</v>
          </cell>
          <cell r="B817">
            <v>0</v>
          </cell>
          <cell r="C817">
            <v>0</v>
          </cell>
          <cell r="D817">
            <v>0</v>
          </cell>
          <cell r="E817" t="e">
            <v>#N/A</v>
          </cell>
        </row>
        <row r="818">
          <cell r="A818" t="str">
            <v>Grupo de Serviço: 10 - SINALIZAÇÃO</v>
          </cell>
          <cell r="B818">
            <v>0</v>
          </cell>
          <cell r="C818">
            <v>0</v>
          </cell>
          <cell r="E818" t="e">
            <v>#N/A</v>
          </cell>
        </row>
        <row r="819">
          <cell r="A819">
            <v>41153</v>
          </cell>
          <cell r="B819" t="str">
            <v>Abraçadeira para fixação de semáforo em braço/coluna de diâmetro 101 ou 114 mm</v>
          </cell>
          <cell r="C819" t="str">
            <v>un</v>
          </cell>
          <cell r="D819" t="str">
            <v>63,29</v>
          </cell>
          <cell r="E819">
            <v>0</v>
          </cell>
        </row>
        <row r="820">
          <cell r="A820">
            <v>41409</v>
          </cell>
          <cell r="B820" t="str">
            <v>Anteparo 3 x 300 mm, fornecimento e instalação</v>
          </cell>
          <cell r="C820" t="str">
            <v>un</v>
          </cell>
          <cell r="D820" t="str">
            <v>310,20</v>
          </cell>
          <cell r="E820">
            <v>0</v>
          </cell>
        </row>
        <row r="821">
          <cell r="A821">
            <v>40928</v>
          </cell>
          <cell r="B821" t="str">
            <v>Balizador de concreto ( fornecimento e assentamento )</v>
          </cell>
          <cell r="C821" t="str">
            <v>un</v>
          </cell>
          <cell r="D821" t="str">
            <v>37,41</v>
          </cell>
          <cell r="E821" t="str">
            <v>A incluir</v>
          </cell>
        </row>
        <row r="822">
          <cell r="A822">
            <v>41408</v>
          </cell>
          <cell r="B822" t="str">
            <v>Botoeira com sinal sonoro, fornecimento e instalação</v>
          </cell>
          <cell r="C822" t="str">
            <v>un</v>
          </cell>
          <cell r="D822" t="str">
            <v>2.819,95</v>
          </cell>
          <cell r="E822">
            <v>0</v>
          </cell>
        </row>
        <row r="823">
          <cell r="A823">
            <v>41147</v>
          </cell>
          <cell r="B823" t="str">
            <v>Cabos para rede de dados (sincronismo) blindado 2 x 20 awg, fornecimento e instalação</v>
          </cell>
          <cell r="C823" t="str">
            <v>m</v>
          </cell>
          <cell r="D823" t="str">
            <v>8,25</v>
          </cell>
          <cell r="E823">
            <v>0</v>
          </cell>
        </row>
        <row r="824">
          <cell r="A824">
            <v>42046</v>
          </cell>
          <cell r="B824" t="str">
            <v>Cones para sinalização, fornecimento e colocação</v>
          </cell>
          <cell r="C824" t="str">
            <v>un</v>
          </cell>
          <cell r="D824" t="str">
            <v>16,48</v>
          </cell>
          <cell r="E824">
            <v>0</v>
          </cell>
        </row>
        <row r="825">
          <cell r="A825">
            <v>41407</v>
          </cell>
          <cell r="B825" t="str">
            <v>Controlador Eletrônico Microprocessado 4 fases, fornecimento e instalação</v>
          </cell>
          <cell r="C825" t="str">
            <v>un</v>
          </cell>
          <cell r="D825" t="str">
            <v>14.820,36</v>
          </cell>
          <cell r="E825">
            <v>0</v>
          </cell>
        </row>
        <row r="826">
          <cell r="A826">
            <v>41146</v>
          </cell>
          <cell r="B826" t="str">
            <v>Controlador Eletrônico Microprocessado 6/6 fases, fornecimento e instalação</v>
          </cell>
          <cell r="C826" t="str">
            <v>un</v>
          </cell>
          <cell r="D826" t="str">
            <v>15.857,26</v>
          </cell>
          <cell r="E826">
            <v>0</v>
          </cell>
        </row>
        <row r="827">
          <cell r="A827">
            <v>41017</v>
          </cell>
          <cell r="B827" t="str">
            <v>Defensa de concreto tipo New Jersey, fornecimento e colocação</v>
          </cell>
          <cell r="C827" t="str">
            <v>m</v>
          </cell>
          <cell r="D827" t="str">
            <v>429,68</v>
          </cell>
          <cell r="E827">
            <v>0</v>
          </cell>
        </row>
        <row r="828">
          <cell r="A828">
            <v>40929</v>
          </cell>
          <cell r="B828" t="str">
            <v>Defensa metálica (1 lâmina com espessura -&gt; 3 mm), fornecimento e colocação</v>
          </cell>
          <cell r="C828" t="str">
            <v>m</v>
          </cell>
          <cell r="D828" t="str">
            <v>246,08</v>
          </cell>
          <cell r="E828" t="str">
            <v>A incluir</v>
          </cell>
        </row>
        <row r="829">
          <cell r="A829">
            <v>41203</v>
          </cell>
          <cell r="B829" t="str">
            <v>Defensa metálica (2 lâminas com espessuras -&gt; 3mm) inclusive acessórios, fornecimento e colocação</v>
          </cell>
          <cell r="C829" t="str">
            <v>m</v>
          </cell>
          <cell r="D829" t="str">
            <v>486,61</v>
          </cell>
          <cell r="E829" t="str">
            <v>A incluir</v>
          </cell>
        </row>
        <row r="830">
          <cell r="A830">
            <v>42047</v>
          </cell>
          <cell r="B830" t="str">
            <v>Elementos de madeira para sinalização - cavaletes</v>
          </cell>
          <cell r="C830" t="str">
            <v>un</v>
          </cell>
          <cell r="D830" t="str">
            <v>43,60</v>
          </cell>
          <cell r="E830">
            <v>0</v>
          </cell>
        </row>
        <row r="831">
          <cell r="A831">
            <v>41145</v>
          </cell>
          <cell r="B831" t="str">
            <v>Grupo focal gradativo (semáforo com informação de tempo), fornecimento e instalação</v>
          </cell>
          <cell r="C831" t="str">
            <v>un</v>
          </cell>
          <cell r="D831" t="str">
            <v>9.436,41</v>
          </cell>
          <cell r="E831">
            <v>0</v>
          </cell>
        </row>
        <row r="832">
          <cell r="A832">
            <v>41141</v>
          </cell>
          <cell r="B832" t="str">
            <v>Grupo focal repetidor 2x200 mm, fornecimento e instalação</v>
          </cell>
          <cell r="C832" t="str">
            <v>un</v>
          </cell>
          <cell r="D832" t="str">
            <v>1.578,03</v>
          </cell>
          <cell r="E832">
            <v>0</v>
          </cell>
        </row>
        <row r="833">
          <cell r="A833">
            <v>41142</v>
          </cell>
          <cell r="B833" t="str">
            <v>Grupo focal repetidor 3x200 mm, fornecimento e instalação</v>
          </cell>
          <cell r="C833" t="str">
            <v>un</v>
          </cell>
          <cell r="D833" t="str">
            <v>2.610,74</v>
          </cell>
          <cell r="E833">
            <v>0</v>
          </cell>
        </row>
        <row r="834">
          <cell r="A834">
            <v>41143</v>
          </cell>
          <cell r="B834" t="str">
            <v>Grupo focal repetidor 3x300 mm, fornecimento e instalação</v>
          </cell>
          <cell r="C834" t="str">
            <v>un</v>
          </cell>
          <cell r="D834" t="str">
            <v>3.568,49</v>
          </cell>
          <cell r="E834">
            <v>0</v>
          </cell>
        </row>
        <row r="835">
          <cell r="A835">
            <v>43162</v>
          </cell>
          <cell r="B835" t="str">
            <v>Ondulação transversal em CBUQ</v>
          </cell>
          <cell r="C835" t="str">
            <v>m</v>
          </cell>
          <cell r="D835" t="str">
            <v>238,54</v>
          </cell>
          <cell r="E835" t="str">
            <v>A incluir</v>
          </cell>
        </row>
        <row r="836">
          <cell r="A836">
            <v>40931</v>
          </cell>
          <cell r="B836" t="str">
            <v>Ondulação transversal em concreto</v>
          </cell>
          <cell r="C836" t="str">
            <v>m²</v>
          </cell>
          <cell r="D836" t="str">
            <v>192,86</v>
          </cell>
          <cell r="E836" t="str">
            <v>A incluir</v>
          </cell>
        </row>
        <row r="837">
          <cell r="A837">
            <v>41526</v>
          </cell>
          <cell r="B837" t="str">
            <v>Pintura acrílica sobre capa asfáltica</v>
          </cell>
          <cell r="C837" t="str">
            <v>m²</v>
          </cell>
          <cell r="D837" t="str">
            <v>9,04</v>
          </cell>
          <cell r="E837" t="str">
            <v>A incluir</v>
          </cell>
        </row>
        <row r="838">
          <cell r="A838">
            <v>42524</v>
          </cell>
          <cell r="B838" t="str">
            <v>Pintura de setas e zebrados em material termoplástico - 5 anos ( por extrusão)</v>
          </cell>
          <cell r="C838" t="str">
            <v>m²</v>
          </cell>
          <cell r="D838" t="str">
            <v>71,36</v>
          </cell>
          <cell r="E838">
            <v>0</v>
          </cell>
        </row>
        <row r="839">
          <cell r="A839">
            <v>0</v>
          </cell>
          <cell r="B839">
            <v>0</v>
          </cell>
          <cell r="C839">
            <v>0</v>
          </cell>
          <cell r="E839" t="e">
            <v>#N/A</v>
          </cell>
        </row>
        <row r="840">
          <cell r="A840">
            <v>40938</v>
          </cell>
          <cell r="B840" t="str">
            <v>Sinalização com chapa em alumínio revestida em película</v>
          </cell>
          <cell r="C840" t="str">
            <v>m²</v>
          </cell>
          <cell r="D840" t="str">
            <v>843,77</v>
          </cell>
          <cell r="E840">
            <v>0</v>
          </cell>
        </row>
        <row r="841">
          <cell r="A841">
            <v>40924</v>
          </cell>
          <cell r="B841" t="str">
            <v>Sinalização horizontal TMD-&gt;200, vida útil 2 a 3 anos, taxa-&gt;0,40 L/m²</v>
          </cell>
          <cell r="C841" t="str">
            <v>m²</v>
          </cell>
          <cell r="D841" t="str">
            <v>12,36</v>
          </cell>
          <cell r="E841" t="str">
            <v>A incluir</v>
          </cell>
        </row>
        <row r="842">
          <cell r="A842">
            <v>40925</v>
          </cell>
          <cell r="B842" t="str">
            <v>Sinalização horizontal TMD-&gt;400, vida útil 2 a 3 anos, taxa-&gt;0,60 L/m²</v>
          </cell>
          <cell r="C842" t="str">
            <v>m²</v>
          </cell>
          <cell r="D842" t="str">
            <v>16,10</v>
          </cell>
          <cell r="E842" t="str">
            <v>A incluir</v>
          </cell>
        </row>
        <row r="843">
          <cell r="A843">
            <v>40926</v>
          </cell>
          <cell r="B843" t="str">
            <v>Sinalização horizontal TMD-&gt;600, vida útil 2 a 3 anos, taxa-&gt;0,80 L/m²</v>
          </cell>
          <cell r="C843" t="str">
            <v>m²</v>
          </cell>
          <cell r="D843" t="str">
            <v>19,84</v>
          </cell>
          <cell r="E843" t="str">
            <v>A incluir</v>
          </cell>
        </row>
        <row r="844">
          <cell r="A844">
            <v>40927</v>
          </cell>
          <cell r="B844" t="str">
            <v>Sinalização horizontal TMD-&gt;600, vida útil 3 anos, taxa-&gt;3,0 kg/m² material termoplástico )</v>
          </cell>
          <cell r="C844" t="str">
            <v>m²</v>
          </cell>
          <cell r="D844" t="str">
            <v>40,13</v>
          </cell>
          <cell r="E844" t="str">
            <v>A incluir</v>
          </cell>
        </row>
        <row r="845">
          <cell r="A845">
            <v>41202</v>
          </cell>
          <cell r="B845" t="str">
            <v>Sinalização noturna ( fio com lâmpada e balde ), fornecimento e instalação</v>
          </cell>
          <cell r="C845" t="str">
            <v>m</v>
          </cell>
          <cell r="D845" t="str">
            <v>22,07</v>
          </cell>
          <cell r="E845">
            <v>0</v>
          </cell>
        </row>
        <row r="846">
          <cell r="A846">
            <v>40937</v>
          </cell>
          <cell r="B846" t="str">
            <v>Sinalização vertical com chapa em esmalte sintético</v>
          </cell>
          <cell r="C846" t="str">
            <v>m²</v>
          </cell>
          <cell r="D846" t="str">
            <v>369,95</v>
          </cell>
          <cell r="E846">
            <v>0</v>
          </cell>
        </row>
        <row r="847">
          <cell r="A847">
            <v>40939</v>
          </cell>
          <cell r="B847" t="str">
            <v>Sinalização vertical com chapa em poliéster (e-&gt;2,3mm) reforçada com fibra de vidro, inclusive suporte de madeira</v>
          </cell>
          <cell r="C847" t="str">
            <v>m²</v>
          </cell>
          <cell r="D847" t="str">
            <v>726,56</v>
          </cell>
          <cell r="E847">
            <v>0</v>
          </cell>
        </row>
        <row r="848">
          <cell r="A848">
            <v>40936</v>
          </cell>
          <cell r="B848" t="str">
            <v>Sinalização vertical com chapa revestida em película, inclusive suporte em madeira</v>
          </cell>
          <cell r="C848" t="str">
            <v>m²</v>
          </cell>
          <cell r="D848" t="str">
            <v>442,51</v>
          </cell>
          <cell r="E848">
            <v>0</v>
          </cell>
        </row>
        <row r="849">
          <cell r="A849">
            <v>40930</v>
          </cell>
          <cell r="B849" t="str">
            <v>Sonorizador</v>
          </cell>
          <cell r="C849" t="str">
            <v>m²</v>
          </cell>
          <cell r="D849" t="str">
            <v>191,33</v>
          </cell>
          <cell r="E849" t="str">
            <v>A incluir</v>
          </cell>
        </row>
        <row r="850">
          <cell r="A850">
            <v>41222</v>
          </cell>
          <cell r="B850" t="str">
            <v>Suporte de placa de sinalização vertical em madeira de 1ª qualidade, pintada, fornecimento e instalação</v>
          </cell>
          <cell r="C850" t="str">
            <v>un</v>
          </cell>
          <cell r="D850" t="str">
            <v>76,13</v>
          </cell>
          <cell r="E850">
            <v>0</v>
          </cell>
        </row>
        <row r="851">
          <cell r="A851">
            <v>40932</v>
          </cell>
          <cell r="B851" t="str">
            <v>Tacha refletiva monodirecional, fornecimento e aplicação</v>
          </cell>
          <cell r="C851" t="str">
            <v>un</v>
          </cell>
          <cell r="D851" t="str">
            <v>18,65</v>
          </cell>
          <cell r="E851">
            <v>0</v>
          </cell>
        </row>
        <row r="852">
          <cell r="A852">
            <v>40934</v>
          </cell>
          <cell r="B852" t="str">
            <v>Tacha refletiva birrefletorizada, fornecimento e aplicação</v>
          </cell>
          <cell r="C852" t="str">
            <v>un</v>
          </cell>
          <cell r="D852" t="str">
            <v>20,49</v>
          </cell>
          <cell r="E852">
            <v>0</v>
          </cell>
        </row>
        <row r="853">
          <cell r="A853">
            <v>40933</v>
          </cell>
          <cell r="B853" t="str">
            <v>Tachão refletivo monodirecional, fornecimento e aplicação</v>
          </cell>
          <cell r="C853" t="str">
            <v>un</v>
          </cell>
          <cell r="D853" t="str">
            <v>47,43</v>
          </cell>
          <cell r="E853">
            <v>0</v>
          </cell>
        </row>
        <row r="854">
          <cell r="A854">
            <v>40935</v>
          </cell>
          <cell r="B854" t="str">
            <v>Tachão refletivo birrefletorizado, fornecimento e aplicação</v>
          </cell>
          <cell r="C854" t="str">
            <v>un</v>
          </cell>
          <cell r="D854" t="str">
            <v>51,81</v>
          </cell>
          <cell r="E854">
            <v>0</v>
          </cell>
        </row>
        <row r="855">
          <cell r="A855">
            <v>41359</v>
          </cell>
          <cell r="B855" t="str">
            <v>Tela de proteção de segurança de PVC cor laranja com suporte para sinalização de obras</v>
          </cell>
          <cell r="C855" t="str">
            <v>m</v>
          </cell>
          <cell r="D855" t="str">
            <v>22,42</v>
          </cell>
          <cell r="E855" t="str">
            <v>A incluir</v>
          </cell>
        </row>
        <row r="856">
          <cell r="A856">
            <v>0</v>
          </cell>
          <cell r="B856">
            <v>0</v>
          </cell>
          <cell r="C856">
            <v>0</v>
          </cell>
          <cell r="D856">
            <v>0</v>
          </cell>
          <cell r="E856" t="e">
            <v>#N/A</v>
          </cell>
        </row>
        <row r="857">
          <cell r="A857" t="str">
            <v>Grupo de Serviço: 12 - SERVIÇOS DIVERSOS</v>
          </cell>
          <cell r="B857">
            <v>0</v>
          </cell>
          <cell r="C857">
            <v>0</v>
          </cell>
          <cell r="E857" t="e">
            <v>#N/A</v>
          </cell>
        </row>
        <row r="858">
          <cell r="A858">
            <v>42878</v>
          </cell>
          <cell r="B858" t="str">
            <v>Aluguel de automóvel VW/ Gol (flex) 1,0 ou equivalente, inclusive combustível, sem motorista</v>
          </cell>
          <cell r="C858" t="str">
            <v>mês</v>
          </cell>
          <cell r="D858" t="str">
            <v>4.102,03</v>
          </cell>
          <cell r="E858">
            <v>0</v>
          </cell>
        </row>
        <row r="859">
          <cell r="A859">
            <v>42888</v>
          </cell>
          <cell r="B859" t="str">
            <v>Aluguel mensal de automóvel utilitário inclusive combustível, exclusive motorista</v>
          </cell>
          <cell r="C859" t="str">
            <v>mês</v>
          </cell>
          <cell r="D859" t="str">
            <v>5.580,57</v>
          </cell>
          <cell r="E859">
            <v>0</v>
          </cell>
        </row>
        <row r="860">
          <cell r="A860">
            <v>0</v>
          </cell>
          <cell r="B860">
            <v>0</v>
          </cell>
          <cell r="C860">
            <v>0</v>
          </cell>
          <cell r="E860" t="e">
            <v>#N/A</v>
          </cell>
        </row>
        <row r="861">
          <cell r="A861" t="str">
            <v>Grupo de Serviço: 15 - CONSERVAÇÃO CORRETIVA ROTINEIRA</v>
          </cell>
          <cell r="B861">
            <v>0</v>
          </cell>
          <cell r="C861">
            <v>0</v>
          </cell>
          <cell r="E861" t="e">
            <v>#N/A</v>
          </cell>
        </row>
        <row r="862">
          <cell r="A862">
            <v>40981</v>
          </cell>
          <cell r="B862" t="str">
            <v>Aplicação de jato de ar comprimido para limpeza de trincas</v>
          </cell>
          <cell r="C862" t="str">
            <v>m²</v>
          </cell>
          <cell r="D862" t="str">
            <v>1,43</v>
          </cell>
          <cell r="E862">
            <v>0</v>
          </cell>
        </row>
        <row r="863">
          <cell r="A863">
            <v>40101</v>
          </cell>
          <cell r="B863" t="str">
            <v>Arborização (mudas de árvores com altura até 1,50 m)</v>
          </cell>
          <cell r="C863" t="str">
            <v>un</v>
          </cell>
          <cell r="D863" t="str">
            <v>131,92</v>
          </cell>
          <cell r="E863">
            <v>0</v>
          </cell>
        </row>
        <row r="864">
          <cell r="A864">
            <v>40110</v>
          </cell>
          <cell r="B864" t="str">
            <v>Base de solo estabilizada granulométricamente sem mistura inclusive escavação e carga</v>
          </cell>
          <cell r="C864" t="str">
            <v>m³</v>
          </cell>
          <cell r="D864" t="str">
            <v>29,07</v>
          </cell>
          <cell r="E864">
            <v>0</v>
          </cell>
        </row>
        <row r="865">
          <cell r="A865">
            <v>40137</v>
          </cell>
          <cell r="B865" t="str">
            <v>Boca de bueiro tubular em concreto ciclópico inclusive escavação, tudo incluído</v>
          </cell>
          <cell r="C865" t="str">
            <v>un</v>
          </cell>
          <cell r="D865" t="str">
            <v>1.449,84</v>
          </cell>
          <cell r="E865" t="str">
            <v>A incluir</v>
          </cell>
        </row>
        <row r="866">
          <cell r="A866">
            <v>40138</v>
          </cell>
          <cell r="B866" t="str">
            <v>Caixa coletora em concreto fck-&gt;10,0 MPa inclusive escavação, tudo incluído</v>
          </cell>
          <cell r="C866" t="str">
            <v>un</v>
          </cell>
          <cell r="D866" t="str">
            <v>2.460,50</v>
          </cell>
          <cell r="E866" t="str">
            <v>A incluir</v>
          </cell>
        </row>
        <row r="867">
          <cell r="A867">
            <v>43336</v>
          </cell>
          <cell r="B867" t="str">
            <v>Capina manual inclusive, limpeza</v>
          </cell>
          <cell r="C867" t="str">
            <v>m²</v>
          </cell>
          <cell r="D867" t="str">
            <v>1,07</v>
          </cell>
          <cell r="E867">
            <v>0</v>
          </cell>
        </row>
        <row r="868">
          <cell r="A868">
            <v>40980</v>
          </cell>
          <cell r="B868" t="str">
            <v>Carga manual de material de limpeza de galerias urbanas</v>
          </cell>
          <cell r="C868" t="str">
            <v>m³</v>
          </cell>
          <cell r="D868" t="str">
            <v>11,44</v>
          </cell>
          <cell r="E868">
            <v>0</v>
          </cell>
        </row>
        <row r="869">
          <cell r="A869">
            <v>40115</v>
          </cell>
          <cell r="B869" t="str">
            <v>CBUQ - Usinagem, aquisição e transporte dos materiais</v>
          </cell>
          <cell r="C869" t="str">
            <v>t</v>
          </cell>
          <cell r="D869" t="str">
            <v>202,32</v>
          </cell>
          <cell r="E869" t="str">
            <v>A incluir</v>
          </cell>
        </row>
        <row r="870">
          <cell r="A870">
            <v>40104</v>
          </cell>
          <cell r="B870" t="str">
            <v>Cerca com mourões de madeira, inclusive escavação e transporte de mourão e arame farpado</v>
          </cell>
          <cell r="C870" t="str">
            <v>m</v>
          </cell>
          <cell r="D870" t="str">
            <v>14,07</v>
          </cell>
          <cell r="E870" t="str">
            <v>A incluir</v>
          </cell>
        </row>
        <row r="871">
          <cell r="A871">
            <v>40143</v>
          </cell>
          <cell r="B871" t="str">
            <v>Colchão drenante de brita 1, inclusive fornecimento, espalhamento, compactação e transporte da brita</v>
          </cell>
          <cell r="C871" t="str">
            <v>m³</v>
          </cell>
          <cell r="D871" t="str">
            <v>96,34</v>
          </cell>
          <cell r="E871" t="str">
            <v>A incluir</v>
          </cell>
        </row>
        <row r="872">
          <cell r="A872">
            <v>40107</v>
          </cell>
          <cell r="B872" t="str">
            <v>Compactação de aterros 100% PN</v>
          </cell>
          <cell r="C872" t="str">
            <v>m³</v>
          </cell>
          <cell r="D872" t="str">
            <v>4,91</v>
          </cell>
          <cell r="E872">
            <v>0</v>
          </cell>
        </row>
        <row r="873">
          <cell r="A873">
            <v>40108</v>
          </cell>
          <cell r="B873" t="str">
            <v>Compactação de subleito</v>
          </cell>
          <cell r="C873" t="str">
            <v>m²</v>
          </cell>
          <cell r="D873" t="str">
            <v>2,37</v>
          </cell>
          <cell r="E873">
            <v>0</v>
          </cell>
        </row>
        <row r="874">
          <cell r="A874">
            <v>40081</v>
          </cell>
          <cell r="B874" t="str">
            <v>Conformação de taludes de corte</v>
          </cell>
          <cell r="C874" t="str">
            <v>m³</v>
          </cell>
          <cell r="D874" t="str">
            <v>7,60</v>
          </cell>
          <cell r="E874">
            <v>0</v>
          </cell>
        </row>
        <row r="875">
          <cell r="A875">
            <v>40136</v>
          </cell>
          <cell r="B875" t="str">
            <v>Corpo e berço de bueiro tubular, inclusive transporte do tubo</v>
          </cell>
          <cell r="C875" t="str">
            <v>m</v>
          </cell>
          <cell r="D875" t="str">
            <v>441,90</v>
          </cell>
          <cell r="E875" t="str">
            <v>A incluir</v>
          </cell>
        </row>
        <row r="876">
          <cell r="A876">
            <v>40096</v>
          </cell>
          <cell r="B876" t="str">
            <v>Defensas metálicas (espessura lâminas -&gt; 3 mm), inclusive fornecimento de materiais, substituição</v>
          </cell>
          <cell r="C876" t="str">
            <v>m</v>
          </cell>
          <cell r="D876" t="str">
            <v>316,24</v>
          </cell>
          <cell r="E876">
            <v>0</v>
          </cell>
        </row>
        <row r="877">
          <cell r="A877">
            <v>40134</v>
          </cell>
          <cell r="B877" t="str">
            <v>Demolição e remoção de estrutura de pavimento inclusive capa asfáltica</v>
          </cell>
          <cell r="C877" t="str">
            <v>m²</v>
          </cell>
          <cell r="D877" t="str">
            <v>4,30</v>
          </cell>
          <cell r="E877">
            <v>0</v>
          </cell>
        </row>
        <row r="878">
          <cell r="A878">
            <v>40105</v>
          </cell>
          <cell r="B878" t="str">
            <v>Desmatamento, destocamento e limpeza</v>
          </cell>
          <cell r="C878" t="str">
            <v>m²</v>
          </cell>
          <cell r="D878" t="str">
            <v>0,57</v>
          </cell>
          <cell r="E878">
            <v>0</v>
          </cell>
        </row>
        <row r="879">
          <cell r="A879">
            <v>40084</v>
          </cell>
          <cell r="B879" t="str">
            <v>Desobstrução manual de valetas</v>
          </cell>
          <cell r="C879" t="str">
            <v>m</v>
          </cell>
          <cell r="D879" t="str">
            <v>1,30</v>
          </cell>
          <cell r="E879">
            <v>0</v>
          </cell>
        </row>
        <row r="880">
          <cell r="A880">
            <v>40144</v>
          </cell>
          <cell r="B880" t="str">
            <v>Dreno profundo D-&gt;0,20 m com enchimento brita e areia, tudo incluído</v>
          </cell>
          <cell r="C880" t="str">
            <v>m</v>
          </cell>
          <cell r="D880" t="str">
            <v>125,97</v>
          </cell>
          <cell r="E880" t="str">
            <v>A incluir</v>
          </cell>
        </row>
        <row r="881">
          <cell r="A881">
            <v>40106</v>
          </cell>
          <cell r="B881" t="str">
            <v>Escavação, carga e transporte de material de 1º categoria</v>
          </cell>
          <cell r="C881" t="str">
            <v>m³</v>
          </cell>
          <cell r="D881" t="str">
            <v>9,22</v>
          </cell>
          <cell r="E881" t="str">
            <v>A incluir</v>
          </cell>
        </row>
        <row r="882">
          <cell r="A882">
            <v>40135</v>
          </cell>
          <cell r="B882" t="str">
            <v>Fresagem de pavimento asfáltico à frio, inclusive transporte do material</v>
          </cell>
          <cell r="C882" t="str">
            <v>m²</v>
          </cell>
          <cell r="D882" t="str">
            <v>10,29</v>
          </cell>
          <cell r="E882">
            <v>0</v>
          </cell>
        </row>
        <row r="883">
          <cell r="A883">
            <v>40111</v>
          </cell>
          <cell r="B883" t="str">
            <v>Imprimação inclusive fornecimento e transporte do CM-30</v>
          </cell>
          <cell r="C883" t="str">
            <v>m²</v>
          </cell>
          <cell r="D883" t="str">
            <v>4,10</v>
          </cell>
          <cell r="E883" t="str">
            <v>A incluir</v>
          </cell>
        </row>
        <row r="884">
          <cell r="A884">
            <v>40126</v>
          </cell>
          <cell r="B884" t="str">
            <v>Lama asfáltica (faixa I - ISSA) (tudo incluído)</v>
          </cell>
          <cell r="C884" t="str">
            <v>m²</v>
          </cell>
          <cell r="D884" t="str">
            <v>2,60</v>
          </cell>
          <cell r="E884" t="str">
            <v>A incluir</v>
          </cell>
        </row>
        <row r="885">
          <cell r="A885">
            <v>40127</v>
          </cell>
          <cell r="B885" t="str">
            <v>Lama asfáltica (faixa II - ISSA) (tudo incluído)</v>
          </cell>
          <cell r="C885" t="str">
            <v>m²</v>
          </cell>
          <cell r="D885" t="str">
            <v>3,47</v>
          </cell>
          <cell r="E885" t="str">
            <v>A incluir</v>
          </cell>
        </row>
        <row r="886">
          <cell r="A886">
            <v>40128</v>
          </cell>
          <cell r="B886" t="str">
            <v>Lama asfáltica (faixa III - ISSA) (tudo incluído)</v>
          </cell>
          <cell r="C886" t="str">
            <v>m²</v>
          </cell>
          <cell r="D886" t="str">
            <v>4,48</v>
          </cell>
          <cell r="E886" t="str">
            <v>A incluir</v>
          </cell>
        </row>
        <row r="887">
          <cell r="A887">
            <v>40129</v>
          </cell>
          <cell r="B887" t="str">
            <v>Lama asfáltica (faixa IV - ISSA) (tudo incluído)</v>
          </cell>
          <cell r="C887" t="str">
            <v>m²</v>
          </cell>
          <cell r="D887" t="str">
            <v>5,91</v>
          </cell>
          <cell r="E887" t="str">
            <v>A incluir</v>
          </cell>
        </row>
        <row r="888">
          <cell r="A888">
            <v>40085</v>
          </cell>
          <cell r="B888" t="str">
            <v>Limpeza de sarjeta e meio-fio</v>
          </cell>
          <cell r="C888" t="str">
            <v>m</v>
          </cell>
          <cell r="D888" t="str">
            <v>0,98</v>
          </cell>
          <cell r="E888">
            <v>0</v>
          </cell>
        </row>
        <row r="889">
          <cell r="A889">
            <v>40086</v>
          </cell>
          <cell r="B889" t="str">
            <v>Limpeza e desobstrução de bueiros</v>
          </cell>
          <cell r="C889" t="str">
            <v>m</v>
          </cell>
          <cell r="D889" t="str">
            <v>22,80</v>
          </cell>
          <cell r="E889">
            <v>0</v>
          </cell>
        </row>
        <row r="890">
          <cell r="A890">
            <v>40087</v>
          </cell>
          <cell r="B890" t="str">
            <v>Limpeza e desobstrução de caixa coletora</v>
          </cell>
          <cell r="C890" t="str">
            <v>un</v>
          </cell>
          <cell r="D890" t="str">
            <v>85,97</v>
          </cell>
          <cell r="E890">
            <v>0</v>
          </cell>
        </row>
        <row r="891">
          <cell r="A891">
            <v>40983</v>
          </cell>
          <cell r="B891" t="str">
            <v>Limpeza e desobstrução de rede de drenagem, utilizando caminhão equipado com conjunto de alta pressão e sucção</v>
          </cell>
          <cell r="C891" t="str">
            <v>m</v>
          </cell>
          <cell r="D891" t="str">
            <v>7,62</v>
          </cell>
          <cell r="E891">
            <v>0</v>
          </cell>
        </row>
        <row r="892">
          <cell r="A892">
            <v>40100</v>
          </cell>
          <cell r="B892" t="str">
            <v>Limpeza e pintura de guarda-corpo</v>
          </cell>
          <cell r="C892" t="str">
            <v>m</v>
          </cell>
          <cell r="D892" t="str">
            <v>71,40</v>
          </cell>
          <cell r="E892">
            <v>0</v>
          </cell>
        </row>
        <row r="893">
          <cell r="A893">
            <v>40141</v>
          </cell>
          <cell r="B893" t="str">
            <v>Meio-fio pré-moldado em concreto, inclusive caiação e transporte do meio-fio</v>
          </cell>
          <cell r="C893" t="str">
            <v>m</v>
          </cell>
          <cell r="D893" t="str">
            <v>45,65</v>
          </cell>
          <cell r="E893" t="str">
            <v>A incluir</v>
          </cell>
        </row>
        <row r="894">
          <cell r="A894">
            <v>40118</v>
          </cell>
          <cell r="B894" t="str">
            <v>Obturação de buracos com CBUQ (tudo incluído)</v>
          </cell>
          <cell r="C894" t="str">
            <v>m²</v>
          </cell>
          <cell r="D894" t="str">
            <v>52,60</v>
          </cell>
          <cell r="E894" t="str">
            <v>A incluir</v>
          </cell>
        </row>
        <row r="895">
          <cell r="A895">
            <v>40116</v>
          </cell>
          <cell r="B895" t="str">
            <v>Obturação de buracos com PMF (tudo incluído)</v>
          </cell>
          <cell r="C895" t="str">
            <v>m²</v>
          </cell>
          <cell r="D895" t="str">
            <v>47,97</v>
          </cell>
          <cell r="E895" t="str">
            <v>A incluir</v>
          </cell>
        </row>
        <row r="896">
          <cell r="A896">
            <v>40117</v>
          </cell>
          <cell r="B896" t="str">
            <v>Obturação de buracos com PMF usinado pelo DER-ES (tudo incluído)</v>
          </cell>
          <cell r="C896" t="str">
            <v>m²</v>
          </cell>
          <cell r="D896" t="str">
            <v>33,34</v>
          </cell>
          <cell r="E896" t="str">
            <v>A incluir</v>
          </cell>
        </row>
        <row r="897">
          <cell r="A897">
            <v>40148</v>
          </cell>
          <cell r="B897" t="str">
            <v>Pintura de dispositivos de drenagem</v>
          </cell>
          <cell r="C897" t="str">
            <v>m</v>
          </cell>
          <cell r="D897" t="str">
            <v>2,54</v>
          </cell>
          <cell r="E897">
            <v>0</v>
          </cell>
        </row>
        <row r="898">
          <cell r="A898">
            <v>40112</v>
          </cell>
          <cell r="B898" t="str">
            <v>Pintura de ligação, inclusive fornecimento e transporte da emulsão</v>
          </cell>
          <cell r="C898" t="str">
            <v>m²</v>
          </cell>
          <cell r="D898" t="str">
            <v>1,62</v>
          </cell>
          <cell r="E898" t="str">
            <v>A incluir</v>
          </cell>
        </row>
        <row r="899">
          <cell r="A899">
            <v>40149</v>
          </cell>
          <cell r="B899" t="str">
            <v>Pintura de pontes a base de cal</v>
          </cell>
          <cell r="C899" t="str">
            <v>m²</v>
          </cell>
          <cell r="D899" t="str">
            <v>5,25</v>
          </cell>
          <cell r="E899">
            <v>0</v>
          </cell>
        </row>
        <row r="900">
          <cell r="A900">
            <v>40094</v>
          </cell>
          <cell r="B900" t="str">
            <v>Placas de sinalização, assentamento</v>
          </cell>
          <cell r="C900" t="str">
            <v>m²</v>
          </cell>
          <cell r="D900" t="str">
            <v>69,61</v>
          </cell>
          <cell r="E900">
            <v>0</v>
          </cell>
        </row>
        <row r="901">
          <cell r="A901">
            <v>40095</v>
          </cell>
          <cell r="B901" t="str">
            <v>Placas de sinalização, inclusive materiais, substituição</v>
          </cell>
          <cell r="C901" t="str">
            <v>m²</v>
          </cell>
          <cell r="D901" t="str">
            <v>476,70</v>
          </cell>
          <cell r="E901" t="str">
            <v>A incluir</v>
          </cell>
        </row>
        <row r="902">
          <cell r="A902">
            <v>40114</v>
          </cell>
          <cell r="B902" t="str">
            <v>PMF - Usinagem, aquisição e transportes dos materiais</v>
          </cell>
          <cell r="C902" t="str">
            <v>t</v>
          </cell>
          <cell r="D902" t="str">
            <v>166,32</v>
          </cell>
          <cell r="E902" t="str">
            <v>A incluir</v>
          </cell>
        </row>
        <row r="903">
          <cell r="A903">
            <v>40130</v>
          </cell>
          <cell r="B903" t="str">
            <v>Recomposição de revestimento c/ CBUQ - Inclusive fornecimento e transporte dos materiais</v>
          </cell>
          <cell r="C903" t="str">
            <v>t</v>
          </cell>
          <cell r="D903" t="str">
            <v>220,87</v>
          </cell>
          <cell r="E903" t="str">
            <v>A incluir</v>
          </cell>
        </row>
        <row r="904">
          <cell r="A904">
            <v>40131</v>
          </cell>
          <cell r="B904" t="str">
            <v>Recomposição de revestimento c/ PMF - Inclusive fornecimento e transporte dos materiais</v>
          </cell>
          <cell r="C904" t="str">
            <v>t</v>
          </cell>
          <cell r="D904" t="str">
            <v>183,02</v>
          </cell>
          <cell r="E904" t="str">
            <v>A incluir</v>
          </cell>
        </row>
        <row r="905">
          <cell r="A905">
            <v>40083</v>
          </cell>
          <cell r="B905" t="str">
            <v>Recomposição de revestimento primário (tudo incluído)</v>
          </cell>
          <cell r="C905" t="str">
            <v>m²</v>
          </cell>
          <cell r="D905" t="str">
            <v>2,30</v>
          </cell>
          <cell r="E905" t="str">
            <v>A incluir</v>
          </cell>
        </row>
        <row r="906">
          <cell r="A906">
            <v>40079</v>
          </cell>
          <cell r="B906" t="str">
            <v>Recomposição mecânica de aterros</v>
          </cell>
          <cell r="C906" t="str">
            <v>m³</v>
          </cell>
          <cell r="D906" t="str">
            <v>20,09</v>
          </cell>
          <cell r="E906" t="str">
            <v>A incluir</v>
          </cell>
        </row>
        <row r="907">
          <cell r="A907">
            <v>40082</v>
          </cell>
          <cell r="B907" t="str">
            <v>Reconformação mecânica de plataforma (patrolamento)</v>
          </cell>
          <cell r="C907" t="str">
            <v>m²</v>
          </cell>
          <cell r="D907" t="str">
            <v>0,09</v>
          </cell>
          <cell r="E907">
            <v>0</v>
          </cell>
        </row>
        <row r="908">
          <cell r="A908">
            <v>40119</v>
          </cell>
          <cell r="B908" t="str">
            <v>Remendo com massa asfáltica fria (tudo incluído)</v>
          </cell>
          <cell r="C908" t="str">
            <v>m²</v>
          </cell>
          <cell r="D908" t="str">
            <v>23,30</v>
          </cell>
          <cell r="E908" t="str">
            <v>A incluir</v>
          </cell>
        </row>
        <row r="909">
          <cell r="A909">
            <v>40122</v>
          </cell>
          <cell r="B909" t="str">
            <v>Remendo com massa asfáltica fria (tudo incluído)</v>
          </cell>
          <cell r="C909" t="str">
            <v>t</v>
          </cell>
          <cell r="D909" t="str">
            <v>263,87</v>
          </cell>
          <cell r="E909" t="str">
            <v>A incluir</v>
          </cell>
        </row>
        <row r="910">
          <cell r="A910">
            <v>40120</v>
          </cell>
          <cell r="B910" t="str">
            <v>Remendo com massa asfáltica fria usinada pelo DER-ES (tudo incluído)</v>
          </cell>
          <cell r="C910" t="str">
            <v>m²</v>
          </cell>
          <cell r="D910" t="str">
            <v>8,67</v>
          </cell>
          <cell r="E910" t="str">
            <v>A incluir</v>
          </cell>
        </row>
        <row r="911">
          <cell r="A911">
            <v>40121</v>
          </cell>
          <cell r="B911" t="str">
            <v>Remendo com massa asfáltica quente (tudo incluído)</v>
          </cell>
          <cell r="C911" t="str">
            <v>m²</v>
          </cell>
          <cell r="D911" t="str">
            <v>27,93</v>
          </cell>
          <cell r="E911" t="str">
            <v>A incluir</v>
          </cell>
        </row>
        <row r="912">
          <cell r="A912">
            <v>40123</v>
          </cell>
          <cell r="B912" t="str">
            <v>Remendo com massa asfáltica quente (tudo incluído)</v>
          </cell>
          <cell r="C912" t="str">
            <v>t</v>
          </cell>
          <cell r="D912" t="str">
            <v>295,54</v>
          </cell>
          <cell r="E912" t="str">
            <v>A incluir</v>
          </cell>
        </row>
        <row r="913">
          <cell r="A913">
            <v>40080</v>
          </cell>
          <cell r="B913" t="str">
            <v>Remoção mecânica de barreiras</v>
          </cell>
          <cell r="C913" t="str">
            <v>m³</v>
          </cell>
          <cell r="D913" t="str">
            <v>1,43</v>
          </cell>
          <cell r="E913" t="str">
            <v>A incluir</v>
          </cell>
        </row>
        <row r="914">
          <cell r="A914">
            <v>40089</v>
          </cell>
          <cell r="B914" t="str">
            <v>Reparo de bueiros celulares (inclusive boca)</v>
          </cell>
          <cell r="C914" t="str">
            <v>un</v>
          </cell>
          <cell r="D914" t="str">
            <v>1.631,35</v>
          </cell>
          <cell r="E914" t="str">
            <v>A incluir</v>
          </cell>
        </row>
        <row r="915">
          <cell r="A915">
            <v>40088</v>
          </cell>
          <cell r="B915" t="str">
            <v>Reparo de bueiros tubulares</v>
          </cell>
          <cell r="C915" t="str">
            <v>un</v>
          </cell>
          <cell r="D915" t="str">
            <v>653,11</v>
          </cell>
          <cell r="E915" t="str">
            <v>A incluir</v>
          </cell>
        </row>
        <row r="916">
          <cell r="A916">
            <v>40092</v>
          </cell>
          <cell r="B916" t="str">
            <v>Reparo de caixa coletora</v>
          </cell>
          <cell r="C916" t="str">
            <v>un</v>
          </cell>
          <cell r="D916" t="str">
            <v>259,58</v>
          </cell>
          <cell r="E916" t="str">
            <v>A incluir</v>
          </cell>
        </row>
        <row r="917">
          <cell r="A917">
            <v>40078</v>
          </cell>
          <cell r="B917" t="str">
            <v>Reparo de cerca ( substituição de mourões, grampo e arame farpado), inclusive transportes de todos os materiais</v>
          </cell>
          <cell r="C917" t="str">
            <v>m</v>
          </cell>
          <cell r="D917" t="str">
            <v>6,39</v>
          </cell>
          <cell r="E917" t="str">
            <v>A incluir</v>
          </cell>
        </row>
        <row r="918">
          <cell r="A918">
            <v>40097</v>
          </cell>
          <cell r="B918" t="str">
            <v>Reparo de guarda-corpo</v>
          </cell>
          <cell r="C918" t="str">
            <v>m</v>
          </cell>
          <cell r="D918" t="str">
            <v>99,72</v>
          </cell>
          <cell r="E918">
            <v>0</v>
          </cell>
        </row>
        <row r="919">
          <cell r="A919">
            <v>40090</v>
          </cell>
          <cell r="B919" t="str">
            <v>Reparo de meio-fio, inclusive caiação</v>
          </cell>
          <cell r="C919" t="str">
            <v>m</v>
          </cell>
          <cell r="D919" t="str">
            <v>26,44</v>
          </cell>
          <cell r="E919" t="str">
            <v>A incluir</v>
          </cell>
        </row>
        <row r="920">
          <cell r="A920">
            <v>40099</v>
          </cell>
          <cell r="B920" t="str">
            <v>Reparo de muros de arrimo</v>
          </cell>
          <cell r="C920" t="str">
            <v>m³</v>
          </cell>
          <cell r="D920" t="str">
            <v>638,80</v>
          </cell>
          <cell r="E920" t="str">
            <v>A incluir</v>
          </cell>
        </row>
        <row r="921">
          <cell r="A921">
            <v>40091</v>
          </cell>
          <cell r="B921" t="str">
            <v>Reparo de sarjeta, inclusive caiação</v>
          </cell>
          <cell r="C921" t="str">
            <v>m</v>
          </cell>
          <cell r="D921" t="str">
            <v>35,73</v>
          </cell>
          <cell r="E921" t="str">
            <v>A incluir</v>
          </cell>
        </row>
        <row r="922">
          <cell r="A922">
            <v>40093</v>
          </cell>
          <cell r="B922" t="str">
            <v>Retirada de placas de sinalização</v>
          </cell>
          <cell r="C922" t="str">
            <v>m²</v>
          </cell>
          <cell r="D922" t="str">
            <v>63,62</v>
          </cell>
          <cell r="E922">
            <v>0</v>
          </cell>
        </row>
        <row r="923">
          <cell r="A923">
            <v>43353</v>
          </cell>
          <cell r="B923" t="str">
            <v>Roçada manual com roçadeira costal, ferramentas manuais, inclusive limpeza e remoção com retroescavadeira (conservação)</v>
          </cell>
          <cell r="C923" t="str">
            <v>m²</v>
          </cell>
          <cell r="D923" t="str">
            <v>0,54</v>
          </cell>
          <cell r="E923">
            <v>0</v>
          </cell>
        </row>
        <row r="924">
          <cell r="A924">
            <v>43337</v>
          </cell>
          <cell r="B924" t="str">
            <v>Roçada manual com roçadeira costal, ferramentas manuais, inclusive limpeza manual (conservação)</v>
          </cell>
          <cell r="C924" t="str">
            <v>m²</v>
          </cell>
          <cell r="D924" t="str">
            <v>0,46</v>
          </cell>
          <cell r="E924">
            <v>0</v>
          </cell>
        </row>
        <row r="925">
          <cell r="A925">
            <v>40077</v>
          </cell>
          <cell r="B925" t="str">
            <v>Roçada mecanizada</v>
          </cell>
          <cell r="C925" t="str">
            <v>m²</v>
          </cell>
          <cell r="D925" t="str">
            <v>0,16</v>
          </cell>
          <cell r="E925">
            <v>0</v>
          </cell>
        </row>
        <row r="926">
          <cell r="A926">
            <v>40142</v>
          </cell>
          <cell r="B926" t="str">
            <v>Sarjeta em concreto fck-&gt;10,0 MPa inclusive caiação, tudo incluído</v>
          </cell>
          <cell r="C926" t="str">
            <v>m</v>
          </cell>
          <cell r="D926" t="str">
            <v>81,84</v>
          </cell>
          <cell r="E926" t="str">
            <v>A incluir</v>
          </cell>
        </row>
        <row r="927">
          <cell r="A927">
            <v>40124</v>
          </cell>
          <cell r="B927" t="str">
            <v>Selagem de trincas, inclusive transporte de areia e emulsão</v>
          </cell>
          <cell r="C927" t="str">
            <v>m²</v>
          </cell>
          <cell r="D927" t="str">
            <v>6,81</v>
          </cell>
          <cell r="E927" t="str">
            <v>A incluir</v>
          </cell>
        </row>
        <row r="928">
          <cell r="A928">
            <v>40146</v>
          </cell>
          <cell r="B928" t="str">
            <v>Sinalização horizontal - taxa 0,6 l/m², tudo incluído</v>
          </cell>
          <cell r="C928" t="str">
            <v>m²</v>
          </cell>
          <cell r="D928" t="str">
            <v>15,46</v>
          </cell>
          <cell r="E928" t="str">
            <v>A incluir</v>
          </cell>
        </row>
        <row r="929">
          <cell r="A929">
            <v>40145</v>
          </cell>
          <cell r="B929" t="str">
            <v>Sinalização vertical, inclusive transporte de placa sinalização e madeira</v>
          </cell>
          <cell r="C929" t="str">
            <v>m²</v>
          </cell>
          <cell r="D929" t="str">
            <v>403,74</v>
          </cell>
          <cell r="E929" t="str">
            <v>A incluir</v>
          </cell>
        </row>
        <row r="930">
          <cell r="A930">
            <v>40109</v>
          </cell>
          <cell r="B930" t="str">
            <v>Sub-base de solo estabilizada granulométricamente sem mistura inclusive escavação e carga</v>
          </cell>
          <cell r="C930" t="str">
            <v>m³</v>
          </cell>
          <cell r="D930" t="str">
            <v>25,58</v>
          </cell>
          <cell r="E930">
            <v>0</v>
          </cell>
        </row>
        <row r="931">
          <cell r="A931">
            <v>40125</v>
          </cell>
          <cell r="B931" t="str">
            <v>Tapa-panela, inclusive transporte de material de 1ª categoria</v>
          </cell>
          <cell r="C931" t="str">
            <v>m²</v>
          </cell>
          <cell r="D931" t="str">
            <v>10,02</v>
          </cell>
          <cell r="E931" t="str">
            <v>A incluir</v>
          </cell>
        </row>
        <row r="932">
          <cell r="A932">
            <v>0</v>
          </cell>
          <cell r="B932">
            <v>0</v>
          </cell>
          <cell r="C932">
            <v>0</v>
          </cell>
          <cell r="D932">
            <v>0</v>
          </cell>
          <cell r="E932" t="e">
            <v>#N/A</v>
          </cell>
        </row>
        <row r="933">
          <cell r="A933">
            <v>40113</v>
          </cell>
          <cell r="B933" t="str">
            <v>TSD - Tratamento superficial duplo incl. transporte dos materiais</v>
          </cell>
          <cell r="C933" t="str">
            <v>m²</v>
          </cell>
          <cell r="D933" t="str">
            <v>10,55</v>
          </cell>
          <cell r="E933" t="str">
            <v>A incluir</v>
          </cell>
        </row>
        <row r="934">
          <cell r="A934">
            <v>0</v>
          </cell>
          <cell r="B934">
            <v>0</v>
          </cell>
          <cell r="C934">
            <v>0</v>
          </cell>
          <cell r="D934">
            <v>0</v>
          </cell>
          <cell r="E934" t="e">
            <v>#N/A</v>
          </cell>
        </row>
        <row r="935">
          <cell r="A935">
            <v>0</v>
          </cell>
          <cell r="B935">
            <v>0</v>
          </cell>
          <cell r="C935">
            <v>0</v>
          </cell>
          <cell r="D935">
            <v>0</v>
          </cell>
          <cell r="E935" t="e">
            <v>#N/A</v>
          </cell>
        </row>
        <row r="936">
          <cell r="A936">
            <v>40140</v>
          </cell>
          <cell r="B936" t="str">
            <v>Valeta em concreto fck-&gt;10,0 MPa, tudo incluído</v>
          </cell>
          <cell r="C936" t="str">
            <v>m</v>
          </cell>
          <cell r="D936" t="str">
            <v>83,48</v>
          </cell>
          <cell r="E936" t="str">
            <v>A incluir</v>
          </cell>
        </row>
        <row r="937">
          <cell r="A937">
            <v>40139</v>
          </cell>
          <cell r="B937" t="str">
            <v>Valeta não revestida</v>
          </cell>
          <cell r="C937" t="str">
            <v>m</v>
          </cell>
          <cell r="D937" t="str">
            <v>8,06</v>
          </cell>
          <cell r="E937">
            <v>0</v>
          </cell>
        </row>
        <row r="938">
          <cell r="A938">
            <v>0</v>
          </cell>
          <cell r="B938">
            <v>0</v>
          </cell>
          <cell r="C938">
            <v>0</v>
          </cell>
          <cell r="D938">
            <v>0</v>
          </cell>
          <cell r="E938" t="e">
            <v>#N/A</v>
          </cell>
        </row>
        <row r="939">
          <cell r="A939" t="str">
            <v>Grupo de Serviço: 18 - ALUGUEL DE EQUIPAMENTOS</v>
          </cell>
          <cell r="B939">
            <v>0</v>
          </cell>
          <cell r="C939">
            <v>0</v>
          </cell>
          <cell r="D939">
            <v>0</v>
          </cell>
          <cell r="E939" t="e">
            <v>#N/A</v>
          </cell>
        </row>
        <row r="940">
          <cell r="A940">
            <v>42186</v>
          </cell>
          <cell r="B940" t="str">
            <v>Aluguel mensal de barco de alumínio 4,20 m com motor 15 HP (equipamentos)</v>
          </cell>
          <cell r="C940" t="str">
            <v>mês</v>
          </cell>
          <cell r="D940" t="str">
            <v>2.356,67</v>
          </cell>
          <cell r="E940">
            <v>0</v>
          </cell>
        </row>
        <row r="941">
          <cell r="A941">
            <v>0</v>
          </cell>
          <cell r="B941">
            <v>0</v>
          </cell>
          <cell r="C941">
            <v>0</v>
          </cell>
          <cell r="D941">
            <v>0</v>
          </cell>
          <cell r="E941">
            <v>0</v>
          </cell>
        </row>
        <row r="942">
          <cell r="A942" t="str">
            <v>Grupo de Serviço: 23 - TRANSPORTE, CARGA E DESCARGA</v>
          </cell>
          <cell r="B942">
            <v>0</v>
          </cell>
          <cell r="C942">
            <v>0</v>
          </cell>
          <cell r="D942">
            <v>0</v>
          </cell>
          <cell r="E942">
            <v>0</v>
          </cell>
        </row>
        <row r="943">
          <cell r="A943">
            <v>0</v>
          </cell>
          <cell r="B943">
            <v>0</v>
          </cell>
          <cell r="C943">
            <v>0</v>
          </cell>
          <cell r="D943">
            <v>0</v>
          </cell>
          <cell r="E943">
            <v>0</v>
          </cell>
        </row>
        <row r="944">
          <cell r="A944">
            <v>0</v>
          </cell>
          <cell r="B944">
            <v>0</v>
          </cell>
          <cell r="C944">
            <v>0</v>
          </cell>
          <cell r="D944">
            <v>0</v>
          </cell>
          <cell r="E944">
            <v>0</v>
          </cell>
        </row>
        <row r="945">
          <cell r="A945">
            <v>0</v>
          </cell>
          <cell r="B945">
            <v>0</v>
          </cell>
          <cell r="C945">
            <v>0</v>
          </cell>
          <cell r="D945">
            <v>0</v>
          </cell>
          <cell r="E945">
            <v>0</v>
          </cell>
        </row>
        <row r="946">
          <cell r="A946">
            <v>0</v>
          </cell>
          <cell r="B946">
            <v>0</v>
          </cell>
          <cell r="C946">
            <v>0</v>
          </cell>
          <cell r="D946">
            <v>0</v>
          </cell>
          <cell r="E946">
            <v>0</v>
          </cell>
        </row>
        <row r="947">
          <cell r="A947">
            <v>0</v>
          </cell>
          <cell r="B947">
            <v>0</v>
          </cell>
          <cell r="C947">
            <v>0</v>
          </cell>
          <cell r="D947">
            <v>0</v>
          </cell>
          <cell r="E947">
            <v>0</v>
          </cell>
        </row>
        <row r="948">
          <cell r="A948">
            <v>0</v>
          </cell>
          <cell r="B948">
            <v>0</v>
          </cell>
          <cell r="C948">
            <v>0</v>
          </cell>
          <cell r="D948">
            <v>0</v>
          </cell>
          <cell r="E948">
            <v>0</v>
          </cell>
        </row>
        <row r="949">
          <cell r="A949">
            <v>0</v>
          </cell>
          <cell r="B949">
            <v>0</v>
          </cell>
          <cell r="C949">
            <v>0</v>
          </cell>
          <cell r="D949">
            <v>0</v>
          </cell>
          <cell r="E949">
            <v>0</v>
          </cell>
        </row>
        <row r="950">
          <cell r="A950">
            <v>0</v>
          </cell>
          <cell r="B950">
            <v>0</v>
          </cell>
          <cell r="C950">
            <v>0</v>
          </cell>
          <cell r="D950">
            <v>0</v>
          </cell>
          <cell r="E950">
            <v>0</v>
          </cell>
        </row>
        <row r="951">
          <cell r="A951">
            <v>0</v>
          </cell>
          <cell r="B951">
            <v>0</v>
          </cell>
          <cell r="C951">
            <v>0</v>
          </cell>
          <cell r="D951">
            <v>0</v>
          </cell>
          <cell r="E951">
            <v>0</v>
          </cell>
        </row>
        <row r="952">
          <cell r="A952">
            <v>0</v>
          </cell>
          <cell r="B952">
            <v>0</v>
          </cell>
          <cell r="C952">
            <v>0</v>
          </cell>
          <cell r="D952">
            <v>0</v>
          </cell>
          <cell r="E952">
            <v>0</v>
          </cell>
        </row>
        <row r="953">
          <cell r="A953">
            <v>0</v>
          </cell>
          <cell r="B953">
            <v>0</v>
          </cell>
          <cell r="C953">
            <v>0</v>
          </cell>
          <cell r="D953">
            <v>0</v>
          </cell>
          <cell r="E953">
            <v>0</v>
          </cell>
        </row>
        <row r="954">
          <cell r="A954">
            <v>0</v>
          </cell>
          <cell r="B954">
            <v>0</v>
          </cell>
          <cell r="C954">
            <v>0</v>
          </cell>
          <cell r="D954">
            <v>0</v>
          </cell>
          <cell r="E954">
            <v>0</v>
          </cell>
        </row>
        <row r="955">
          <cell r="A955">
            <v>0</v>
          </cell>
          <cell r="B955">
            <v>0</v>
          </cell>
          <cell r="C955">
            <v>0</v>
          </cell>
          <cell r="D955">
            <v>0</v>
          </cell>
          <cell r="E955">
            <v>0</v>
          </cell>
        </row>
        <row r="956">
          <cell r="A956">
            <v>0</v>
          </cell>
          <cell r="B956">
            <v>0</v>
          </cell>
          <cell r="C956">
            <v>0</v>
          </cell>
          <cell r="D956">
            <v>0</v>
          </cell>
          <cell r="E956">
            <v>0</v>
          </cell>
        </row>
        <row r="957">
          <cell r="A957">
            <v>0</v>
          </cell>
          <cell r="B957">
            <v>0</v>
          </cell>
          <cell r="C957">
            <v>0</v>
          </cell>
          <cell r="D957">
            <v>0</v>
          </cell>
          <cell r="E957">
            <v>0</v>
          </cell>
        </row>
        <row r="958">
          <cell r="A958">
            <v>0</v>
          </cell>
          <cell r="B958">
            <v>0</v>
          </cell>
          <cell r="C958">
            <v>0</v>
          </cell>
          <cell r="D958">
            <v>0</v>
          </cell>
          <cell r="E958">
            <v>0</v>
          </cell>
        </row>
        <row r="959">
          <cell r="A959">
            <v>0</v>
          </cell>
          <cell r="B959">
            <v>0</v>
          </cell>
          <cell r="C959">
            <v>0</v>
          </cell>
          <cell r="D959">
            <v>0</v>
          </cell>
          <cell r="E959">
            <v>0</v>
          </cell>
        </row>
        <row r="960">
          <cell r="A960">
            <v>0</v>
          </cell>
          <cell r="B960">
            <v>0</v>
          </cell>
          <cell r="C960">
            <v>0</v>
          </cell>
          <cell r="D960">
            <v>0</v>
          </cell>
          <cell r="E960">
            <v>0</v>
          </cell>
        </row>
        <row r="961">
          <cell r="A961" t="str">
            <v>Grupo de Serviço: 32 - INFRA E MESO-ESTRUTURA</v>
          </cell>
          <cell r="B961">
            <v>0</v>
          </cell>
          <cell r="C961">
            <v>0</v>
          </cell>
          <cell r="D961">
            <v>0</v>
          </cell>
          <cell r="E961">
            <v>0</v>
          </cell>
        </row>
        <row r="962">
          <cell r="A962">
            <v>41352</v>
          </cell>
          <cell r="B962" t="str">
            <v>Arrasamento estaca concreto D -&gt; 0,80 m com martelete pneumático</v>
          </cell>
          <cell r="C962" t="str">
            <v>un</v>
          </cell>
          <cell r="D962" t="str">
            <v>121,73</v>
          </cell>
          <cell r="E962">
            <v>0</v>
          </cell>
        </row>
        <row r="963">
          <cell r="A963">
            <v>41340</v>
          </cell>
          <cell r="B963" t="str">
            <v>Encamisamento metálico de estacas, diâmetro 380mm em chapa de 6.3mm, preenchido c/ concreto auto adensável (20MPa)</v>
          </cell>
          <cell r="C963" t="str">
            <v>m</v>
          </cell>
          <cell r="D963" t="str">
            <v>623,58</v>
          </cell>
          <cell r="E963">
            <v>0</v>
          </cell>
        </row>
        <row r="964">
          <cell r="A964">
            <v>40331</v>
          </cell>
          <cell r="B964" t="str">
            <v>Escoramento para blocos submersos, inclusive transporte da madeira</v>
          </cell>
          <cell r="C964" t="str">
            <v>m²</v>
          </cell>
          <cell r="D964" t="str">
            <v>74,58</v>
          </cell>
          <cell r="E964" t="str">
            <v>A incluir</v>
          </cell>
        </row>
        <row r="965">
          <cell r="A965">
            <v>40403</v>
          </cell>
          <cell r="B965" t="str">
            <v>Estaca de eucalipto D-&gt; 0,20 m, fornecimento, transporte, cravação e perda</v>
          </cell>
          <cell r="C965" t="str">
            <v>m</v>
          </cell>
          <cell r="D965" t="str">
            <v>150,29</v>
          </cell>
          <cell r="E965" t="str">
            <v>A incluir</v>
          </cell>
        </row>
        <row r="966">
          <cell r="A966">
            <v>40405</v>
          </cell>
          <cell r="B966" t="str">
            <v>Estaca metálica dupla exclusive fornecimento de trilhos</v>
          </cell>
          <cell r="C966" t="str">
            <v>m</v>
          </cell>
          <cell r="D966" t="str">
            <v>204,78</v>
          </cell>
          <cell r="E966">
            <v>0</v>
          </cell>
        </row>
        <row r="967">
          <cell r="A967">
            <v>40408</v>
          </cell>
          <cell r="B967" t="str">
            <v>Estaca metálica, fornecimento, transporte, perdas, solda, emenda, corte e cravação de TR- 68</v>
          </cell>
          <cell r="C967" t="str">
            <v>m</v>
          </cell>
          <cell r="D967" t="str">
            <v>404,76</v>
          </cell>
          <cell r="E967" t="str">
            <v>A incluir</v>
          </cell>
        </row>
        <row r="968">
          <cell r="A968">
            <v>40406</v>
          </cell>
          <cell r="B968" t="str">
            <v>Estaca metálica, fornecimento, transporte, perdas, solda, emenda, corte e cravação de trilho TR- 57</v>
          </cell>
          <cell r="C968" t="str">
            <v>m</v>
          </cell>
          <cell r="D968" t="str">
            <v>367,63</v>
          </cell>
          <cell r="E968" t="str">
            <v>A incluir</v>
          </cell>
        </row>
        <row r="969">
          <cell r="A969">
            <v>40407</v>
          </cell>
          <cell r="B969" t="str">
            <v>Estaca metálica, fornecimento, transporte, perdas, solda, emenda, corte e cravação de 2 TR- 57</v>
          </cell>
          <cell r="C969" t="str">
            <v>m</v>
          </cell>
          <cell r="D969" t="str">
            <v>633,73</v>
          </cell>
          <cell r="E969" t="str">
            <v>A incluir</v>
          </cell>
        </row>
        <row r="970">
          <cell r="A970">
            <v>40409</v>
          </cell>
          <cell r="B970" t="str">
            <v>Estaca metálica, fornecimento, transporte, perdas, solda, emenda, corte e cravação de 2 TR- 68</v>
          </cell>
          <cell r="C970" t="str">
            <v>m</v>
          </cell>
          <cell r="D970" t="str">
            <v>708,00</v>
          </cell>
          <cell r="E970" t="str">
            <v>A incluir</v>
          </cell>
        </row>
        <row r="971">
          <cell r="A971">
            <v>40404</v>
          </cell>
          <cell r="B971" t="str">
            <v>Estaca metálica simples exclusive fornecimento de trilhos</v>
          </cell>
          <cell r="C971" t="str">
            <v>m</v>
          </cell>
          <cell r="D971" t="str">
            <v>140,24</v>
          </cell>
          <cell r="E971">
            <v>0</v>
          </cell>
        </row>
        <row r="972">
          <cell r="A972">
            <v>42051</v>
          </cell>
          <cell r="B972" t="str">
            <v>Estaca raiz perfurada em rocha, diâm. 310mm com injeção de arg. incl. fornecimento de todos materiais</v>
          </cell>
          <cell r="C972" t="str">
            <v>m</v>
          </cell>
          <cell r="D972" t="str">
            <v>857,13</v>
          </cell>
          <cell r="E972" t="str">
            <v>A incluir</v>
          </cell>
        </row>
        <row r="973">
          <cell r="A973">
            <v>42052</v>
          </cell>
          <cell r="B973" t="str">
            <v>Estaca raiz perfurada em solo, diâm. 410mm com injeção de arg. incl. fornecimento de todos materiais</v>
          </cell>
          <cell r="C973" t="str">
            <v>m</v>
          </cell>
          <cell r="D973" t="str">
            <v>482,75</v>
          </cell>
          <cell r="E973" t="str">
            <v>A incluir</v>
          </cell>
        </row>
        <row r="974">
          <cell r="A974">
            <v>40410</v>
          </cell>
          <cell r="B974" t="str">
            <v>Estaca tipo Franki D -&gt; 520 mm</v>
          </cell>
          <cell r="C974" t="str">
            <v>m</v>
          </cell>
          <cell r="D974" t="str">
            <v>347,08</v>
          </cell>
          <cell r="E974" t="str">
            <v>A incluir</v>
          </cell>
        </row>
        <row r="975">
          <cell r="A975">
            <v>40309</v>
          </cell>
          <cell r="B975" t="str">
            <v>Formas planas de madeira sem reaproveitamento (fundações), inclusive fornecimento e transporte das madeiras</v>
          </cell>
          <cell r="C975" t="str">
            <v>m²</v>
          </cell>
          <cell r="D975" t="str">
            <v>162,06</v>
          </cell>
          <cell r="E975" t="str">
            <v>A incluir</v>
          </cell>
        </row>
        <row r="976">
          <cell r="A976">
            <v>41258</v>
          </cell>
          <cell r="B976" t="str">
            <v>Perfuração rotativa inclinada, em solo, com coroa de Widia, diâmetro 150mm</v>
          </cell>
          <cell r="C976" t="str">
            <v>m</v>
          </cell>
          <cell r="D976" t="str">
            <v>177,74</v>
          </cell>
          <cell r="E976">
            <v>0</v>
          </cell>
        </row>
        <row r="977">
          <cell r="A977">
            <v>41034</v>
          </cell>
          <cell r="B977" t="str">
            <v>Perfuração rotativa inclinada, em solo, com coroa de Widia, diâmetro 75mm</v>
          </cell>
          <cell r="C977" t="str">
            <v>m</v>
          </cell>
          <cell r="D977" t="str">
            <v>136,72</v>
          </cell>
          <cell r="E977">
            <v>0</v>
          </cell>
        </row>
        <row r="978">
          <cell r="A978">
            <v>41026</v>
          </cell>
          <cell r="B978" t="str">
            <v>Perfuração rotativa vertical, em solo, com coroa de Widia ou similar, diâmetro H(99mm), inclusive deslocamento e posicionamento em cada furo</v>
          </cell>
          <cell r="C978" t="str">
            <v>m</v>
          </cell>
          <cell r="D978" t="str">
            <v>113,84</v>
          </cell>
          <cell r="E978">
            <v>0</v>
          </cell>
        </row>
        <row r="979">
          <cell r="A979">
            <v>41022</v>
          </cell>
          <cell r="B979" t="str">
            <v>Perfuração rotativa vertical, em solo, com coroa de Widia ou similar, diâmetro N(75mm), inclusive deslocamento e posicionamento em cada furo</v>
          </cell>
          <cell r="C979" t="str">
            <v>m</v>
          </cell>
          <cell r="D979" t="str">
            <v>106,25</v>
          </cell>
          <cell r="E979">
            <v>0</v>
          </cell>
        </row>
        <row r="980">
          <cell r="A980">
            <v>0</v>
          </cell>
          <cell r="B980">
            <v>0</v>
          </cell>
          <cell r="C980">
            <v>0</v>
          </cell>
          <cell r="D980">
            <v>0</v>
          </cell>
          <cell r="E980" t="e">
            <v>#N/A</v>
          </cell>
        </row>
        <row r="981">
          <cell r="A981" t="str">
            <v>Grupo de Serviço: 33 - SUPER-ESTRUTURA</v>
          </cell>
          <cell r="B981">
            <v>0</v>
          </cell>
          <cell r="C981">
            <v>0</v>
          </cell>
          <cell r="E981" t="e">
            <v>#N/A</v>
          </cell>
        </row>
        <row r="982">
          <cell r="A982">
            <v>41403</v>
          </cell>
          <cell r="B982" t="str">
            <v>Passarela metálica p/ pontes rodoviárias com 1,0m de largura, piso em chapa xadez esp 1/4", em perfis laminados, inclusive pintura</v>
          </cell>
          <cell r="C982" t="str">
            <v>m</v>
          </cell>
          <cell r="D982" t="str">
            <v>750,14</v>
          </cell>
          <cell r="E982">
            <v>0</v>
          </cell>
        </row>
        <row r="983">
          <cell r="A983">
            <v>40398</v>
          </cell>
          <cell r="B983" t="str">
            <v>Placas pré-moldadas para forma de tabuleiro de ponte</v>
          </cell>
          <cell r="C983" t="str">
            <v>m²</v>
          </cell>
          <cell r="D983" t="str">
            <v>160,79</v>
          </cell>
          <cell r="E983">
            <v>0</v>
          </cell>
        </row>
        <row r="984">
          <cell r="A984">
            <v>41036</v>
          </cell>
          <cell r="B984" t="str">
            <v>Remoção de superestrutura de pontes com auxilio de guindaste para 40 toneladas</v>
          </cell>
          <cell r="C984" t="str">
            <v>t</v>
          </cell>
          <cell r="D984" t="str">
            <v>97,57</v>
          </cell>
          <cell r="E984">
            <v>0</v>
          </cell>
        </row>
        <row r="985">
          <cell r="A985">
            <v>41194</v>
          </cell>
          <cell r="B985" t="str">
            <v>Sistema de Macaqueamento para super-estrutura de pontes (4 macacos)</v>
          </cell>
          <cell r="C985" t="str">
            <v>un</v>
          </cell>
          <cell r="D985" t="str">
            <v>4.396,82</v>
          </cell>
          <cell r="E985">
            <v>0</v>
          </cell>
        </row>
        <row r="986">
          <cell r="A986">
            <v>41423</v>
          </cell>
          <cell r="B986" t="str">
            <v>Tabuleiro em vigas pré-moldadas CL.45, com ou sem laje entre vigas, vão de 10,00 m, inclusive descarga e assentamento das vigas</v>
          </cell>
          <cell r="C986" t="str">
            <v>m²</v>
          </cell>
          <cell r="D986" t="str">
            <v>2.920,39</v>
          </cell>
          <cell r="E986">
            <v>0</v>
          </cell>
        </row>
        <row r="987">
          <cell r="A987">
            <v>41424</v>
          </cell>
          <cell r="B987" t="str">
            <v>Tabuleiro em vigas pré-moldadas CL.45, com ou sem laje entre vigas, vão de 11,00 m, inclusive descarga e assentamento das vigas</v>
          </cell>
          <cell r="C987" t="str">
            <v>m²</v>
          </cell>
          <cell r="D987" t="str">
            <v>2.866,46</v>
          </cell>
          <cell r="E987">
            <v>0</v>
          </cell>
        </row>
        <row r="988">
          <cell r="A988">
            <v>41425</v>
          </cell>
          <cell r="B988" t="str">
            <v>Tabuleiro em vigas pré-moldadas CL.45, com ou sem laje entre vigas, vão de 12,00 m, inclusive descarga e assentamento das vigas</v>
          </cell>
          <cell r="C988" t="str">
            <v>m²</v>
          </cell>
          <cell r="D988" t="str">
            <v>3.158,68</v>
          </cell>
          <cell r="E988">
            <v>0</v>
          </cell>
        </row>
        <row r="989">
          <cell r="A989">
            <v>41426</v>
          </cell>
          <cell r="B989" t="str">
            <v>Tabuleiro em vigas pré-moldadas CL.45, com ou sem laje entre vigas, vão de 13,00 m, inclusive descarga e assentamento das vigas</v>
          </cell>
          <cell r="C989" t="str">
            <v>m²</v>
          </cell>
          <cell r="D989" t="str">
            <v>3.299,56</v>
          </cell>
          <cell r="E989">
            <v>0</v>
          </cell>
        </row>
        <row r="990">
          <cell r="A990">
            <v>41428</v>
          </cell>
          <cell r="B990" t="str">
            <v>Tabuleiro em vigas pré-moldadas CL.45, com ou sem laje entre vigas, vão de 15,00 m, inclusive descarga e assentamento das vigas</v>
          </cell>
          <cell r="C990" t="str">
            <v>m²</v>
          </cell>
          <cell r="D990" t="str">
            <v>3.418,99</v>
          </cell>
          <cell r="E990">
            <v>0</v>
          </cell>
        </row>
        <row r="991">
          <cell r="A991">
            <v>41417</v>
          </cell>
          <cell r="B991" t="str">
            <v>Tabuleiro em vigas pré-moldadas CL.45, com ou sem laje entre vigas, vão de 4,00 m, inclusive descarga e assentamento das vigas</v>
          </cell>
          <cell r="C991" t="str">
            <v>m²</v>
          </cell>
          <cell r="D991" t="str">
            <v>2.264,55</v>
          </cell>
          <cell r="E991">
            <v>0</v>
          </cell>
        </row>
        <row r="992">
          <cell r="A992">
            <v>41418</v>
          </cell>
          <cell r="B992" t="str">
            <v>Tabuleiro em vigas pré-moldadas CL.45, com ou sem laje entre vigas, vão de 5,00 m, inclusive descarga e assentamento das vigas</v>
          </cell>
          <cell r="C992" t="str">
            <v>m²</v>
          </cell>
          <cell r="D992" t="str">
            <v>2.306,27</v>
          </cell>
          <cell r="E992">
            <v>0</v>
          </cell>
        </row>
        <row r="993">
          <cell r="A993">
            <v>41419</v>
          </cell>
          <cell r="B993" t="str">
            <v>Tabuleiro em vigas pré-moldadas CL.45, com ou sem laje entre vigas, vão de 6,00 m, inclusive descarga e assentamento das vigas</v>
          </cell>
          <cell r="C993" t="str">
            <v>m²</v>
          </cell>
          <cell r="D993" t="str">
            <v>2.367,48</v>
          </cell>
          <cell r="E993">
            <v>0</v>
          </cell>
        </row>
        <row r="994">
          <cell r="A994">
            <v>41420</v>
          </cell>
          <cell r="B994" t="str">
            <v>Tabuleiro em vigas pré-moldadas CL.45, com ou sem laje entre vigas, vão de 7,00 m, inclusive descarga e assentamento das vigas</v>
          </cell>
          <cell r="C994" t="str">
            <v>m²</v>
          </cell>
          <cell r="D994" t="str">
            <v>2.657,25</v>
          </cell>
          <cell r="E994">
            <v>0</v>
          </cell>
        </row>
        <row r="995">
          <cell r="A995">
            <v>41421</v>
          </cell>
          <cell r="B995" t="str">
            <v>Tabuleiro em vigas pré-moldadas CL.45, com ou sem laje entre vigas, vão de 8,00 m, inclusive descarga e assentamento das vigas</v>
          </cell>
          <cell r="C995" t="str">
            <v>m²</v>
          </cell>
          <cell r="D995" t="str">
            <v>2.844,54</v>
          </cell>
          <cell r="E995">
            <v>0</v>
          </cell>
        </row>
        <row r="996">
          <cell r="A996">
            <v>41422</v>
          </cell>
          <cell r="B996" t="str">
            <v>Tabuleiro em vigas pré-moldadas CL.45, com ou sem laje entre vigas, vão de 9,00 m, inclusive descarga e assentamento das vigas</v>
          </cell>
          <cell r="C996" t="str">
            <v>m²</v>
          </cell>
          <cell r="D996" t="str">
            <v>2.934,40</v>
          </cell>
          <cell r="E996">
            <v>0</v>
          </cell>
        </row>
        <row r="997">
          <cell r="A997">
            <v>41427</v>
          </cell>
          <cell r="B997" t="str">
            <v>Tabuleiro em vigas pré-moldadas CL.45, com ou sem laje entre vigas, vão 14,00 m, inclusive descarga e assentamento das vigas</v>
          </cell>
          <cell r="C997" t="str">
            <v>m²</v>
          </cell>
          <cell r="D997" t="str">
            <v>3.383,08</v>
          </cell>
          <cell r="E997">
            <v>0</v>
          </cell>
        </row>
        <row r="998">
          <cell r="A998">
            <v>0</v>
          </cell>
          <cell r="B998">
            <v>0</v>
          </cell>
          <cell r="C998">
            <v>0</v>
          </cell>
          <cell r="D998">
            <v>0</v>
          </cell>
          <cell r="E998" t="e">
            <v>#N/A</v>
          </cell>
        </row>
        <row r="999">
          <cell r="A999" t="str">
            <v>Grupo de Serviço: 37 - OBRAS DE ARTE ESPECIAIS</v>
          </cell>
          <cell r="B999">
            <v>0</v>
          </cell>
          <cell r="C999">
            <v>0</v>
          </cell>
          <cell r="E999" t="e">
            <v>#N/A</v>
          </cell>
        </row>
        <row r="1000">
          <cell r="A1000">
            <v>40381</v>
          </cell>
          <cell r="B1000" t="str">
            <v>Acabamento em concreto fresco (15,0 MPA), para pavimento, inclusive endurecedor químico de superfície</v>
          </cell>
          <cell r="C1000" t="str">
            <v>m²</v>
          </cell>
          <cell r="D1000" t="str">
            <v>18,36</v>
          </cell>
          <cell r="E1000">
            <v>0</v>
          </cell>
        </row>
        <row r="1001">
          <cell r="A1001">
            <v>41260</v>
          </cell>
          <cell r="B1001" t="str">
            <v>Acessório para tirante protendido de aço Rocsolo ou similar diâmetro 29,3 mm</v>
          </cell>
          <cell r="C1001" t="str">
            <v>un</v>
          </cell>
          <cell r="D1001" t="str">
            <v>726,57</v>
          </cell>
          <cell r="E1001" t="str">
            <v>A incluir</v>
          </cell>
        </row>
        <row r="1002">
          <cell r="A1002">
            <v>41045</v>
          </cell>
          <cell r="B1002" t="str">
            <v>Acessório para tirante protendido de aço ST 85/105</v>
          </cell>
          <cell r="C1002" t="str">
            <v>un</v>
          </cell>
          <cell r="D1002" t="str">
            <v>726,57</v>
          </cell>
          <cell r="E1002" t="str">
            <v>A incluir</v>
          </cell>
        </row>
        <row r="1003">
          <cell r="A1003">
            <v>0</v>
          </cell>
          <cell r="B1003">
            <v>0</v>
          </cell>
          <cell r="C1003">
            <v>0</v>
          </cell>
          <cell r="E1003" t="e">
            <v>#N/A</v>
          </cell>
        </row>
        <row r="1004">
          <cell r="A1004">
            <v>40387</v>
          </cell>
          <cell r="B1004" t="str">
            <v>Aparelho de apoio de neoprene fretado, fornecimento e assentamento, inclusive grauteamento e transporte do neoprene</v>
          </cell>
          <cell r="C1004" t="str">
            <v>dm³</v>
          </cell>
          <cell r="D1004" t="str">
            <v>130,16</v>
          </cell>
          <cell r="E1004" t="str">
            <v>A incluir</v>
          </cell>
        </row>
        <row r="1005">
          <cell r="A1005">
            <v>40339</v>
          </cell>
          <cell r="B1005" t="str">
            <v>Cantoneiras (2 1/2" x 2 1/2" x 5/16") para extremidade de laje, fornecimento, montagem e pintura</v>
          </cell>
          <cell r="C1005" t="str">
            <v>m</v>
          </cell>
          <cell r="D1005" t="str">
            <v>62,28</v>
          </cell>
          <cell r="E1005">
            <v>0</v>
          </cell>
        </row>
        <row r="1006">
          <cell r="A1006">
            <v>40379</v>
          </cell>
          <cell r="B1006" t="str">
            <v>Chapas de aço SAC 41 de 1/4" para passarelas, fornecimento, soldagem e montagem</v>
          </cell>
          <cell r="C1006" t="str">
            <v>kg</v>
          </cell>
          <cell r="D1006" t="str">
            <v>7,99</v>
          </cell>
          <cell r="E1006" t="str">
            <v>A incluir</v>
          </cell>
        </row>
        <row r="1007">
          <cell r="A1007">
            <v>42875</v>
          </cell>
          <cell r="B1007" t="str">
            <v>Chumbador de aço de 25 mm, inclusive proteção anticorrosiva, exclusive a injeção e a perfuração</v>
          </cell>
          <cell r="C1007" t="str">
            <v>m</v>
          </cell>
          <cell r="D1007" t="str">
            <v>34,85</v>
          </cell>
          <cell r="E1007">
            <v>0</v>
          </cell>
        </row>
        <row r="1008">
          <cell r="A1008">
            <v>40991</v>
          </cell>
          <cell r="B1008" t="str">
            <v>Colagem das mantas de borracha nos berços de apoio das placas, com Sikadur 32 ou equivalente, fornecimento e aplicação</v>
          </cell>
          <cell r="C1008" t="str">
            <v>kg</v>
          </cell>
          <cell r="D1008" t="str">
            <v>87,92</v>
          </cell>
          <cell r="E1008">
            <v>0</v>
          </cell>
        </row>
        <row r="1009">
          <cell r="A1009">
            <v>40382</v>
          </cell>
          <cell r="B1009" t="str">
            <v>Concreto projetado com cimento especial</v>
          </cell>
          <cell r="C1009" t="str">
            <v>m³</v>
          </cell>
          <cell r="D1009" t="str">
            <v>641,12</v>
          </cell>
          <cell r="E1009">
            <v>0</v>
          </cell>
        </row>
        <row r="1010">
          <cell r="A1010">
            <v>42660</v>
          </cell>
          <cell r="B1010" t="str">
            <v>Concreto projetado com cimento especial, inclusive aditivo de pega Sigunit STM-35 AF</v>
          </cell>
          <cell r="C1010" t="str">
            <v>m³</v>
          </cell>
          <cell r="D1010" t="str">
            <v>661,11</v>
          </cell>
          <cell r="E1010">
            <v>0</v>
          </cell>
        </row>
        <row r="1011">
          <cell r="A1011">
            <v>40401</v>
          </cell>
          <cell r="B1011" t="str">
            <v>Cone de ancoragem de cabo de aço com 12 cordoalhas de 1/2", inclusive protensão dos cabos</v>
          </cell>
          <cell r="C1011" t="str">
            <v>un</v>
          </cell>
          <cell r="D1011" t="str">
            <v>1.756,11</v>
          </cell>
          <cell r="E1011" t="str">
            <v>A incluir</v>
          </cell>
        </row>
        <row r="1012">
          <cell r="A1012">
            <v>41200</v>
          </cell>
          <cell r="B1012" t="str">
            <v>Conectores diâmetro 16mm (h-&gt;10cm), fornecimento e soldagem</v>
          </cell>
          <cell r="C1012" t="str">
            <v>un</v>
          </cell>
          <cell r="D1012" t="str">
            <v>22,14</v>
          </cell>
          <cell r="E1012">
            <v>0</v>
          </cell>
        </row>
        <row r="1013">
          <cell r="A1013">
            <v>42876</v>
          </cell>
          <cell r="B1013" t="str">
            <v>Escoramento contínuo de cavas em estaca prancha de largura até 4000 mm</v>
          </cell>
          <cell r="C1013" t="str">
            <v>m²</v>
          </cell>
          <cell r="D1013" t="str">
            <v>95,34</v>
          </cell>
          <cell r="E1013">
            <v>0</v>
          </cell>
        </row>
        <row r="1014">
          <cell r="A1014">
            <v>42239</v>
          </cell>
          <cell r="B1014" t="str">
            <v>Escoramento de O.A.E. diretamente sobre o solo, inclusive fornecimento e transporte das madeiras</v>
          </cell>
          <cell r="C1014" t="str">
            <v>m³</v>
          </cell>
          <cell r="D1014" t="str">
            <v>127,33</v>
          </cell>
          <cell r="E1014" t="str">
            <v>A incluir</v>
          </cell>
        </row>
        <row r="1015">
          <cell r="A1015">
            <v>40329</v>
          </cell>
          <cell r="B1015" t="str">
            <v>Escoramento e cimbramento (pontes e pontilhões), inclusive fornecimento e transporte das madeiras</v>
          </cell>
          <cell r="C1015" t="str">
            <v>m³</v>
          </cell>
          <cell r="D1015" t="str">
            <v>149,47</v>
          </cell>
          <cell r="E1015" t="str">
            <v>A incluir</v>
          </cell>
        </row>
        <row r="1016">
          <cell r="A1016">
            <v>41195</v>
          </cell>
          <cell r="B1016" t="str">
            <v>Estrutura metálica provisória para macaqueamento de laje de ponte</v>
          </cell>
          <cell r="C1016" t="str">
            <v>kg</v>
          </cell>
          <cell r="D1016" t="str">
            <v>7,85</v>
          </cell>
          <cell r="E1016">
            <v>0</v>
          </cell>
        </row>
        <row r="1017">
          <cell r="A1017">
            <v>40315</v>
          </cell>
          <cell r="B1017" t="str">
            <v>Formas curvas de madeira sem reutilização, inclusive fornecimento e transporte das madeiras</v>
          </cell>
          <cell r="C1017" t="str">
            <v>m²</v>
          </cell>
          <cell r="D1017" t="str">
            <v>254,24</v>
          </cell>
          <cell r="E1017" t="str">
            <v>A incluir</v>
          </cell>
        </row>
        <row r="1018">
          <cell r="A1018">
            <v>40314</v>
          </cell>
          <cell r="B1018" t="str">
            <v>Formas planas de madeira com 05 (cinco) utilizações (guarda-corpo de pontes), inclusive fornecimento e transportes das madeiras</v>
          </cell>
          <cell r="C1018" t="str">
            <v>m²</v>
          </cell>
          <cell r="D1018" t="str">
            <v>99,12</v>
          </cell>
          <cell r="E1018" t="str">
            <v>A incluir</v>
          </cell>
        </row>
        <row r="1019">
          <cell r="A1019">
            <v>40321</v>
          </cell>
          <cell r="B1019" t="str">
            <v>Formas planas de madeirit meso e superestrutura com 1 reaproveitamento esp. -&gt; 14 mm, inclusive fornecimento e transporte das madeiras</v>
          </cell>
          <cell r="C1019" t="str">
            <v>m²</v>
          </cell>
          <cell r="D1019" t="str">
            <v>70,22</v>
          </cell>
          <cell r="E1019" t="str">
            <v>A incluir</v>
          </cell>
        </row>
        <row r="1020">
          <cell r="A1020">
            <v>40323</v>
          </cell>
          <cell r="B1020" t="str">
            <v>Formas planas de madeirit meso e superestrutura com 1 reaproveitamento esp. -&gt; 17 mm, inclusive fornecimento e transporte das madeiras</v>
          </cell>
          <cell r="C1020" t="str">
            <v>m²</v>
          </cell>
          <cell r="D1020" t="str">
            <v>73,88</v>
          </cell>
          <cell r="E1020" t="str">
            <v>A incluir</v>
          </cell>
        </row>
        <row r="1021">
          <cell r="A1021">
            <v>40324</v>
          </cell>
          <cell r="B1021" t="str">
            <v>Formas planas de madeirit meso e superestrutura com 2 reaproveitamentos esp. -&gt; 17 mm, inclusive fornecimento e transporte das madeiras</v>
          </cell>
          <cell r="C1021" t="str">
            <v>m²</v>
          </cell>
          <cell r="D1021" t="str">
            <v>63,79</v>
          </cell>
          <cell r="E1021" t="str">
            <v>A incluir</v>
          </cell>
        </row>
        <row r="1022">
          <cell r="A1022">
            <v>40325</v>
          </cell>
          <cell r="B1022" t="str">
            <v>Formas planas de madeirit meso e superestrutura com 4 reaproveitamentos esp. -&gt; 17 mm, inclusive fornecimento e transporte das madeiras</v>
          </cell>
          <cell r="C1022" t="str">
            <v>m²</v>
          </cell>
          <cell r="D1022" t="str">
            <v>55,06</v>
          </cell>
          <cell r="E1022" t="str">
            <v>A incluir</v>
          </cell>
        </row>
        <row r="1023">
          <cell r="A1023">
            <v>40319</v>
          </cell>
          <cell r="B1023" t="str">
            <v>Formas planas de madeirit meso e superestrutura sem reaproveitamento esp. -&gt; 10 mm, inclusive fornecimento e transporte das madeiras</v>
          </cell>
          <cell r="C1023" t="str">
            <v>m²</v>
          </cell>
          <cell r="D1023" t="str">
            <v>88,69</v>
          </cell>
          <cell r="E1023" t="str">
            <v>A incluir</v>
          </cell>
        </row>
        <row r="1024">
          <cell r="A1024">
            <v>40320</v>
          </cell>
          <cell r="B1024" t="str">
            <v>Formas planas de madeirit meso e superestrutura sem reaproveitamento esp. -&gt; 14 mm, inclusive fornecimento e transporte das madeiras</v>
          </cell>
          <cell r="C1024" t="str">
            <v>m²</v>
          </cell>
          <cell r="D1024" t="str">
            <v>99,63</v>
          </cell>
          <cell r="E1024" t="str">
            <v>A incluir</v>
          </cell>
        </row>
        <row r="1025">
          <cell r="A1025">
            <v>40322</v>
          </cell>
          <cell r="B1025" t="str">
            <v>Formas planas de madeirit meso e superestrutura sem reaproveitamento esp. -&gt; 17 mm, inclusive fornecimento e transporte das madeiras</v>
          </cell>
          <cell r="C1025" t="str">
            <v>m²</v>
          </cell>
          <cell r="D1025" t="str">
            <v>105,82</v>
          </cell>
          <cell r="E1025" t="str">
            <v>A incluir</v>
          </cell>
        </row>
        <row r="1026">
          <cell r="A1026">
            <v>40342</v>
          </cell>
          <cell r="B1026" t="str">
            <v>Furação, fornecimento e fixação de grampos diam.16 mm com resina epoxi (prof. 50 cm)</v>
          </cell>
          <cell r="C1026" t="str">
            <v>un</v>
          </cell>
          <cell r="D1026" t="str">
            <v>32,18</v>
          </cell>
          <cell r="E1026">
            <v>0</v>
          </cell>
        </row>
        <row r="1027">
          <cell r="A1027">
            <v>40338</v>
          </cell>
          <cell r="B1027" t="str">
            <v>Furação, fornecimento e fixação de grampos 10 mm com resina epoxi</v>
          </cell>
          <cell r="C1027" t="str">
            <v>un</v>
          </cell>
          <cell r="D1027" t="str">
            <v>22,95</v>
          </cell>
          <cell r="E1027">
            <v>0</v>
          </cell>
        </row>
        <row r="1028">
          <cell r="A1028">
            <v>40341</v>
          </cell>
          <cell r="B1028" t="str">
            <v>Furação, fornecimento e fixação de grampos 12,5 mm com resina epoxi em vigas pré-moldadas</v>
          </cell>
          <cell r="C1028" t="str">
            <v>un</v>
          </cell>
          <cell r="D1028" t="str">
            <v>6,28</v>
          </cell>
          <cell r="E1028">
            <v>0</v>
          </cell>
        </row>
        <row r="1029">
          <cell r="A1029">
            <v>40416</v>
          </cell>
          <cell r="B1029" t="str">
            <v>Guarda corpo em toras de eucalipto conf. projeto</v>
          </cell>
          <cell r="C1029" t="str">
            <v>m</v>
          </cell>
          <cell r="D1029" t="str">
            <v>246,40</v>
          </cell>
          <cell r="E1029">
            <v>0</v>
          </cell>
        </row>
        <row r="1030">
          <cell r="A1030">
            <v>40389</v>
          </cell>
          <cell r="B1030" t="str">
            <v>Guarda corpo metálico</v>
          </cell>
          <cell r="C1030" t="str">
            <v>m</v>
          </cell>
          <cell r="D1030" t="str">
            <v>62,98</v>
          </cell>
          <cell r="E1030">
            <v>0</v>
          </cell>
        </row>
        <row r="1031">
          <cell r="A1031">
            <v>40388</v>
          </cell>
          <cell r="B1031" t="str">
            <v>Guarda corpo padrão (tipo DNIT)</v>
          </cell>
          <cell r="C1031" t="str">
            <v>m</v>
          </cell>
          <cell r="D1031" t="str">
            <v>234,78</v>
          </cell>
          <cell r="E1031">
            <v>0</v>
          </cell>
        </row>
        <row r="1032">
          <cell r="A1032">
            <v>41232</v>
          </cell>
          <cell r="B1032" t="str">
            <v>Hidrojateamento de superfícies de concreto</v>
          </cell>
          <cell r="C1032" t="str">
            <v>m²</v>
          </cell>
          <cell r="D1032" t="str">
            <v>10,00</v>
          </cell>
          <cell r="E1032">
            <v>0</v>
          </cell>
        </row>
        <row r="1033">
          <cell r="A1033">
            <v>40402</v>
          </cell>
          <cell r="B1033" t="str">
            <v>Hidrojateamento de superfícies metálicas</v>
          </cell>
          <cell r="C1033" t="str">
            <v>m²</v>
          </cell>
          <cell r="D1033" t="str">
            <v>10,57</v>
          </cell>
          <cell r="E1033">
            <v>0</v>
          </cell>
        </row>
        <row r="1034">
          <cell r="A1034">
            <v>41033</v>
          </cell>
          <cell r="B1034" t="str">
            <v>Injeção de calda de cimento para chumbamento de tirantes</v>
          </cell>
          <cell r="C1034" t="str">
            <v>sc</v>
          </cell>
          <cell r="D1034" t="str">
            <v>44,77</v>
          </cell>
          <cell r="E1034">
            <v>0</v>
          </cell>
        </row>
        <row r="1035">
          <cell r="A1035">
            <v>41233</v>
          </cell>
          <cell r="B1035" t="str">
            <v>Injeção de epoxi em fissuras, inclusive preparo e montagem de bicos de injeção</v>
          </cell>
          <cell r="C1035" t="str">
            <v>kg</v>
          </cell>
          <cell r="D1035" t="str">
            <v>565,69</v>
          </cell>
          <cell r="E1035">
            <v>0</v>
          </cell>
        </row>
        <row r="1036">
          <cell r="A1036">
            <v>40386</v>
          </cell>
          <cell r="B1036" t="str">
            <v>Junta de cantoneira L de 4" x 4" x 3/8"</v>
          </cell>
          <cell r="C1036" t="str">
            <v>m</v>
          </cell>
          <cell r="D1036" t="str">
            <v>127,01</v>
          </cell>
          <cell r="E1036" t="str">
            <v>A incluir</v>
          </cell>
        </row>
        <row r="1037">
          <cell r="A1037">
            <v>41199</v>
          </cell>
          <cell r="B1037" t="str">
            <v>Junta de dilatação elástica pré-moldada p/ concreto, tipo fungenband em perfil O-12 de PVC alta densidade, Uniontech ou equival. fornecim./colocação</v>
          </cell>
          <cell r="C1037" t="str">
            <v>m</v>
          </cell>
          <cell r="D1037" t="str">
            <v>38,39</v>
          </cell>
          <cell r="E1037">
            <v>0</v>
          </cell>
        </row>
        <row r="1038">
          <cell r="A1038">
            <v>42529</v>
          </cell>
          <cell r="B1038" t="str">
            <v>Junta perfil elastomérico de vedação p/pontes c/abertura média de 25mm ± 10 mm, inclus. lábios poliméricos-Marca Ref JEENE-JJ2540 VV (constr.)</v>
          </cell>
          <cell r="C1038" t="str">
            <v>m</v>
          </cell>
          <cell r="D1038" t="str">
            <v>713,61</v>
          </cell>
          <cell r="E1038">
            <v>0</v>
          </cell>
        </row>
        <row r="1039">
          <cell r="A1039">
            <v>40384</v>
          </cell>
          <cell r="B1039" t="str">
            <v>Junta perfil elastomérico de vedação p/pontes c/abertura média de 50 mm ± 25 mm, inclus.lábios poliméricos-Marca Ref.JEENE mod.JJ-5070 (constr.)</v>
          </cell>
          <cell r="C1039" t="str">
            <v>m</v>
          </cell>
          <cell r="D1039" t="str">
            <v>1.278,15</v>
          </cell>
          <cell r="E1039">
            <v>0</v>
          </cell>
        </row>
        <row r="1040">
          <cell r="A1040">
            <v>40385</v>
          </cell>
          <cell r="B1040" t="str">
            <v>Junta perfil elastomérico de vedação p/pontes c/abertura média de 50mm ± 25mm,inclus.lábios poliméricos-Marca Ref JEENE mod.JJ-5070 VV(substituição)</v>
          </cell>
          <cell r="C1040" t="str">
            <v>m</v>
          </cell>
          <cell r="D1040" t="str">
            <v>1.311,64</v>
          </cell>
          <cell r="E1040">
            <v>0</v>
          </cell>
        </row>
        <row r="1041">
          <cell r="A1041">
            <v>40393</v>
          </cell>
          <cell r="B1041" t="str">
            <v>Perfuração de concreto</v>
          </cell>
          <cell r="C1041" t="str">
            <v>m</v>
          </cell>
          <cell r="D1041" t="str">
            <v>15,43</v>
          </cell>
          <cell r="E1041">
            <v>0</v>
          </cell>
        </row>
        <row r="1042">
          <cell r="A1042">
            <v>40394</v>
          </cell>
          <cell r="B1042" t="str">
            <v>Perfuração de rocha para fixação de chumbadores</v>
          </cell>
          <cell r="C1042" t="str">
            <v>m</v>
          </cell>
          <cell r="D1042" t="str">
            <v>18,12</v>
          </cell>
          <cell r="E1042">
            <v>0</v>
          </cell>
        </row>
        <row r="1043">
          <cell r="A1043">
            <v>40390</v>
          </cell>
          <cell r="B1043" t="str">
            <v>Pintura a cal em pontes (2 demãos)</v>
          </cell>
          <cell r="C1043" t="str">
            <v>m²</v>
          </cell>
          <cell r="D1043" t="str">
            <v>3,61</v>
          </cell>
          <cell r="E1043">
            <v>0</v>
          </cell>
        </row>
        <row r="1044">
          <cell r="A1044">
            <v>42256</v>
          </cell>
          <cell r="B1044" t="str">
            <v>Ponte provisoria para movimentação de equipamentos de execução de fundação composta de passadiço de madeira sobre estacas de madeira</v>
          </cell>
          <cell r="C1044" t="str">
            <v>m²</v>
          </cell>
          <cell r="D1044" t="str">
            <v>3.267,73</v>
          </cell>
          <cell r="E1044" t="str">
            <v>A incluir</v>
          </cell>
        </row>
        <row r="1045">
          <cell r="A1045">
            <v>40400</v>
          </cell>
          <cell r="B1045" t="str">
            <v>Preparo e colocação de 12 cordoalhas de 1/2" (Aço CP-190 RB) nas formas, inclusive injeção de nata de cimento</v>
          </cell>
          <cell r="C1045" t="str">
            <v>kg</v>
          </cell>
          <cell r="D1045" t="str">
            <v>11,20</v>
          </cell>
          <cell r="E1045" t="str">
            <v>A incluir</v>
          </cell>
        </row>
        <row r="1046">
          <cell r="A1046">
            <v>41201</v>
          </cell>
          <cell r="B1046" t="str">
            <v>Recuperação estrutural com uso de argamassa polimérica (espessura média-&gt;3,5cm)</v>
          </cell>
          <cell r="C1046" t="str">
            <v>m²</v>
          </cell>
          <cell r="D1046" t="str">
            <v>644,15</v>
          </cell>
          <cell r="E1046">
            <v>0</v>
          </cell>
        </row>
        <row r="1047">
          <cell r="A1047">
            <v>41035</v>
          </cell>
          <cell r="B1047" t="str">
            <v>Tirante de Aço CA-50, diâmetro de 25mm (1"), para comprimentos até 6m</v>
          </cell>
          <cell r="C1047" t="str">
            <v>m</v>
          </cell>
          <cell r="D1047" t="str">
            <v>82,62</v>
          </cell>
          <cell r="E1047">
            <v>0</v>
          </cell>
        </row>
        <row r="1048">
          <cell r="A1048">
            <v>41263</v>
          </cell>
          <cell r="B1048" t="str">
            <v>Tirante de aço Rocsolo ou similar, diâmetro 29,3mm, incluindo fornecimento da barra e da bainha proteção anticorrosiva, preparo e colocação no furo</v>
          </cell>
          <cell r="C1048" t="str">
            <v>m</v>
          </cell>
          <cell r="D1048" t="str">
            <v>149,30</v>
          </cell>
          <cell r="E1048">
            <v>0</v>
          </cell>
        </row>
        <row r="1049">
          <cell r="A1049">
            <v>41089</v>
          </cell>
          <cell r="B1049" t="str">
            <v>Tirante de aço ST 50/55, para carga trab. até 22 t, diam.32mm, incluindo fornecimento da bainha proteção anticorrosiva, preparo e colocação no furo.</v>
          </cell>
          <cell r="C1049" t="str">
            <v>m</v>
          </cell>
          <cell r="D1049" t="str">
            <v>148,85</v>
          </cell>
          <cell r="E1049">
            <v>0</v>
          </cell>
        </row>
        <row r="1050">
          <cell r="A1050">
            <v>41039</v>
          </cell>
          <cell r="B1050" t="str">
            <v>Tirante de aço ST 85/105, incluindo fornecimento da barra e da bainha proteção anticorrosiva, preparo e colocação no furo</v>
          </cell>
          <cell r="C1050" t="str">
            <v>m</v>
          </cell>
          <cell r="D1050" t="str">
            <v>157,25</v>
          </cell>
          <cell r="E1050">
            <v>0</v>
          </cell>
        </row>
        <row r="1051">
          <cell r="A1051">
            <v>41030</v>
          </cell>
          <cell r="B1051" t="str">
            <v>Tirante protendido em Aço GEWI 50/55 ou similar, diâmetro de 32mm</v>
          </cell>
          <cell r="C1051" t="str">
            <v>m</v>
          </cell>
          <cell r="D1051" t="str">
            <v>140,05</v>
          </cell>
          <cell r="E1051">
            <v>0</v>
          </cell>
        </row>
        <row r="1052">
          <cell r="A1052">
            <v>0</v>
          </cell>
          <cell r="B1052">
            <v>0</v>
          </cell>
          <cell r="C1052">
            <v>0</v>
          </cell>
          <cell r="E1052" t="e">
            <v>#N/A</v>
          </cell>
        </row>
        <row r="1053">
          <cell r="A1053" t="str">
            <v>Grupo de Serviço: 44 - MATERIAIS</v>
          </cell>
          <cell r="B1053">
            <v>0</v>
          </cell>
          <cell r="C1053">
            <v>0</v>
          </cell>
          <cell r="D1053">
            <v>0</v>
          </cell>
          <cell r="E1053" t="e">
            <v>#N/A</v>
          </cell>
        </row>
        <row r="1054">
          <cell r="A1054">
            <v>42045</v>
          </cell>
          <cell r="B1054" t="str">
            <v>Aquisição de solo de jazida comercial (saibreira)</v>
          </cell>
          <cell r="C1054" t="str">
            <v>m³</v>
          </cell>
          <cell r="D1054" t="str">
            <v>4,19</v>
          </cell>
          <cell r="E1054">
            <v>0</v>
          </cell>
        </row>
        <row r="1055">
          <cell r="A1055">
            <v>42043</v>
          </cell>
          <cell r="B1055" t="str">
            <v>Bonificação de 20,93% sobre aquisição de materiais</v>
          </cell>
          <cell r="C1055" t="str">
            <v>%</v>
          </cell>
          <cell r="D1055" t="str">
            <v>0,00</v>
          </cell>
          <cell r="E1055">
            <v>0</v>
          </cell>
        </row>
        <row r="1056">
          <cell r="A1056">
            <v>0</v>
          </cell>
          <cell r="B1056">
            <v>0</v>
          </cell>
          <cell r="C1056">
            <v>0</v>
          </cell>
          <cell r="E1056" t="e">
            <v>#N/A</v>
          </cell>
        </row>
        <row r="1057">
          <cell r="A1057" t="str">
            <v>Grupo de Serviço: 61 - TERRAPLENAGEM - VIAS URBANAS</v>
          </cell>
          <cell r="B1057">
            <v>0</v>
          </cell>
          <cell r="C1057">
            <v>0</v>
          </cell>
          <cell r="E1057" t="e">
            <v>#N/A</v>
          </cell>
        </row>
        <row r="1058">
          <cell r="A1058">
            <v>42512</v>
          </cell>
          <cell r="B1058" t="str">
            <v>Carga de material de 1ª categoria em Vias Urbanas</v>
          </cell>
          <cell r="C1058" t="str">
            <v>m³</v>
          </cell>
          <cell r="D1058" t="str">
            <v>2,91</v>
          </cell>
          <cell r="E1058">
            <v>0</v>
          </cell>
        </row>
        <row r="1059">
          <cell r="A1059">
            <v>42513</v>
          </cell>
          <cell r="B1059" t="str">
            <v>Carga de material de 2ª categoria (solo, areia, brita, excl. rocha escavada) em Vias Urbanas</v>
          </cell>
          <cell r="C1059" t="str">
            <v>m³</v>
          </cell>
          <cell r="D1059" t="str">
            <v>3,78</v>
          </cell>
          <cell r="E1059">
            <v>0</v>
          </cell>
        </row>
        <row r="1060">
          <cell r="A1060">
            <v>42514</v>
          </cell>
          <cell r="B1060" t="str">
            <v>Carga de material de 3ª categoria (rocha) em Vias Urbanas</v>
          </cell>
          <cell r="C1060" t="str">
            <v>m³</v>
          </cell>
          <cell r="D1060" t="str">
            <v>5,72</v>
          </cell>
          <cell r="E1060">
            <v>0</v>
          </cell>
        </row>
        <row r="1061">
          <cell r="A1061">
            <v>43349</v>
          </cell>
          <cell r="B1061" t="str">
            <v>Compactação de aterros 100% PI em Vias Urbanas</v>
          </cell>
          <cell r="C1061" t="str">
            <v>m³</v>
          </cell>
          <cell r="D1061" t="str">
            <v>6,14</v>
          </cell>
          <cell r="E1061">
            <v>0</v>
          </cell>
        </row>
        <row r="1062">
          <cell r="A1062">
            <v>42515</v>
          </cell>
          <cell r="B1062" t="str">
            <v>Compactação de aterros 100% PN em Vias Urbanas</v>
          </cell>
          <cell r="C1062" t="str">
            <v>m³</v>
          </cell>
          <cell r="D1062" t="str">
            <v>4,74</v>
          </cell>
          <cell r="E1062">
            <v>0</v>
          </cell>
        </row>
        <row r="1063">
          <cell r="A1063">
            <v>42523</v>
          </cell>
          <cell r="B1063" t="str">
            <v>Escalonamento de taludes com escavadeira em Vias Urbanas</v>
          </cell>
          <cell r="C1063" t="str">
            <v>m³</v>
          </cell>
          <cell r="D1063" t="str">
            <v>7,49</v>
          </cell>
          <cell r="E1063">
            <v>0</v>
          </cell>
        </row>
        <row r="1064">
          <cell r="A1064">
            <v>42525</v>
          </cell>
          <cell r="B1064" t="str">
            <v>Escavação a fogo em material de 3ª categoria, rocha viva, a céu aberto, perfuração a ar comprimido em Vias Urbanas</v>
          </cell>
          <cell r="C1064" t="str">
            <v>m³</v>
          </cell>
          <cell r="D1064" t="str">
            <v>59,37</v>
          </cell>
          <cell r="E1064">
            <v>0</v>
          </cell>
        </row>
        <row r="1065">
          <cell r="A1065">
            <v>42576</v>
          </cell>
          <cell r="B1065" t="str">
            <v>Escavação, carga de material de 3ª categoria (fogo controlado) em Vias Urbanas</v>
          </cell>
          <cell r="C1065" t="str">
            <v>m³</v>
          </cell>
          <cell r="D1065" t="str">
            <v>94,74</v>
          </cell>
          <cell r="E1065">
            <v>0</v>
          </cell>
        </row>
        <row r="1066">
          <cell r="A1066">
            <v>42577</v>
          </cell>
          <cell r="B1066" t="str">
            <v>Escavação e carga de material de barreira (remoção) em Vias Urbanas</v>
          </cell>
          <cell r="C1066" t="str">
            <v>m³</v>
          </cell>
          <cell r="D1066" t="str">
            <v>7,44</v>
          </cell>
          <cell r="E1066">
            <v>0</v>
          </cell>
        </row>
        <row r="1067">
          <cell r="A1067">
            <v>42578</v>
          </cell>
          <cell r="B1067" t="str">
            <v>Escavação e carga de material de 1ª categoria com escavadeira em Vias Urbanas</v>
          </cell>
          <cell r="C1067" t="str">
            <v>m³</v>
          </cell>
          <cell r="D1067" t="str">
            <v>3,17</v>
          </cell>
          <cell r="E1067">
            <v>0</v>
          </cell>
        </row>
        <row r="1068">
          <cell r="A1068">
            <v>42580</v>
          </cell>
          <cell r="B1068" t="str">
            <v>Escavação e carga de material de 2ª categoria com escavadeira em Vias Urbanas</v>
          </cell>
          <cell r="C1068" t="str">
            <v>m³</v>
          </cell>
          <cell r="D1068" t="str">
            <v>4,69</v>
          </cell>
          <cell r="E1068">
            <v>0</v>
          </cell>
        </row>
        <row r="1069">
          <cell r="A1069">
            <v>42582</v>
          </cell>
          <cell r="B1069" t="str">
            <v>Escavação e carga de material de 3ª categoria (H bancada &gt;1,0 m) em Vias Urbanas</v>
          </cell>
          <cell r="C1069" t="str">
            <v>m³</v>
          </cell>
          <cell r="D1069" t="str">
            <v>41,61</v>
          </cell>
          <cell r="E1069">
            <v>0</v>
          </cell>
        </row>
        <row r="1070">
          <cell r="A1070">
            <v>42586</v>
          </cell>
          <cell r="B1070" t="str">
            <v>Fragmentação de rocha (fogacheamento) em Vias Urbanas</v>
          </cell>
          <cell r="C1070" t="str">
            <v>m³</v>
          </cell>
          <cell r="D1070" t="str">
            <v>54,54</v>
          </cell>
          <cell r="E1070">
            <v>0</v>
          </cell>
        </row>
        <row r="1071">
          <cell r="A1071">
            <v>42587</v>
          </cell>
          <cell r="B1071" t="str">
            <v>Limpeza de acostamento em Vias Urbanas</v>
          </cell>
          <cell r="C1071" t="str">
            <v>m²</v>
          </cell>
          <cell r="D1071" t="str">
            <v>0,67</v>
          </cell>
          <cell r="E1071">
            <v>0</v>
          </cell>
        </row>
        <row r="1072">
          <cell r="A1072">
            <v>42590</v>
          </cell>
          <cell r="B1072" t="str">
            <v>Limpeza e desmatamento em área alagada (pântano) com ferr. man., incl. moto serra em Vias Urbanas</v>
          </cell>
          <cell r="C1072" t="str">
            <v>m²</v>
          </cell>
          <cell r="D1072" t="str">
            <v>8,06</v>
          </cell>
          <cell r="E1072">
            <v>0</v>
          </cell>
        </row>
        <row r="1073">
          <cell r="A1073">
            <v>42591</v>
          </cell>
          <cell r="B1073" t="str">
            <v>Pré-fissuramento de taludes de rocha em Vias Urbanas</v>
          </cell>
          <cell r="C1073" t="str">
            <v>m²</v>
          </cell>
          <cell r="D1073" t="str">
            <v>31,70</v>
          </cell>
          <cell r="E1073">
            <v>0</v>
          </cell>
        </row>
        <row r="1074">
          <cell r="A1074">
            <v>42592</v>
          </cell>
          <cell r="B1074" t="str">
            <v>Recomposição vegetal de jazidas, empréstimos e bota-fora em Vias Urbanas</v>
          </cell>
          <cell r="C1074" t="str">
            <v>m²</v>
          </cell>
          <cell r="D1074" t="str">
            <v>13,93</v>
          </cell>
          <cell r="E1074" t="str">
            <v>A incluir</v>
          </cell>
        </row>
        <row r="1075">
          <cell r="A1075">
            <v>42593</v>
          </cell>
          <cell r="B1075" t="str">
            <v>Remoção de solos moles, incluindo carregamento mecânico com escavadeira hidráulica em Vias Urbanas</v>
          </cell>
          <cell r="C1075" t="str">
            <v>m³</v>
          </cell>
          <cell r="D1075" t="str">
            <v>24,30</v>
          </cell>
          <cell r="E1075">
            <v>0</v>
          </cell>
        </row>
        <row r="1076">
          <cell r="A1076">
            <v>42596</v>
          </cell>
          <cell r="B1076" t="str">
            <v>Transporte horizontal com trator de lâmina de material de 1ª cat. DMTaté 50m em Vias Urbanas</v>
          </cell>
          <cell r="C1076" t="str">
            <v>m³</v>
          </cell>
          <cell r="D1076" t="str">
            <v>5,27</v>
          </cell>
          <cell r="E1076">
            <v>0</v>
          </cell>
        </row>
        <row r="1077">
          <cell r="A1077">
            <v>0</v>
          </cell>
          <cell r="B1077">
            <v>0</v>
          </cell>
          <cell r="C1077">
            <v>0</v>
          </cell>
          <cell r="E1077" t="e">
            <v>#N/A</v>
          </cell>
        </row>
        <row r="1078">
          <cell r="A1078" t="str">
            <v>Grupo de Serviço: 62 - PAVIMENTAÇÃO - VIAS URBANAS</v>
          </cell>
          <cell r="B1078">
            <v>0</v>
          </cell>
          <cell r="C1078">
            <v>0</v>
          </cell>
          <cell r="E1078" t="e">
            <v>#N/A</v>
          </cell>
        </row>
        <row r="1079">
          <cell r="A1079">
            <v>42483</v>
          </cell>
          <cell r="B1079" t="str">
            <v>Base de brita graduada, inclusive fornecimento, exclusive transporte da brita em Vias Urbanas</v>
          </cell>
          <cell r="C1079" t="str">
            <v>m³</v>
          </cell>
          <cell r="D1079" t="str">
            <v>108,79</v>
          </cell>
          <cell r="E1079">
            <v>0</v>
          </cell>
        </row>
        <row r="1080">
          <cell r="A1080">
            <v>42695</v>
          </cell>
          <cell r="B1080" t="str">
            <v>Base de brita 1, inclusive fornecimento, exclusive transporte da brita em Vias Urbanas</v>
          </cell>
          <cell r="C1080" t="str">
            <v>m³</v>
          </cell>
          <cell r="D1080" t="str">
            <v>105,98</v>
          </cell>
          <cell r="E1080">
            <v>0</v>
          </cell>
        </row>
        <row r="1081">
          <cell r="A1081">
            <v>42481</v>
          </cell>
          <cell r="B1081" t="str">
            <v>Base de solo brita, 50% em peso, inclusive fornecimento, exclusive transporte da brita em Vias Urbanas</v>
          </cell>
          <cell r="C1081" t="str">
            <v>m³</v>
          </cell>
          <cell r="D1081" t="str">
            <v>73,15</v>
          </cell>
          <cell r="E1081">
            <v>0</v>
          </cell>
        </row>
        <row r="1082">
          <cell r="A1082">
            <v>42508</v>
          </cell>
          <cell r="B1082" t="str">
            <v>CBUQ (massa asfáltica) inclusive fornecimento e transporte comercial do CAP, em Vias Urbanas</v>
          </cell>
          <cell r="C1082" t="str">
            <v>t</v>
          </cell>
          <cell r="D1082" t="str">
            <v>212,55</v>
          </cell>
          <cell r="E1082" t="str">
            <v>A incluir</v>
          </cell>
        </row>
        <row r="1083">
          <cell r="A1083">
            <v>42496</v>
          </cell>
          <cell r="B1083" t="str">
            <v>Demolição e remoção de pavimento asfáltico em Vias Urbanas</v>
          </cell>
          <cell r="C1083" t="str">
            <v>m²</v>
          </cell>
          <cell r="D1083" t="str">
            <v>3,15</v>
          </cell>
          <cell r="E1083">
            <v>0</v>
          </cell>
        </row>
        <row r="1084">
          <cell r="A1084">
            <v>41133</v>
          </cell>
          <cell r="B1084" t="str">
            <v>Fresagem de pavimento asfáltico a frio, esp. até 15cm, exclusive transporte de materiais, em Vias Urbanas</v>
          </cell>
          <cell r="C1084" t="str">
            <v>m²</v>
          </cell>
          <cell r="D1084" t="str">
            <v>10,03</v>
          </cell>
          <cell r="E1084">
            <v>0</v>
          </cell>
        </row>
        <row r="1085">
          <cell r="A1085">
            <v>42479</v>
          </cell>
          <cell r="B1085" t="str">
            <v>Fresagem de pavimento asfáltico a frio, esp-&gt;5cm, exclusive transporte de materiais em Vias Urbanas</v>
          </cell>
          <cell r="C1085" t="str">
            <v>m²</v>
          </cell>
          <cell r="D1085" t="str">
            <v>7,03</v>
          </cell>
          <cell r="E1085">
            <v>0</v>
          </cell>
        </row>
        <row r="1086">
          <cell r="A1086">
            <v>43333</v>
          </cell>
          <cell r="B1086" t="str">
            <v>Imprimação exclusive fornecimento e transporte comercial do material betuminoso em Vias Urbanas</v>
          </cell>
          <cell r="C1086" t="str">
            <v>m²</v>
          </cell>
          <cell r="D1086" t="str">
            <v>0,98</v>
          </cell>
          <cell r="E1086">
            <v>0</v>
          </cell>
        </row>
        <row r="1087">
          <cell r="A1087">
            <v>42484</v>
          </cell>
          <cell r="B1087" t="str">
            <v>Imprimação inclusive fornecimento e transporte comercial do material betuminoso em Vias Urbanas</v>
          </cell>
          <cell r="C1087" t="str">
            <v>m²</v>
          </cell>
          <cell r="D1087" t="str">
            <v>4,23</v>
          </cell>
          <cell r="E1087" t="str">
            <v>A incluir</v>
          </cell>
        </row>
        <row r="1088">
          <cell r="A1088">
            <v>42497</v>
          </cell>
          <cell r="B1088" t="str">
            <v>Micro revestimento asfáltico à frio inclusive fornecimento e transporte comercial do material betuminoso, em Vias Urbanas</v>
          </cell>
          <cell r="C1088" t="str">
            <v>m²</v>
          </cell>
          <cell r="D1088" t="str">
            <v>10,91</v>
          </cell>
          <cell r="E1088" t="str">
            <v>A incluir</v>
          </cell>
        </row>
        <row r="1089">
          <cell r="A1089">
            <v>42493</v>
          </cell>
          <cell r="B1089" t="str">
            <v>Obturação de buracos c/ CBUQ inclusive fornecimento e transporte comercial dos materiais betuminosos em Vias Urbanas</v>
          </cell>
          <cell r="C1089" t="str">
            <v>m²</v>
          </cell>
          <cell r="D1089" t="str">
            <v>62,26</v>
          </cell>
          <cell r="E1089" t="str">
            <v>A incluir</v>
          </cell>
        </row>
        <row r="1090">
          <cell r="A1090">
            <v>42494</v>
          </cell>
          <cell r="B1090" t="str">
            <v>Obturação de buracos c/ CBUQ inclusive fornecimento e transporte dos materiais betuminosos em Vias Urbanas</v>
          </cell>
          <cell r="C1090" t="str">
            <v>t</v>
          </cell>
          <cell r="D1090" t="str">
            <v>321,62</v>
          </cell>
          <cell r="E1090" t="str">
            <v>A incluir</v>
          </cell>
        </row>
        <row r="1091">
          <cell r="A1091">
            <v>42498</v>
          </cell>
          <cell r="B1091" t="str">
            <v>Pavimentação com blocos de concreto (35 MPa), esp.-&gt;06cm, sobre colchão areia esp.-&gt;5cm, inclusive fornecim. e transporte blocos e areia, Vias Urbanas</v>
          </cell>
          <cell r="C1091" t="str">
            <v>m²</v>
          </cell>
          <cell r="D1091" t="str">
            <v>69,62</v>
          </cell>
          <cell r="E1091" t="str">
            <v>A incluir</v>
          </cell>
        </row>
        <row r="1092">
          <cell r="A1092">
            <v>42499</v>
          </cell>
          <cell r="B1092" t="str">
            <v>Pavimentação com blocos de concreto (35 MPa), esp.-&gt;08cm, sobre colchão de areia 5cm, inclusive fornecim. e transporte blocos e areia, em Vias Urbanas</v>
          </cell>
          <cell r="C1092" t="str">
            <v>m²</v>
          </cell>
          <cell r="D1092" t="str">
            <v>77,63</v>
          </cell>
          <cell r="E1092" t="str">
            <v>A incluir</v>
          </cell>
        </row>
        <row r="1093">
          <cell r="A1093">
            <v>42500</v>
          </cell>
          <cell r="B1093" t="str">
            <v>Pavimentação com blocos de concreto (35 MPa), esp.-&gt;10cm, sobre colchão de areia esp.-&gt;5cm, inclusive fornecim.e transporte blocos e areia,Vias Urbanas</v>
          </cell>
          <cell r="C1093" t="str">
            <v>m²</v>
          </cell>
          <cell r="D1093" t="str">
            <v>93,94</v>
          </cell>
          <cell r="E1093" t="str">
            <v>A incluir</v>
          </cell>
        </row>
        <row r="1094">
          <cell r="A1094">
            <v>42501</v>
          </cell>
          <cell r="B1094" t="str">
            <v>Pavimentação com paralelepípedo, colchão areia 5cm, inclusive fornecimento e transporte do paralelepípedo e areia, em Vias Urbanas</v>
          </cell>
          <cell r="C1094" t="str">
            <v>m²</v>
          </cell>
          <cell r="D1094" t="str">
            <v>90,81</v>
          </cell>
          <cell r="E1094" t="str">
            <v>A incluir</v>
          </cell>
        </row>
        <row r="1095">
          <cell r="A1095">
            <v>42502</v>
          </cell>
          <cell r="B1095" t="str">
            <v>Pavimentação com paralelepípedo sobre colchão pó de pedra esp.-&gt;5cm, inclusive fornecimento e transporte do paralelepípedo e pó de pedra, Vias Urbanas</v>
          </cell>
          <cell r="C1095" t="str">
            <v>m²</v>
          </cell>
          <cell r="D1095" t="str">
            <v>89,50</v>
          </cell>
          <cell r="E1095" t="str">
            <v>A incluir</v>
          </cell>
        </row>
        <row r="1096">
          <cell r="A1096">
            <v>42503</v>
          </cell>
          <cell r="B1096" t="str">
            <v>Pavimentação com pedra portuguesa, inclusive fornecimento e transporte do cimento, areia e pedra portuguesa em Vias Urbanas</v>
          </cell>
          <cell r="C1096" t="str">
            <v>m²</v>
          </cell>
          <cell r="D1096" t="str">
            <v>113,19</v>
          </cell>
          <cell r="E1096" t="str">
            <v>A incluir</v>
          </cell>
        </row>
        <row r="1097">
          <cell r="A1097">
            <v>43334</v>
          </cell>
          <cell r="B1097" t="str">
            <v>Pintura de ligação exclusive fornecimento e transporte comercial do material betuminoso em Vias Urbanas</v>
          </cell>
          <cell r="C1097" t="str">
            <v>m²</v>
          </cell>
          <cell r="D1097" t="str">
            <v>0,81</v>
          </cell>
          <cell r="E1097">
            <v>0</v>
          </cell>
        </row>
        <row r="1098">
          <cell r="A1098">
            <v>42485</v>
          </cell>
          <cell r="B1098" t="str">
            <v>Pintura de ligação inclusive fornecimento e transporte comercial do material betuminoso em Vias Urbanas</v>
          </cell>
          <cell r="C1098" t="str">
            <v>m²</v>
          </cell>
          <cell r="D1098" t="str">
            <v>1,75</v>
          </cell>
          <cell r="E1098" t="str">
            <v>A incluir</v>
          </cell>
        </row>
        <row r="1099">
          <cell r="A1099">
            <v>42478</v>
          </cell>
          <cell r="B1099" t="str">
            <v>Regularização e compactação do sub-leito (100% P.N.) H-&gt;0,15m em Vias Urbanas</v>
          </cell>
          <cell r="C1099" t="str">
            <v>m²</v>
          </cell>
          <cell r="D1099" t="str">
            <v>2,94</v>
          </cell>
          <cell r="E1099">
            <v>0</v>
          </cell>
        </row>
        <row r="1100">
          <cell r="A1100">
            <v>42477</v>
          </cell>
          <cell r="B1100" t="str">
            <v>Regularização e compactação do sub-leito (100% P.N.) H-&gt;0,20m Vias Urbanas</v>
          </cell>
          <cell r="C1100" t="str">
            <v>m²</v>
          </cell>
          <cell r="D1100" t="str">
            <v>3,88</v>
          </cell>
          <cell r="E1100">
            <v>0</v>
          </cell>
        </row>
        <row r="1101">
          <cell r="A1101">
            <v>42495</v>
          </cell>
          <cell r="B1101" t="str">
            <v>Remoção de capa asfáltica em TSS, TSD, ou TST exclusive transporte em Vias Urbanas</v>
          </cell>
          <cell r="C1101" t="str">
            <v>m²</v>
          </cell>
          <cell r="D1101" t="str">
            <v>0,98</v>
          </cell>
          <cell r="E1101">
            <v>0</v>
          </cell>
        </row>
        <row r="1102">
          <cell r="A1102">
            <v>42507</v>
          </cell>
          <cell r="B1102" t="str">
            <v>Remoção de meio fio em Vias Urbanas</v>
          </cell>
          <cell r="C1102" t="str">
            <v>m</v>
          </cell>
          <cell r="D1102" t="str">
            <v>20,14</v>
          </cell>
          <cell r="E1102">
            <v>0</v>
          </cell>
        </row>
        <row r="1103">
          <cell r="A1103">
            <v>42505</v>
          </cell>
          <cell r="B1103" t="str">
            <v>Remoção de pavimentação poliédrica em Vias Urbanas</v>
          </cell>
          <cell r="C1103" t="str">
            <v>m²</v>
          </cell>
          <cell r="D1103" t="str">
            <v>16,28</v>
          </cell>
          <cell r="E1103">
            <v>0</v>
          </cell>
        </row>
        <row r="1104">
          <cell r="A1104">
            <v>42504</v>
          </cell>
          <cell r="B1104" t="str">
            <v>Remoção e reassentamento de blocos de concreto, inclusive perdas em Vias Urbanas</v>
          </cell>
          <cell r="C1104" t="str">
            <v>m²</v>
          </cell>
          <cell r="D1104" t="str">
            <v>41,39</v>
          </cell>
          <cell r="E1104" t="str">
            <v>A incluir</v>
          </cell>
        </row>
        <row r="1105">
          <cell r="A1105">
            <v>42506</v>
          </cell>
          <cell r="B1105" t="str">
            <v>Remoção e reassentamento de paralelepípedos, inclusive perdas em Vias Urbanas</v>
          </cell>
          <cell r="C1105" t="str">
            <v>m²</v>
          </cell>
          <cell r="D1105" t="str">
            <v>41,07</v>
          </cell>
          <cell r="E1105" t="str">
            <v>A incluir</v>
          </cell>
        </row>
        <row r="1106">
          <cell r="A1106">
            <v>42482</v>
          </cell>
          <cell r="B1106" t="str">
            <v>Sub-base de brita graduada, inclusive fornecimento e transporte da brita em Vias Urbanas</v>
          </cell>
          <cell r="C1106" t="str">
            <v>m³</v>
          </cell>
          <cell r="D1106" t="str">
            <v>104,09</v>
          </cell>
          <cell r="E1106" t="str">
            <v>A incluir</v>
          </cell>
        </row>
        <row r="1107">
          <cell r="A1107">
            <v>42702</v>
          </cell>
          <cell r="B1107" t="str">
            <v>Sub-base de brita 1, inclusive fornecimento, exclusive transporte da brita em Vias Urbanas</v>
          </cell>
          <cell r="C1107" t="str">
            <v>m³</v>
          </cell>
          <cell r="D1107" t="str">
            <v>105,98</v>
          </cell>
          <cell r="E1107">
            <v>0</v>
          </cell>
        </row>
        <row r="1108">
          <cell r="A1108">
            <v>42480</v>
          </cell>
          <cell r="B1108" t="str">
            <v>Sub-base solo brita, 50% em peso, inclusive fornecimento e transporte da brita em Vias Urbanas</v>
          </cell>
          <cell r="C1108" t="str">
            <v>m³</v>
          </cell>
          <cell r="D1108" t="str">
            <v>73,15</v>
          </cell>
          <cell r="E1108" t="str">
            <v>A incluir</v>
          </cell>
        </row>
        <row r="1109">
          <cell r="A1109">
            <v>42489</v>
          </cell>
          <cell r="B1109" t="str">
            <v>T.S.B.D. com capa selante, executado com Multidistribuidor inclusive fornecimento e transporte da emulsão, areia, brita e lavagem da brita -V. Urbanas</v>
          </cell>
          <cell r="C1109" t="str">
            <v>m²</v>
          </cell>
          <cell r="D1109" t="str">
            <v>9,83</v>
          </cell>
          <cell r="E1109" t="str">
            <v>A incluir</v>
          </cell>
        </row>
        <row r="1110">
          <cell r="A1110">
            <v>42487</v>
          </cell>
          <cell r="B1110" t="str">
            <v>T.S.B.D. com capa selante inclusive fornec. areia/brita/emulsão, transporte comerc. emulsão e lavagem brita, exclus. transp. areia e brita - V.Urbana</v>
          </cell>
          <cell r="C1110" t="str">
            <v>m²</v>
          </cell>
          <cell r="D1110" t="str">
            <v>13,41</v>
          </cell>
          <cell r="E1110" t="str">
            <v>A incluir</v>
          </cell>
        </row>
        <row r="1111">
          <cell r="A1111">
            <v>42847</v>
          </cell>
          <cell r="B1111" t="str">
            <v>T.S.B.D. com capa selante inclusive fornec.areia/brita/emulsão, transp.comercial emulsão e lavagem brita, exclus. transp. areia e brita- Vias Urbanas</v>
          </cell>
          <cell r="C1111" t="str">
            <v>m²</v>
          </cell>
          <cell r="D1111" t="str">
            <v>14,42</v>
          </cell>
          <cell r="E1111" t="str">
            <v>A incluir</v>
          </cell>
        </row>
        <row r="1112">
          <cell r="A1112">
            <v>42486</v>
          </cell>
          <cell r="B1112" t="str">
            <v>T.S.B.D. sem capa selante, inclusive fornecimento e transporte comercial do material betuminoso e lavagem da brita em Vias Urbanas</v>
          </cell>
          <cell r="C1112" t="str">
            <v>m²</v>
          </cell>
          <cell r="D1112" t="str">
            <v>9,33</v>
          </cell>
          <cell r="E1112" t="str">
            <v>A incluir</v>
          </cell>
        </row>
        <row r="1113">
          <cell r="A1113">
            <v>42488</v>
          </cell>
          <cell r="B1113" t="str">
            <v>T.S.B.D. sem capa selante executado com Multidistribuidor excl. forn.e transp. com. da emulsão, inclus. fornecim., transp.e lavagem brita, V.Urbanas</v>
          </cell>
          <cell r="C1113" t="str">
            <v>m²</v>
          </cell>
          <cell r="D1113" t="str">
            <v>7,24</v>
          </cell>
          <cell r="E1113" t="str">
            <v>A incluir</v>
          </cell>
        </row>
        <row r="1114">
          <cell r="A1114">
            <v>0</v>
          </cell>
          <cell r="B1114">
            <v>0</v>
          </cell>
          <cell r="C1114">
            <v>0</v>
          </cell>
          <cell r="D1114">
            <v>0</v>
          </cell>
          <cell r="E1114" t="e">
            <v>#N/A</v>
          </cell>
        </row>
        <row r="1115">
          <cell r="A1115" t="str">
            <v>Grupo de Serviço: 63 - OBRAS DE ARTE CORRENTES E DRENAGEM - VIAS URBANAS</v>
          </cell>
          <cell r="B1115">
            <v>0</v>
          </cell>
          <cell r="C1115">
            <v>0</v>
          </cell>
          <cell r="E1115" t="e">
            <v>#N/A</v>
          </cell>
        </row>
        <row r="1116">
          <cell r="A1116">
            <v>42601</v>
          </cell>
          <cell r="B1116" t="str">
            <v>Alvenaria de bloco (39 x 19 x 09) cm espessura 09 cm em Vias Urbanas, inclusive transporte, areia, cimento e bloco</v>
          </cell>
          <cell r="C1116" t="str">
            <v>m²</v>
          </cell>
          <cell r="D1116" t="str">
            <v>49,27</v>
          </cell>
          <cell r="E1116" t="str">
            <v>A incluir</v>
          </cell>
        </row>
        <row r="1117">
          <cell r="A1117">
            <v>43602</v>
          </cell>
          <cell r="B1117" t="str">
            <v>Alvenaria de bloco (39 x 19 x 19) cm espessura 19 cm em Vias Urbanas</v>
          </cell>
          <cell r="C1117" t="str">
            <v>m²</v>
          </cell>
          <cell r="D1117" t="str">
            <v>75,82</v>
          </cell>
          <cell r="E1117" t="str">
            <v>A incluir</v>
          </cell>
        </row>
        <row r="1118">
          <cell r="A1118">
            <v>42602</v>
          </cell>
          <cell r="B1118" t="str">
            <v>Alvenaria de bloco (39 x 19 x 19) cm espessura 19 cm, inclusive transporte de areia, cimento e bloco em Vias Urbanas</v>
          </cell>
          <cell r="C1118" t="str">
            <v>m²</v>
          </cell>
          <cell r="D1118" t="str">
            <v>82,12</v>
          </cell>
          <cell r="E1118" t="str">
            <v>A incluir</v>
          </cell>
        </row>
        <row r="1119">
          <cell r="A1119">
            <v>42603</v>
          </cell>
          <cell r="B1119" t="str">
            <v>Alvenaria de lajota (20 x 20 x 10) cm espessura 10 cm , inclusive transporte de areia, lajota e cimento, em Vias Urbanas</v>
          </cell>
          <cell r="C1119" t="str">
            <v>m²</v>
          </cell>
          <cell r="D1119" t="str">
            <v>57,38</v>
          </cell>
          <cell r="E1119" t="str">
            <v>A incluir</v>
          </cell>
        </row>
        <row r="1120">
          <cell r="A1120">
            <v>42604</v>
          </cell>
          <cell r="B1120" t="str">
            <v>Alvenaria de pedra de mão (junta seca), inclusive transporte da pedra em Vias Urbanas</v>
          </cell>
          <cell r="C1120" t="str">
            <v>m³</v>
          </cell>
          <cell r="D1120" t="str">
            <v>221,42</v>
          </cell>
          <cell r="E1120" t="str">
            <v>A incluir</v>
          </cell>
        </row>
        <row r="1121">
          <cell r="A1121">
            <v>42605</v>
          </cell>
          <cell r="B1121" t="str">
            <v>Alvenaria de pedra de mão argamassada (argamassa cimento areia 1:4) inclusive transporte da pedra de mão, em Vias Urbanas</v>
          </cell>
          <cell r="C1121" t="str">
            <v>m³</v>
          </cell>
          <cell r="D1121" t="str">
            <v>326,36</v>
          </cell>
          <cell r="E1121" t="str">
            <v>A incluir</v>
          </cell>
        </row>
        <row r="1122">
          <cell r="A1122">
            <v>42606</v>
          </cell>
          <cell r="B1122" t="str">
            <v>Andaime de madeira para altura até 7 m, compreendendo montagem e desmontagem em Vias Urbanas</v>
          </cell>
          <cell r="C1122" t="str">
            <v>m³</v>
          </cell>
          <cell r="D1122" t="str">
            <v>19,79</v>
          </cell>
          <cell r="E1122">
            <v>0</v>
          </cell>
        </row>
        <row r="1123">
          <cell r="A1123">
            <v>42607</v>
          </cell>
          <cell r="B1123" t="str">
            <v>Andaime suspenso em madeira, inclusive montagem e desmontagem em Vias Urbanas</v>
          </cell>
          <cell r="C1123" t="str">
            <v>m²</v>
          </cell>
          <cell r="D1123" t="str">
            <v>113,69</v>
          </cell>
          <cell r="E1123">
            <v>0</v>
          </cell>
        </row>
        <row r="1124">
          <cell r="A1124">
            <v>42608</v>
          </cell>
          <cell r="B1124" t="str">
            <v>Apicoamento manual de superfície de concreto em Vias Urbanas</v>
          </cell>
          <cell r="C1124" t="str">
            <v>m²</v>
          </cell>
          <cell r="D1124" t="str">
            <v>20,44</v>
          </cell>
          <cell r="E1124">
            <v>0</v>
          </cell>
        </row>
        <row r="1125">
          <cell r="A1125">
            <v>42609</v>
          </cell>
          <cell r="B1125" t="str">
            <v>Apiloamento manual em Vias Urbanas</v>
          </cell>
          <cell r="C1125" t="str">
            <v>m³</v>
          </cell>
          <cell r="D1125" t="str">
            <v>42,94</v>
          </cell>
          <cell r="E1125">
            <v>0</v>
          </cell>
        </row>
        <row r="1126">
          <cell r="A1126">
            <v>42611</v>
          </cell>
          <cell r="B1126" t="str">
            <v>Argamassa cimento e areia traço 1:4 em Vias Urbanas</v>
          </cell>
          <cell r="C1126" t="str">
            <v>m³</v>
          </cell>
          <cell r="D1126" t="str">
            <v>486,15</v>
          </cell>
          <cell r="E1126" t="str">
            <v>A incluir</v>
          </cell>
        </row>
        <row r="1127">
          <cell r="A1127">
            <v>42612</v>
          </cell>
          <cell r="B1127" t="str">
            <v>Argamassa cimento (nata) em Vias Urbanas</v>
          </cell>
          <cell r="C1127" t="str">
            <v>m³</v>
          </cell>
          <cell r="D1127" t="str">
            <v>978,36</v>
          </cell>
          <cell r="E1127" t="str">
            <v>A incluir</v>
          </cell>
        </row>
        <row r="1128">
          <cell r="A1128">
            <v>42613</v>
          </cell>
          <cell r="B1128" t="str">
            <v>Argamassa de cimento e areia, traço 1:4, consumo de cimento 400 kg/m³ em Vias Urbanas</v>
          </cell>
          <cell r="C1128" t="str">
            <v>m³</v>
          </cell>
          <cell r="D1128" t="str">
            <v>506,37</v>
          </cell>
          <cell r="E1128" t="str">
            <v>A incluir</v>
          </cell>
        </row>
        <row r="1129">
          <cell r="A1129">
            <v>42615</v>
          </cell>
          <cell r="B1129" t="str">
            <v>Berço de concreto ciclópico para BDTC diâmetro 0,60 m em Via Urbanas</v>
          </cell>
          <cell r="C1129" t="str">
            <v>m</v>
          </cell>
          <cell r="D1129" t="str">
            <v>240,45</v>
          </cell>
          <cell r="E1129" t="str">
            <v>A incluir</v>
          </cell>
        </row>
        <row r="1130">
          <cell r="A1130">
            <v>41173</v>
          </cell>
          <cell r="B1130" t="str">
            <v>Berço em brita para BSTC diâm. -&gt; 0,30 m em Vias Urbanas</v>
          </cell>
          <cell r="C1130" t="str">
            <v>m</v>
          </cell>
          <cell r="D1130" t="str">
            <v>14,77</v>
          </cell>
          <cell r="E1130" t="str">
            <v>A incluir</v>
          </cell>
        </row>
        <row r="1131">
          <cell r="A1131">
            <v>41174</v>
          </cell>
          <cell r="B1131" t="str">
            <v>Berço em brita para BSTC diâm. -&gt; 0,40 m em Vias Urbanas</v>
          </cell>
          <cell r="C1131" t="str">
            <v>m</v>
          </cell>
          <cell r="D1131" t="str">
            <v>15,75</v>
          </cell>
          <cell r="E1131" t="str">
            <v>A incluir</v>
          </cell>
        </row>
        <row r="1132">
          <cell r="A1132">
            <v>41175</v>
          </cell>
          <cell r="B1132" t="str">
            <v>Berço em brita para BSTC diâm. -&gt; 0,60 m em Vias Urbanas</v>
          </cell>
          <cell r="C1132" t="str">
            <v>m</v>
          </cell>
          <cell r="D1132" t="str">
            <v>19,62</v>
          </cell>
          <cell r="E1132" t="str">
            <v>A incluir</v>
          </cell>
        </row>
        <row r="1133">
          <cell r="A1133">
            <v>41176</v>
          </cell>
          <cell r="B1133" t="str">
            <v>Berço em brita para BSTC diam. -&gt; 0,80 m em Vias Urbanas</v>
          </cell>
          <cell r="C1133" t="str">
            <v>m</v>
          </cell>
          <cell r="D1133" t="str">
            <v>29,30</v>
          </cell>
          <cell r="E1133" t="str">
            <v>A incluir</v>
          </cell>
        </row>
        <row r="1134">
          <cell r="A1134">
            <v>42635</v>
          </cell>
          <cell r="B1134" t="str">
            <v>Boca de BDCC 2,00 x 1,20m conforme projeto em Vias Urbanas</v>
          </cell>
          <cell r="C1134" t="str">
            <v>un</v>
          </cell>
          <cell r="D1134" t="str">
            <v>12.418,42</v>
          </cell>
          <cell r="E1134">
            <v>0</v>
          </cell>
        </row>
        <row r="1135">
          <cell r="A1135">
            <v>40628</v>
          </cell>
          <cell r="B1135" t="str">
            <v>Boca de BDCC 2,00 x 2,50 m em Vias Urbanas</v>
          </cell>
          <cell r="C1135" t="str">
            <v>un</v>
          </cell>
          <cell r="D1135" t="str">
            <v>25.027,41</v>
          </cell>
          <cell r="E1135">
            <v>0</v>
          </cell>
        </row>
        <row r="1136">
          <cell r="A1136">
            <v>40619</v>
          </cell>
          <cell r="B1136" t="str">
            <v>Boca de BSCC 2,50 x 2,50 m, projeto DNIT em Vias Urbanas</v>
          </cell>
          <cell r="C1136" t="str">
            <v>un</v>
          </cell>
          <cell r="D1136" t="str">
            <v>23.234,41</v>
          </cell>
          <cell r="E1136">
            <v>0</v>
          </cell>
        </row>
        <row r="1137">
          <cell r="A1137">
            <v>41087</v>
          </cell>
          <cell r="B1137" t="str">
            <v>Boca de lobo simples em blocos pré-moldados CR(0,40 x 0,80 m) em Vias Urbanas</v>
          </cell>
          <cell r="C1137" t="str">
            <v>un</v>
          </cell>
          <cell r="D1137" t="str">
            <v>1.203,26</v>
          </cell>
          <cell r="E1137">
            <v>0</v>
          </cell>
        </row>
        <row r="1138">
          <cell r="A1138">
            <v>42676</v>
          </cell>
          <cell r="B1138" t="str">
            <v>Bueiro Metálico BSTM - D-&gt; 3,00 m - T.L. com tratamento epóxi e-&gt;2,7 mm -método não destrutivo em Vias Urbanas</v>
          </cell>
          <cell r="C1138" t="str">
            <v>m</v>
          </cell>
          <cell r="D1138" t="str">
            <v>9.530,74</v>
          </cell>
          <cell r="E1138" t="str">
            <v>A incluir</v>
          </cell>
        </row>
        <row r="1139">
          <cell r="A1139">
            <v>42677</v>
          </cell>
          <cell r="B1139" t="str">
            <v>Bueiro Metálico BSTM - D-&gt;3,05m - MP-152 com tratamento epóxi e-&gt;2,7mm - método destrutivo, inclusive lastro de brita em Vias Urbanas</v>
          </cell>
          <cell r="C1139" t="str">
            <v>m</v>
          </cell>
          <cell r="D1139" t="str">
            <v>6.209,75</v>
          </cell>
          <cell r="E1139" t="str">
            <v>A incluir</v>
          </cell>
        </row>
        <row r="1140">
          <cell r="A1140">
            <v>42678</v>
          </cell>
          <cell r="B1140" t="str">
            <v>Caiação de meio fios, sarjetas, etc. em Vias Urbanas</v>
          </cell>
          <cell r="C1140" t="str">
            <v>m²</v>
          </cell>
          <cell r="D1140" t="str">
            <v>5,78</v>
          </cell>
          <cell r="E1140">
            <v>0</v>
          </cell>
        </row>
        <row r="1141">
          <cell r="A1141">
            <v>41159</v>
          </cell>
          <cell r="B1141" t="str">
            <v>Caixa Boca de Lobo em bloco pré-moldado de concreto para diâm.-&gt;1,00m (1,30 x 1,30m) em Vias Urbanas</v>
          </cell>
          <cell r="C1141" t="str">
            <v>un</v>
          </cell>
          <cell r="D1141" t="str">
            <v>2.798,19</v>
          </cell>
          <cell r="E1141">
            <v>0</v>
          </cell>
        </row>
        <row r="1142">
          <cell r="A1142">
            <v>41144</v>
          </cell>
          <cell r="B1142" t="str">
            <v>Caixa Boca de Lobo em bloco pré-moldado para diâm. -&gt; 0,60m (1,00 x 1,00m) CBL2 (Vias Urbanas)</v>
          </cell>
          <cell r="C1142" t="str">
            <v>un</v>
          </cell>
          <cell r="D1142" t="str">
            <v>2.054,28</v>
          </cell>
          <cell r="E1142">
            <v>0</v>
          </cell>
        </row>
        <row r="1143">
          <cell r="A1143">
            <v>41158</v>
          </cell>
          <cell r="B1143" t="str">
            <v>Caixa Boca de Lobo em bloco pré-moldado para diâm. -&gt; 0,80m (1,20 x 1,20m) (Vias Urbanas)</v>
          </cell>
          <cell r="C1143" t="str">
            <v>un</v>
          </cell>
          <cell r="D1143" t="str">
            <v>2.399,04</v>
          </cell>
          <cell r="E1143">
            <v>0</v>
          </cell>
        </row>
        <row r="1144">
          <cell r="A1144">
            <v>41160</v>
          </cell>
          <cell r="B1144" t="str">
            <v>Caixa Boca de Lobo em bloco pré-moldado para diâm. -&gt; 1,20m(1,50 x 1,50m) (Vias Urbanas)</v>
          </cell>
          <cell r="C1144" t="str">
            <v>un</v>
          </cell>
          <cell r="D1144" t="str">
            <v>3.563,96</v>
          </cell>
          <cell r="E1144">
            <v>0</v>
          </cell>
        </row>
        <row r="1145">
          <cell r="A1145">
            <v>41101</v>
          </cell>
          <cell r="B1145" t="str">
            <v>Caixa Boca de Lobo em bloco pré-moldado para diâm.-&gt; 0,30m e 0,40m (0,80 x 0,80m) (Vias Urbanas)</v>
          </cell>
          <cell r="C1145" t="str">
            <v>un</v>
          </cell>
          <cell r="D1145" t="str">
            <v>1.721,44</v>
          </cell>
          <cell r="E1145">
            <v>0</v>
          </cell>
        </row>
        <row r="1146">
          <cell r="A1146">
            <v>42679</v>
          </cell>
          <cell r="B1146" t="str">
            <v>Caixa Boca de Lobo em bloco pré-moldado 1,20 x 1,20m em Vias Urbanas</v>
          </cell>
          <cell r="C1146" t="str">
            <v>un</v>
          </cell>
          <cell r="D1146" t="str">
            <v>3.855,70</v>
          </cell>
          <cell r="E1146">
            <v>0</v>
          </cell>
        </row>
        <row r="1147">
          <cell r="A1147">
            <v>42680</v>
          </cell>
          <cell r="B1147" t="str">
            <v>Caixa coletora concreto armado H-&gt; 2,00m, inclusive escavação em Vias Urbanas</v>
          </cell>
          <cell r="C1147" t="str">
            <v>un</v>
          </cell>
          <cell r="D1147" t="str">
            <v>4.045,77</v>
          </cell>
          <cell r="E1147">
            <v>0</v>
          </cell>
        </row>
        <row r="1148">
          <cell r="A1148">
            <v>42681</v>
          </cell>
          <cell r="B1148" t="str">
            <v>Caixa coletora concreto armado H-&gt; 2,50m, inclusive escavação em Vias Urbanas</v>
          </cell>
          <cell r="C1148" t="str">
            <v>un</v>
          </cell>
          <cell r="D1148" t="str">
            <v>4.970,50</v>
          </cell>
          <cell r="E1148">
            <v>0</v>
          </cell>
        </row>
        <row r="1149">
          <cell r="A1149">
            <v>42682</v>
          </cell>
          <cell r="B1149" t="str">
            <v>Caixa coletora em bloco pré-moldado para d-&gt;0,60m (1,00 x 1,00m) em Vias Urbanas</v>
          </cell>
          <cell r="C1149" t="str">
            <v>un</v>
          </cell>
          <cell r="D1149" t="str">
            <v>1.943,97</v>
          </cell>
          <cell r="E1149" t="str">
            <v>A incluir</v>
          </cell>
        </row>
        <row r="1150">
          <cell r="A1150">
            <v>41334</v>
          </cell>
          <cell r="B1150" t="str">
            <v>Caixa coletora em bloco pré-moldado para d-&gt;0,80m (1,20 x 1,20m) em Vias Urbanas</v>
          </cell>
          <cell r="C1150" t="str">
            <v>un</v>
          </cell>
          <cell r="D1150" t="str">
            <v>2.452,72</v>
          </cell>
          <cell r="E1150" t="str">
            <v>A incluir</v>
          </cell>
        </row>
        <row r="1151">
          <cell r="A1151">
            <v>42683</v>
          </cell>
          <cell r="B1151" t="str">
            <v>Caixa de concreto para BSTC diâmetro 0,40 m H-&gt;1,60 m em Vias Urbanas</v>
          </cell>
          <cell r="C1151" t="str">
            <v>un</v>
          </cell>
          <cell r="D1151" t="str">
            <v>1.882,69</v>
          </cell>
          <cell r="E1151" t="str">
            <v>A incluir</v>
          </cell>
        </row>
        <row r="1152">
          <cell r="A1152">
            <v>42684</v>
          </cell>
          <cell r="B1152" t="str">
            <v>Caixa de concreto para BSTC diâmetro 0,60m H-&gt;2,00m em Vias Urbanas</v>
          </cell>
          <cell r="C1152" t="str">
            <v>un</v>
          </cell>
          <cell r="D1152" t="str">
            <v>2.926,48</v>
          </cell>
          <cell r="E1152" t="str">
            <v>A incluir</v>
          </cell>
        </row>
        <row r="1153">
          <cell r="A1153">
            <v>42685</v>
          </cell>
          <cell r="B1153" t="str">
            <v>Caixa de concreto para BSTC diâmetro 0,80m H-&gt;2,50m em Vias Urbanas</v>
          </cell>
          <cell r="C1153" t="str">
            <v>un</v>
          </cell>
          <cell r="D1153" t="str">
            <v>3.631,98</v>
          </cell>
          <cell r="E1153" t="str">
            <v>A incluir</v>
          </cell>
        </row>
        <row r="1154">
          <cell r="A1154">
            <v>42686</v>
          </cell>
          <cell r="B1154" t="str">
            <v>Caixa de concreto para BSTC diâmetro 1,00m H-&gt;3,00m em Vias Urbanas</v>
          </cell>
          <cell r="C1154" t="str">
            <v>un</v>
          </cell>
          <cell r="D1154" t="str">
            <v>4.313,03</v>
          </cell>
          <cell r="E1154" t="str">
            <v>A incluir</v>
          </cell>
        </row>
        <row r="1155">
          <cell r="A1155">
            <v>41162</v>
          </cell>
          <cell r="B1155" t="str">
            <v>Caixa de passagem em bloco pré-moldado para d-&gt;0,30 e 0,40m (0,80x0,80m) em Vias Urbanas</v>
          </cell>
          <cell r="C1155" t="str">
            <v>un</v>
          </cell>
          <cell r="D1155" t="str">
            <v>1.809,44</v>
          </cell>
          <cell r="E1155">
            <v>0</v>
          </cell>
        </row>
        <row r="1156">
          <cell r="A1156">
            <v>41163</v>
          </cell>
          <cell r="B1156" t="str">
            <v>Caixa de passagem em bloco pré-moldado para d-&gt;0,60m (1,00x1,00m) em Vias Urbanas</v>
          </cell>
          <cell r="C1156" t="str">
            <v>un</v>
          </cell>
          <cell r="D1156" t="str">
            <v>2.169,74</v>
          </cell>
          <cell r="E1156">
            <v>0</v>
          </cell>
        </row>
        <row r="1157">
          <cell r="A1157">
            <v>41164</v>
          </cell>
          <cell r="B1157" t="str">
            <v>Caixa de passagem em bloco pré-moldado para d-&gt;0,80m (1,20 x 1,20m) em Vias Urbanas</v>
          </cell>
          <cell r="C1157" t="str">
            <v>un</v>
          </cell>
          <cell r="D1157" t="str">
            <v>2.646,33</v>
          </cell>
          <cell r="E1157">
            <v>0</v>
          </cell>
        </row>
        <row r="1158">
          <cell r="A1158">
            <v>41165</v>
          </cell>
          <cell r="B1158" t="str">
            <v>Caixa de passagem em bloco pré-moldado para d-&gt;1,00m (1,30 x 1,30m) em Vias Urbanas</v>
          </cell>
          <cell r="C1158" t="str">
            <v>un</v>
          </cell>
          <cell r="D1158" t="str">
            <v>2.955,09</v>
          </cell>
          <cell r="E1158">
            <v>0</v>
          </cell>
        </row>
        <row r="1159">
          <cell r="A1159">
            <v>41166</v>
          </cell>
          <cell r="B1159" t="str">
            <v>Caixa de passagem em bloco pré-moldado para d-&gt;1,20m (1,50 x 1,50m) em Vias Urbanas</v>
          </cell>
          <cell r="C1159" t="str">
            <v>un</v>
          </cell>
          <cell r="D1159" t="str">
            <v>3.623,66</v>
          </cell>
          <cell r="E1159">
            <v>0</v>
          </cell>
        </row>
        <row r="1160">
          <cell r="A1160">
            <v>42687</v>
          </cell>
          <cell r="B1160" t="str">
            <v>Caixa de passagem para tubos de D-&gt;0,40m H-&gt;1,10m em Vias Urbanas</v>
          </cell>
          <cell r="C1160" t="str">
            <v>un</v>
          </cell>
          <cell r="D1160" t="str">
            <v>1.249,38</v>
          </cell>
          <cell r="E1160">
            <v>0</v>
          </cell>
        </row>
        <row r="1161">
          <cell r="A1161">
            <v>42688</v>
          </cell>
          <cell r="B1161" t="str">
            <v>Caixa de passagem para tubos de D-&gt;0,60m H-&gt;1,30m em Vias Urbanas</v>
          </cell>
          <cell r="C1161" t="str">
            <v>un</v>
          </cell>
          <cell r="D1161" t="str">
            <v>1.576,00</v>
          </cell>
          <cell r="E1161">
            <v>0</v>
          </cell>
        </row>
        <row r="1162">
          <cell r="A1162">
            <v>42689</v>
          </cell>
          <cell r="B1162" t="str">
            <v>Caixa de passagem para tubos de D-&gt;0,80m H-&gt;1,50m em Vias Urbanas</v>
          </cell>
          <cell r="C1162" t="str">
            <v>un</v>
          </cell>
          <cell r="D1162" t="str">
            <v>1.978,52</v>
          </cell>
          <cell r="E1162">
            <v>0</v>
          </cell>
        </row>
        <row r="1163">
          <cell r="A1163">
            <v>42690</v>
          </cell>
          <cell r="B1163" t="str">
            <v>Caixa de passagem para tubos de D-&gt;1,00m H-&gt;1,80m em Vias Urbanas</v>
          </cell>
          <cell r="C1163" t="str">
            <v>un</v>
          </cell>
          <cell r="D1163" t="str">
            <v>3.137,14</v>
          </cell>
          <cell r="E1163">
            <v>0</v>
          </cell>
        </row>
        <row r="1164">
          <cell r="A1164">
            <v>42691</v>
          </cell>
          <cell r="B1164" t="str">
            <v>Caixa de passagem (2,50 x 2,50m) em Vias Urbanas</v>
          </cell>
          <cell r="C1164" t="str">
            <v>un</v>
          </cell>
          <cell r="D1164" t="str">
            <v>6.970,61</v>
          </cell>
          <cell r="E1164" t="str">
            <v>A incluir</v>
          </cell>
        </row>
        <row r="1165">
          <cell r="A1165">
            <v>42693</v>
          </cell>
          <cell r="B1165" t="str">
            <v>Caixa para rede de dutos dimensões 100 x100 x100 cm, em Vias Urbanas</v>
          </cell>
          <cell r="C1165" t="str">
            <v>m</v>
          </cell>
          <cell r="D1165" t="str">
            <v>3.427,76</v>
          </cell>
          <cell r="E1165">
            <v>0</v>
          </cell>
        </row>
        <row r="1166">
          <cell r="A1166">
            <v>42692</v>
          </cell>
          <cell r="B1166" t="str">
            <v>Caixa para rede de dutos dimensões 60 x 60 x 60 cm, em Vias Urbanas</v>
          </cell>
          <cell r="C1166" t="str">
            <v>un</v>
          </cell>
          <cell r="D1166" t="str">
            <v>553,54</v>
          </cell>
          <cell r="E1166">
            <v>0</v>
          </cell>
        </row>
        <row r="1167">
          <cell r="A1167">
            <v>41085</v>
          </cell>
          <cell r="B1167" t="str">
            <v>Caixa ralo com grelha de concreto em blocos pré-moldados - CRG - Vias Urbanas</v>
          </cell>
          <cell r="C1167" t="str">
            <v>un</v>
          </cell>
          <cell r="D1167" t="str">
            <v>1.245,14</v>
          </cell>
          <cell r="E1167">
            <v>0</v>
          </cell>
        </row>
        <row r="1168">
          <cell r="A1168">
            <v>42694</v>
          </cell>
          <cell r="B1168" t="str">
            <v>Caixa ralo de elementos pré-moldados em concreto (tudo incluído) em Vias Urbanas</v>
          </cell>
          <cell r="C1168" t="str">
            <v>un</v>
          </cell>
          <cell r="D1168" t="str">
            <v>684,53</v>
          </cell>
          <cell r="E1168" t="str">
            <v>A incluir</v>
          </cell>
        </row>
        <row r="1169">
          <cell r="A1169">
            <v>41241</v>
          </cell>
          <cell r="B1169" t="str">
            <v>Caixa ralo em blocos pré-moldados e grelha articulada em FFA em Vias Urbanas</v>
          </cell>
          <cell r="C1169" t="str">
            <v>un</v>
          </cell>
          <cell r="D1169" t="str">
            <v>1.203,95</v>
          </cell>
          <cell r="E1169" t="str">
            <v>A incluir</v>
          </cell>
        </row>
        <row r="1170">
          <cell r="A1170">
            <v>42697</v>
          </cell>
          <cell r="B1170" t="str">
            <v>Canaleta com grelha DP-1, inclusive transporte da grelha em Vias Urbanas</v>
          </cell>
          <cell r="C1170" t="str">
            <v>m</v>
          </cell>
          <cell r="D1170" t="str">
            <v>563,57</v>
          </cell>
          <cell r="E1170" t="str">
            <v>A incluir</v>
          </cell>
        </row>
        <row r="1171">
          <cell r="A1171">
            <v>42698</v>
          </cell>
          <cell r="B1171" t="str">
            <v>Canaleta de concreto, com forma retangular inclusive caiação - parede 12 cm em Vias Urbanas</v>
          </cell>
          <cell r="C1171" t="str">
            <v>m</v>
          </cell>
          <cell r="D1171" t="str">
            <v>183,06</v>
          </cell>
          <cell r="E1171" t="str">
            <v>A incluir</v>
          </cell>
        </row>
        <row r="1172">
          <cell r="A1172">
            <v>42699</v>
          </cell>
          <cell r="B1172" t="str">
            <v>Canaleta de concreto retangular (0,130m³/m) inclusive caiação em Vias Urbanas</v>
          </cell>
          <cell r="C1172" t="str">
            <v>m</v>
          </cell>
          <cell r="D1172" t="str">
            <v>232,85</v>
          </cell>
          <cell r="E1172">
            <v>0</v>
          </cell>
        </row>
        <row r="1173">
          <cell r="A1173">
            <v>42700</v>
          </cell>
          <cell r="B1173" t="str">
            <v>Canaleta de concreto (0,130m³/m) forma trapezoidal inclusive caiação em Vias Urbanas</v>
          </cell>
          <cell r="C1173" t="str">
            <v>m</v>
          </cell>
          <cell r="D1173" t="str">
            <v>162,46</v>
          </cell>
          <cell r="E1173" t="str">
            <v>A incluir</v>
          </cell>
        </row>
        <row r="1174">
          <cell r="A1174">
            <v>42701</v>
          </cell>
          <cell r="B1174" t="str">
            <v>Cerca de tela de arame galvanizado h-&gt;1,20m em Vias Urbanas</v>
          </cell>
          <cell r="C1174" t="str">
            <v>m²</v>
          </cell>
          <cell r="D1174" t="str">
            <v>29,77</v>
          </cell>
          <cell r="E1174">
            <v>0</v>
          </cell>
        </row>
        <row r="1175">
          <cell r="A1175">
            <v>42703</v>
          </cell>
          <cell r="B1175" t="str">
            <v>Cerca em tela revestida em PVC com mourões de concreto, fornecimento e execução em Vias Urbanas</v>
          </cell>
          <cell r="C1175" t="str">
            <v>m²</v>
          </cell>
          <cell r="D1175" t="str">
            <v>73,08</v>
          </cell>
          <cell r="E1175">
            <v>0</v>
          </cell>
        </row>
        <row r="1176">
          <cell r="A1176">
            <v>42704</v>
          </cell>
          <cell r="B1176" t="str">
            <v>Chapisco com argamassa de cimento e areia 1:3 em Vias Urbanas</v>
          </cell>
          <cell r="C1176" t="str">
            <v>m²</v>
          </cell>
          <cell r="D1176" t="str">
            <v>5,70</v>
          </cell>
          <cell r="E1176">
            <v>0</v>
          </cell>
        </row>
        <row r="1177">
          <cell r="A1177">
            <v>42705</v>
          </cell>
          <cell r="B1177" t="str">
            <v>Chapisco com argamassa de cimento e pedrisco 1:4 em Vias Urbanas</v>
          </cell>
          <cell r="C1177" t="str">
            <v>m²</v>
          </cell>
          <cell r="D1177" t="str">
            <v>8,98</v>
          </cell>
          <cell r="E1177">
            <v>0</v>
          </cell>
        </row>
        <row r="1178">
          <cell r="A1178">
            <v>42706</v>
          </cell>
          <cell r="B1178" t="str">
            <v>Colchão drenante de areia para fundação de aterros, exclusive o fornecimento de areia em Vias Urbanas</v>
          </cell>
          <cell r="C1178" t="str">
            <v>m³</v>
          </cell>
          <cell r="D1178" t="str">
            <v>4,93</v>
          </cell>
          <cell r="E1178">
            <v>0</v>
          </cell>
        </row>
        <row r="1179">
          <cell r="A1179">
            <v>42707</v>
          </cell>
          <cell r="B1179" t="str">
            <v>Colchão drenante de areia para fundação de aterros, inclusive fornecimento e transporte da areia em Vias Urbanas</v>
          </cell>
          <cell r="C1179" t="str">
            <v>m³</v>
          </cell>
          <cell r="D1179" t="str">
            <v>77,85</v>
          </cell>
          <cell r="E1179" t="str">
            <v>A incluir</v>
          </cell>
        </row>
        <row r="1180">
          <cell r="A1180">
            <v>42708</v>
          </cell>
          <cell r="B1180" t="str">
            <v>Colchão drenante de brita 1 inclusive fornecimento, espalhamento, compactação e transporte da brita em Vias Urbanas</v>
          </cell>
          <cell r="C1180" t="str">
            <v>m³</v>
          </cell>
          <cell r="D1180" t="str">
            <v>95,93</v>
          </cell>
          <cell r="E1180" t="str">
            <v>A incluir</v>
          </cell>
        </row>
        <row r="1181">
          <cell r="A1181">
            <v>42709</v>
          </cell>
          <cell r="B1181" t="str">
            <v>Colchão drenante de brita 2 inclusive fornecimento, espalhamento, compactação e transporte da brita em Vias Urbanas</v>
          </cell>
          <cell r="C1181" t="str">
            <v>m³</v>
          </cell>
          <cell r="D1181" t="str">
            <v>93,21</v>
          </cell>
          <cell r="E1181" t="str">
            <v>A incluir</v>
          </cell>
        </row>
        <row r="1182">
          <cell r="A1182">
            <v>42710</v>
          </cell>
          <cell r="B1182" t="str">
            <v>Colchão drenante de brita 3 inclusive fornecimento, espalhamento, compactação e transporte da brita em Vias Urbanas</v>
          </cell>
          <cell r="C1182" t="str">
            <v>m³</v>
          </cell>
          <cell r="D1182" t="str">
            <v>101,11</v>
          </cell>
          <cell r="E1182" t="str">
            <v>A incluir</v>
          </cell>
        </row>
        <row r="1183">
          <cell r="A1183">
            <v>42711</v>
          </cell>
          <cell r="B1183" t="str">
            <v>Coleta drenante (1,00x1,00) m c/ geotêxtil não tecido RT 16kn/m, inclusive transporte da brita em Vias Urbanas</v>
          </cell>
          <cell r="C1183" t="str">
            <v>m</v>
          </cell>
          <cell r="D1183" t="str">
            <v>348,39</v>
          </cell>
          <cell r="E1183" t="str">
            <v>A incluir</v>
          </cell>
        </row>
        <row r="1184">
          <cell r="A1184">
            <v>42712</v>
          </cell>
          <cell r="B1184" t="str">
            <v>Concreto armado, dosado para resist. 20 Mpa, incluindo 60 kg aço CA-50 A, mão de obra p/ corte, dobragem e montagem, exclusive forma em Vias Urbanas</v>
          </cell>
          <cell r="C1184" t="str">
            <v>m³</v>
          </cell>
          <cell r="D1184" t="str">
            <v>826,90</v>
          </cell>
          <cell r="E1184">
            <v>0</v>
          </cell>
        </row>
        <row r="1185">
          <cell r="A1185">
            <v>42714</v>
          </cell>
          <cell r="B1185" t="str">
            <v>Concreto de regularização em Vias Urbanas</v>
          </cell>
          <cell r="C1185" t="str">
            <v>m³</v>
          </cell>
          <cell r="D1185" t="str">
            <v>437,22</v>
          </cell>
          <cell r="E1185" t="str">
            <v>A incluir</v>
          </cell>
        </row>
        <row r="1186">
          <cell r="A1186">
            <v>42717</v>
          </cell>
          <cell r="B1186" t="str">
            <v>Concreto estrutural fck -&gt; 20,0 MPa com plastificante em Vias Urbanas</v>
          </cell>
          <cell r="C1186" t="str">
            <v>m³</v>
          </cell>
          <cell r="D1186" t="str">
            <v>621,14</v>
          </cell>
          <cell r="E1186" t="str">
            <v>A incluir</v>
          </cell>
        </row>
        <row r="1187">
          <cell r="A1187">
            <v>42716</v>
          </cell>
          <cell r="B1187" t="str">
            <v>Concreto estrutural fck -&gt; 20,0 MPa em Vias Urbanas</v>
          </cell>
          <cell r="C1187" t="str">
            <v>m³</v>
          </cell>
          <cell r="D1187" t="str">
            <v>618,97</v>
          </cell>
          <cell r="E1187" t="str">
            <v>A incluir</v>
          </cell>
        </row>
        <row r="1188">
          <cell r="A1188">
            <v>42719</v>
          </cell>
          <cell r="B1188" t="str">
            <v>Concreto estrutural fck -&gt; 25,0 MPa com plastificante em Vias Urbanas</v>
          </cell>
          <cell r="C1188" t="str">
            <v>m³</v>
          </cell>
          <cell r="D1188" t="str">
            <v>650,75</v>
          </cell>
          <cell r="E1188" t="str">
            <v>A incluir</v>
          </cell>
        </row>
        <row r="1189">
          <cell r="A1189">
            <v>42718</v>
          </cell>
          <cell r="B1189" t="str">
            <v>Concreto estrutural fck -&gt; 25,0 MPa em Vias Urbanas</v>
          </cell>
          <cell r="C1189" t="str">
            <v>m³</v>
          </cell>
          <cell r="D1189" t="str">
            <v>648,31</v>
          </cell>
          <cell r="E1189" t="str">
            <v>A incluir</v>
          </cell>
        </row>
        <row r="1190">
          <cell r="A1190">
            <v>42722</v>
          </cell>
          <cell r="B1190" t="str">
            <v>Concreto estrutural fck -&gt; 30,0 MPa com micro-silica e Sikacrete BR ou equivalente em Vias Urbanas</v>
          </cell>
          <cell r="C1190" t="str">
            <v>m³</v>
          </cell>
          <cell r="D1190" t="str">
            <v>791,14</v>
          </cell>
          <cell r="E1190" t="str">
            <v>A incluir</v>
          </cell>
        </row>
        <row r="1191">
          <cell r="A1191">
            <v>42721</v>
          </cell>
          <cell r="B1191" t="str">
            <v>Concreto estrutural fck -&gt; 30,0 MPa com plastificante em Vias Urbanas</v>
          </cell>
          <cell r="C1191" t="str">
            <v>m³</v>
          </cell>
          <cell r="D1191" t="str">
            <v>678,01</v>
          </cell>
          <cell r="E1191" t="str">
            <v>A incluir</v>
          </cell>
        </row>
        <row r="1192">
          <cell r="A1192">
            <v>42720</v>
          </cell>
          <cell r="B1192" t="str">
            <v>Concreto estrutural fck -&gt; 30,0 MPa em Vias Urbanas</v>
          </cell>
          <cell r="C1192" t="str">
            <v>m³</v>
          </cell>
          <cell r="D1192" t="str">
            <v>675,33</v>
          </cell>
          <cell r="E1192" t="str">
            <v>A incluir</v>
          </cell>
        </row>
        <row r="1193">
          <cell r="A1193">
            <v>42723</v>
          </cell>
          <cell r="B1193" t="str">
            <v>Concreto estrutural fck -&gt; 35,0 MPa com micro-silica e Sikacrete ou equivalente em Vias Urbanas</v>
          </cell>
          <cell r="C1193" t="str">
            <v>m³</v>
          </cell>
          <cell r="D1193" t="str">
            <v>758,29</v>
          </cell>
          <cell r="E1193" t="str">
            <v>A incluir</v>
          </cell>
        </row>
        <row r="1194">
          <cell r="A1194">
            <v>42724</v>
          </cell>
          <cell r="B1194" t="str">
            <v>Concreto submerso fck -&gt; 20,0 MPa em Vias Urbanas</v>
          </cell>
          <cell r="C1194" t="str">
            <v>m³</v>
          </cell>
          <cell r="D1194" t="str">
            <v>1.262,58</v>
          </cell>
          <cell r="E1194" t="str">
            <v>A incluir</v>
          </cell>
        </row>
        <row r="1195">
          <cell r="A1195">
            <v>42725</v>
          </cell>
          <cell r="B1195" t="str">
            <v>Conjunto Moto-bomba submersível de 15CV, fornecimento e assentamento em Vias Urbanas</v>
          </cell>
          <cell r="C1195" t="str">
            <v>un</v>
          </cell>
          <cell r="D1195" t="str">
            <v>32.382,53</v>
          </cell>
          <cell r="E1195">
            <v>0</v>
          </cell>
        </row>
        <row r="1196">
          <cell r="A1196">
            <v>42726</v>
          </cell>
          <cell r="B1196" t="str">
            <v>Corpo BDTC (grota) diâmetro 0,60 m CA-1 MF exclusive escavação e reaterro, inclusive transporte do tubo em Vias Urbanas</v>
          </cell>
          <cell r="C1196" t="str">
            <v>m</v>
          </cell>
          <cell r="D1196" t="str">
            <v>294,00</v>
          </cell>
          <cell r="E1196" t="str">
            <v>A incluir</v>
          </cell>
        </row>
        <row r="1197">
          <cell r="A1197">
            <v>42727</v>
          </cell>
          <cell r="B1197" t="str">
            <v>Corpo BDTC (grota) diâmetro 0,60 m CA-1 PB exclusive escavação e reaterro, inclusive transporte do tubo em Vias Urbanas</v>
          </cell>
          <cell r="C1197" t="str">
            <v>m</v>
          </cell>
          <cell r="D1197" t="str">
            <v>304,44</v>
          </cell>
          <cell r="E1197" t="str">
            <v>A incluir</v>
          </cell>
        </row>
        <row r="1198">
          <cell r="A1198">
            <v>42728</v>
          </cell>
          <cell r="B1198" t="str">
            <v>Corpo BDTC (grota) diâmetro 0,60 m CA-2 MF exclusive escavação e reaterro, inclusive transporte do tubo em Vias Urbanas</v>
          </cell>
          <cell r="C1198" t="str">
            <v>m</v>
          </cell>
          <cell r="D1198" t="str">
            <v>297,88</v>
          </cell>
          <cell r="E1198" t="str">
            <v>A incluir</v>
          </cell>
        </row>
        <row r="1199">
          <cell r="A1199">
            <v>42729</v>
          </cell>
          <cell r="B1199" t="str">
            <v>Corpo BDTC (grota) diâmetro 0,60 m CA-2 PB exclusive escavação e reaterro, inclusive transporte do tubo em Vias Urbanas</v>
          </cell>
          <cell r="C1199" t="str">
            <v>m</v>
          </cell>
          <cell r="D1199" t="str">
            <v>304,57</v>
          </cell>
          <cell r="E1199" t="str">
            <v>A incluir</v>
          </cell>
        </row>
        <row r="1200">
          <cell r="A1200">
            <v>42730</v>
          </cell>
          <cell r="B1200" t="str">
            <v>Corpo BDTC (grota) diâmetro 0,80 m CA-1 MF exclusive escavação e reaterro, inclusive transporte do tubo em Vias Urbanas</v>
          </cell>
          <cell r="C1200" t="str">
            <v>m</v>
          </cell>
          <cell r="D1200" t="str">
            <v>620,62</v>
          </cell>
          <cell r="E1200" t="str">
            <v>A incluir</v>
          </cell>
        </row>
        <row r="1201">
          <cell r="A1201">
            <v>42731</v>
          </cell>
          <cell r="B1201" t="str">
            <v>Corpo BDTC (grota) diâmetro 0,80 m CA-1 PB exclusive escavação e reaterro, inclusive transporte do tubo em Vias Urbanas</v>
          </cell>
          <cell r="C1201" t="str">
            <v>m</v>
          </cell>
          <cell r="D1201" t="str">
            <v>634,18</v>
          </cell>
          <cell r="E1201" t="str">
            <v>A incluir</v>
          </cell>
        </row>
        <row r="1202">
          <cell r="A1202">
            <v>42732</v>
          </cell>
          <cell r="B1202" t="str">
            <v>Corpo BDTC (grota) diâmetro 0,80 m CA-2 MF exclusive escavação e reaterro, inclusive transporte do tubo em Vias Urbanas</v>
          </cell>
          <cell r="C1202" t="str">
            <v>m</v>
          </cell>
          <cell r="D1202" t="str">
            <v>640,07</v>
          </cell>
          <cell r="E1202" t="str">
            <v>A incluir</v>
          </cell>
        </row>
        <row r="1203">
          <cell r="A1203">
            <v>42733</v>
          </cell>
          <cell r="B1203" t="str">
            <v>Corpo BDTC (grota) diâmetro 0,80 m CA-2 PB exclusive escavação e reaterro, inclusive transporte do tubo em Vias Urbanas</v>
          </cell>
          <cell r="C1203" t="str">
            <v>m</v>
          </cell>
          <cell r="D1203" t="str">
            <v>668,02</v>
          </cell>
          <cell r="E1203" t="str">
            <v>A incluir</v>
          </cell>
        </row>
        <row r="1204">
          <cell r="A1204">
            <v>42734</v>
          </cell>
          <cell r="B1204" t="str">
            <v>Corpo BDTC (grota) diâmetro 1,00 m CA-1 MF exclusive escavação e reaterro, inclusive transporte do tubo em Vias Urbanas</v>
          </cell>
          <cell r="C1204" t="str">
            <v>m</v>
          </cell>
          <cell r="D1204" t="str">
            <v>786,32</v>
          </cell>
          <cell r="E1204" t="str">
            <v>A incluir</v>
          </cell>
        </row>
        <row r="1205">
          <cell r="A1205">
            <v>42735</v>
          </cell>
          <cell r="B1205" t="str">
            <v>Corpo BDTC (grota) diâmetro 1,00 m CA-1 PB exclusive escavação e reaterro, inclusive transporte do tubo em Vias Urbanas</v>
          </cell>
          <cell r="C1205" t="str">
            <v>m</v>
          </cell>
          <cell r="D1205" t="str">
            <v>748,35</v>
          </cell>
          <cell r="E1205" t="str">
            <v>A incluir</v>
          </cell>
        </row>
        <row r="1206">
          <cell r="A1206">
            <v>42736</v>
          </cell>
          <cell r="B1206" t="str">
            <v>Corpo BDTC (grota) diâmetro 1,00 m CA-2 MF exclusive escavação e reaterro, inclusive transporte do tubo em Vias Urbanas</v>
          </cell>
          <cell r="C1206" t="str">
            <v>m</v>
          </cell>
          <cell r="D1206" t="str">
            <v>812,24</v>
          </cell>
          <cell r="E1206" t="str">
            <v>A incluir</v>
          </cell>
        </row>
        <row r="1207">
          <cell r="A1207">
            <v>42737</v>
          </cell>
          <cell r="B1207" t="str">
            <v>Corpo BDTC (grota) diâmetro 1,00 m CA-2 PB exclusive escavação e reaterro, inclusive transporte do tubo em Vias Urbanas</v>
          </cell>
          <cell r="C1207" t="str">
            <v>m</v>
          </cell>
          <cell r="D1207" t="str">
            <v>843,35</v>
          </cell>
          <cell r="E1207" t="str">
            <v>A incluir</v>
          </cell>
        </row>
        <row r="1208">
          <cell r="A1208">
            <v>42738</v>
          </cell>
          <cell r="B1208" t="str">
            <v>Corpo BDTC (grota) diâmetro 1,00 m CA-3 MF exclusive escavação e reaterro, inclusive transporte do tubo em Vias Urbanas</v>
          </cell>
          <cell r="C1208" t="str">
            <v>m</v>
          </cell>
          <cell r="D1208" t="str">
            <v>883,54</v>
          </cell>
          <cell r="E1208" t="str">
            <v>A incluir</v>
          </cell>
        </row>
        <row r="1209">
          <cell r="A1209">
            <v>42739</v>
          </cell>
          <cell r="B1209" t="str">
            <v>Corpo BDTC (grota) diâmetro 1,20 m CA-1 MF exclusive escavação e reaterro, inclusive transporte do tubo em Vias Urbanas</v>
          </cell>
          <cell r="C1209" t="str">
            <v>m</v>
          </cell>
          <cell r="D1209" t="str">
            <v>1.186,37</v>
          </cell>
          <cell r="E1209" t="str">
            <v>A incluir</v>
          </cell>
        </row>
        <row r="1210">
          <cell r="A1210">
            <v>42740</v>
          </cell>
          <cell r="B1210" t="str">
            <v>Corpo BDTC (grota) diâmetro 1,20 m CA-2 MF exclusive escavação e reaterro, inclusive transporte do tubo em Vias Urbanas</v>
          </cell>
          <cell r="C1210" t="str">
            <v>m</v>
          </cell>
          <cell r="D1210" t="str">
            <v>1.193,29</v>
          </cell>
          <cell r="E1210" t="str">
            <v>A incluir</v>
          </cell>
        </row>
        <row r="1211">
          <cell r="A1211">
            <v>42741</v>
          </cell>
          <cell r="B1211" t="str">
            <v>Corpo BDTC (grota) diâmetro 1,20 m CA-2 PB exclusive escavação e reaterro, inclusive transporte do tubo em Vias Urbanas</v>
          </cell>
          <cell r="C1211" t="str">
            <v>m</v>
          </cell>
          <cell r="D1211" t="str">
            <v>1.259,40</v>
          </cell>
          <cell r="E1211" t="str">
            <v>A incluir</v>
          </cell>
        </row>
        <row r="1212">
          <cell r="A1212">
            <v>42742</v>
          </cell>
          <cell r="B1212" t="str">
            <v>Corpo BDTC (grota) diâmetro 1,20 m CA-3 MF exclusive escavação e reaterro, inclusive transporte do tubo em Vias Urbanas</v>
          </cell>
          <cell r="C1212" t="str">
            <v>m</v>
          </cell>
          <cell r="D1212" t="str">
            <v>1.225,70</v>
          </cell>
          <cell r="E1212" t="str">
            <v>A incluir</v>
          </cell>
        </row>
        <row r="1213">
          <cell r="A1213">
            <v>42743</v>
          </cell>
          <cell r="B1213" t="str">
            <v>Corpo BDTC (grota) diâmetro 1,50 m CA-1 MF exclusive escavação e reaterro, inclusive transporte do tubo em Vias Urbanas</v>
          </cell>
          <cell r="C1213" t="str">
            <v>m</v>
          </cell>
          <cell r="D1213" t="str">
            <v>1.899,46</v>
          </cell>
          <cell r="E1213" t="str">
            <v>A incluir</v>
          </cell>
        </row>
        <row r="1214">
          <cell r="A1214">
            <v>42744</v>
          </cell>
          <cell r="B1214" t="str">
            <v>Corpo BDTC (grota) diâmetro 1,50 m CA-1 PB exclusive escavação e reaterro, inclusive transporte do tubo em Vias Urbanas</v>
          </cell>
          <cell r="C1214" t="str">
            <v>m</v>
          </cell>
          <cell r="D1214" t="str">
            <v>1.672,14</v>
          </cell>
          <cell r="E1214" t="str">
            <v>A incluir</v>
          </cell>
        </row>
        <row r="1215">
          <cell r="A1215">
            <v>42745</v>
          </cell>
          <cell r="B1215" t="str">
            <v>Corpo BDTC (grota) diâmetro 1,50 m CA-2 MF exclusive escavação e reaterro, inclusive transporte do tubo em Vias Urbanas</v>
          </cell>
          <cell r="C1215" t="str">
            <v>m</v>
          </cell>
          <cell r="D1215" t="str">
            <v>1.977,24</v>
          </cell>
          <cell r="E1215" t="str">
            <v>A incluir</v>
          </cell>
        </row>
        <row r="1216">
          <cell r="A1216">
            <v>42746</v>
          </cell>
          <cell r="B1216" t="str">
            <v>Corpo BDTC (grota) diâmetro 1,50 m CA-2 PB exclusive escavação e reaterro, inclusive transporte do tubo em Vias Urbanas</v>
          </cell>
          <cell r="C1216" t="str">
            <v>m</v>
          </cell>
          <cell r="D1216" t="str">
            <v>1.771,34</v>
          </cell>
          <cell r="E1216" t="str">
            <v>A incluir</v>
          </cell>
        </row>
        <row r="1217">
          <cell r="A1217">
            <v>42747</v>
          </cell>
          <cell r="B1217" t="str">
            <v>Corpo BDTC (grota) diâmetro 1,50 m CA-3 MF exclusive escavação e reaterro, inclusive transporte do tubo em Vias Urbanas</v>
          </cell>
          <cell r="C1217" t="str">
            <v>m</v>
          </cell>
          <cell r="D1217" t="str">
            <v>1.536,50</v>
          </cell>
          <cell r="E1217" t="str">
            <v>A incluir</v>
          </cell>
        </row>
        <row r="1218">
          <cell r="A1218">
            <v>42748</v>
          </cell>
          <cell r="B1218" t="str">
            <v>Corpo BSTC diâmetro 0,20 m C.S. MF inclusive escavação, reaterro e transporte do tubo em Vias Urbanas</v>
          </cell>
          <cell r="C1218" t="str">
            <v>m</v>
          </cell>
          <cell r="D1218" t="str">
            <v>83,81</v>
          </cell>
          <cell r="E1218" t="str">
            <v>A incluir</v>
          </cell>
        </row>
        <row r="1219">
          <cell r="A1219">
            <v>42749</v>
          </cell>
          <cell r="B1219" t="str">
            <v>Corpo BSTC diâmetro 0,20 m C.S. PB inclusive escavação, reaterro e transporte do tubo em Vias Urbanas</v>
          </cell>
          <cell r="C1219" t="str">
            <v>m</v>
          </cell>
          <cell r="D1219" t="str">
            <v>83,81</v>
          </cell>
          <cell r="E1219" t="str">
            <v>A incluir</v>
          </cell>
        </row>
        <row r="1220">
          <cell r="A1220">
            <v>42750</v>
          </cell>
          <cell r="B1220" t="str">
            <v>Corpo BSTC diâmetro 0,30 m C.S. MF inclusive escavação, reaterro e transporte do tubo em Vias Urbanas</v>
          </cell>
          <cell r="C1220" t="str">
            <v>m</v>
          </cell>
          <cell r="D1220" t="str">
            <v>105,89</v>
          </cell>
          <cell r="E1220" t="str">
            <v>A incluir</v>
          </cell>
        </row>
        <row r="1221">
          <cell r="A1221">
            <v>42751</v>
          </cell>
          <cell r="B1221" t="str">
            <v>Corpo BSTC diâmetro 0,30 m C.S. PB inclusive escavação, reaterro e transporte do tubo em Vias Urbanas</v>
          </cell>
          <cell r="C1221" t="str">
            <v>m</v>
          </cell>
          <cell r="D1221" t="str">
            <v>109,26</v>
          </cell>
          <cell r="E1221" t="str">
            <v>A incluir</v>
          </cell>
        </row>
        <row r="1222">
          <cell r="A1222">
            <v>42752</v>
          </cell>
          <cell r="B1222" t="str">
            <v>Corpo BSTC diâmetro 0,40 m C.S. MF inclusive escavação, reaterro e transporte do tubo em Vias Urbanas</v>
          </cell>
          <cell r="C1222" t="str">
            <v>m</v>
          </cell>
          <cell r="D1222" t="str">
            <v>141,29</v>
          </cell>
          <cell r="E1222" t="str">
            <v>A incluir</v>
          </cell>
        </row>
        <row r="1223">
          <cell r="A1223">
            <v>42753</v>
          </cell>
          <cell r="B1223" t="str">
            <v>Corpo BSTC diâmetro 0,40 m C.S. PB inclusive escavação, reaterro e transporte do tubo em Vias Urbanas</v>
          </cell>
          <cell r="C1223" t="str">
            <v>m</v>
          </cell>
          <cell r="D1223" t="str">
            <v>144,44</v>
          </cell>
          <cell r="E1223" t="str">
            <v>A incluir</v>
          </cell>
        </row>
        <row r="1224">
          <cell r="A1224">
            <v>42754</v>
          </cell>
          <cell r="B1224" t="str">
            <v>Corpo BSTC diâmetro 0,60 m C.S. MF inclusive escavação, reaterro e transporte do tubo em Vias Urbanas</v>
          </cell>
          <cell r="C1224" t="str">
            <v>m</v>
          </cell>
          <cell r="D1224" t="str">
            <v>228,92</v>
          </cell>
          <cell r="E1224" t="str">
            <v>A incluir</v>
          </cell>
        </row>
        <row r="1225">
          <cell r="A1225">
            <v>42755</v>
          </cell>
          <cell r="B1225" t="str">
            <v>Corpo BSTC diâmetro 0,60 m C.S. PB inclusive escavação, reaterro e transporte do tubo em Vias Urbanas</v>
          </cell>
          <cell r="C1225" t="str">
            <v>m</v>
          </cell>
          <cell r="D1225" t="str">
            <v>233,93</v>
          </cell>
          <cell r="E1225" t="str">
            <v>A incluir</v>
          </cell>
        </row>
        <row r="1226">
          <cell r="A1226">
            <v>42756</v>
          </cell>
          <cell r="B1226" t="str">
            <v>Corpo BSTC (greide) diâmetro 0,30 m CA-1 MF inclusive escavação, reaterro e transporte do tubo em Vias Urbanas</v>
          </cell>
          <cell r="C1226" t="str">
            <v>m</v>
          </cell>
          <cell r="D1226" t="str">
            <v>108,48</v>
          </cell>
          <cell r="E1226" t="str">
            <v>A incluir</v>
          </cell>
        </row>
        <row r="1227">
          <cell r="A1227">
            <v>42757</v>
          </cell>
          <cell r="B1227" t="str">
            <v>Corpo BSTC (greide) diâmetro 0,40 m CA-1 MF inclusive escavação, reaterro e transporte do tubo em Vias Urbanas</v>
          </cell>
          <cell r="C1227" t="str">
            <v>m</v>
          </cell>
          <cell r="D1227" t="str">
            <v>150,37</v>
          </cell>
          <cell r="E1227" t="str">
            <v>A incluir</v>
          </cell>
        </row>
        <row r="1228">
          <cell r="A1228">
            <v>42759</v>
          </cell>
          <cell r="B1228" t="str">
            <v>Corpo BSTC (greide) diâmetro 0,40 m CA-2 MF inclusive escavação, reaterro e transporte do tubo em Vias Urbanas</v>
          </cell>
          <cell r="C1228" t="str">
            <v>m</v>
          </cell>
          <cell r="D1228" t="str">
            <v>155,55</v>
          </cell>
          <cell r="E1228" t="str">
            <v>A incluir</v>
          </cell>
        </row>
        <row r="1229">
          <cell r="A1229">
            <v>42760</v>
          </cell>
          <cell r="B1229" t="str">
            <v>Corpo BSTC (greide) diâmetro 0,60 m CA-1 MF inclusive escavação, reaterro e transporte do tubo em Vias Urbanas</v>
          </cell>
          <cell r="C1229" t="str">
            <v>m</v>
          </cell>
          <cell r="D1229" t="str">
            <v>233,46</v>
          </cell>
          <cell r="E1229" t="str">
            <v>A incluir</v>
          </cell>
        </row>
        <row r="1230">
          <cell r="A1230">
            <v>42761</v>
          </cell>
          <cell r="B1230" t="str">
            <v>Corpo BSTC (greide) diâmetro 0,60 m CA-1 PB inclusive escavação, reaterro e transporte do tubo em Vias Urbanas</v>
          </cell>
          <cell r="C1230" t="str">
            <v>m</v>
          </cell>
          <cell r="D1230" t="str">
            <v>238,68</v>
          </cell>
          <cell r="E1230" t="str">
            <v>A incluir</v>
          </cell>
        </row>
        <row r="1231">
          <cell r="A1231">
            <v>42762</v>
          </cell>
          <cell r="B1231" t="str">
            <v>Corpo BSTC (greide) diâmetro 0,60 m CA-2 MF inclusive escavação, reaterro e transporte do tubo em Vias Urbanas</v>
          </cell>
          <cell r="C1231" t="str">
            <v>m</v>
          </cell>
          <cell r="D1231" t="str">
            <v>235,40</v>
          </cell>
          <cell r="E1231" t="str">
            <v>A incluir</v>
          </cell>
        </row>
        <row r="1232">
          <cell r="A1232">
            <v>42763</v>
          </cell>
          <cell r="B1232" t="str">
            <v>Corpo BSTC (greide) diâmetro 0,60 m CA-2 PB inclusive escavação, reaterro e transporte do tubo em Vias Urbanas</v>
          </cell>
          <cell r="C1232" t="str">
            <v>m</v>
          </cell>
          <cell r="D1232" t="str">
            <v>238,75</v>
          </cell>
          <cell r="E1232" t="str">
            <v>A incluir</v>
          </cell>
        </row>
        <row r="1233">
          <cell r="A1233">
            <v>42764</v>
          </cell>
          <cell r="B1233" t="str">
            <v>Corpo BSTC (greide) diâmetro 0,80 m CA-1 MF inclusive escavação, reaterro e transporte do tubo em Vias Urbanas</v>
          </cell>
          <cell r="C1233" t="str">
            <v>m</v>
          </cell>
          <cell r="D1233" t="str">
            <v>471,78</v>
          </cell>
          <cell r="E1233" t="str">
            <v>A incluir</v>
          </cell>
        </row>
        <row r="1234">
          <cell r="A1234">
            <v>42765</v>
          </cell>
          <cell r="B1234" t="str">
            <v>Corpo BSTC (greide) diâmetro 0,80 m CA-1 PB inclusive escavação, reaterro e transporte do tubo em Vias Urbanas</v>
          </cell>
          <cell r="C1234" t="str">
            <v>m</v>
          </cell>
          <cell r="D1234" t="str">
            <v>478,56</v>
          </cell>
          <cell r="E1234" t="str">
            <v>A incluir</v>
          </cell>
        </row>
        <row r="1235">
          <cell r="A1235">
            <v>42766</v>
          </cell>
          <cell r="B1235" t="str">
            <v>Corpo BSTC (greide) diâmetro 0,80 m CA-2 MF inclusive escavação, reaterro e transporte do tubo em Vias Urbanas</v>
          </cell>
          <cell r="C1235" t="str">
            <v>m</v>
          </cell>
          <cell r="D1235" t="str">
            <v>481,51</v>
          </cell>
          <cell r="E1235" t="str">
            <v>A incluir</v>
          </cell>
        </row>
        <row r="1236">
          <cell r="A1236">
            <v>42767</v>
          </cell>
          <cell r="B1236" t="str">
            <v>Corpo BSTC (greide) diâmetro 0,80 m CA-2 PB inclusive escavação, reaterro e transporte do tubo em Vias Urbanas</v>
          </cell>
          <cell r="C1236" t="str">
            <v>m</v>
          </cell>
          <cell r="D1236" t="str">
            <v>495,48</v>
          </cell>
          <cell r="E1236" t="str">
            <v>A incluir</v>
          </cell>
        </row>
        <row r="1237">
          <cell r="A1237">
            <v>42768</v>
          </cell>
          <cell r="B1237" t="str">
            <v>Corpo BSTC (greide) diâmetro 1,00 m CA-1 MF inclusive escavação, reaterro e transporte do tubo em Vias Urbanas</v>
          </cell>
          <cell r="C1237" t="str">
            <v>m</v>
          </cell>
          <cell r="D1237" t="str">
            <v>627,27</v>
          </cell>
          <cell r="E1237" t="str">
            <v>A incluir</v>
          </cell>
        </row>
        <row r="1238">
          <cell r="A1238">
            <v>42769</v>
          </cell>
          <cell r="B1238" t="str">
            <v>Corpo BSTC (greide) diâmetro 1,00 m CA-1 PB inclusive escavação, reaterro e transporte do tubo em Vias Urbanas</v>
          </cell>
          <cell r="C1238" t="str">
            <v>m</v>
          </cell>
          <cell r="D1238" t="str">
            <v>635,73</v>
          </cell>
          <cell r="E1238" t="str">
            <v>A incluir</v>
          </cell>
        </row>
        <row r="1239">
          <cell r="A1239">
            <v>42770</v>
          </cell>
          <cell r="B1239" t="str">
            <v>Corpo BSTC (greide) diâmetro 1,00 m CA-2 MF inclusive escavação, reaterro e transporte do tubo em Vias Urbanas</v>
          </cell>
          <cell r="C1239" t="str">
            <v>m</v>
          </cell>
          <cell r="D1239" t="str">
            <v>640,24</v>
          </cell>
          <cell r="E1239" t="str">
            <v>A incluir</v>
          </cell>
        </row>
        <row r="1240">
          <cell r="A1240">
            <v>42771</v>
          </cell>
          <cell r="B1240" t="str">
            <v>Corpo BSTC (greide) diâmetro 1,00 m CA-2 PB inclusive escavação, reaterro e transporte do tubo em Vias Urbanas</v>
          </cell>
          <cell r="C1240" t="str">
            <v>m</v>
          </cell>
          <cell r="D1240" t="str">
            <v>655,79</v>
          </cell>
          <cell r="E1240" t="str">
            <v>A incluir</v>
          </cell>
        </row>
        <row r="1241">
          <cell r="A1241">
            <v>42772</v>
          </cell>
          <cell r="B1241" t="str">
            <v>Corpo BSTC (greide) diâmetro 1,20 m CA-1 MF inclusive escavação, reaterro e transporte do tubo em Vias Urbanas</v>
          </cell>
          <cell r="C1241" t="str">
            <v>m</v>
          </cell>
          <cell r="D1241" t="str">
            <v>882,79</v>
          </cell>
          <cell r="E1241" t="str">
            <v>A incluir</v>
          </cell>
        </row>
        <row r="1242">
          <cell r="A1242">
            <v>42773</v>
          </cell>
          <cell r="B1242" t="str">
            <v>Corpo BSTC (greide) diâmetro 1,20 m CA-1 PB inclusive escavação, reaterro e transporte do tubo em Vias Urbanas</v>
          </cell>
          <cell r="C1242" t="str">
            <v>m</v>
          </cell>
          <cell r="D1242" t="str">
            <v>898,77</v>
          </cell>
          <cell r="E1242" t="str">
            <v>A incluir</v>
          </cell>
        </row>
        <row r="1243">
          <cell r="A1243">
            <v>42774</v>
          </cell>
          <cell r="B1243" t="str">
            <v>Corpo BSTC (greide) diâmetro 1,20 m CA-2 MF inclusive escavação, reaterro e transporte do tubo, em Vias Urbanas</v>
          </cell>
          <cell r="C1243" t="str">
            <v>m</v>
          </cell>
          <cell r="D1243" t="str">
            <v>902,23</v>
          </cell>
          <cell r="E1243" t="str">
            <v>A incluir</v>
          </cell>
        </row>
        <row r="1244">
          <cell r="A1244">
            <v>42775</v>
          </cell>
          <cell r="B1244" t="str">
            <v>Corpo BSTC (greide) diâmetro 1,20 m CA-2 PB inclusive escavação, reaterro e transporte do tubo em Vias Urbanas</v>
          </cell>
          <cell r="C1244" t="str">
            <v>m</v>
          </cell>
          <cell r="D1244" t="str">
            <v>935,29</v>
          </cell>
          <cell r="E1244" t="str">
            <v>A incluir</v>
          </cell>
        </row>
        <row r="1245">
          <cell r="A1245">
            <v>42776</v>
          </cell>
          <cell r="B1245" t="str">
            <v>Corpo BSTC (grota) diâmetro 0,60 m CA-1 MF exclusive escavação e reaterro, inclusive transporte do tubo em Vias Urbanas</v>
          </cell>
          <cell r="C1245" t="str">
            <v>m</v>
          </cell>
          <cell r="D1245" t="str">
            <v>148,55</v>
          </cell>
          <cell r="E1245" t="str">
            <v>A incluir</v>
          </cell>
        </row>
        <row r="1246">
          <cell r="A1246">
            <v>42777</v>
          </cell>
          <cell r="B1246" t="str">
            <v>Corpo BSTC (grota) diâmetro 0,60 m CA-1 PB exclusive escavação e reaterro, inclusive transporte do tubo em Vias Urbanas</v>
          </cell>
          <cell r="C1246" t="str">
            <v>m</v>
          </cell>
          <cell r="D1246" t="str">
            <v>153,78</v>
          </cell>
          <cell r="E1246" t="str">
            <v>A incluir</v>
          </cell>
        </row>
        <row r="1247">
          <cell r="A1247">
            <v>42778</v>
          </cell>
          <cell r="B1247" t="str">
            <v>Corpo BSTC (grota) diâmetro 0,60 m CA-2 MF exclusive escavação e reaterro, inclusive transporte do tubo em Vias Urbanas</v>
          </cell>
          <cell r="C1247" t="str">
            <v>m</v>
          </cell>
          <cell r="D1247" t="str">
            <v>150,50</v>
          </cell>
          <cell r="E1247" t="str">
            <v>A incluir</v>
          </cell>
        </row>
        <row r="1248">
          <cell r="A1248">
            <v>42779</v>
          </cell>
          <cell r="B1248" t="str">
            <v>Corpo BSTC (grota) diâmetro 0,60 m CA-2 PB exclusive escavação e reaterro, inclusive transporte do tubo em Vias Urbanas</v>
          </cell>
          <cell r="C1248" t="str">
            <v>m</v>
          </cell>
          <cell r="D1248" t="str">
            <v>153,84</v>
          </cell>
          <cell r="E1248" t="str">
            <v>A incluir</v>
          </cell>
        </row>
        <row r="1249">
          <cell r="A1249">
            <v>42780</v>
          </cell>
          <cell r="B1249" t="str">
            <v>Corpo BSTC (grota) diâmetro 0,80 m CA-1 MF exclusive escavação e reaterro, inclusive transporte do tubo em Vias Urbanas</v>
          </cell>
          <cell r="C1249" t="str">
            <v>m</v>
          </cell>
          <cell r="D1249" t="str">
            <v>351,91</v>
          </cell>
          <cell r="E1249" t="str">
            <v>A incluir</v>
          </cell>
        </row>
        <row r="1250">
          <cell r="A1250">
            <v>42781</v>
          </cell>
          <cell r="B1250" t="str">
            <v>Corpo BSTC (grota) diâmetro 0,80 m CA-1 PB exclusive escavação e reaterro, inclusive transporte do tubo em Vias Urbanas</v>
          </cell>
          <cell r="C1250" t="str">
            <v>m</v>
          </cell>
          <cell r="D1250" t="str">
            <v>358,69</v>
          </cell>
          <cell r="E1250" t="str">
            <v>A incluir</v>
          </cell>
        </row>
        <row r="1251">
          <cell r="A1251">
            <v>42782</v>
          </cell>
          <cell r="B1251" t="str">
            <v>Corpo BSTC (grota) diâmetro 0,80 m CA-2 MF exclusive escavação e reaterro, inclusive transporte do tubo em Vias Urbanas</v>
          </cell>
          <cell r="C1251" t="str">
            <v>m</v>
          </cell>
          <cell r="D1251" t="str">
            <v>361,64</v>
          </cell>
          <cell r="E1251" t="str">
            <v>A incluir</v>
          </cell>
        </row>
        <row r="1252">
          <cell r="A1252">
            <v>42783</v>
          </cell>
          <cell r="B1252" t="str">
            <v>Corpo BSTC (grota) diâmetro 0,80 m CA-2 PB exclusive escavação e reaterro, inclusive transporte do tubo em Vias Urbanas</v>
          </cell>
          <cell r="C1252" t="str">
            <v>m</v>
          </cell>
          <cell r="D1252" t="str">
            <v>375,61</v>
          </cell>
          <cell r="E1252" t="str">
            <v>A incluir</v>
          </cell>
        </row>
        <row r="1253">
          <cell r="A1253">
            <v>42784</v>
          </cell>
          <cell r="B1253" t="str">
            <v>Corpo BSTC (grota) diâmetro 1,00 m CA-1 MF exclusive escavação e reaterro, inclusive transporte do tubo em Vias Urbanas</v>
          </cell>
          <cell r="C1253" t="str">
            <v>m</v>
          </cell>
          <cell r="D1253" t="str">
            <v>433,91</v>
          </cell>
          <cell r="E1253" t="str">
            <v>A incluir</v>
          </cell>
        </row>
        <row r="1254">
          <cell r="A1254">
            <v>42785</v>
          </cell>
          <cell r="B1254" t="str">
            <v>Corpo BSTC (grota) diâmetro 1,00 m CA-1 PB exclusive escavação e reaterro, inclusive transporte do tubo em Vias Urbanas</v>
          </cell>
          <cell r="C1254" t="str">
            <v>m</v>
          </cell>
          <cell r="D1254" t="str">
            <v>442,36</v>
          </cell>
          <cell r="E1254" t="str">
            <v>A incluir</v>
          </cell>
        </row>
        <row r="1255">
          <cell r="A1255">
            <v>42786</v>
          </cell>
          <cell r="B1255" t="str">
            <v>Corpo BSTC (grota) diâmetro 1,00 m CA-2 MF exclusive escavação e reaterro, inclusive transporte do tubo em Vias Urbanas</v>
          </cell>
          <cell r="C1255" t="str">
            <v>m</v>
          </cell>
          <cell r="D1255" t="str">
            <v>446,87</v>
          </cell>
          <cell r="E1255" t="str">
            <v>A incluir</v>
          </cell>
        </row>
        <row r="1256">
          <cell r="A1256">
            <v>42787</v>
          </cell>
          <cell r="B1256" t="str">
            <v>Corpo BSTC (grota) diâmetro 1,00 m CA-2 PB exclusive escavação e reaterro, inclusive transporte do tubo em Vias Urbanas</v>
          </cell>
          <cell r="C1256" t="str">
            <v>m</v>
          </cell>
          <cell r="D1256" t="str">
            <v>462,42</v>
          </cell>
          <cell r="E1256" t="str">
            <v>A incluir</v>
          </cell>
        </row>
        <row r="1257">
          <cell r="A1257">
            <v>42788</v>
          </cell>
          <cell r="B1257" t="str">
            <v>Corpo BSTC (grota) diâmetro 1,00 m CA-3 MF exclusive escavação e reaterro, inclusive transporte do tubo em Vias Urbanas</v>
          </cell>
          <cell r="C1257" t="str">
            <v>m</v>
          </cell>
          <cell r="D1257" t="str">
            <v>482,52</v>
          </cell>
          <cell r="E1257" t="str">
            <v>A incluir</v>
          </cell>
        </row>
        <row r="1258">
          <cell r="A1258">
            <v>42789</v>
          </cell>
          <cell r="B1258" t="str">
            <v>Corpo BSTC (grota) diâmetro 1,20 m CA-1 MF exclusive escavação e reaterro, inclusive transporte do tubo em Vias Urbanas</v>
          </cell>
          <cell r="C1258" t="str">
            <v>m</v>
          </cell>
          <cell r="D1258" t="str">
            <v>621,04</v>
          </cell>
          <cell r="E1258" t="str">
            <v>A incluir</v>
          </cell>
        </row>
        <row r="1259">
          <cell r="A1259">
            <v>42790</v>
          </cell>
          <cell r="B1259" t="str">
            <v>Corpo BSTC (grota) diâmetro 1,20 m CA-1 PB exclusive escavação e reaterro, inclusive transporte do tubo em Vias Urbanas</v>
          </cell>
          <cell r="C1259" t="str">
            <v>m</v>
          </cell>
          <cell r="D1259" t="str">
            <v>637,02</v>
          </cell>
          <cell r="E1259" t="str">
            <v>A incluir</v>
          </cell>
        </row>
        <row r="1260">
          <cell r="A1260">
            <v>42791</v>
          </cell>
          <cell r="B1260" t="str">
            <v>Corpo BSTC (grota) diâmetro 1,20 m CA-2 MF exclusive escavação e reaterro, inclusive transporte do tubo em Vias Urbanas</v>
          </cell>
          <cell r="C1260" t="str">
            <v>m</v>
          </cell>
          <cell r="D1260" t="str">
            <v>640,48</v>
          </cell>
          <cell r="E1260" t="str">
            <v>A incluir</v>
          </cell>
        </row>
        <row r="1261">
          <cell r="A1261">
            <v>42792</v>
          </cell>
          <cell r="B1261" t="str">
            <v>Corpo BSTC (grota) diâmetro 1,20 m CA-2 PB exclusive escavação e reaterro, inclusive transporte do tubo em Vias Urbanas</v>
          </cell>
          <cell r="C1261" t="str">
            <v>m</v>
          </cell>
          <cell r="D1261" t="str">
            <v>673,54</v>
          </cell>
          <cell r="E1261" t="str">
            <v>A incluir</v>
          </cell>
        </row>
        <row r="1262">
          <cell r="A1262">
            <v>42793</v>
          </cell>
          <cell r="B1262" t="str">
            <v>Corpo BSTC (grota) diâmetro 1,20 m CA-3 MF exclusive escavação e reaterro, inclusive transporte do tubo em Vias Urbanas</v>
          </cell>
          <cell r="C1262" t="str">
            <v>m</v>
          </cell>
          <cell r="D1262" t="str">
            <v>656,69</v>
          </cell>
          <cell r="E1262" t="str">
            <v>A incluir</v>
          </cell>
        </row>
        <row r="1263">
          <cell r="A1263">
            <v>42794</v>
          </cell>
          <cell r="B1263" t="str">
            <v>Corpo BSTC (grota) diâmetro 1,50 m CA-1 MF exclusive escavação e reaterro, inclusive transporte do tubo em Vias Urbanas</v>
          </cell>
          <cell r="C1263" t="str">
            <v>m</v>
          </cell>
          <cell r="D1263" t="str">
            <v>990,46</v>
          </cell>
          <cell r="E1263" t="str">
            <v>A incluir</v>
          </cell>
        </row>
        <row r="1264">
          <cell r="A1264">
            <v>42758</v>
          </cell>
          <cell r="B1264" t="str">
            <v>Corpo BSTC (grota) diâmetro 1,50 m CA-1 PB exclusive escavação e reaterro, inclusive transporte do tubo em Vias Urbanas</v>
          </cell>
          <cell r="C1264" t="str">
            <v>m</v>
          </cell>
          <cell r="D1264" t="str">
            <v>876,80</v>
          </cell>
          <cell r="E1264" t="str">
            <v>A incluir</v>
          </cell>
        </row>
        <row r="1265">
          <cell r="A1265">
            <v>42795</v>
          </cell>
          <cell r="B1265" t="str">
            <v>Corpo BSTC (grota) diâmetro 1,50 m CA-2 MF exclusive escavação e reaterro, inclusive transporte do tubo em Vias Urbanas</v>
          </cell>
          <cell r="C1265" t="str">
            <v>m</v>
          </cell>
          <cell r="D1265" t="str">
            <v>1.029,35</v>
          </cell>
          <cell r="E1265" t="str">
            <v>A incluir</v>
          </cell>
        </row>
        <row r="1266">
          <cell r="A1266">
            <v>42796</v>
          </cell>
          <cell r="B1266" t="str">
            <v>Corpo BSTC (grota) diâmetro 1,50 m CA-2 PB exclusive escavação e reaterro, inclusive transporte do tubo em Vias Urbanas</v>
          </cell>
          <cell r="C1266" t="str">
            <v>m</v>
          </cell>
          <cell r="D1266" t="str">
            <v>926,40</v>
          </cell>
          <cell r="E1266" t="str">
            <v>A incluir</v>
          </cell>
        </row>
        <row r="1267">
          <cell r="A1267">
            <v>42797</v>
          </cell>
          <cell r="B1267" t="str">
            <v>Corpo BSTC (grota) diâmetro 1,50 m CA-3 MF exclusive escavação e reaterro, inclusive transporte do tubo em Vias Urbanas</v>
          </cell>
          <cell r="C1267" t="str">
            <v>m</v>
          </cell>
          <cell r="D1267" t="str">
            <v>808,98</v>
          </cell>
          <cell r="E1267" t="str">
            <v>A incluir</v>
          </cell>
        </row>
        <row r="1268">
          <cell r="A1268">
            <v>42798</v>
          </cell>
          <cell r="B1268" t="str">
            <v>Corpo BTTC (grota) diâmetro 0,60 m CA-1 MF exclusive escavação e reaterro, inclusive transporte do tubo em Vias Urbanas</v>
          </cell>
          <cell r="C1268" t="str">
            <v>m</v>
          </cell>
          <cell r="D1268" t="str">
            <v>442,58</v>
          </cell>
          <cell r="E1268" t="str">
            <v>A incluir</v>
          </cell>
        </row>
        <row r="1269">
          <cell r="A1269">
            <v>42799</v>
          </cell>
          <cell r="B1269" t="str">
            <v>Corpo BTTC (grota) diâmetro 0,60 m CA-1 PB exclusive escavação e reaterro, inclusive transporte do tubo em Vias Urbanas</v>
          </cell>
          <cell r="C1269" t="str">
            <v>m</v>
          </cell>
          <cell r="D1269" t="str">
            <v>458,25</v>
          </cell>
          <cell r="E1269" t="str">
            <v>A incluir</v>
          </cell>
        </row>
        <row r="1270">
          <cell r="A1270">
            <v>42800</v>
          </cell>
          <cell r="B1270" t="str">
            <v>Corpo BTTC (grota) diâmetro 0,60 m CA-2 MF exclusive escavação e reaterro, inclusive transporte do tubo em Vias Urbanas</v>
          </cell>
          <cell r="C1270" t="str">
            <v>m</v>
          </cell>
          <cell r="D1270" t="str">
            <v>448,41</v>
          </cell>
          <cell r="E1270" t="str">
            <v>A incluir</v>
          </cell>
        </row>
        <row r="1271">
          <cell r="A1271">
            <v>42801</v>
          </cell>
          <cell r="B1271" t="str">
            <v>Corpo BTTC (grota) diâmetro 0,60 m CA-2 PB exclusive escavação e reaterro, inclusive transporte do tubo em Vias Urbanas</v>
          </cell>
          <cell r="C1271" t="str">
            <v>m</v>
          </cell>
          <cell r="D1271" t="str">
            <v>458,44</v>
          </cell>
          <cell r="E1271" t="str">
            <v>A incluir</v>
          </cell>
        </row>
        <row r="1272">
          <cell r="A1272">
            <v>42802</v>
          </cell>
          <cell r="B1272" t="str">
            <v>Corpo BTTC (grota) diâmetro 0,80 m CA-1 MF exclusive escavação e reaterro, inclusive transporte do tubo em Vias Urbanas</v>
          </cell>
          <cell r="C1272" t="str">
            <v>m</v>
          </cell>
          <cell r="D1272" t="str">
            <v>892,77</v>
          </cell>
          <cell r="E1272" t="str">
            <v>A incluir</v>
          </cell>
        </row>
        <row r="1273">
          <cell r="A1273">
            <v>42803</v>
          </cell>
          <cell r="B1273" t="str">
            <v>Corpo BTTC (grota) diâmetro 0,80 m CA-1 PB exclusive escavação e reaterro, inclusive transporte do tubo em Vias Urbanas</v>
          </cell>
          <cell r="C1273" t="str">
            <v>m</v>
          </cell>
          <cell r="D1273" t="str">
            <v>913,11</v>
          </cell>
          <cell r="E1273" t="str">
            <v>A incluir</v>
          </cell>
        </row>
        <row r="1274">
          <cell r="A1274">
            <v>42804</v>
          </cell>
          <cell r="B1274" t="str">
            <v>Corpo BTTC (grota) diâmetro 0,80 m CA-2 MF exclusive escavação e reaterro, inclusive transporte do tubo em Vias Urbanas</v>
          </cell>
          <cell r="C1274" t="str">
            <v>m</v>
          </cell>
          <cell r="D1274" t="str">
            <v>921,94</v>
          </cell>
          <cell r="E1274" t="str">
            <v>A incluir</v>
          </cell>
        </row>
        <row r="1275">
          <cell r="A1275">
            <v>42805</v>
          </cell>
          <cell r="B1275" t="str">
            <v>Corpo BTTC (grota) diâmetro 0,80 m CA-2 PB exclusive escavação e reaterro, inclusive transporte do tubo em Vias Urbanas</v>
          </cell>
          <cell r="C1275" t="str">
            <v>m</v>
          </cell>
          <cell r="D1275" t="str">
            <v>963,86</v>
          </cell>
          <cell r="E1275" t="str">
            <v>A incluir</v>
          </cell>
        </row>
        <row r="1276">
          <cell r="A1276">
            <v>42806</v>
          </cell>
          <cell r="B1276" t="str">
            <v>Corpo BTTC (grota) diâmetro 1,00 m CA-1 MF exclusive escavação e reaterro, inclusive transporte do tubo em Vias Urbanas</v>
          </cell>
          <cell r="C1276" t="str">
            <v>m</v>
          </cell>
          <cell r="D1276" t="str">
            <v>1.138,73</v>
          </cell>
          <cell r="E1276" t="str">
            <v>A incluir</v>
          </cell>
        </row>
        <row r="1277">
          <cell r="A1277">
            <v>42807</v>
          </cell>
          <cell r="B1277" t="str">
            <v>Corpo BTTC (grota) diâmetro 1,00 m CA-1 PB exclusive escavação e reaterro, inclusive transporte do tubo em Vias Urbanas</v>
          </cell>
          <cell r="C1277" t="str">
            <v>m</v>
          </cell>
          <cell r="D1277" t="str">
            <v>1.164,09</v>
          </cell>
          <cell r="E1277" t="str">
            <v>A incluir</v>
          </cell>
        </row>
        <row r="1278">
          <cell r="A1278">
            <v>42808</v>
          </cell>
          <cell r="B1278" t="str">
            <v>Corpo BTTC (grota) diâmetro 1,00 m CA-2 MF exclusive escavação e reaterro, inclusive transporte do tubo em Vias Urbanas</v>
          </cell>
          <cell r="C1278" t="str">
            <v>m</v>
          </cell>
          <cell r="D1278" t="str">
            <v>1.177,62</v>
          </cell>
          <cell r="E1278" t="str">
            <v>A incluir</v>
          </cell>
        </row>
        <row r="1279">
          <cell r="A1279">
            <v>42809</v>
          </cell>
          <cell r="B1279" t="str">
            <v>Corpo BTTC (grota) diâmetro 1,00 m CA-2 PB exclusive escavação e reaterro, inclusive transporte do tubo em Vias Urbanas</v>
          </cell>
          <cell r="C1279" t="str">
            <v>m</v>
          </cell>
          <cell r="D1279" t="str">
            <v>1.224,29</v>
          </cell>
          <cell r="E1279" t="str">
            <v>A incluir</v>
          </cell>
        </row>
        <row r="1280">
          <cell r="A1280">
            <v>42810</v>
          </cell>
          <cell r="B1280" t="str">
            <v>Corpo BTTC (grota) diâmetro 1,00 m CA-3 MF exclusive escavação e reaterro, inclusive transporte do tubo em Vias Urbanas</v>
          </cell>
          <cell r="C1280" t="str">
            <v>m</v>
          </cell>
          <cell r="D1280" t="str">
            <v>1.284,56</v>
          </cell>
          <cell r="E1280" t="str">
            <v>A incluir</v>
          </cell>
        </row>
        <row r="1281">
          <cell r="A1281">
            <v>42811</v>
          </cell>
          <cell r="B1281" t="str">
            <v>Corpo BTTC (grota) diâmetro 1,20 m CA-1 MF exclusive escavação e reaterro, inclusive transporte do tubo em Vias Urbanas</v>
          </cell>
          <cell r="C1281" t="str">
            <v>m</v>
          </cell>
          <cell r="D1281" t="str">
            <v>1.700,18</v>
          </cell>
          <cell r="E1281" t="str">
            <v>A incluir</v>
          </cell>
        </row>
        <row r="1282">
          <cell r="A1282">
            <v>42812</v>
          </cell>
          <cell r="B1282" t="str">
            <v>Corpo BTTC (grota) diâmetro 1,20 m CA-1 PB exclusive escavação e reaterro, inclusive transporte do tubo em Vias Urbanas</v>
          </cell>
          <cell r="C1282" t="str">
            <v>m</v>
          </cell>
          <cell r="D1282" t="str">
            <v>1.748,13</v>
          </cell>
          <cell r="E1282" t="str">
            <v>A incluir</v>
          </cell>
        </row>
        <row r="1283">
          <cell r="A1283">
            <v>42813</v>
          </cell>
          <cell r="B1283" t="str">
            <v>Corpo BTTC (grota) diâmetro 1,20 m CA-2 MF exclusive escavação e reaterro, inclusive transporte do tubo em Vias Urbanas</v>
          </cell>
          <cell r="C1283" t="str">
            <v>m</v>
          </cell>
          <cell r="D1283" t="str">
            <v>1.758,52</v>
          </cell>
          <cell r="E1283" t="str">
            <v>A incluir</v>
          </cell>
        </row>
        <row r="1284">
          <cell r="A1284">
            <v>42814</v>
          </cell>
          <cell r="B1284" t="str">
            <v>Corpo BTTC (grota) diâmetro 1,20 m CA-2 PB exclusive escavação e reaterro, inclusive transporte do tubo em Vias Urbanas</v>
          </cell>
          <cell r="C1284" t="str">
            <v>m</v>
          </cell>
          <cell r="D1284" t="str">
            <v>1.857,68</v>
          </cell>
          <cell r="E1284" t="str">
            <v>A incluir</v>
          </cell>
        </row>
        <row r="1285">
          <cell r="A1285">
            <v>42815</v>
          </cell>
          <cell r="B1285" t="str">
            <v>Corpo BTTC (grota) diâmetro 1,20 m CA-3 MF exclusive escavação e reaterro, inclusive transporte do tubo em Vias Urbanas</v>
          </cell>
          <cell r="C1285" t="str">
            <v>m</v>
          </cell>
          <cell r="D1285" t="str">
            <v>1.807,13</v>
          </cell>
          <cell r="E1285" t="str">
            <v>A incluir</v>
          </cell>
        </row>
        <row r="1286">
          <cell r="A1286">
            <v>42816</v>
          </cell>
          <cell r="B1286" t="str">
            <v>Corpo BTTC (grota) diâmetro 1,50 m CA-1 MF exclusive escavação e reaterro, inclusive transporte do tubo em Vias Urbanas</v>
          </cell>
          <cell r="C1286" t="str">
            <v>m</v>
          </cell>
          <cell r="D1286" t="str">
            <v>2.808,47</v>
          </cell>
          <cell r="E1286" t="str">
            <v>A incluir</v>
          </cell>
        </row>
        <row r="1287">
          <cell r="A1287">
            <v>42817</v>
          </cell>
          <cell r="B1287" t="str">
            <v>Corpo BTTC (grota) diâmetro 1,50 m CA-1 PB exclusive escavação e reaterro, inclusive transporte do tubo em Vias Urbanas</v>
          </cell>
          <cell r="C1287" t="str">
            <v>m</v>
          </cell>
          <cell r="D1287" t="str">
            <v>2.467,49</v>
          </cell>
          <cell r="E1287" t="str">
            <v>A incluir</v>
          </cell>
        </row>
        <row r="1288">
          <cell r="A1288">
            <v>42818</v>
          </cell>
          <cell r="B1288" t="str">
            <v>Corpo BTTC (grota) diâmetro 1,50 m CA-2 MF exclusive escavação e reaterro, inclusive transporte do tubo em Vias Urbanas</v>
          </cell>
          <cell r="C1288" t="str">
            <v>m</v>
          </cell>
          <cell r="D1288" t="str">
            <v>2.925,13</v>
          </cell>
          <cell r="E1288" t="str">
            <v>A incluir</v>
          </cell>
        </row>
        <row r="1289">
          <cell r="A1289">
            <v>42819</v>
          </cell>
          <cell r="B1289" t="str">
            <v>Corpo BTTC (grota) diâmetro 1,50 m CA-2 PB exclusive escavação e reaterro, inclusive transporte do tubo em Vias Urbanas</v>
          </cell>
          <cell r="C1289" t="str">
            <v>m</v>
          </cell>
          <cell r="D1289" t="str">
            <v>2.616,28</v>
          </cell>
          <cell r="E1289" t="str">
            <v>A incluir</v>
          </cell>
        </row>
        <row r="1290">
          <cell r="A1290">
            <v>42820</v>
          </cell>
          <cell r="B1290" t="str">
            <v>Corpo BTTC (grota) diâmetro 1,50 m CA-3 MF exclusive escavação e reaterro, inclusive transporte do tubo em Vias Urbanas</v>
          </cell>
          <cell r="C1290" t="str">
            <v>m</v>
          </cell>
          <cell r="D1290" t="str">
            <v>2.264,02</v>
          </cell>
          <cell r="E1290" t="str">
            <v>A incluir</v>
          </cell>
        </row>
        <row r="1291">
          <cell r="A1291">
            <v>41321</v>
          </cell>
          <cell r="B1291" t="str">
            <v>Corpo de BDCC 1,00 x 1,00 m em Vias Urbanas</v>
          </cell>
          <cell r="C1291" t="str">
            <v>m</v>
          </cell>
          <cell r="D1291" t="str">
            <v>4.995,62</v>
          </cell>
          <cell r="E1291">
            <v>0</v>
          </cell>
        </row>
        <row r="1292">
          <cell r="A1292">
            <v>42821</v>
          </cell>
          <cell r="B1292" t="str">
            <v>Corpo de BDCC 1,50 x 1,50 m projeto DNIT para H &lt; -&gt; 2,50 m em Vias Urbanas</v>
          </cell>
          <cell r="C1292" t="str">
            <v>m</v>
          </cell>
          <cell r="D1292" t="str">
            <v>3.732,72</v>
          </cell>
          <cell r="E1292">
            <v>0</v>
          </cell>
        </row>
        <row r="1293">
          <cell r="A1293">
            <v>42822</v>
          </cell>
          <cell r="B1293" t="str">
            <v>Corpo de BDCC 1,50 x 1,50 m projeto DNIT para 2,50 &lt; H &lt; 5,00 m em Vias Urbanas</v>
          </cell>
          <cell r="C1293" t="str">
            <v>m</v>
          </cell>
          <cell r="D1293" t="str">
            <v>3.895,53</v>
          </cell>
          <cell r="E1293">
            <v>0</v>
          </cell>
        </row>
        <row r="1294">
          <cell r="A1294">
            <v>42823</v>
          </cell>
          <cell r="B1294" t="str">
            <v>Corpo de BDCC 2,00 x 1,20 m -tudo incluido conforme projeto em Vias Urbanas</v>
          </cell>
          <cell r="C1294" t="str">
            <v>m</v>
          </cell>
          <cell r="D1294" t="str">
            <v>5.418,37</v>
          </cell>
          <cell r="E1294">
            <v>0</v>
          </cell>
        </row>
        <row r="1295">
          <cell r="A1295">
            <v>42824</v>
          </cell>
          <cell r="B1295" t="str">
            <v>Corpo de BDCC 2,00 x 2,00 m projeto DNIT para H &lt; -&gt; 2,50 m em Vias Urbanas</v>
          </cell>
          <cell r="C1295" t="str">
            <v>m</v>
          </cell>
          <cell r="D1295" t="str">
            <v>5.354,15</v>
          </cell>
          <cell r="E1295">
            <v>0</v>
          </cell>
        </row>
        <row r="1296">
          <cell r="A1296">
            <v>42825</v>
          </cell>
          <cell r="B1296" t="str">
            <v>Corpo de BDCC 2,00 x 2,00 m projeto DNIT para 2,50 &lt; H &lt; 5,00 m em Vias Urbanas</v>
          </cell>
          <cell r="C1296" t="str">
            <v>m</v>
          </cell>
          <cell r="D1296" t="str">
            <v>5.940,78</v>
          </cell>
          <cell r="E1296">
            <v>0</v>
          </cell>
        </row>
        <row r="1297">
          <cell r="A1297">
            <v>40600</v>
          </cell>
          <cell r="B1297" t="str">
            <v>Corpo de BDCC 2,00 x 2,50 m em Vias Urbanas</v>
          </cell>
          <cell r="C1297" t="str">
            <v>m</v>
          </cell>
          <cell r="D1297" t="str">
            <v>7.969,44</v>
          </cell>
          <cell r="E1297">
            <v>0</v>
          </cell>
        </row>
        <row r="1298">
          <cell r="A1298">
            <v>42827</v>
          </cell>
          <cell r="B1298" t="str">
            <v>Corpo de BDCC 2,00 x 3,00 m projeto DNIT p/ 2,50 &lt; H &lt; 5,00 m em Vias Urbanas</v>
          </cell>
          <cell r="C1298" t="str">
            <v>m</v>
          </cell>
          <cell r="D1298" t="str">
            <v>8.901,23</v>
          </cell>
          <cell r="E1298">
            <v>0</v>
          </cell>
        </row>
        <row r="1299">
          <cell r="A1299">
            <v>42826</v>
          </cell>
          <cell r="B1299" t="str">
            <v>Corpo de BDCC 2,00 x 3,00 m projeto DNIT para H &lt; -&gt; 2,50 m em Vias Urbanas</v>
          </cell>
          <cell r="C1299" t="str">
            <v>m</v>
          </cell>
          <cell r="D1299" t="str">
            <v>7.639,84</v>
          </cell>
          <cell r="E1299">
            <v>0</v>
          </cell>
        </row>
        <row r="1300">
          <cell r="A1300">
            <v>42828</v>
          </cell>
          <cell r="B1300" t="str">
            <v>Corpo de BDCC 2,50 x 2,00m - tudo incluído conforme projeto em Vias Urbanas</v>
          </cell>
          <cell r="C1300" t="str">
            <v>m</v>
          </cell>
          <cell r="D1300" t="str">
            <v>7.807,79</v>
          </cell>
          <cell r="E1300">
            <v>0</v>
          </cell>
        </row>
        <row r="1301">
          <cell r="A1301">
            <v>42830</v>
          </cell>
          <cell r="B1301" t="str">
            <v>Corpo de BDCC 2,50 x 2,50 m projeto DNIT p/ 2,50&lt; H &lt;5,00 m em Vias Urbanas</v>
          </cell>
          <cell r="C1301" t="str">
            <v>m</v>
          </cell>
          <cell r="D1301" t="str">
            <v>8.048,29</v>
          </cell>
          <cell r="E1301">
            <v>0</v>
          </cell>
        </row>
        <row r="1302">
          <cell r="A1302">
            <v>42829</v>
          </cell>
          <cell r="B1302" t="str">
            <v>Corpo de BDCC 2,50 x 2,50 m projeto DNIT para H&lt;-&gt;2,50m em Vias Urbanas</v>
          </cell>
          <cell r="C1302" t="str">
            <v>m</v>
          </cell>
          <cell r="D1302" t="str">
            <v>7.206,23</v>
          </cell>
          <cell r="E1302">
            <v>0</v>
          </cell>
        </row>
        <row r="1303">
          <cell r="A1303">
            <v>42831</v>
          </cell>
          <cell r="B1303" t="str">
            <v>Corpo de BDCC 2,50 x 3,00 m projeto DNIT p/ H &lt;-&gt; 2,50 m em Vias Urbanas</v>
          </cell>
          <cell r="C1303" t="str">
            <v>m</v>
          </cell>
          <cell r="D1303" t="str">
            <v>8.724,37</v>
          </cell>
          <cell r="E1303">
            <v>0</v>
          </cell>
        </row>
        <row r="1304">
          <cell r="A1304">
            <v>42832</v>
          </cell>
          <cell r="B1304" t="str">
            <v>Corpo de BDCC 2,50 x 3,00 m projeto DNIT p/ 2,50 &lt; H &lt; 5,00 m em Vias Urbanas</v>
          </cell>
          <cell r="C1304" t="str">
            <v>m</v>
          </cell>
          <cell r="D1304" t="str">
            <v>9.656,24</v>
          </cell>
          <cell r="E1304">
            <v>0</v>
          </cell>
        </row>
        <row r="1305">
          <cell r="A1305">
            <v>42834</v>
          </cell>
          <cell r="B1305" t="str">
            <v>Corpo de BDCC 3,00 x 3,00 m projeto DNIT p/ 2,50 &lt; H &lt; 5,00 m em Vias Urbanas</v>
          </cell>
          <cell r="C1305" t="str">
            <v>m</v>
          </cell>
          <cell r="D1305" t="str">
            <v>10.325,71</v>
          </cell>
          <cell r="E1305">
            <v>0</v>
          </cell>
        </row>
        <row r="1306">
          <cell r="A1306">
            <v>42833</v>
          </cell>
          <cell r="B1306" t="str">
            <v>Corpo de BDCC 3,00 x 3,00 m projeto DNIT para H &lt;-&gt; 2,50 m em Vias Urbanas</v>
          </cell>
          <cell r="C1306" t="str">
            <v>m</v>
          </cell>
          <cell r="D1306" t="str">
            <v>9.568,72</v>
          </cell>
          <cell r="E1306">
            <v>0</v>
          </cell>
        </row>
        <row r="1307">
          <cell r="A1307">
            <v>42835</v>
          </cell>
          <cell r="B1307" t="str">
            <v>Corpo de BSCC 1,50 x 1,50 m projeto DNIT p/ H &lt;-&gt; 2,50 m em Vias Urbanas</v>
          </cell>
          <cell r="C1307" t="str">
            <v>m</v>
          </cell>
          <cell r="D1307" t="str">
            <v>2.268,70</v>
          </cell>
          <cell r="E1307">
            <v>0</v>
          </cell>
        </row>
        <row r="1308">
          <cell r="A1308">
            <v>42836</v>
          </cell>
          <cell r="B1308" t="str">
            <v>Corpo de BSCC 1,50x1,50m projeto DNIT p/ 2,50&lt; H &lt;5,00m em Vias Urbanas</v>
          </cell>
          <cell r="C1308" t="str">
            <v>m</v>
          </cell>
          <cell r="D1308" t="str">
            <v>2.390,81</v>
          </cell>
          <cell r="E1308">
            <v>0</v>
          </cell>
        </row>
        <row r="1309">
          <cell r="A1309">
            <v>42837</v>
          </cell>
          <cell r="B1309" t="str">
            <v>Corpo de BSCC 2,00 x 2,00m projeto DNIT para 5,00 &lt; H &lt; 7,50 m em Vias Urbanas</v>
          </cell>
          <cell r="C1309" t="str">
            <v>m</v>
          </cell>
          <cell r="D1309" t="str">
            <v>3.896,26</v>
          </cell>
          <cell r="E1309">
            <v>0</v>
          </cell>
        </row>
        <row r="1310">
          <cell r="A1310">
            <v>42838</v>
          </cell>
          <cell r="B1310" t="str">
            <v>Corpo de BSCC 2,00x2,00m projeto DNIT p/ H&lt;-&gt;2,50m em Vias Urbanas</v>
          </cell>
          <cell r="C1310" t="str">
            <v>m</v>
          </cell>
          <cell r="D1310" t="str">
            <v>3.209,97</v>
          </cell>
          <cell r="E1310">
            <v>0</v>
          </cell>
        </row>
        <row r="1311">
          <cell r="A1311">
            <v>42839</v>
          </cell>
          <cell r="B1311" t="str">
            <v>Corpo de BSCC 2,00x2,00m projeto DNIT p/ 2,50&lt; H &lt;5,00m em Vias Urbanas</v>
          </cell>
          <cell r="C1311" t="str">
            <v>m</v>
          </cell>
          <cell r="D1311" t="str">
            <v>3.611,33</v>
          </cell>
          <cell r="E1311">
            <v>0</v>
          </cell>
        </row>
        <row r="1312">
          <cell r="A1312">
            <v>42840</v>
          </cell>
          <cell r="B1312" t="str">
            <v>Corpo de BSCC 2,00x3,00m projeto DNIT p/ H&lt;-&gt;2,50m em Vias Urbanas</v>
          </cell>
          <cell r="C1312" t="str">
            <v>m</v>
          </cell>
          <cell r="D1312" t="str">
            <v>4.643,68</v>
          </cell>
          <cell r="E1312">
            <v>0</v>
          </cell>
        </row>
        <row r="1313">
          <cell r="A1313">
            <v>42841</v>
          </cell>
          <cell r="B1313" t="str">
            <v>Corpo de BSCC 2,00x3,00m projeto DNIT p/ 2,50&lt; H &lt;5,00m em Vias Urbanas</v>
          </cell>
          <cell r="C1313" t="str">
            <v>m</v>
          </cell>
          <cell r="D1313" t="str">
            <v>5.843,02</v>
          </cell>
          <cell r="E1313">
            <v>0</v>
          </cell>
        </row>
        <row r="1314">
          <cell r="A1314">
            <v>40585</v>
          </cell>
          <cell r="B1314" t="str">
            <v>Corpo de BSCC 2,50 x 2,50 m, para H &lt; -&gt; 2,50 m em Vias Urbanas</v>
          </cell>
          <cell r="C1314" t="str">
            <v>m</v>
          </cell>
          <cell r="D1314" t="str">
            <v>4.988,39</v>
          </cell>
          <cell r="E1314">
            <v>0</v>
          </cell>
        </row>
        <row r="1315">
          <cell r="A1315">
            <v>42843</v>
          </cell>
          <cell r="B1315" t="str">
            <v>Corpo de BSCC 2,50x2,50m projeto DNIT para 2,50&lt; H &lt;5,00m em Vias Urbanas</v>
          </cell>
          <cell r="C1315" t="str">
            <v>m</v>
          </cell>
          <cell r="D1315" t="str">
            <v>4.982,53</v>
          </cell>
          <cell r="E1315">
            <v>0</v>
          </cell>
        </row>
        <row r="1316">
          <cell r="A1316">
            <v>42844</v>
          </cell>
          <cell r="B1316" t="str">
            <v>Corpo de BSCC 2,50x3,00m projeto DNIT para H&lt;-&gt;2,50m em Vias Urbanas</v>
          </cell>
          <cell r="C1316" t="str">
            <v>m</v>
          </cell>
          <cell r="D1316" t="str">
            <v>5.736,32</v>
          </cell>
          <cell r="E1316">
            <v>0</v>
          </cell>
        </row>
        <row r="1317">
          <cell r="A1317">
            <v>42845</v>
          </cell>
          <cell r="B1317" t="str">
            <v>Corpo de BSCC 2,50x3,00m projeto DNIT para 2,50&lt; H &lt;5,00m em Vias Urbanas</v>
          </cell>
          <cell r="C1317" t="str">
            <v>m</v>
          </cell>
          <cell r="D1317" t="str">
            <v>6.826,96</v>
          </cell>
          <cell r="E1317">
            <v>0</v>
          </cell>
        </row>
        <row r="1318">
          <cell r="A1318">
            <v>41179</v>
          </cell>
          <cell r="B1318" t="str">
            <v>Corpo de BSCC 3,00x1,50 para 2,50m&lt; H &lt; 5,00m , em Vias Urbanas</v>
          </cell>
          <cell r="C1318" t="str">
            <v>m</v>
          </cell>
          <cell r="D1318" t="str">
            <v>5.939,28</v>
          </cell>
          <cell r="E1318">
            <v>0</v>
          </cell>
        </row>
        <row r="1319">
          <cell r="A1319">
            <v>42842</v>
          </cell>
          <cell r="B1319" t="str">
            <v>Corpo de BSCC 3,00x3,00m projeto DNIT para H&lt;-&gt;2,50m em Vias Urbanas</v>
          </cell>
          <cell r="C1319" t="str">
            <v>m</v>
          </cell>
          <cell r="D1319" t="str">
            <v>6.242,98</v>
          </cell>
          <cell r="E1319">
            <v>0</v>
          </cell>
        </row>
        <row r="1320">
          <cell r="A1320">
            <v>42848</v>
          </cell>
          <cell r="B1320" t="str">
            <v>Corpo de BSCC 3,00x3,00m projeto DNIT para 2,50&lt; H &lt;5,00m em Vias Urbanas</v>
          </cell>
          <cell r="C1320" t="str">
            <v>m</v>
          </cell>
          <cell r="D1320" t="str">
            <v>7.130,73</v>
          </cell>
          <cell r="E1320">
            <v>0</v>
          </cell>
        </row>
        <row r="1321">
          <cell r="A1321">
            <v>42849</v>
          </cell>
          <cell r="B1321" t="str">
            <v>Corpo de BTCC 1,50 x 1,50 m projeto DNIT para H &lt;-&gt; 2,50 m em Vias Urbanas</v>
          </cell>
          <cell r="C1321" t="str">
            <v>m</v>
          </cell>
          <cell r="D1321" t="str">
            <v>5.226,56</v>
          </cell>
          <cell r="E1321">
            <v>0</v>
          </cell>
        </row>
        <row r="1322">
          <cell r="A1322">
            <v>42850</v>
          </cell>
          <cell r="B1322" t="str">
            <v>Corpo de BTCC 1,50 x 1,50 m projeto DNIT para 2,50 &lt; H &lt; 5,00 m em Vias Urbanas</v>
          </cell>
          <cell r="C1322" t="str">
            <v>m</v>
          </cell>
          <cell r="D1322" t="str">
            <v>5.527,77</v>
          </cell>
          <cell r="E1322">
            <v>0</v>
          </cell>
        </row>
        <row r="1323">
          <cell r="A1323">
            <v>42851</v>
          </cell>
          <cell r="B1323" t="str">
            <v>Corpo de BTCC 2,00 x 2,00 m projeto DNIT para H &lt;-&gt; 2,50 m em Vias Urbanas</v>
          </cell>
          <cell r="C1323" t="str">
            <v>m</v>
          </cell>
          <cell r="D1323" t="str">
            <v>7.619,48</v>
          </cell>
          <cell r="E1323">
            <v>0</v>
          </cell>
        </row>
        <row r="1324">
          <cell r="A1324">
            <v>42852</v>
          </cell>
          <cell r="B1324" t="str">
            <v>Corpo de BTCC 2,00 x 2,00 m projeto DNIT para 2,50 &lt; H &lt; 5,00 m em Vias Urbanas</v>
          </cell>
          <cell r="C1324" t="str">
            <v>m</v>
          </cell>
          <cell r="D1324" t="str">
            <v>8.107,43</v>
          </cell>
          <cell r="E1324">
            <v>0</v>
          </cell>
        </row>
        <row r="1325">
          <cell r="A1325">
            <v>42853</v>
          </cell>
          <cell r="B1325" t="str">
            <v>Corpo de BTCC 2,00 x 3,00 m projeto DNIT para H &lt; -&gt; 2,50 m em Vias Urbanas</v>
          </cell>
          <cell r="C1325" t="str">
            <v>m</v>
          </cell>
          <cell r="D1325" t="str">
            <v>11.056,54</v>
          </cell>
          <cell r="E1325">
            <v>0</v>
          </cell>
        </row>
        <row r="1326">
          <cell r="A1326">
            <v>42854</v>
          </cell>
          <cell r="B1326" t="str">
            <v>Corpo de BTCC 2,00 x 3,00 m projeto DNIT para 2,50 &lt; H &lt; 5,00 m em Vias Urbanas</v>
          </cell>
          <cell r="C1326" t="str">
            <v>m</v>
          </cell>
          <cell r="D1326" t="str">
            <v>12.511,51</v>
          </cell>
          <cell r="E1326">
            <v>0</v>
          </cell>
        </row>
        <row r="1327">
          <cell r="A1327">
            <v>42855</v>
          </cell>
          <cell r="B1327" t="str">
            <v>Corpo de BTCC 2,50 x 2,50 m projeto DNIT para H &lt; -&gt; 2,50 m em Vias Urbanas</v>
          </cell>
          <cell r="C1327" t="str">
            <v>m</v>
          </cell>
          <cell r="D1327" t="str">
            <v>9.962,71</v>
          </cell>
          <cell r="E1327">
            <v>0</v>
          </cell>
        </row>
        <row r="1328">
          <cell r="A1328">
            <v>42856</v>
          </cell>
          <cell r="B1328" t="str">
            <v>Corpo de BTCC 2,50 x 2,50 m projeto DNIT para 2,50 &lt; H &lt; 5,00 m em Vias Urbanas</v>
          </cell>
          <cell r="C1328" t="str">
            <v>m</v>
          </cell>
          <cell r="D1328" t="str">
            <v>11.162,45</v>
          </cell>
          <cell r="E1328">
            <v>0</v>
          </cell>
        </row>
        <row r="1329">
          <cell r="A1329">
            <v>42858</v>
          </cell>
          <cell r="B1329" t="str">
            <v>Corpo de BTCC 2,50 x 3,00 m projeto DNIT para H &lt; -&gt; 2,50 m em Vias Urbanas</v>
          </cell>
          <cell r="C1329" t="str">
            <v>m</v>
          </cell>
          <cell r="D1329" t="str">
            <v>12.361,78</v>
          </cell>
          <cell r="E1329">
            <v>0</v>
          </cell>
        </row>
        <row r="1330">
          <cell r="A1330">
            <v>42857</v>
          </cell>
          <cell r="B1330" t="str">
            <v>Corpo de BTCC 2,50 x 3,00 m projeto DNIT para H &lt; -&gt; 2,50 m em vias Urbanas</v>
          </cell>
          <cell r="C1330" t="str">
            <v>m</v>
          </cell>
          <cell r="D1330" t="str">
            <v>12.361,78</v>
          </cell>
          <cell r="E1330">
            <v>0</v>
          </cell>
        </row>
        <row r="1331">
          <cell r="A1331">
            <v>42859</v>
          </cell>
          <cell r="B1331" t="str">
            <v>Corpo de BTCC 2,50 x 3,00 m projeto DNIT para 2,50 &lt; H &lt; 5,00 m em Vias Urbanas</v>
          </cell>
          <cell r="C1331" t="str">
            <v>m</v>
          </cell>
          <cell r="D1331" t="str">
            <v>13.987,88</v>
          </cell>
          <cell r="E1331">
            <v>0</v>
          </cell>
        </row>
        <row r="1332">
          <cell r="A1332">
            <v>42860</v>
          </cell>
          <cell r="B1332" t="str">
            <v>Corpo de BTCC 3,00 x 3,00 m projeto DNIT para H &lt; -&gt; 2,50 m em Vias Urbanas</v>
          </cell>
          <cell r="C1332" t="str">
            <v>m</v>
          </cell>
          <cell r="D1332" t="str">
            <v>13.290,91</v>
          </cell>
          <cell r="E1332">
            <v>0</v>
          </cell>
        </row>
        <row r="1333">
          <cell r="A1333">
            <v>42861</v>
          </cell>
          <cell r="B1333" t="str">
            <v>Corpo de BTCC 3,00 x 3,00 m projeto DNIT para 2,50 &lt; H &lt; 5,00 m em Vias Urbanas</v>
          </cell>
          <cell r="C1333" t="str">
            <v>m</v>
          </cell>
          <cell r="D1333" t="str">
            <v>14.876,64</v>
          </cell>
          <cell r="E1333">
            <v>0</v>
          </cell>
        </row>
        <row r="1334">
          <cell r="A1334">
            <v>42862</v>
          </cell>
          <cell r="B1334" t="str">
            <v>Corta-rio (escavação mecânica em material de 1ª cat.) H-&gt;1,50 a 3,00 m em Vias Urbanas</v>
          </cell>
          <cell r="C1334" t="str">
            <v>m³</v>
          </cell>
          <cell r="D1334" t="str">
            <v>13,45</v>
          </cell>
          <cell r="E1334">
            <v>0</v>
          </cell>
        </row>
        <row r="1335">
          <cell r="A1335">
            <v>42863</v>
          </cell>
          <cell r="B1335" t="str">
            <v>Corta-rio (escavação mecânica em material de 2ª cat.) H-&gt;1,50 a 3,00m em Vias Urbanas</v>
          </cell>
          <cell r="C1335" t="str">
            <v>m³</v>
          </cell>
          <cell r="D1335" t="str">
            <v>26,91</v>
          </cell>
          <cell r="E1335">
            <v>0</v>
          </cell>
        </row>
        <row r="1336">
          <cell r="A1336">
            <v>42864</v>
          </cell>
          <cell r="B1336" t="str">
            <v>Corta-rio (escavação mecânica em material de 3º cat.) H-&gt;0,00 a 1,50m em Vias Urbanas</v>
          </cell>
          <cell r="C1336" t="str">
            <v>m³</v>
          </cell>
          <cell r="D1336" t="str">
            <v>113,98</v>
          </cell>
          <cell r="E1336">
            <v>0</v>
          </cell>
        </row>
        <row r="1337">
          <cell r="A1337">
            <v>42865</v>
          </cell>
          <cell r="B1337" t="str">
            <v>Corte e esmerilhamento de pontas de tubo de ferro fundido DN 500 a 200mm em Vias Urbanas</v>
          </cell>
          <cell r="C1337" t="str">
            <v>m</v>
          </cell>
          <cell r="D1337" t="str">
            <v>18,90</v>
          </cell>
          <cell r="E1337">
            <v>0</v>
          </cell>
        </row>
        <row r="1338">
          <cell r="A1338">
            <v>42866</v>
          </cell>
          <cell r="B1338" t="str">
            <v>Curva 90° de PVC, junta elástica PBA, D-&gt;75mm, fornecimento e assentamento em Vias Urbanas</v>
          </cell>
          <cell r="C1338" t="str">
            <v>un</v>
          </cell>
          <cell r="D1338" t="str">
            <v>53,07</v>
          </cell>
          <cell r="E1338">
            <v>0</v>
          </cell>
        </row>
        <row r="1339">
          <cell r="A1339">
            <v>42867</v>
          </cell>
          <cell r="B1339" t="str">
            <v>Demolição manual alvenaria tijolo furado assentado com argamassa em Vias Urbanas</v>
          </cell>
          <cell r="C1339" t="str">
            <v>m³</v>
          </cell>
          <cell r="D1339" t="str">
            <v>168,36</v>
          </cell>
          <cell r="E1339">
            <v>0</v>
          </cell>
        </row>
        <row r="1340">
          <cell r="A1340">
            <v>42868</v>
          </cell>
          <cell r="B1340" t="str">
            <v>Demolição manual de concreto armado em Vias Urbanas</v>
          </cell>
          <cell r="C1340" t="str">
            <v>m³</v>
          </cell>
          <cell r="D1340" t="str">
            <v>248,42</v>
          </cell>
          <cell r="E1340">
            <v>0</v>
          </cell>
        </row>
        <row r="1341">
          <cell r="A1341">
            <v>42869</v>
          </cell>
          <cell r="B1341" t="str">
            <v>Demolição manual de concreto simples ou ciclópico em Vias Urbanas</v>
          </cell>
          <cell r="C1341" t="str">
            <v>m³</v>
          </cell>
          <cell r="D1341" t="str">
            <v>219,19</v>
          </cell>
          <cell r="E1341">
            <v>0</v>
          </cell>
        </row>
        <row r="1342">
          <cell r="A1342">
            <v>42870</v>
          </cell>
          <cell r="B1342" t="str">
            <v>Demolição mecânica de concreto em Vias Urbanas</v>
          </cell>
          <cell r="C1342" t="str">
            <v>m³</v>
          </cell>
          <cell r="D1342" t="str">
            <v>158,26</v>
          </cell>
          <cell r="E1342">
            <v>0</v>
          </cell>
        </row>
        <row r="1343">
          <cell r="A1343">
            <v>42880</v>
          </cell>
          <cell r="B1343" t="str">
            <v>Descida d'água concreto simples (degraus) c/ caiação (DSA-03) apoio em Vias Urbanas</v>
          </cell>
          <cell r="C1343" t="str">
            <v>un</v>
          </cell>
          <cell r="D1343" t="str">
            <v>664,78</v>
          </cell>
          <cell r="E1343">
            <v>0</v>
          </cell>
        </row>
        <row r="1344">
          <cell r="A1344">
            <v>42883</v>
          </cell>
          <cell r="B1344" t="str">
            <v>Deslocamento de cerca de tela galvanizada fio 12 malha 3" x 3", em Vias Urbanas</v>
          </cell>
          <cell r="C1344" t="str">
            <v>m</v>
          </cell>
          <cell r="D1344" t="str">
            <v>34,81</v>
          </cell>
          <cell r="E1344" t="str">
            <v>A incluir</v>
          </cell>
        </row>
        <row r="1345">
          <cell r="A1345">
            <v>42899</v>
          </cell>
          <cell r="B1345" t="str">
            <v>Dreno de alívio de pavimento (DP - DAP - 01), com tubo PVC d-&gt;50mm, geotêxtil não tecido RT 07 kN/m inclusive transporte da brita em Vias Urbanas</v>
          </cell>
          <cell r="C1345" t="str">
            <v>m</v>
          </cell>
          <cell r="D1345" t="str">
            <v>49,02</v>
          </cell>
          <cell r="E1345" t="str">
            <v>A incluir</v>
          </cell>
        </row>
        <row r="1346">
          <cell r="A1346">
            <v>42901</v>
          </cell>
          <cell r="B1346" t="str">
            <v>Dreno de PVC D -&gt; 100 mm em Vias Urbanas</v>
          </cell>
          <cell r="C1346" t="str">
            <v>m</v>
          </cell>
          <cell r="D1346" t="str">
            <v>29,67</v>
          </cell>
          <cell r="E1346">
            <v>0</v>
          </cell>
        </row>
        <row r="1347">
          <cell r="A1347">
            <v>42900</v>
          </cell>
          <cell r="B1347" t="str">
            <v>Dreno de PVC D -&gt; 50 mm em Vias Urbanas</v>
          </cell>
          <cell r="C1347" t="str">
            <v>m</v>
          </cell>
          <cell r="D1347" t="str">
            <v>17,82</v>
          </cell>
          <cell r="E1347">
            <v>0</v>
          </cell>
        </row>
        <row r="1348">
          <cell r="A1348">
            <v>41185</v>
          </cell>
          <cell r="B1348" t="str">
            <v>Dreno em PVC perfurado diâm. -&gt; 100 mm, em Vias Urbanas</v>
          </cell>
          <cell r="C1348" t="str">
            <v>m</v>
          </cell>
          <cell r="D1348" t="str">
            <v>11,61</v>
          </cell>
          <cell r="E1348" t="str">
            <v>A incluir</v>
          </cell>
        </row>
        <row r="1349">
          <cell r="A1349">
            <v>42903</v>
          </cell>
          <cell r="B1349" t="str">
            <v>Dreno Longitudinal tipo Trincheira Drenante, H -&gt; 0,90 m com tubo poroso tipo PEAD d -&gt;110 mm, incluindo esc. mat. 3ª cat. em Vias Urbanas</v>
          </cell>
          <cell r="C1349" t="str">
            <v>m</v>
          </cell>
          <cell r="D1349" t="str">
            <v>102,93</v>
          </cell>
          <cell r="E1349" t="str">
            <v>A incluir</v>
          </cell>
        </row>
        <row r="1350">
          <cell r="A1350">
            <v>42904</v>
          </cell>
          <cell r="B1350" t="str">
            <v>Dreno Longitudinal tipo Trincheira Drenante, H -&gt; 0,90 m com tubo poroso tipo PEAD d-&gt;110 mm, inclusive esc. em mat. 1ª cat. em Vias Urbanas</v>
          </cell>
          <cell r="C1350" t="str">
            <v>m</v>
          </cell>
          <cell r="D1350" t="str">
            <v>81,90</v>
          </cell>
          <cell r="E1350" t="str">
            <v>A incluir</v>
          </cell>
        </row>
        <row r="1351">
          <cell r="A1351">
            <v>42902</v>
          </cell>
          <cell r="B1351" t="str">
            <v>Dreno Longitudinal tipo Trincheira Drenante, H-&gt;0,40m c/tubo poroso PEAD d -&gt; 65 mm, incl. esc. mat. 1ª cat., geotêxtil não tecido RT 07kN/m, V. Urbanas</v>
          </cell>
          <cell r="C1351" t="str">
            <v>m</v>
          </cell>
          <cell r="D1351" t="str">
            <v>82,44</v>
          </cell>
          <cell r="E1351">
            <v>0</v>
          </cell>
        </row>
        <row r="1352">
          <cell r="A1352">
            <v>42905</v>
          </cell>
          <cell r="B1352" t="str">
            <v>Dreno ou Barbacã em tubo PVC, diâmetro de 2" em Vias Urbanas</v>
          </cell>
          <cell r="C1352" t="str">
            <v>m</v>
          </cell>
          <cell r="D1352" t="str">
            <v>15,60</v>
          </cell>
          <cell r="E1352">
            <v>0</v>
          </cell>
        </row>
        <row r="1353">
          <cell r="A1353">
            <v>43120</v>
          </cell>
          <cell r="B1353" t="str">
            <v>Dreno profundo com enchimento de areia, escavação em material 1ª categoria, inclusive transporte da areia, em vias Urbanas</v>
          </cell>
          <cell r="C1353" t="str">
            <v>m</v>
          </cell>
          <cell r="D1353" t="str">
            <v>92,07</v>
          </cell>
          <cell r="E1353" t="str">
            <v>A incluir</v>
          </cell>
        </row>
        <row r="1354">
          <cell r="A1354">
            <v>42906</v>
          </cell>
          <cell r="B1354" t="str">
            <v>Dreno profundo com enchimento de brita e areia (1:1) escavação em material 1ª categoria, inclusive transporte da areia e da brita em Vias Urbanas</v>
          </cell>
          <cell r="C1354" t="str">
            <v>m</v>
          </cell>
          <cell r="D1354" t="str">
            <v>96,91</v>
          </cell>
          <cell r="E1354" t="str">
            <v>A incluir</v>
          </cell>
        </row>
        <row r="1355">
          <cell r="A1355">
            <v>42907</v>
          </cell>
          <cell r="B1355" t="str">
            <v>Dreno profundo com enchimento de brita e areia (1:1) escavação em material 2ª categoria, inclusive transporte da areia e da brita em Vias Urbanas</v>
          </cell>
          <cell r="C1355" t="str">
            <v>m</v>
          </cell>
          <cell r="D1355" t="str">
            <v>103,25</v>
          </cell>
          <cell r="E1355" t="str">
            <v>A incluir</v>
          </cell>
        </row>
        <row r="1356">
          <cell r="A1356">
            <v>42908</v>
          </cell>
          <cell r="B1356" t="str">
            <v>Dreno profundo com enchimento de brita, escavação em material 1ª categoria, inclusive transporte da brita em Vias Urbanas</v>
          </cell>
          <cell r="C1356" t="str">
            <v>m</v>
          </cell>
          <cell r="D1356" t="str">
            <v>94,79</v>
          </cell>
          <cell r="E1356" t="str">
            <v>A incluir</v>
          </cell>
        </row>
        <row r="1357">
          <cell r="A1357">
            <v>43122</v>
          </cell>
          <cell r="B1357" t="str">
            <v>Dreno profundo com tubo poroso, D-&gt;0,20 m com enchim. de brita, escav. material 3ª categoria (DPR-01), inclus. transporte brita e tubo, Vias Urbanas</v>
          </cell>
          <cell r="C1357" t="str">
            <v>m</v>
          </cell>
          <cell r="D1357" t="str">
            <v>92,33</v>
          </cell>
          <cell r="E1357" t="str">
            <v>A incluir</v>
          </cell>
        </row>
        <row r="1358">
          <cell r="A1358">
            <v>42913</v>
          </cell>
          <cell r="B1358" t="str">
            <v>Dreno profundo com tubo poroso, D-&gt;0,20m com enchim. de brita e areia, escav. material 2ª categoria, inclusi. transp. areia,brita e tubo Vias Urbanas</v>
          </cell>
          <cell r="C1358" t="str">
            <v>m</v>
          </cell>
          <cell r="D1358" t="str">
            <v>121,04</v>
          </cell>
          <cell r="E1358" t="str">
            <v>A incluir</v>
          </cell>
        </row>
        <row r="1359">
          <cell r="A1359">
            <v>42910</v>
          </cell>
          <cell r="B1359" t="str">
            <v>Dreno profundo D-&gt;0,10m c/ enchim.brita, areia (1:1) escav. em mat. 3ª categoria, incl.geotêxtil não tecido RT 16kn/m, e transp. brita, areia V.Urbanas</v>
          </cell>
          <cell r="C1359" t="str">
            <v>m</v>
          </cell>
          <cell r="D1359" t="str">
            <v>189,59</v>
          </cell>
          <cell r="E1359" t="str">
            <v>A incluir</v>
          </cell>
        </row>
        <row r="1360">
          <cell r="A1360">
            <v>42909</v>
          </cell>
          <cell r="B1360" t="str">
            <v>Dreno profundo D-&gt;0,10m c/ enchim.brita,areia (1:1) escav.mat. 1ª categoria, incl. geotêxtil não tecido RT16 kn/m e transp. areia,brita- Vias Urbanas</v>
          </cell>
          <cell r="C1360" t="str">
            <v>m</v>
          </cell>
          <cell r="D1360" t="str">
            <v>124,31</v>
          </cell>
          <cell r="E1360" t="str">
            <v>A incluir</v>
          </cell>
        </row>
        <row r="1361">
          <cell r="A1361">
            <v>42911</v>
          </cell>
          <cell r="B1361" t="str">
            <v>Dreno profundo D-&gt;0,20m com enchimento de areia, escavação em material 1ª categoria (DPS-01), inclusive transporte da areia e do tubo em Vias Urbanas</v>
          </cell>
          <cell r="C1361" t="str">
            <v>m</v>
          </cell>
          <cell r="D1361" t="str">
            <v>116,43</v>
          </cell>
          <cell r="E1361" t="str">
            <v>A incluir</v>
          </cell>
        </row>
        <row r="1362">
          <cell r="A1362">
            <v>42912</v>
          </cell>
          <cell r="B1362" t="str">
            <v>Dreno profundo D-&gt;0,20m com enchimento de brita e areia, escavação em material 1ª categoria, inclusive transporte da brita e da areia, em Vias Urbanas</v>
          </cell>
          <cell r="C1362" t="str">
            <v>m</v>
          </cell>
          <cell r="D1362" t="str">
            <v>114,70</v>
          </cell>
          <cell r="E1362" t="str">
            <v>A incluir</v>
          </cell>
        </row>
        <row r="1363">
          <cell r="A1363">
            <v>42915</v>
          </cell>
          <cell r="B1363" t="str">
            <v>Dreno profundo para corte em solo, com enchimento em brita revestido com geotêxtil não tecido RT-16, inclusive transporte da brita em Vias Urbanas</v>
          </cell>
          <cell r="C1363" t="str">
            <v>m</v>
          </cell>
          <cell r="D1363" t="str">
            <v>117,35</v>
          </cell>
          <cell r="E1363" t="str">
            <v>A incluir</v>
          </cell>
        </row>
        <row r="1364">
          <cell r="A1364">
            <v>42914</v>
          </cell>
          <cell r="B1364" t="str">
            <v>Dreno profundo solo c/tubo PVC perfur. D-&gt;0,10 m envolto geotêxtil não tecidoRT16kn/mpreench.c/brita, inclus.transp.dreno exclus transp.brita V Urbanas</v>
          </cell>
          <cell r="C1364" t="str">
            <v>m</v>
          </cell>
          <cell r="D1364" t="str">
            <v>82,13</v>
          </cell>
          <cell r="E1364" t="str">
            <v>A incluir</v>
          </cell>
        </row>
        <row r="1365">
          <cell r="A1365">
            <v>42917</v>
          </cell>
          <cell r="B1365" t="str">
            <v>Dreno sub-horizontal D -&gt; 50 mm em PVC inclus. escavação em alteração de rocha, geotêxtil não tecido RT-16 exclusive transp. em Vias Urbanas</v>
          </cell>
          <cell r="C1365" t="str">
            <v>m</v>
          </cell>
          <cell r="D1365" t="str">
            <v>605,65</v>
          </cell>
          <cell r="E1365">
            <v>0</v>
          </cell>
        </row>
        <row r="1366">
          <cell r="A1366">
            <v>42918</v>
          </cell>
          <cell r="B1366" t="str">
            <v>Dreno sub-horizontal D -&gt; 50 mm em PVC inclus.escavação em rocha sã, geotêxtil não tecido RT-16, exclusive transportes em Vias Urbanas</v>
          </cell>
          <cell r="C1366" t="str">
            <v>m</v>
          </cell>
          <cell r="D1366" t="str">
            <v>775,34</v>
          </cell>
          <cell r="E1366">
            <v>0</v>
          </cell>
        </row>
        <row r="1367">
          <cell r="A1367">
            <v>42916</v>
          </cell>
          <cell r="B1367" t="str">
            <v>Dreno sub-horizontal D-&gt;50 mm inclusive geotêxtil não tecido RT 16 kn/m, em PVC, exclusive transportes em Vias Urbanas</v>
          </cell>
          <cell r="C1367" t="str">
            <v>m</v>
          </cell>
          <cell r="D1367" t="str">
            <v>442,21</v>
          </cell>
          <cell r="E1367">
            <v>0</v>
          </cell>
        </row>
        <row r="1368">
          <cell r="A1368">
            <v>42919</v>
          </cell>
          <cell r="B1368" t="str">
            <v>Dreno sub-superficial rocha (h-&gt;0,55m) c/tubo PVC perfur.d-&gt;0,10m, env. geotêxtil RT-16, preenc.c/ brita, incl. transp. dreno, excl. transp brita-V. Urb</v>
          </cell>
          <cell r="C1368" t="str">
            <v>m</v>
          </cell>
          <cell r="D1368" t="str">
            <v>66,05</v>
          </cell>
          <cell r="E1368" t="str">
            <v>A incluir</v>
          </cell>
        </row>
        <row r="1369">
          <cell r="A1369">
            <v>42920</v>
          </cell>
          <cell r="B1369" t="str">
            <v>Dreno vertical D -&gt; 75 mm em PVC, inclusive geotêxtil não tecido RT-16, exclusive transportes, em Vias Urbanas</v>
          </cell>
          <cell r="C1369" t="str">
            <v>m</v>
          </cell>
          <cell r="D1369" t="str">
            <v>448,00</v>
          </cell>
          <cell r="E1369">
            <v>0</v>
          </cell>
        </row>
        <row r="1370">
          <cell r="A1370">
            <v>42921</v>
          </cell>
          <cell r="B1370" t="str">
            <v>Eletroduto de ferro galvanizado DN 4" , inclusive conexões, exclusive escavação e reaterro, fornecimento e assentamento, em Vias Urbanas</v>
          </cell>
          <cell r="C1370" t="str">
            <v>m</v>
          </cell>
          <cell r="D1370" t="str">
            <v>93,42</v>
          </cell>
          <cell r="E1370">
            <v>0</v>
          </cell>
        </row>
        <row r="1371">
          <cell r="A1371">
            <v>42922</v>
          </cell>
          <cell r="B1371" t="str">
            <v>Eletroduto para rede de lógica, inclusive conexões, em Vias Urbanas</v>
          </cell>
          <cell r="C1371" t="str">
            <v>m</v>
          </cell>
          <cell r="D1371" t="str">
            <v>18,78</v>
          </cell>
          <cell r="E1371">
            <v>0</v>
          </cell>
        </row>
        <row r="1372">
          <cell r="A1372">
            <v>42923</v>
          </cell>
          <cell r="B1372" t="str">
            <v>Eletroduto PVC diâmetro 75mm, fornecimento e assentamento em Vias Urbanas</v>
          </cell>
          <cell r="C1372" t="str">
            <v>m</v>
          </cell>
          <cell r="D1372" t="str">
            <v>21,75</v>
          </cell>
          <cell r="E1372">
            <v>0</v>
          </cell>
        </row>
        <row r="1373">
          <cell r="A1373">
            <v>42924</v>
          </cell>
          <cell r="B1373" t="str">
            <v>Eletroduto PVC rígido roscável diâm. 50 mm, fornecimento e assentamento em Vias Urbanas</v>
          </cell>
          <cell r="C1373" t="str">
            <v>m</v>
          </cell>
          <cell r="D1373" t="str">
            <v>11,36</v>
          </cell>
          <cell r="E1373">
            <v>0</v>
          </cell>
        </row>
        <row r="1374">
          <cell r="A1374">
            <v>42925</v>
          </cell>
          <cell r="B1374" t="str">
            <v>Eletroduto tipo Kanaflex diâmetro 1 1/4", fornecimento e assentamento em Vias Urbanas</v>
          </cell>
          <cell r="C1374" t="str">
            <v>m</v>
          </cell>
          <cell r="D1374" t="str">
            <v>11,56</v>
          </cell>
          <cell r="E1374">
            <v>0</v>
          </cell>
        </row>
        <row r="1375">
          <cell r="A1375">
            <v>42926</v>
          </cell>
          <cell r="B1375" t="str">
            <v>Eletroduto tipo Kanaflex diâmetro 1 1/2", fornecimento e assentamento em Vias Urbanas</v>
          </cell>
          <cell r="C1375" t="str">
            <v>m</v>
          </cell>
          <cell r="D1375" t="str">
            <v>14,33</v>
          </cell>
          <cell r="E1375">
            <v>0</v>
          </cell>
        </row>
        <row r="1376">
          <cell r="A1376">
            <v>42927</v>
          </cell>
          <cell r="B1376" t="str">
            <v>Eletroduto tipo Kanaflex diâmetro 2", fornecimento e assentamento em Vias Urbanas</v>
          </cell>
          <cell r="C1376" t="str">
            <v>m</v>
          </cell>
          <cell r="D1376" t="str">
            <v>17,75</v>
          </cell>
          <cell r="E1376">
            <v>0</v>
          </cell>
        </row>
        <row r="1377">
          <cell r="A1377">
            <v>42928</v>
          </cell>
          <cell r="B1377" t="str">
            <v>Eletroduto tipo Kanaflex diâmetro 4", fornecimento e assentamento em Vias Urbanas</v>
          </cell>
          <cell r="C1377" t="str">
            <v>m</v>
          </cell>
          <cell r="D1377" t="str">
            <v>30,45</v>
          </cell>
          <cell r="E1377">
            <v>0</v>
          </cell>
        </row>
        <row r="1378">
          <cell r="A1378">
            <v>42942</v>
          </cell>
          <cell r="B1378" t="str">
            <v>Escada de madeira executada sobre terreno inclinado, com 80 cm de largura mínima em Vias Urbanas</v>
          </cell>
          <cell r="C1378" t="str">
            <v>m</v>
          </cell>
          <cell r="D1378" t="str">
            <v>59,55</v>
          </cell>
          <cell r="E1378">
            <v>0</v>
          </cell>
        </row>
        <row r="1379">
          <cell r="A1379">
            <v>42944</v>
          </cell>
          <cell r="B1379" t="str">
            <v>Escavação manual em mat. 1ª cat. H-&gt; 0,00 a 1,50 m c/ esgotamento em Vias Urbanas</v>
          </cell>
          <cell r="C1379" t="str">
            <v>m³</v>
          </cell>
          <cell r="D1379" t="str">
            <v>55,70</v>
          </cell>
          <cell r="E1379">
            <v>0</v>
          </cell>
        </row>
        <row r="1380">
          <cell r="A1380">
            <v>42943</v>
          </cell>
          <cell r="B1380" t="str">
            <v>Escavação manual em mat. 1ª cat. H-&gt; 0,00 a 1,50 m em Vias Urbanas</v>
          </cell>
          <cell r="C1380" t="str">
            <v>m³</v>
          </cell>
          <cell r="D1380" t="str">
            <v>52,56</v>
          </cell>
          <cell r="E1380">
            <v>0</v>
          </cell>
        </row>
        <row r="1381">
          <cell r="A1381">
            <v>42946</v>
          </cell>
          <cell r="B1381" t="str">
            <v>Escavação manual em mat. 1ª cat. H-&gt; 1,50 a 3,00 m c/ esgotamento em Vias Urbanas</v>
          </cell>
          <cell r="C1381" t="str">
            <v>m³</v>
          </cell>
          <cell r="D1381" t="str">
            <v>78,59</v>
          </cell>
          <cell r="E1381">
            <v>0</v>
          </cell>
        </row>
        <row r="1382">
          <cell r="A1382">
            <v>42945</v>
          </cell>
          <cell r="B1382" t="str">
            <v>Escavação manual em mat. 1ª cat. H-&gt; 1,50 a 3,00 m em Vias Urbanas</v>
          </cell>
          <cell r="C1382" t="str">
            <v>m³</v>
          </cell>
          <cell r="D1382" t="str">
            <v>77,45</v>
          </cell>
          <cell r="E1382">
            <v>0</v>
          </cell>
        </row>
        <row r="1383">
          <cell r="A1383">
            <v>42948</v>
          </cell>
          <cell r="B1383" t="str">
            <v>Escavação manual em mat. 1ª cat. H-&gt; 3,00 a 4,50 m c/ esgotamento, em Vias Urbanas</v>
          </cell>
          <cell r="C1383" t="str">
            <v>m³</v>
          </cell>
          <cell r="D1383" t="str">
            <v>112,93</v>
          </cell>
          <cell r="E1383">
            <v>0</v>
          </cell>
        </row>
        <row r="1384">
          <cell r="A1384">
            <v>42947</v>
          </cell>
          <cell r="B1384" t="str">
            <v>Escavação manual em mat. 1ª cat. H-&gt; 3,00 a 4,50 m, em Vias Urbanas</v>
          </cell>
          <cell r="C1384" t="str">
            <v>m³</v>
          </cell>
          <cell r="D1384" t="str">
            <v>114,77</v>
          </cell>
          <cell r="E1384">
            <v>0</v>
          </cell>
        </row>
        <row r="1385">
          <cell r="A1385">
            <v>42949</v>
          </cell>
          <cell r="B1385" t="str">
            <v>Escavação manual em mat. 2ª cat. H-&gt; 0,00 a 1,50 m c/ esgotamento, em Vias Urbanas</v>
          </cell>
          <cell r="C1385" t="str">
            <v>m³</v>
          </cell>
          <cell r="D1385" t="str">
            <v>117,98</v>
          </cell>
          <cell r="E1385">
            <v>0</v>
          </cell>
        </row>
        <row r="1386">
          <cell r="A1386">
            <v>42950</v>
          </cell>
          <cell r="B1386" t="str">
            <v>Escavação manual em mat. 2ª cat. H-&gt; 0,00 a 1,50 m s/ detonação, em Vias Urbanas</v>
          </cell>
          <cell r="C1386" t="str">
            <v>m³</v>
          </cell>
          <cell r="D1386" t="str">
            <v>120,27</v>
          </cell>
          <cell r="E1386">
            <v>0</v>
          </cell>
        </row>
        <row r="1387">
          <cell r="A1387">
            <v>42951</v>
          </cell>
          <cell r="B1387" t="str">
            <v>Escavação manual em mat. 2ª cat. H-&gt; 1,50 a 3,00 m c/ esgotamento, em Vias Urbanas</v>
          </cell>
          <cell r="C1387" t="str">
            <v>m³</v>
          </cell>
          <cell r="D1387" t="str">
            <v>144,92</v>
          </cell>
          <cell r="E1387">
            <v>0</v>
          </cell>
        </row>
        <row r="1388">
          <cell r="A1388">
            <v>42952</v>
          </cell>
          <cell r="B1388" t="str">
            <v>Escavação manual em mat. 2ª cat. H-&gt; 1,50 a 3,00 m s/ detonação, em Vias Urbanas</v>
          </cell>
          <cell r="C1388" t="str">
            <v>m³</v>
          </cell>
          <cell r="D1388" t="str">
            <v>149,54</v>
          </cell>
          <cell r="E1388">
            <v>0</v>
          </cell>
        </row>
        <row r="1389">
          <cell r="A1389">
            <v>42953</v>
          </cell>
          <cell r="B1389" t="str">
            <v>Escavação manual em mat. 2ª cat. H-&gt; 3,00 a 4,50 m c/ esgotamento, em Vias Urbanas</v>
          </cell>
          <cell r="C1389" t="str">
            <v>m³</v>
          </cell>
          <cell r="D1389" t="str">
            <v>251,54</v>
          </cell>
          <cell r="E1389">
            <v>0</v>
          </cell>
        </row>
        <row r="1390">
          <cell r="A1390">
            <v>42954</v>
          </cell>
          <cell r="B1390" t="str">
            <v>Escavação manual em mat. 2ª cat. H-&gt; 3,00 a 4,50 m s/ detonação, em Vias Urbanas</v>
          </cell>
          <cell r="C1390" t="str">
            <v>m³</v>
          </cell>
          <cell r="D1390" t="str">
            <v>265,44</v>
          </cell>
          <cell r="E1390">
            <v>0</v>
          </cell>
        </row>
        <row r="1391">
          <cell r="A1391">
            <v>42955</v>
          </cell>
          <cell r="B1391" t="str">
            <v>Escavação manual em mat. 3ª cat. H-&gt; 0,00 a 1,50 m, a fogo, em Vias Urbanas</v>
          </cell>
          <cell r="C1391" t="str">
            <v>m³</v>
          </cell>
          <cell r="D1391" t="str">
            <v>335,26</v>
          </cell>
          <cell r="E1391">
            <v>0</v>
          </cell>
        </row>
        <row r="1392">
          <cell r="A1392">
            <v>42956</v>
          </cell>
          <cell r="B1392" t="str">
            <v>Escavação manual furos, valetas mat. 1ª cat. H-&gt; 0,00 a 1,50 m (dim. reduz.), em Vias Urbanas</v>
          </cell>
          <cell r="C1392" t="str">
            <v>m³</v>
          </cell>
          <cell r="D1392" t="str">
            <v>77,45</v>
          </cell>
          <cell r="E1392">
            <v>0</v>
          </cell>
        </row>
        <row r="1393">
          <cell r="A1393">
            <v>42957</v>
          </cell>
          <cell r="B1393" t="str">
            <v>Escavação manual furos, valetas mat. 2ª cat. H-&gt; 0,00 a 1,50 m s/detonação (dim. reduz.), em Vias Urbanas</v>
          </cell>
          <cell r="C1393" t="str">
            <v>m³</v>
          </cell>
          <cell r="D1393" t="str">
            <v>179,00</v>
          </cell>
          <cell r="E1393">
            <v>0</v>
          </cell>
        </row>
        <row r="1394">
          <cell r="A1394">
            <v>42958</v>
          </cell>
          <cell r="B1394" t="str">
            <v>Escavação mecânica de valas em material de 1ª categoria, 3,00 a 4,50 m, c/ esgotamento, carga do material, transp. material p/ bota-fora -Vias Urbanas</v>
          </cell>
          <cell r="C1394" t="str">
            <v>m³</v>
          </cell>
          <cell r="D1394" t="str">
            <v>203,20</v>
          </cell>
          <cell r="E1394" t="str">
            <v>A incluir</v>
          </cell>
        </row>
        <row r="1395">
          <cell r="A1395">
            <v>42959</v>
          </cell>
          <cell r="B1395" t="str">
            <v>Escavação mecânica de valas em 1ª categoria, profundidade de 4,50 a 6,00 m com esgotamento, transp. DMT-&gt;20km, descarga e espalhamento, em Vias Urbanas</v>
          </cell>
          <cell r="C1395" t="str">
            <v>m³</v>
          </cell>
          <cell r="D1395" t="str">
            <v>205,04</v>
          </cell>
          <cell r="E1395" t="str">
            <v>A incluir</v>
          </cell>
        </row>
        <row r="1396">
          <cell r="A1396">
            <v>42961</v>
          </cell>
          <cell r="B1396" t="str">
            <v>Escavação mecânica em material de 1ª cat. H-&gt; 0,00 a 1,50 m c/ esgotamento, em Vias Urbanas</v>
          </cell>
          <cell r="C1396" t="str">
            <v>m³</v>
          </cell>
          <cell r="D1396" t="str">
            <v>17,48</v>
          </cell>
          <cell r="E1396">
            <v>0</v>
          </cell>
        </row>
        <row r="1397">
          <cell r="A1397">
            <v>42962</v>
          </cell>
          <cell r="B1397" t="str">
            <v>Escavação mecânica em material de 1ª cat. H-&gt; 0,00 a 1,50 m c/ esgotamento, em Vias Urbanas</v>
          </cell>
          <cell r="C1397" t="str">
            <v>m³</v>
          </cell>
          <cell r="D1397" t="str">
            <v>17,48</v>
          </cell>
          <cell r="E1397">
            <v>0</v>
          </cell>
        </row>
        <row r="1398">
          <cell r="A1398">
            <v>42960</v>
          </cell>
          <cell r="B1398" t="str">
            <v>Escavação mecânica em material de 1ª cat. H-&gt; 0,00 a 1,50 m, em Vias Urbanas</v>
          </cell>
          <cell r="C1398" t="str">
            <v>m³</v>
          </cell>
          <cell r="D1398" t="str">
            <v>11,16</v>
          </cell>
          <cell r="E1398">
            <v>0</v>
          </cell>
        </row>
        <row r="1399">
          <cell r="A1399">
            <v>42964</v>
          </cell>
          <cell r="B1399" t="str">
            <v>Escavação mecânica em material de 1ª cat. H-&gt; 1,50 a 3,00 m c/ esgotamento, em Vias Urbanas</v>
          </cell>
          <cell r="C1399" t="str">
            <v>m³</v>
          </cell>
          <cell r="D1399" t="str">
            <v>18,49</v>
          </cell>
          <cell r="E1399">
            <v>0</v>
          </cell>
        </row>
        <row r="1400">
          <cell r="A1400">
            <v>42963</v>
          </cell>
          <cell r="B1400" t="str">
            <v>Escavação mecânica em material de 1ª cat. H-&gt; 1,50 a 3,00 m, em Vias Urbanas</v>
          </cell>
          <cell r="C1400" t="str">
            <v>m³</v>
          </cell>
          <cell r="D1400" t="str">
            <v>12,13</v>
          </cell>
          <cell r="E1400">
            <v>0</v>
          </cell>
        </row>
        <row r="1401">
          <cell r="A1401">
            <v>42966</v>
          </cell>
          <cell r="B1401" t="str">
            <v>Escavação mecânica em material de 1º cat. H-&gt; 3,00 a 4,50 m c/ esgotamento, em Vias Urbanas</v>
          </cell>
          <cell r="C1401" t="str">
            <v>m³</v>
          </cell>
          <cell r="D1401" t="str">
            <v>20,46</v>
          </cell>
          <cell r="E1401">
            <v>0</v>
          </cell>
        </row>
        <row r="1402">
          <cell r="A1402">
            <v>42965</v>
          </cell>
          <cell r="B1402" t="str">
            <v>Escavação mecânica em material de 1ª cat. H-&gt; 3,00 a 4,50 m, em Vias Urbanas</v>
          </cell>
          <cell r="C1402" t="str">
            <v>m³</v>
          </cell>
          <cell r="D1402" t="str">
            <v>14,09</v>
          </cell>
          <cell r="E1402">
            <v>0</v>
          </cell>
        </row>
        <row r="1403">
          <cell r="A1403">
            <v>42968</v>
          </cell>
          <cell r="B1403" t="str">
            <v>Escavação mecânica em material de 2ª cat. H-&gt; 0,00 a 1,50 m c/ esgotamento, em Vias Urbanas</v>
          </cell>
          <cell r="C1403" t="str">
            <v>m³</v>
          </cell>
          <cell r="D1403" t="str">
            <v>25,93</v>
          </cell>
          <cell r="E1403">
            <v>0</v>
          </cell>
        </row>
        <row r="1404">
          <cell r="A1404">
            <v>42967</v>
          </cell>
          <cell r="B1404" t="str">
            <v>Escavação mecânica em material de 2ª cat. H-&gt; 0,00 a 1,50 m, em Vias Urbanas</v>
          </cell>
          <cell r="C1404" t="str">
            <v>m³</v>
          </cell>
          <cell r="D1404" t="str">
            <v>20,30</v>
          </cell>
          <cell r="E1404">
            <v>0</v>
          </cell>
        </row>
        <row r="1405">
          <cell r="A1405">
            <v>42970</v>
          </cell>
          <cell r="B1405" t="str">
            <v>Escavação mecânica em material de 2ª cat. H-&gt; 1,50 a 3,00 m c/ esgotamento, em Vias Urbanas</v>
          </cell>
          <cell r="C1405" t="str">
            <v>m³</v>
          </cell>
          <cell r="D1405" t="str">
            <v>29,67</v>
          </cell>
          <cell r="E1405">
            <v>0</v>
          </cell>
        </row>
        <row r="1406">
          <cell r="A1406">
            <v>42969</v>
          </cell>
          <cell r="B1406" t="str">
            <v>Escavação mecânica em material de 2ª cat. H-&gt; 1,50 a 3,00 m, em Vias Urbanas</v>
          </cell>
          <cell r="C1406" t="str">
            <v>m³</v>
          </cell>
          <cell r="D1406" t="str">
            <v>24,26</v>
          </cell>
          <cell r="E1406">
            <v>0</v>
          </cell>
        </row>
        <row r="1407">
          <cell r="A1407">
            <v>42973</v>
          </cell>
          <cell r="B1407" t="str">
            <v>Escavação mecânica em material de 2ª cat. H-&gt; 3,00 a 4,50 m c/ esgotamento, em Vias Urbanas</v>
          </cell>
          <cell r="C1407" t="str">
            <v>m³</v>
          </cell>
          <cell r="D1407" t="str">
            <v>35,24</v>
          </cell>
          <cell r="E1407">
            <v>0</v>
          </cell>
        </row>
        <row r="1408">
          <cell r="A1408">
            <v>42979</v>
          </cell>
          <cell r="B1408" t="str">
            <v>Escavação mecânica em material de 2º cat. H-&gt; 3,00 a 4,50 m c/ esgotamento em Vias Urbanas</v>
          </cell>
          <cell r="C1408" t="str">
            <v>m³</v>
          </cell>
          <cell r="D1408" t="str">
            <v>35,24</v>
          </cell>
          <cell r="E1408">
            <v>0</v>
          </cell>
        </row>
        <row r="1409">
          <cell r="A1409">
            <v>42971</v>
          </cell>
          <cell r="B1409" t="str">
            <v>Escavação mecânica em material de 2ª cat. H-&gt; 3,00 a 4,50 m, em Vias Urbanas</v>
          </cell>
          <cell r="C1409" t="str">
            <v>m³</v>
          </cell>
          <cell r="D1409" t="str">
            <v>30,38</v>
          </cell>
          <cell r="E1409">
            <v>0</v>
          </cell>
        </row>
        <row r="1410">
          <cell r="A1410">
            <v>42981</v>
          </cell>
          <cell r="B1410" t="str">
            <v>Escoramento de cavas e valas, inclusive fornecimento e transporte das madeiras, em Vias Urbanas</v>
          </cell>
          <cell r="C1410" t="str">
            <v>m²</v>
          </cell>
          <cell r="D1410" t="str">
            <v>180,22</v>
          </cell>
          <cell r="E1410" t="str">
            <v>A incluir</v>
          </cell>
        </row>
        <row r="1411">
          <cell r="A1411">
            <v>42982</v>
          </cell>
          <cell r="B1411" t="str">
            <v>Escoramento e cimbramento (bueiro celular), inclusive fornecimento e transporte das madeiras, em Vias Urbanas</v>
          </cell>
          <cell r="C1411" t="str">
            <v>m³</v>
          </cell>
          <cell r="D1411" t="str">
            <v>121,38</v>
          </cell>
          <cell r="E1411" t="str">
            <v>A incluir</v>
          </cell>
        </row>
        <row r="1412">
          <cell r="A1412">
            <v>0</v>
          </cell>
          <cell r="B1412">
            <v>0</v>
          </cell>
          <cell r="C1412">
            <v>0</v>
          </cell>
          <cell r="E1412" t="e">
            <v>#N/A</v>
          </cell>
        </row>
        <row r="1413">
          <cell r="A1413">
            <v>42987</v>
          </cell>
          <cell r="B1413" t="str">
            <v>Forma especial de madeira para meio fio, inclusive fornecimento e transporte das madeiras em Vias Urbanas</v>
          </cell>
          <cell r="C1413" t="str">
            <v>m²</v>
          </cell>
          <cell r="D1413" t="str">
            <v>71,11</v>
          </cell>
          <cell r="E1413" t="str">
            <v>A incluir</v>
          </cell>
        </row>
        <row r="1414">
          <cell r="A1414">
            <v>42988</v>
          </cell>
          <cell r="B1414" t="str">
            <v>Forma especial de madeira para sarjeta (gabarito), inclusive fornecimento e transporte das madeiras, em Vias Urbanas</v>
          </cell>
          <cell r="C1414" t="str">
            <v>m²</v>
          </cell>
          <cell r="D1414" t="str">
            <v>60,80</v>
          </cell>
          <cell r="E1414" t="str">
            <v>A incluir</v>
          </cell>
        </row>
        <row r="1415">
          <cell r="A1415">
            <v>42989</v>
          </cell>
          <cell r="B1415" t="str">
            <v>Forma metálica para meio fio, em Vias Urbanas</v>
          </cell>
          <cell r="C1415" t="str">
            <v>m²</v>
          </cell>
          <cell r="D1415" t="str">
            <v>6,96</v>
          </cell>
          <cell r="E1415">
            <v>0</v>
          </cell>
        </row>
        <row r="1416">
          <cell r="A1416">
            <v>42991</v>
          </cell>
          <cell r="B1416" t="str">
            <v>Formas planas de madeira com 01 (um) reaproveitamento, inclusive fornecimento e transporte das madeiras, em Vias Urbanas</v>
          </cell>
          <cell r="C1416" t="str">
            <v>m²</v>
          </cell>
          <cell r="D1416" t="str">
            <v>104,18</v>
          </cell>
          <cell r="E1416" t="str">
            <v>A incluir</v>
          </cell>
        </row>
        <row r="1417">
          <cell r="A1417">
            <v>42992</v>
          </cell>
          <cell r="B1417" t="str">
            <v>Formas planas de madeira com 02 (dois) reaproveitamentos, inclusive fornecimento e transporte das madeiras, em Vias Urbanas</v>
          </cell>
          <cell r="C1417" t="str">
            <v>m²</v>
          </cell>
          <cell r="D1417" t="str">
            <v>86,95</v>
          </cell>
          <cell r="E1417" t="str">
            <v>A incluir</v>
          </cell>
        </row>
        <row r="1418">
          <cell r="A1418">
            <v>42993</v>
          </cell>
          <cell r="B1418" t="str">
            <v>Formas planas de madeira com 04 (quatro) reaproveitamentos, inclusive fornecimento e transporte das madeiras, em Vias Urbanas</v>
          </cell>
          <cell r="C1418" t="str">
            <v>m²</v>
          </cell>
          <cell r="D1418" t="str">
            <v>72,56</v>
          </cell>
          <cell r="E1418" t="str">
            <v>A incluir</v>
          </cell>
        </row>
        <row r="1419">
          <cell r="A1419">
            <v>42994</v>
          </cell>
          <cell r="B1419" t="str">
            <v>Formas planas de madeira sem reaproveitamento (forma perdida), inclusive fornecimento e transporte das madeiras em Vias Urbanas</v>
          </cell>
          <cell r="C1419" t="str">
            <v>m²</v>
          </cell>
          <cell r="D1419" t="str">
            <v>153,40</v>
          </cell>
          <cell r="E1419" t="str">
            <v>A incluir</v>
          </cell>
        </row>
        <row r="1420">
          <cell r="A1420">
            <v>43070</v>
          </cell>
          <cell r="B1420" t="str">
            <v>Gabião manta/colchão, p/ revest. canal em malha hex 6x8mm Zn-Al/PVC, e-&gt;2,8mm,h-&gt;0,23m, inclus.aquis./assentam. pedra mão, exclus. transp., Vias Urbanas</v>
          </cell>
          <cell r="C1420" t="str">
            <v>m²</v>
          </cell>
          <cell r="D1420" t="str">
            <v>162,73</v>
          </cell>
          <cell r="E1420">
            <v>0</v>
          </cell>
        </row>
        <row r="1421">
          <cell r="A1421">
            <v>42995</v>
          </cell>
          <cell r="B1421" t="str">
            <v>Gabiões com caixas e sacos galvanizados, com geotêxtil não tecido RT 07 kN/m, em Vias Urbanas</v>
          </cell>
          <cell r="C1421" t="str">
            <v>m³</v>
          </cell>
          <cell r="D1421" t="str">
            <v>325,46</v>
          </cell>
          <cell r="E1421" t="str">
            <v>A incluir</v>
          </cell>
        </row>
        <row r="1422">
          <cell r="A1422">
            <v>42996</v>
          </cell>
          <cell r="B1422" t="str">
            <v>Gabiões com caixas galvanizadas, sem manta, em Vias Urbanas</v>
          </cell>
          <cell r="C1422" t="str">
            <v>m³</v>
          </cell>
          <cell r="D1422" t="str">
            <v>306,87</v>
          </cell>
          <cell r="E1422" t="str">
            <v>A incluir</v>
          </cell>
        </row>
        <row r="1423">
          <cell r="A1423">
            <v>43012</v>
          </cell>
          <cell r="B1423" t="str">
            <v>Geotêxtil não tecido RT-16 kn/m, fornecimento e aplicação em Vias Urbanas</v>
          </cell>
          <cell r="C1423" t="str">
            <v>m²</v>
          </cell>
          <cell r="D1423" t="str">
            <v>8,62</v>
          </cell>
          <cell r="E1423">
            <v>0</v>
          </cell>
        </row>
        <row r="1424">
          <cell r="A1424">
            <v>43011</v>
          </cell>
          <cell r="B1424" t="str">
            <v>Geotêxtil não-tecido com resistência longitudinal a tração 10kN/m, fornecimento e aplicação em Vias Urbanas</v>
          </cell>
          <cell r="C1424" t="str">
            <v>m²</v>
          </cell>
          <cell r="D1424" t="str">
            <v>6,11</v>
          </cell>
          <cell r="E1424">
            <v>0</v>
          </cell>
        </row>
        <row r="1425">
          <cell r="A1425">
            <v>43003</v>
          </cell>
          <cell r="B1425" t="str">
            <v>Lastro de brita, inclusive transporte da brita em Vias Urbanas</v>
          </cell>
          <cell r="C1425" t="str">
            <v>m³</v>
          </cell>
          <cell r="D1425" t="str">
            <v>103,93</v>
          </cell>
          <cell r="E1425" t="str">
            <v>A incluir</v>
          </cell>
        </row>
        <row r="1426">
          <cell r="A1426">
            <v>43004</v>
          </cell>
          <cell r="B1426" t="str">
            <v>Limpeza e apicoamento manual de superfície de rocha em Vias Urbanas</v>
          </cell>
          <cell r="C1426" t="str">
            <v>m²</v>
          </cell>
          <cell r="D1426" t="str">
            <v>32,29</v>
          </cell>
          <cell r="E1426">
            <v>0</v>
          </cell>
        </row>
        <row r="1427">
          <cell r="A1427">
            <v>43005</v>
          </cell>
          <cell r="B1427" t="str">
            <v>Limpeza e desobstrução de BDTC e BDCC em Vias Urbanas</v>
          </cell>
          <cell r="C1427" t="str">
            <v>m</v>
          </cell>
          <cell r="D1427" t="str">
            <v>29,11</v>
          </cell>
          <cell r="E1427">
            <v>0</v>
          </cell>
        </row>
        <row r="1428">
          <cell r="A1428">
            <v>43006</v>
          </cell>
          <cell r="B1428" t="str">
            <v>Limpeza e desobstrução de BQTC em Vias Urbanas</v>
          </cell>
          <cell r="C1428" t="str">
            <v>m</v>
          </cell>
          <cell r="D1428" t="str">
            <v>47,06</v>
          </cell>
          <cell r="E1428">
            <v>0</v>
          </cell>
        </row>
        <row r="1429">
          <cell r="A1429">
            <v>43007</v>
          </cell>
          <cell r="B1429" t="str">
            <v>Limpeza e desobstrução de BSTC e BSCC em Vias Urbanas</v>
          </cell>
          <cell r="C1429" t="str">
            <v>m</v>
          </cell>
          <cell r="D1429" t="str">
            <v>15,33</v>
          </cell>
          <cell r="E1429">
            <v>0</v>
          </cell>
        </row>
        <row r="1430">
          <cell r="A1430">
            <v>43008</v>
          </cell>
          <cell r="B1430" t="str">
            <v>Limpeza e desobstrução de BTTC e BTCC em Vias Urbanas</v>
          </cell>
          <cell r="C1430" t="str">
            <v>m</v>
          </cell>
          <cell r="D1430" t="str">
            <v>42,90</v>
          </cell>
          <cell r="E1430">
            <v>0</v>
          </cell>
        </row>
        <row r="1431">
          <cell r="A1431">
            <v>43009</v>
          </cell>
          <cell r="B1431" t="str">
            <v>Limpeza e preparo de superfície de aço em Vias Urbanas</v>
          </cell>
          <cell r="C1431" t="str">
            <v>m²</v>
          </cell>
          <cell r="D1431" t="str">
            <v>84,49</v>
          </cell>
          <cell r="E1431">
            <v>0</v>
          </cell>
        </row>
        <row r="1432">
          <cell r="A1432">
            <v>43018</v>
          </cell>
          <cell r="B1432" t="str">
            <v>Meio fio de concreto pré-moldado (12 x 30 x 15) cm, inclusive caiação e transporte do meio fio em Vias Urbanas</v>
          </cell>
          <cell r="C1432" t="str">
            <v>m</v>
          </cell>
          <cell r="D1432" t="str">
            <v>49,97</v>
          </cell>
          <cell r="E1432" t="str">
            <v>A incluir</v>
          </cell>
        </row>
        <row r="1433">
          <cell r="A1433">
            <v>43016</v>
          </cell>
          <cell r="B1433" t="str">
            <v>Meio fio de concreto pré-moldado (1,20 m x 0,12 m x 0,15 m x 0,30 m),exclusive transporte, em Vias Urbanas</v>
          </cell>
          <cell r="C1433" t="str">
            <v>m</v>
          </cell>
          <cell r="D1433" t="str">
            <v>50,34</v>
          </cell>
          <cell r="E1433">
            <v>0</v>
          </cell>
        </row>
        <row r="1434">
          <cell r="A1434">
            <v>43019</v>
          </cell>
          <cell r="B1434" t="str">
            <v>Meio fio de pedra (fornecimento e assentamento), inclusive caiação e transporte do meio fio em Vias Urbanas</v>
          </cell>
          <cell r="C1434" t="str">
            <v>m</v>
          </cell>
          <cell r="D1434" t="str">
            <v>52,87</v>
          </cell>
          <cell r="E1434" t="str">
            <v>A incluir</v>
          </cell>
        </row>
        <row r="1435">
          <cell r="A1435">
            <v>43026</v>
          </cell>
          <cell r="B1435" t="str">
            <v>Montagem e desmontagem de escoramento tubular normal, em obras de arte na densidade de 5m de tubo por m³ de escoramento em Vias Urbanas</v>
          </cell>
          <cell r="C1435" t="str">
            <v>m</v>
          </cell>
          <cell r="D1435" t="str">
            <v>18,92</v>
          </cell>
          <cell r="E1435">
            <v>0</v>
          </cell>
        </row>
        <row r="1436">
          <cell r="A1436">
            <v>0</v>
          </cell>
          <cell r="B1436">
            <v>0</v>
          </cell>
          <cell r="C1436">
            <v>0</v>
          </cell>
          <cell r="E1436" t="e">
            <v>#N/A</v>
          </cell>
        </row>
        <row r="1437">
          <cell r="A1437">
            <v>43033</v>
          </cell>
          <cell r="B1437" t="str">
            <v>Muro de testa em concreto para saída de dreno profundo em rocha, inclusive transporte do tubo em Vias Urbanas</v>
          </cell>
          <cell r="C1437" t="str">
            <v>un</v>
          </cell>
          <cell r="D1437" t="str">
            <v>987,39</v>
          </cell>
          <cell r="E1437" t="str">
            <v>A incluir</v>
          </cell>
        </row>
        <row r="1438">
          <cell r="A1438">
            <v>43037</v>
          </cell>
          <cell r="B1438" t="str">
            <v>Pedra de mão p/ (concreto ciclópico ou alvenaria) rocha paga em medição em Vias Urbanas</v>
          </cell>
          <cell r="C1438" t="str">
            <v>m³</v>
          </cell>
          <cell r="D1438" t="str">
            <v>46,00</v>
          </cell>
          <cell r="E1438">
            <v>0</v>
          </cell>
        </row>
        <row r="1439">
          <cell r="A1439">
            <v>43038</v>
          </cell>
          <cell r="B1439" t="str">
            <v>Pescoço de poço de visita H-&gt;0,30m, diâm. -&gt; 0,60 m, fornecimento, assentamento e transporte em Vias Urbanas</v>
          </cell>
          <cell r="C1439" t="str">
            <v>un</v>
          </cell>
          <cell r="D1439" t="str">
            <v>130,97</v>
          </cell>
          <cell r="E1439" t="str">
            <v>A incluir</v>
          </cell>
        </row>
        <row r="1440">
          <cell r="A1440">
            <v>43039</v>
          </cell>
          <cell r="B1440" t="str">
            <v>Pintura com nata de cimento em Vias Urbanas</v>
          </cell>
          <cell r="C1440" t="str">
            <v>m²</v>
          </cell>
          <cell r="D1440" t="str">
            <v>5,21</v>
          </cell>
          <cell r="E1440">
            <v>0</v>
          </cell>
        </row>
        <row r="1441">
          <cell r="A1441">
            <v>43040</v>
          </cell>
          <cell r="B1441" t="str">
            <v>Pintura interna ou externa sobre ferro, com tinta a base de resina de borracha clorada em Vias Urbanas</v>
          </cell>
          <cell r="C1441" t="str">
            <v>m²</v>
          </cell>
          <cell r="D1441" t="str">
            <v>43,58</v>
          </cell>
          <cell r="E1441">
            <v>0</v>
          </cell>
        </row>
        <row r="1442">
          <cell r="A1442">
            <v>43042</v>
          </cell>
          <cell r="B1442" t="str">
            <v>Plataforma ou passarela de pinho de 1ª ou similar, 1" x 12", em Vias Urbanas</v>
          </cell>
          <cell r="C1442" t="str">
            <v>m²</v>
          </cell>
          <cell r="D1442" t="str">
            <v>2,60</v>
          </cell>
          <cell r="E1442">
            <v>0</v>
          </cell>
        </row>
        <row r="1443">
          <cell r="A1443">
            <v>43043</v>
          </cell>
          <cell r="B1443" t="str">
            <v>Poço de visita em bloco pré-moldado para d-&gt;0,30 e 0,40 m (0,80 x 0,8 0m), em Vias Urbanas</v>
          </cell>
          <cell r="C1443" t="str">
            <v>un</v>
          </cell>
          <cell r="D1443" t="str">
            <v>2.104,82</v>
          </cell>
          <cell r="E1443">
            <v>0</v>
          </cell>
        </row>
        <row r="1444">
          <cell r="A1444">
            <v>43044</v>
          </cell>
          <cell r="B1444" t="str">
            <v>Poço de visita em bloco pré-moldado para d-&gt;0,60 m (1,00 x 1,00 m), em Vias Urbanas</v>
          </cell>
          <cell r="C1444" t="str">
            <v>un</v>
          </cell>
          <cell r="D1444" t="str">
            <v>2.465,13</v>
          </cell>
          <cell r="E1444">
            <v>0</v>
          </cell>
        </row>
        <row r="1445">
          <cell r="A1445">
            <v>41169</v>
          </cell>
          <cell r="B1445" t="str">
            <v>Poço de visita em bloco pré-moldado para d-&gt;0,80m (1,20x1,20m), em Vias Urbanas</v>
          </cell>
          <cell r="C1445" t="str">
            <v>un</v>
          </cell>
          <cell r="D1445" t="str">
            <v>2.941,71</v>
          </cell>
          <cell r="E1445">
            <v>0</v>
          </cell>
        </row>
        <row r="1446">
          <cell r="A1446">
            <v>41170</v>
          </cell>
          <cell r="B1446" t="str">
            <v>Poço de visita em bloco pré-moldado para d-&gt;1,00m (1,30x1,30m) (Vias Urbanas)</v>
          </cell>
          <cell r="C1446" t="str">
            <v>un</v>
          </cell>
          <cell r="D1446" t="str">
            <v>3.250,48</v>
          </cell>
          <cell r="E1446">
            <v>0</v>
          </cell>
        </row>
        <row r="1447">
          <cell r="A1447">
            <v>41171</v>
          </cell>
          <cell r="B1447" t="str">
            <v>Poço de visita em bloco pré-moldado para d-&gt;1,20m (1,50x1,50m), em Vias Urbanas</v>
          </cell>
          <cell r="C1447" t="str">
            <v>un</v>
          </cell>
          <cell r="D1447" t="str">
            <v>3.910,60</v>
          </cell>
          <cell r="E1447">
            <v>0</v>
          </cell>
        </row>
        <row r="1448">
          <cell r="A1448">
            <v>43046</v>
          </cell>
          <cell r="B1448" t="str">
            <v>Poço de Visita para BSTC diâm. 0,40 m em blocos de concreto, em Vias Urbanas</v>
          </cell>
          <cell r="C1448" t="str">
            <v>un</v>
          </cell>
          <cell r="D1448" t="str">
            <v>1.180,92</v>
          </cell>
          <cell r="E1448">
            <v>0</v>
          </cell>
        </row>
        <row r="1449">
          <cell r="A1449">
            <v>43047</v>
          </cell>
          <cell r="B1449" t="str">
            <v>Poço de visita para BSTC diâm. 0,60 m em blocos de concreto, em Vias Urbanas</v>
          </cell>
          <cell r="C1449" t="str">
            <v>un</v>
          </cell>
          <cell r="D1449" t="str">
            <v>1.569,11</v>
          </cell>
          <cell r="E1449">
            <v>0</v>
          </cell>
        </row>
        <row r="1450">
          <cell r="A1450">
            <v>43048</v>
          </cell>
          <cell r="B1450" t="str">
            <v>Poço de visita para BSTC diâm. 0,80 m em blocos de concreto, em Vias Urbanas</v>
          </cell>
          <cell r="C1450" t="str">
            <v>un</v>
          </cell>
          <cell r="D1450" t="str">
            <v>1.946,78</v>
          </cell>
          <cell r="E1450">
            <v>0</v>
          </cell>
        </row>
        <row r="1451">
          <cell r="A1451">
            <v>43050</v>
          </cell>
          <cell r="B1451" t="str">
            <v>Poço de visita (tubo D-&gt;0,40 m) H-&gt;1,50 m com tampão F.F.A.P., inclusive escavação e transporte do tampão, em Vias Urbanas</v>
          </cell>
          <cell r="C1451" t="str">
            <v>un</v>
          </cell>
          <cell r="D1451" t="str">
            <v>3.298,68</v>
          </cell>
          <cell r="E1451" t="str">
            <v>A incluir</v>
          </cell>
        </row>
        <row r="1452">
          <cell r="A1452">
            <v>43051</v>
          </cell>
          <cell r="B1452" t="str">
            <v>Poço de visita (tubo D-&gt;0,60 m) H-&gt;1,70 m com tampão F.F.A.P., inclusive escavação e transporte do tampão, em Vias Urbanas</v>
          </cell>
          <cell r="C1452" t="str">
            <v>un</v>
          </cell>
          <cell r="D1452" t="str">
            <v>3.668,12</v>
          </cell>
          <cell r="E1452" t="str">
            <v>A incluir</v>
          </cell>
        </row>
        <row r="1453">
          <cell r="A1453">
            <v>43052</v>
          </cell>
          <cell r="B1453" t="str">
            <v>Poço de visita (tubo D-&gt;0,80 m) H-&gt;1,90 m com tampão F.F.A.P., inclusive escavação e transporte do tampão, em Vias Urbanas</v>
          </cell>
          <cell r="C1453" t="str">
            <v>un</v>
          </cell>
          <cell r="D1453" t="str">
            <v>4.037,54</v>
          </cell>
          <cell r="E1453" t="str">
            <v>A incluir</v>
          </cell>
        </row>
        <row r="1454">
          <cell r="A1454">
            <v>43053</v>
          </cell>
          <cell r="B1454" t="str">
            <v>Poço de visita (tubo D-&gt;1,00 m) H-&gt;2,10 m com tampão F.F.A.P., inclusive escavação e transporte do tampão, em Vias Urbanas</v>
          </cell>
          <cell r="C1454" t="str">
            <v>un</v>
          </cell>
          <cell r="D1454" t="str">
            <v>4.406,94</v>
          </cell>
          <cell r="E1454" t="str">
            <v>A incluir</v>
          </cell>
        </row>
        <row r="1455">
          <cell r="A1455">
            <v>43054</v>
          </cell>
          <cell r="B1455" t="str">
            <v>Preparo manual de talude, compreendendo acerto, raspagem eventual de até 0,30 m de prof. e afastamento lateral, em Vias Urbanas</v>
          </cell>
          <cell r="C1455" t="str">
            <v>m²</v>
          </cell>
          <cell r="D1455" t="str">
            <v>8,84</v>
          </cell>
          <cell r="E1455">
            <v>0</v>
          </cell>
        </row>
        <row r="1456">
          <cell r="A1456">
            <v>43055</v>
          </cell>
          <cell r="B1456" t="str">
            <v>Preparo manual de terreno, compreendendo acerto raspagem até 25 cm de profundidade e afastamento lateral do material excedente, em Vias Urbanas</v>
          </cell>
          <cell r="C1456" t="str">
            <v>m²</v>
          </cell>
          <cell r="D1456" t="str">
            <v>7,09</v>
          </cell>
          <cell r="E1456">
            <v>0</v>
          </cell>
        </row>
        <row r="1457">
          <cell r="A1457">
            <v>43056</v>
          </cell>
          <cell r="B1457" t="str">
            <v>Reaterro com areia, tudo incluído, em Vias Urbanas</v>
          </cell>
          <cell r="C1457" t="str">
            <v>m³</v>
          </cell>
          <cell r="D1457" t="str">
            <v>66,39</v>
          </cell>
          <cell r="E1457" t="str">
            <v>A incluir</v>
          </cell>
        </row>
        <row r="1458">
          <cell r="A1458">
            <v>43058</v>
          </cell>
          <cell r="B1458" t="str">
            <v>Reaterro de cavas c/ compactação manual (apiloamento) (dim. reduz.), em Vias Urbanas</v>
          </cell>
          <cell r="C1458" t="str">
            <v>m³</v>
          </cell>
          <cell r="D1458" t="str">
            <v>80,26</v>
          </cell>
          <cell r="E1458">
            <v>0</v>
          </cell>
        </row>
        <row r="1459">
          <cell r="A1459">
            <v>43057</v>
          </cell>
          <cell r="B1459" t="str">
            <v>Reaterro de cavas c/ compactação manual (apiloamento) em Vias Urbanas</v>
          </cell>
          <cell r="C1459" t="str">
            <v>m³</v>
          </cell>
          <cell r="D1459" t="str">
            <v>55,37</v>
          </cell>
          <cell r="E1459">
            <v>0</v>
          </cell>
        </row>
        <row r="1460">
          <cell r="A1460">
            <v>43059</v>
          </cell>
          <cell r="B1460" t="str">
            <v>Reaterro de cavas c/ compactação mecânica (compactador manual), em Vias Urbanas</v>
          </cell>
          <cell r="C1460" t="str">
            <v>m³</v>
          </cell>
          <cell r="D1460" t="str">
            <v>35,51</v>
          </cell>
          <cell r="E1460">
            <v>0</v>
          </cell>
        </row>
        <row r="1461">
          <cell r="A1461">
            <v>43060</v>
          </cell>
          <cell r="B1461" t="str">
            <v>Recuperação de poço de visita inclusive fornecimento tampão F.F.A.P., em Vias Urbanas</v>
          </cell>
          <cell r="C1461" t="str">
            <v>un</v>
          </cell>
          <cell r="D1461" t="str">
            <v>530,25</v>
          </cell>
          <cell r="E1461" t="str">
            <v>A incluir</v>
          </cell>
        </row>
        <row r="1462">
          <cell r="A1462">
            <v>41183</v>
          </cell>
          <cell r="B1462" t="str">
            <v>Rede de dutos - Vias Urbanas</v>
          </cell>
          <cell r="C1462" t="str">
            <v>m</v>
          </cell>
          <cell r="D1462" t="str">
            <v>69,36</v>
          </cell>
          <cell r="E1462">
            <v>0</v>
          </cell>
        </row>
        <row r="1463">
          <cell r="A1463">
            <v>43061</v>
          </cell>
          <cell r="B1463" t="str">
            <v>Rede de dutos 65mm (duplo), envelopada com brita 3, em Vias Urbanas</v>
          </cell>
          <cell r="C1463" t="str">
            <v>m</v>
          </cell>
          <cell r="D1463" t="str">
            <v>76,27</v>
          </cell>
          <cell r="E1463">
            <v>0</v>
          </cell>
        </row>
        <row r="1464">
          <cell r="A1464">
            <v>43062</v>
          </cell>
          <cell r="B1464" t="str">
            <v>Rede em PVC Vinilfort ou similar DN -&gt; 200 mm, em Vias Urbanas</v>
          </cell>
          <cell r="C1464" t="str">
            <v>m</v>
          </cell>
          <cell r="D1464" t="str">
            <v>208,04</v>
          </cell>
          <cell r="E1464">
            <v>0</v>
          </cell>
        </row>
        <row r="1465">
          <cell r="A1465">
            <v>43064</v>
          </cell>
          <cell r="B1465" t="str">
            <v>Religação de rede de água em PVC DN 20 mm, inclusive conexões, em Vias Urbanas</v>
          </cell>
          <cell r="C1465" t="str">
            <v>m</v>
          </cell>
          <cell r="D1465" t="str">
            <v>16,29</v>
          </cell>
          <cell r="E1465">
            <v>0</v>
          </cell>
        </row>
        <row r="1466">
          <cell r="A1466">
            <v>43065</v>
          </cell>
          <cell r="B1466" t="str">
            <v>Religação de rede de água em PVC DN 25 mm, inclusive conexões, em Vias Urbanas</v>
          </cell>
          <cell r="C1466" t="str">
            <v>m</v>
          </cell>
          <cell r="D1466" t="str">
            <v>19,66</v>
          </cell>
          <cell r="E1466">
            <v>0</v>
          </cell>
        </row>
        <row r="1467">
          <cell r="A1467">
            <v>43066</v>
          </cell>
          <cell r="B1467" t="str">
            <v>Religação de rede de água em PVC DN 32 mm, inclusive conexões, em Vias Urbanas</v>
          </cell>
          <cell r="C1467" t="str">
            <v>m</v>
          </cell>
          <cell r="D1467" t="str">
            <v>25,08</v>
          </cell>
          <cell r="E1467">
            <v>0</v>
          </cell>
        </row>
        <row r="1468">
          <cell r="A1468">
            <v>43067</v>
          </cell>
          <cell r="B1468" t="str">
            <v>Religação de rede de água em PVC DN 75 mm, inclusive conexões, em Vias Urbanas</v>
          </cell>
          <cell r="C1468" t="str">
            <v>m</v>
          </cell>
          <cell r="D1468" t="str">
            <v>52,21</v>
          </cell>
          <cell r="E1468">
            <v>0</v>
          </cell>
        </row>
        <row r="1469">
          <cell r="A1469">
            <v>43063</v>
          </cell>
          <cell r="B1469" t="str">
            <v>Religação de rede de água em PVC PBA CL 15 DN 100 mm, inclusive conexões, em Vias Urbanas</v>
          </cell>
          <cell r="C1469" t="str">
            <v>m</v>
          </cell>
          <cell r="D1469" t="str">
            <v>79,89</v>
          </cell>
          <cell r="E1469">
            <v>0</v>
          </cell>
        </row>
        <row r="1470">
          <cell r="A1470">
            <v>43068</v>
          </cell>
          <cell r="B1470" t="str">
            <v>Remanejamento de ligação e religação de redes de esgoto, em Vias Urbanas</v>
          </cell>
          <cell r="C1470" t="str">
            <v>m</v>
          </cell>
          <cell r="D1470" t="str">
            <v>65,20</v>
          </cell>
          <cell r="E1470">
            <v>0</v>
          </cell>
        </row>
        <row r="1471">
          <cell r="A1471">
            <v>43069</v>
          </cell>
          <cell r="B1471" t="str">
            <v>Remoção de bueiros existentes, em Vias Urbanas</v>
          </cell>
          <cell r="C1471" t="str">
            <v>m</v>
          </cell>
          <cell r="D1471" t="str">
            <v>119,59</v>
          </cell>
          <cell r="E1471" t="str">
            <v>A incluir</v>
          </cell>
        </row>
        <row r="1472">
          <cell r="A1472">
            <v>43071</v>
          </cell>
          <cell r="B1472" t="str">
            <v>Rip-rap c/ argamassa cimento areia 1:6, inclusive aquisição e transporte dos materiais, em Vias Urbanas</v>
          </cell>
          <cell r="C1472" t="str">
            <v>m³</v>
          </cell>
          <cell r="D1472" t="str">
            <v>324,47</v>
          </cell>
          <cell r="E1472" t="str">
            <v>A incluir</v>
          </cell>
        </row>
        <row r="1473">
          <cell r="A1473">
            <v>43078</v>
          </cell>
          <cell r="B1473" t="str">
            <v>Sarjeta de concreto DP-1 (0,081 m³/m) calha triangular, inclusive caiação, em Vias Urbanas</v>
          </cell>
          <cell r="C1473" t="str">
            <v>m</v>
          </cell>
          <cell r="D1473" t="str">
            <v>79,74</v>
          </cell>
          <cell r="E1473">
            <v>0</v>
          </cell>
        </row>
        <row r="1474">
          <cell r="A1474">
            <v>43079</v>
          </cell>
          <cell r="B1474" t="str">
            <v>Sarjeta de concreto DP-2 (0,085 m³/m) calha triangular, inclusive caiação, em Vias Urbanas</v>
          </cell>
          <cell r="C1474" t="str">
            <v>m</v>
          </cell>
          <cell r="D1474" t="str">
            <v>83,18</v>
          </cell>
          <cell r="E1474">
            <v>0</v>
          </cell>
        </row>
        <row r="1475">
          <cell r="A1475">
            <v>43080</v>
          </cell>
          <cell r="B1475" t="str">
            <v>Sarjeta de concreto SCA 40/10 - em Vias Urbanas</v>
          </cell>
          <cell r="C1475" t="str">
            <v>m</v>
          </cell>
          <cell r="D1475" t="str">
            <v>69,77</v>
          </cell>
          <cell r="E1475" t="str">
            <v>A incluir</v>
          </cell>
        </row>
        <row r="1476">
          <cell r="A1476">
            <v>43081</v>
          </cell>
          <cell r="B1476" t="str">
            <v>Sarjeta de concreto (SCA 70/15) calha triangular, inclusive caiação, em Vias Urbanas</v>
          </cell>
          <cell r="C1476" t="str">
            <v>m</v>
          </cell>
          <cell r="D1476" t="str">
            <v>92,93</v>
          </cell>
          <cell r="E1476">
            <v>0</v>
          </cell>
        </row>
        <row r="1477">
          <cell r="A1477">
            <v>43085</v>
          </cell>
          <cell r="B1477" t="str">
            <v>Sarjeta de concreto (SCA 90/10) calha triangular, inclusive caiação, em Vias Urbanas</v>
          </cell>
          <cell r="C1477" t="str">
            <v>m</v>
          </cell>
          <cell r="D1477" t="str">
            <v>164,88</v>
          </cell>
          <cell r="E1477">
            <v>0</v>
          </cell>
        </row>
        <row r="1478">
          <cell r="A1478">
            <v>43083</v>
          </cell>
          <cell r="B1478" t="str">
            <v>Sarjeta de concreto (STC - 02) calha triangular em corte/aterro, inclusive caiação, em Vias Urbanas</v>
          </cell>
          <cell r="C1478" t="str">
            <v>m</v>
          </cell>
          <cell r="D1478" t="str">
            <v>77,76</v>
          </cell>
          <cell r="E1478">
            <v>0</v>
          </cell>
        </row>
        <row r="1479">
          <cell r="A1479">
            <v>43084</v>
          </cell>
          <cell r="B1479" t="str">
            <v>Sarjeta de concreto (STC - 04) calha triangular de bancada em corte, inclusive caiação, em Vias Urbanas</v>
          </cell>
          <cell r="C1479" t="str">
            <v>m</v>
          </cell>
          <cell r="D1479" t="str">
            <v>58,16</v>
          </cell>
          <cell r="E1479">
            <v>0</v>
          </cell>
        </row>
        <row r="1480">
          <cell r="A1480">
            <v>43086</v>
          </cell>
          <cell r="B1480" t="str">
            <v>Tampa de concreto em grelha, fornecimento, assentamento e transporte, em Vias Urbanas</v>
          </cell>
          <cell r="C1480" t="str">
            <v>un</v>
          </cell>
          <cell r="D1480" t="str">
            <v>180,00</v>
          </cell>
          <cell r="E1480" t="str">
            <v>A incluir</v>
          </cell>
        </row>
        <row r="1481">
          <cell r="A1481">
            <v>43087</v>
          </cell>
          <cell r="B1481" t="str">
            <v>Tampão F.F.A.P. com 100 kg, fornecimento, assentamento e transporte em Vias Urbanas</v>
          </cell>
          <cell r="C1481" t="str">
            <v>un</v>
          </cell>
          <cell r="D1481" t="str">
            <v>292,87</v>
          </cell>
          <cell r="E1481" t="str">
            <v>A incluir</v>
          </cell>
        </row>
        <row r="1482">
          <cell r="A1482">
            <v>43089</v>
          </cell>
          <cell r="B1482" t="str">
            <v>Tapume de vedação e proteção, executado com chapas de compensado resinado com 6 mm de espessura, exclusive pintura, em Vias Urbanas</v>
          </cell>
          <cell r="C1482" t="str">
            <v>m²</v>
          </cell>
          <cell r="D1482" t="str">
            <v>36,15</v>
          </cell>
          <cell r="E1482">
            <v>0</v>
          </cell>
        </row>
        <row r="1483">
          <cell r="A1483">
            <v>43090</v>
          </cell>
          <cell r="B1483" t="str">
            <v>Tela de aço soldada Telcon Q-138 ou similar, fornecimento e assentamento em Vias Urbanas</v>
          </cell>
          <cell r="C1483" t="str">
            <v>m²</v>
          </cell>
          <cell r="D1483" t="str">
            <v>28,00</v>
          </cell>
          <cell r="E1483">
            <v>0</v>
          </cell>
        </row>
        <row r="1484">
          <cell r="A1484">
            <v>43088</v>
          </cell>
          <cell r="B1484" t="str">
            <v>Tapume com tela em PVC, na cor laranja para proteção de segurança em Vias Urbanas</v>
          </cell>
          <cell r="C1484" t="str">
            <v>m</v>
          </cell>
          <cell r="D1484" t="str">
            <v>22,80</v>
          </cell>
          <cell r="E1484" t="str">
            <v>A incluir</v>
          </cell>
        </row>
        <row r="1485">
          <cell r="A1485">
            <v>43091</v>
          </cell>
          <cell r="B1485" t="str">
            <v>Terminal de dreno de alívio de pavimento (DP - TDA - 01) em Vias Urbanas</v>
          </cell>
          <cell r="C1485" t="str">
            <v>un</v>
          </cell>
          <cell r="D1485" t="str">
            <v>324,02</v>
          </cell>
          <cell r="E1485" t="str">
            <v>A incluir</v>
          </cell>
        </row>
        <row r="1486">
          <cell r="A1486">
            <v>43092</v>
          </cell>
          <cell r="B1486" t="str">
            <v>Transporte de materiais encosta abaixo, serviço manual, inclusive carga e descarga em Vias Urbanas</v>
          </cell>
          <cell r="C1486" t="str">
            <v>t dam</v>
          </cell>
          <cell r="D1486" t="str">
            <v>20,13</v>
          </cell>
          <cell r="E1486">
            <v>0</v>
          </cell>
        </row>
        <row r="1487">
          <cell r="A1487">
            <v>43093</v>
          </cell>
          <cell r="B1487" t="str">
            <v>Transporte de materiais encosta acima, serviço manual, inclusive carga e descarga em Vias Urbanas</v>
          </cell>
          <cell r="C1487" t="str">
            <v>t dam</v>
          </cell>
          <cell r="D1487" t="str">
            <v>27,24</v>
          </cell>
          <cell r="E1487">
            <v>0</v>
          </cell>
        </row>
        <row r="1488">
          <cell r="A1488">
            <v>43094</v>
          </cell>
          <cell r="B1488" t="str">
            <v>Transposição de segmento de sarjeta - TSS 01, inclusive transporte do tubo de concreto em Vias Urbanas</v>
          </cell>
          <cell r="C1488" t="str">
            <v>m</v>
          </cell>
          <cell r="D1488" t="str">
            <v>274,81</v>
          </cell>
          <cell r="E1488" t="str">
            <v>A incluir</v>
          </cell>
        </row>
        <row r="1489">
          <cell r="A1489">
            <v>43095</v>
          </cell>
          <cell r="B1489" t="str">
            <v>Trincheira drenante cega (0,50 x 1,70) m, com utilização de geotêxtil não tecido Rt-16 kn/m, inclusive transporte da brita em Vias Urbanas</v>
          </cell>
          <cell r="C1489" t="str">
            <v>m</v>
          </cell>
          <cell r="D1489" t="str">
            <v>369,58</v>
          </cell>
          <cell r="E1489" t="str">
            <v>A incluir</v>
          </cell>
        </row>
        <row r="1490">
          <cell r="A1490">
            <v>43096</v>
          </cell>
          <cell r="B1490" t="str">
            <v>Trincheira drenante em madeira em Vias Urbanas</v>
          </cell>
          <cell r="C1490" t="str">
            <v>m</v>
          </cell>
          <cell r="D1490" t="str">
            <v>479,61</v>
          </cell>
          <cell r="E1490">
            <v>0</v>
          </cell>
        </row>
        <row r="1491">
          <cell r="A1491">
            <v>43098</v>
          </cell>
          <cell r="B1491" t="str">
            <v>Tubo de PVC NBR 5648 diâmetro 50 mm, fornecimento e assentamento em Vias Urbanas</v>
          </cell>
          <cell r="C1491" t="str">
            <v>m</v>
          </cell>
          <cell r="D1491" t="str">
            <v>15,97</v>
          </cell>
          <cell r="E1491">
            <v>0</v>
          </cell>
        </row>
        <row r="1492">
          <cell r="A1492">
            <v>43097</v>
          </cell>
          <cell r="B1492" t="str">
            <v>Tubo de PVC NBR 5648 diâmetro 75 mm, fornecimento e assentamento em Vias Urbanas</v>
          </cell>
          <cell r="C1492" t="str">
            <v>m</v>
          </cell>
          <cell r="D1492" t="str">
            <v>23,07</v>
          </cell>
          <cell r="E1492">
            <v>0</v>
          </cell>
        </row>
        <row r="1493">
          <cell r="A1493">
            <v>43099</v>
          </cell>
          <cell r="B1493" t="str">
            <v>Tubo de PVC PBA diâmetro 300 mm, fornecimento e assentamento em Vias Urbanas</v>
          </cell>
          <cell r="C1493" t="str">
            <v>m</v>
          </cell>
          <cell r="D1493" t="str">
            <v>178,53</v>
          </cell>
          <cell r="E1493">
            <v>0</v>
          </cell>
        </row>
        <row r="1494">
          <cell r="A1494">
            <v>43100</v>
          </cell>
          <cell r="B1494" t="str">
            <v>Tubo de PVC rígido série R diâmetro 100 mm, fornecimento e assentamento em Vias Urbanas</v>
          </cell>
          <cell r="C1494" t="str">
            <v>m</v>
          </cell>
          <cell r="D1494" t="str">
            <v>21,33</v>
          </cell>
          <cell r="E1494">
            <v>0</v>
          </cell>
        </row>
        <row r="1495">
          <cell r="A1495">
            <v>43101</v>
          </cell>
          <cell r="B1495" t="str">
            <v>Tubo irrifort agropecuário diâmetro 32 mm, fornecimento e assentamento em Vias Urbanas</v>
          </cell>
          <cell r="C1495" t="str">
            <v>m</v>
          </cell>
          <cell r="D1495" t="str">
            <v>6,36</v>
          </cell>
          <cell r="E1495">
            <v>0</v>
          </cell>
        </row>
        <row r="1496">
          <cell r="A1496">
            <v>43102</v>
          </cell>
          <cell r="B1496" t="str">
            <v>Tubo para irrigação linha fixa PN40 50 mm, fornecimento e assentamento em Vias Urbanas</v>
          </cell>
          <cell r="C1496" t="str">
            <v>m</v>
          </cell>
          <cell r="D1496" t="str">
            <v>7,97</v>
          </cell>
          <cell r="E1496">
            <v>0</v>
          </cell>
        </row>
        <row r="1497">
          <cell r="A1497">
            <v>43103</v>
          </cell>
          <cell r="B1497" t="str">
            <v>Tubo PVC PBA diâmetro 150 mm, fornecimento e assentamento em Vias Urbanas</v>
          </cell>
          <cell r="C1497" t="str">
            <v>m</v>
          </cell>
          <cell r="D1497" t="str">
            <v>33,34</v>
          </cell>
          <cell r="E1497">
            <v>0</v>
          </cell>
        </row>
        <row r="1498">
          <cell r="A1498">
            <v>42614</v>
          </cell>
          <cell r="B1498" t="str">
            <v>Tubos de ferro fundido diâmetro 0,90 m, assentamento em Vias Urbanas</v>
          </cell>
          <cell r="C1498" t="str">
            <v>m</v>
          </cell>
          <cell r="D1498" t="str">
            <v>217,23</v>
          </cell>
          <cell r="E1498" t="str">
            <v>A incluir</v>
          </cell>
        </row>
        <row r="1499">
          <cell r="A1499">
            <v>43104</v>
          </cell>
          <cell r="B1499" t="str">
            <v>Tubos para irrigação Linha fixa PN40, diâmetro 75 mm, fornecimento e assentamento em Vias Urbanas</v>
          </cell>
          <cell r="C1499" t="str">
            <v>m</v>
          </cell>
          <cell r="D1499" t="str">
            <v>11,31</v>
          </cell>
          <cell r="E1499">
            <v>0</v>
          </cell>
        </row>
        <row r="1500">
          <cell r="A1500">
            <v>43105</v>
          </cell>
          <cell r="B1500" t="str">
            <v>Valeta de pedra argamassada VPAR em Vias Urbanas</v>
          </cell>
          <cell r="C1500" t="str">
            <v>m³</v>
          </cell>
          <cell r="D1500" t="str">
            <v>304,64</v>
          </cell>
          <cell r="E1500" t="str">
            <v>A incluir</v>
          </cell>
        </row>
        <row r="1501">
          <cell r="A1501">
            <v>43106</v>
          </cell>
          <cell r="B1501" t="str">
            <v>Valeta de pedra jogada VPJ, inclusive transporte da pedra em Vias Urbanas</v>
          </cell>
          <cell r="C1501" t="str">
            <v>m³</v>
          </cell>
          <cell r="D1501" t="str">
            <v>144,34</v>
          </cell>
          <cell r="E1501" t="str">
            <v>A incluir</v>
          </cell>
        </row>
        <row r="1502">
          <cell r="A1502">
            <v>43111</v>
          </cell>
          <cell r="B1502" t="str">
            <v>Valeta de proteção de corte - desobstrução e limpeza em Vias Urbanas</v>
          </cell>
          <cell r="C1502" t="str">
            <v>m</v>
          </cell>
          <cell r="D1502" t="str">
            <v>3,04</v>
          </cell>
          <cell r="E1502">
            <v>0</v>
          </cell>
        </row>
        <row r="1503">
          <cell r="A1503">
            <v>0</v>
          </cell>
          <cell r="B1503">
            <v>0</v>
          </cell>
          <cell r="C1503">
            <v>0</v>
          </cell>
          <cell r="D1503">
            <v>0</v>
          </cell>
          <cell r="E1503" t="e">
            <v>#N/A</v>
          </cell>
        </row>
        <row r="1504">
          <cell r="A1504" t="str">
            <v>Grupo de Serviço: 139 - INSTALAÇÃO DE CANTEIRO, MOBILIZAÇÃO E DESMOBILIZAÇÃO</v>
          </cell>
          <cell r="B1504">
            <v>0</v>
          </cell>
          <cell r="C1504">
            <v>0</v>
          </cell>
          <cell r="E1504" t="e">
            <v>#N/A</v>
          </cell>
        </row>
        <row r="1505">
          <cell r="A1505">
            <v>41578</v>
          </cell>
          <cell r="B1505" t="str">
            <v>Aluguel de container p/ escritório c/ ar condicionado e banheiro, isolam.térmico e acústico, 2 luminárias, janela de vidro, tomada p/ comput. e telef.</v>
          </cell>
          <cell r="C1505" t="str">
            <v>mês</v>
          </cell>
          <cell r="D1505" t="str">
            <v>1.065,13</v>
          </cell>
          <cell r="E1505">
            <v>0</v>
          </cell>
        </row>
        <row r="1506">
          <cell r="A1506">
            <v>42511</v>
          </cell>
          <cell r="B1506" t="str">
            <v>Aluguel de container p/ escritório com ar condicionado, isolamento term/acust., 2 luminárias, janela de vidro, tomadas computador e telefone</v>
          </cell>
          <cell r="C1506" t="str">
            <v>mês</v>
          </cell>
          <cell r="D1506" t="str">
            <v>893,57</v>
          </cell>
          <cell r="E1506">
            <v>0</v>
          </cell>
        </row>
        <row r="1507">
          <cell r="A1507">
            <v>41579</v>
          </cell>
          <cell r="B1507" t="str">
            <v>Aluguel de container para almoxarifado</v>
          </cell>
          <cell r="C1507" t="str">
            <v>mês</v>
          </cell>
          <cell r="D1507" t="str">
            <v>582,46</v>
          </cell>
          <cell r="E1507">
            <v>0</v>
          </cell>
        </row>
        <row r="1508">
          <cell r="A1508">
            <v>41494</v>
          </cell>
          <cell r="B1508" t="str">
            <v>Aluguel de container tipo cozinha com isolamento térmico e acústico, 2 luminárias, piso especial e janela</v>
          </cell>
          <cell r="C1508" t="str">
            <v>mês</v>
          </cell>
          <cell r="D1508" t="str">
            <v>799,38</v>
          </cell>
          <cell r="E1508">
            <v>0</v>
          </cell>
        </row>
        <row r="1509">
          <cell r="A1509">
            <v>41678</v>
          </cell>
          <cell r="B1509" t="str">
            <v>Aluguel de container tipo refeitório simples, c/ 1 aparelho de ar condicionado, 2 luminárias e 2 janelas de vidro</v>
          </cell>
          <cell r="C1509" t="str">
            <v>mês</v>
          </cell>
          <cell r="D1509" t="str">
            <v>963,57</v>
          </cell>
          <cell r="E1509">
            <v>0</v>
          </cell>
        </row>
        <row r="1510">
          <cell r="A1510">
            <v>41455</v>
          </cell>
          <cell r="B1510" t="str">
            <v>Aluguel de container tipo refeitório (2 unidades acopladas), c/ 2 aparelhos de ar condicionado, 4 lumináriase 4 janelas de vidro</v>
          </cell>
          <cell r="C1510" t="str">
            <v>mês</v>
          </cell>
          <cell r="D1510" t="str">
            <v>1.989,82</v>
          </cell>
          <cell r="E1510">
            <v>0</v>
          </cell>
        </row>
        <row r="1511">
          <cell r="A1511">
            <v>41456</v>
          </cell>
          <cell r="B1511" t="str">
            <v>Aluguel de container tipo refeitório (3 unidades acopladas), c/ 3 aparelhos de ar condiocionado, 6 luminárias e 6 janelas de vidro</v>
          </cell>
          <cell r="C1511" t="str">
            <v>mês</v>
          </cell>
          <cell r="D1511" t="str">
            <v>4.601,86</v>
          </cell>
          <cell r="E1511">
            <v>0</v>
          </cell>
        </row>
        <row r="1512">
          <cell r="A1512">
            <v>41580</v>
          </cell>
          <cell r="B1512" t="str">
            <v>Aluguel de container tipo sanitário com 3 vasos sanitários, lavatório, mictório, 5 chuveiros, 2 venezianas e piso especial</v>
          </cell>
          <cell r="C1512" t="str">
            <v>mês</v>
          </cell>
          <cell r="D1512" t="str">
            <v>768,27</v>
          </cell>
          <cell r="E1512">
            <v>0</v>
          </cell>
        </row>
        <row r="1513">
          <cell r="A1513">
            <v>41454</v>
          </cell>
          <cell r="B1513" t="str">
            <v>Aluguel de container tipo vestiário, 2 luminárias, piso especial e janela</v>
          </cell>
          <cell r="C1513" t="str">
            <v>mês</v>
          </cell>
          <cell r="D1513" t="str">
            <v>574,68</v>
          </cell>
          <cell r="E1513">
            <v>0</v>
          </cell>
        </row>
        <row r="1514">
          <cell r="A1514">
            <v>41498</v>
          </cell>
          <cell r="B1514" t="str">
            <v>Barracão com sanitário, em chapa compensada 12 mm e pont. 8x8cm, piso cimentado e cobertura em telha de fibroc. 6mm, incl. ponto de luz e cx. inspeção</v>
          </cell>
          <cell r="C1514" t="str">
            <v>m²</v>
          </cell>
          <cell r="D1514" t="str">
            <v>664,74</v>
          </cell>
          <cell r="E1514">
            <v>0</v>
          </cell>
        </row>
        <row r="1515">
          <cell r="A1515">
            <v>41531</v>
          </cell>
          <cell r="B1515" t="str">
            <v>Barracão em chapa compensada 12mm e pont. 8x8cm, piso cimentado e cobertura de telhas fibrocimento 6mm, incl. ponto de luz</v>
          </cell>
          <cell r="C1515" t="str">
            <v>m²</v>
          </cell>
          <cell r="D1515" t="str">
            <v>516,34</v>
          </cell>
          <cell r="E1515">
            <v>0</v>
          </cell>
        </row>
        <row r="1516">
          <cell r="A1516">
            <v>41557</v>
          </cell>
          <cell r="B1516" t="str">
            <v>Canaleta de concreto retangular com grelha em barra de aço</v>
          </cell>
          <cell r="C1516" t="str">
            <v>m</v>
          </cell>
          <cell r="D1516" t="str">
            <v>153,81</v>
          </cell>
          <cell r="E1516">
            <v>0</v>
          </cell>
        </row>
        <row r="1517">
          <cell r="A1517">
            <v>41506</v>
          </cell>
          <cell r="B1517" t="str">
            <v>Cobertura nova de telhas onduladas de fibrocimento 6,0mm, inclusive cumeeiras e acessórios de fixação</v>
          </cell>
          <cell r="C1517" t="str">
            <v>m²</v>
          </cell>
          <cell r="D1517" t="str">
            <v>43,63</v>
          </cell>
          <cell r="E1517">
            <v>0</v>
          </cell>
        </row>
        <row r="1518">
          <cell r="A1518">
            <v>41505</v>
          </cell>
          <cell r="B1518" t="str">
            <v>Estrutura de madeira lei para telhado de telha ondulada de fibroc. esp. 6mm, c/ pontaletes e caibros, incl. com cupinicida, excl. telhas</v>
          </cell>
          <cell r="C1518" t="str">
            <v>m²</v>
          </cell>
          <cell r="D1518" t="str">
            <v>72,82</v>
          </cell>
          <cell r="E1518">
            <v>0</v>
          </cell>
        </row>
        <row r="1519">
          <cell r="A1519">
            <v>41528</v>
          </cell>
          <cell r="B1519" t="str">
            <v>Galpão em peças de madeira 8x8cm e contravent. de 5x7cm, cobertura de telhas de fibroc. de 6mm, incl. ponto e cabo de alimentação da máquina</v>
          </cell>
          <cell r="C1519" t="str">
            <v>m²</v>
          </cell>
          <cell r="D1519" t="str">
            <v>237,20</v>
          </cell>
          <cell r="E1519">
            <v>0</v>
          </cell>
        </row>
        <row r="1520">
          <cell r="A1520">
            <v>41546</v>
          </cell>
          <cell r="B1520" t="str">
            <v>Mobilização e desmobilização de caminhão basculante (máximo)</v>
          </cell>
          <cell r="C1520" t="str">
            <v>h</v>
          </cell>
          <cell r="D1520" t="str">
            <v>190,78</v>
          </cell>
          <cell r="E1520">
            <v>0</v>
          </cell>
        </row>
        <row r="1521">
          <cell r="A1521">
            <v>41545</v>
          </cell>
          <cell r="B1521" t="str">
            <v>Mobilização e desmobilização de caminhão carroceria (máximo)</v>
          </cell>
          <cell r="C1521" t="str">
            <v>h</v>
          </cell>
          <cell r="D1521" t="str">
            <v>160,40</v>
          </cell>
          <cell r="E1521">
            <v>0</v>
          </cell>
        </row>
        <row r="1522">
          <cell r="A1522">
            <v>41547</v>
          </cell>
          <cell r="B1522" t="str">
            <v>Mobilização e desmobilização de caminhão tanque (6.000 L) (máximo)</v>
          </cell>
          <cell r="C1522" t="str">
            <v>h</v>
          </cell>
          <cell r="D1522" t="str">
            <v>159,21</v>
          </cell>
          <cell r="E1522">
            <v>0</v>
          </cell>
        </row>
        <row r="1523">
          <cell r="A1523">
            <v>41497</v>
          </cell>
          <cell r="B1523" t="str">
            <v>Mobilização e desmobilização de container acima de 150 km</v>
          </cell>
          <cell r="C1523" t="str">
            <v>un</v>
          </cell>
          <cell r="D1523" t="str">
            <v>2.155,83</v>
          </cell>
          <cell r="E1523">
            <v>0</v>
          </cell>
        </row>
        <row r="1524">
          <cell r="A1524">
            <v>41495</v>
          </cell>
          <cell r="B1524" t="str">
            <v>Mobilização e desmobilização de container até 50 km</v>
          </cell>
          <cell r="C1524" t="str">
            <v>un</v>
          </cell>
          <cell r="D1524" t="str">
            <v>1.101,84</v>
          </cell>
          <cell r="E1524">
            <v>0</v>
          </cell>
        </row>
        <row r="1525">
          <cell r="A1525">
            <v>41496</v>
          </cell>
          <cell r="B1525" t="str">
            <v>Mobilização e desmobilização de container de 51 km até 150 km</v>
          </cell>
          <cell r="C1525" t="str">
            <v>un</v>
          </cell>
          <cell r="D1525" t="str">
            <v>1.245,58</v>
          </cell>
          <cell r="E1525">
            <v>0</v>
          </cell>
        </row>
        <row r="1526">
          <cell r="A1526">
            <v>41544</v>
          </cell>
          <cell r="B1526" t="str">
            <v>Mobilização e desmobilização de equipamentos com carreta prancha (máximo)</v>
          </cell>
          <cell r="C1526" t="str">
            <v>h</v>
          </cell>
          <cell r="D1526" t="str">
            <v>304,25</v>
          </cell>
          <cell r="E1526">
            <v>0</v>
          </cell>
        </row>
        <row r="1527">
          <cell r="A1527">
            <v>41500</v>
          </cell>
          <cell r="B1527" t="str">
            <v>Placa de obra nas dimensões de 3,0 x 6,0 m, padrão DER-ES</v>
          </cell>
          <cell r="C1527" t="str">
            <v>m²</v>
          </cell>
          <cell r="D1527" t="str">
            <v>278,47</v>
          </cell>
          <cell r="E1527">
            <v>0</v>
          </cell>
        </row>
        <row r="1528">
          <cell r="A1528">
            <v>41501</v>
          </cell>
          <cell r="B1528" t="str">
            <v>Rede de água c/ padrão de entrada d'água diâm. 3/4" conf. CESAN, incl. tubos e conexões p/ aliment., distrib., extravas. e limp., cons. o padrão a 25m</v>
          </cell>
          <cell r="C1528" t="str">
            <v>m</v>
          </cell>
          <cell r="D1528" t="str">
            <v>30,52</v>
          </cell>
          <cell r="E1528">
            <v>0</v>
          </cell>
        </row>
        <row r="1529">
          <cell r="A1529">
            <v>41499</v>
          </cell>
          <cell r="B1529" t="str">
            <v>Rede de esgoto, contendo fossa e filtro, incl. tubos e conexões de ligação entre caixas, considerando distância de 25m</v>
          </cell>
          <cell r="C1529" t="str">
            <v>m</v>
          </cell>
          <cell r="D1529" t="str">
            <v>280,28</v>
          </cell>
          <cell r="E1529">
            <v>0</v>
          </cell>
        </row>
        <row r="1530">
          <cell r="A1530">
            <v>41503</v>
          </cell>
          <cell r="B1530" t="str">
            <v>Rede de luz, incl. padrão entr. energia trifás. cabo ligação até barracões, quadro distrib., disj. e chave de força, cons. 20m entre padrão entr.e QDG</v>
          </cell>
          <cell r="C1530" t="str">
            <v>m</v>
          </cell>
          <cell r="D1530" t="str">
            <v>364,40</v>
          </cell>
          <cell r="E1530">
            <v>0</v>
          </cell>
        </row>
        <row r="1531">
          <cell r="A1531">
            <v>41530</v>
          </cell>
          <cell r="B1531" t="str">
            <v>Refeitório c/ paredes chapa de comp. 12mm e pont. 8x8cm, piso ciment. e cob. telhas fibroc. 6mm, incl. ponto de luz e cx. de insp. (1,21m²/func/turno)</v>
          </cell>
          <cell r="C1531" t="str">
            <v>m²</v>
          </cell>
          <cell r="D1531" t="str">
            <v>445,73</v>
          </cell>
          <cell r="E1531">
            <v>0</v>
          </cell>
        </row>
        <row r="1532">
          <cell r="A1532">
            <v>41527</v>
          </cell>
          <cell r="B1532" t="str">
            <v>Reservatório de fibra de vidro de 1000 L, incl. suporte em madeira de 7x12cm, elevado de 4m</v>
          </cell>
          <cell r="C1532" t="str">
            <v>un</v>
          </cell>
          <cell r="D1532" t="str">
            <v>1.459,20</v>
          </cell>
          <cell r="E1532">
            <v>0</v>
          </cell>
        </row>
        <row r="1533">
          <cell r="A1533">
            <v>41529</v>
          </cell>
          <cell r="B1533" t="str">
            <v>Sanitário e vestiário de 40/60 func., c/ 33,90m², paredes chapa compens. 12mm e pont. 8x8cm, piso ciment., cobert. telha fibroc., incl. luz e cx. insp</v>
          </cell>
          <cell r="C1533" t="str">
            <v>un</v>
          </cell>
          <cell r="D1533" t="str">
            <v>23.077,34</v>
          </cell>
          <cell r="E1533">
            <v>0</v>
          </cell>
        </row>
        <row r="1534">
          <cell r="A1534">
            <v>41555</v>
          </cell>
          <cell r="B1534" t="str">
            <v>Sistema separador de água e óleo</v>
          </cell>
          <cell r="C1534" t="str">
            <v>un</v>
          </cell>
          <cell r="D1534" t="str">
            <v>5.174,95</v>
          </cell>
          <cell r="E1534">
            <v>0</v>
          </cell>
        </row>
        <row r="1535">
          <cell r="A1535">
            <v>41502</v>
          </cell>
          <cell r="B1535" t="str">
            <v>Tapume de chapa de compensado resinado esp. 6mm, 2,20 x 1,10m dispondo de abertura e portão. com 2,20m de altura, incl. pintura</v>
          </cell>
          <cell r="C1535" t="str">
            <v>m</v>
          </cell>
          <cell r="D1535" t="str">
            <v>221,83</v>
          </cell>
          <cell r="E1535">
            <v>0</v>
          </cell>
        </row>
        <row r="1537">
          <cell r="A1537">
            <v>0</v>
          </cell>
          <cell r="B1537">
            <v>0</v>
          </cell>
          <cell r="C1537">
            <v>0</v>
          </cell>
          <cell r="D1537">
            <v>0</v>
          </cell>
          <cell r="E1537">
            <v>0</v>
          </cell>
        </row>
        <row r="1538">
          <cell r="A1538">
            <v>0</v>
          </cell>
          <cell r="B1538">
            <v>0</v>
          </cell>
          <cell r="C1538">
            <v>0</v>
          </cell>
          <cell r="D1538">
            <v>0</v>
          </cell>
          <cell r="E1538">
            <v>0</v>
          </cell>
        </row>
        <row r="1539">
          <cell r="A1539">
            <v>0</v>
          </cell>
          <cell r="B1539">
            <v>16</v>
          </cell>
          <cell r="C1539">
            <v>0</v>
          </cell>
          <cell r="D1539">
            <v>0</v>
          </cell>
          <cell r="E1539">
            <v>0</v>
          </cell>
        </row>
        <row r="1540">
          <cell r="A1540">
            <v>0</v>
          </cell>
          <cell r="B1540">
            <v>3.53125</v>
          </cell>
          <cell r="C1540">
            <v>0</v>
          </cell>
          <cell r="D1540">
            <v>0</v>
          </cell>
          <cell r="E1540">
            <v>0</v>
          </cell>
        </row>
        <row r="1541">
          <cell r="A1541">
            <v>0</v>
          </cell>
          <cell r="B1541">
            <v>0</v>
          </cell>
          <cell r="C1541">
            <v>0</v>
          </cell>
          <cell r="D1541">
            <v>0</v>
          </cell>
          <cell r="E1541">
            <v>0</v>
          </cell>
        </row>
        <row r="1542">
          <cell r="A1542">
            <v>0</v>
          </cell>
          <cell r="B1542">
            <v>0</v>
          </cell>
          <cell r="C1542">
            <v>0</v>
          </cell>
          <cell r="D1542">
            <v>0</v>
          </cell>
          <cell r="E1542">
            <v>0</v>
          </cell>
        </row>
        <row r="1543">
          <cell r="A1543">
            <v>0</v>
          </cell>
          <cell r="B1543">
            <v>0</v>
          </cell>
          <cell r="C1543">
            <v>0</v>
          </cell>
          <cell r="D1543">
            <v>0</v>
          </cell>
          <cell r="E1543">
            <v>0</v>
          </cell>
        </row>
        <row r="1549">
          <cell r="A1549">
            <v>0</v>
          </cell>
          <cell r="B1549">
            <v>0</v>
          </cell>
          <cell r="C1549">
            <v>0</v>
          </cell>
          <cell r="D1549">
            <v>0</v>
          </cell>
          <cell r="E1549">
            <v>0</v>
          </cell>
        </row>
        <row r="1550">
          <cell r="A1550">
            <v>0</v>
          </cell>
          <cell r="B1550">
            <v>0</v>
          </cell>
          <cell r="C1550">
            <v>0</v>
          </cell>
          <cell r="D1550">
            <v>0</v>
          </cell>
          <cell r="E1550">
            <v>0</v>
          </cell>
        </row>
        <row r="1551">
          <cell r="A1551">
            <v>0</v>
          </cell>
          <cell r="B1551">
            <v>0</v>
          </cell>
          <cell r="C1551">
            <v>0</v>
          </cell>
          <cell r="D1551">
            <v>0</v>
          </cell>
          <cell r="E1551">
            <v>0</v>
          </cell>
        </row>
        <row r="1552">
          <cell r="A1552">
            <v>0</v>
          </cell>
          <cell r="B1552">
            <v>0</v>
          </cell>
          <cell r="C1552">
            <v>0</v>
          </cell>
          <cell r="D1552">
            <v>0</v>
          </cell>
          <cell r="E1552">
            <v>0</v>
          </cell>
        </row>
        <row r="1553">
          <cell r="A1553">
            <v>0</v>
          </cell>
          <cell r="B1553">
            <v>0</v>
          </cell>
          <cell r="C1553">
            <v>0</v>
          </cell>
          <cell r="D1553">
            <v>0</v>
          </cell>
          <cell r="E1553">
            <v>0</v>
          </cell>
        </row>
        <row r="1554">
          <cell r="A1554">
            <v>0</v>
          </cell>
          <cell r="B1554">
            <v>0</v>
          </cell>
          <cell r="C1554">
            <v>0</v>
          </cell>
          <cell r="D1554">
            <v>0</v>
          </cell>
          <cell r="E1554">
            <v>0</v>
          </cell>
        </row>
        <row r="1555">
          <cell r="A1555">
            <v>0</v>
          </cell>
          <cell r="B1555">
            <v>0</v>
          </cell>
          <cell r="C1555">
            <v>0</v>
          </cell>
          <cell r="D1555">
            <v>0</v>
          </cell>
          <cell r="E1555">
            <v>0</v>
          </cell>
        </row>
        <row r="1556">
          <cell r="A1556">
            <v>0</v>
          </cell>
          <cell r="B1556">
            <v>0</v>
          </cell>
          <cell r="C1556">
            <v>0</v>
          </cell>
          <cell r="D1556">
            <v>0</v>
          </cell>
          <cell r="E1556">
            <v>0</v>
          </cell>
        </row>
        <row r="1557">
          <cell r="A1557">
            <v>0</v>
          </cell>
          <cell r="B1557">
            <v>0</v>
          </cell>
          <cell r="C1557">
            <v>0</v>
          </cell>
          <cell r="D1557">
            <v>0</v>
          </cell>
          <cell r="E1557">
            <v>0</v>
          </cell>
        </row>
        <row r="1558">
          <cell r="A1558">
            <v>0</v>
          </cell>
          <cell r="B1558">
            <v>0</v>
          </cell>
          <cell r="C1558">
            <v>0</v>
          </cell>
          <cell r="D1558">
            <v>0</v>
          </cell>
          <cell r="E1558">
            <v>0</v>
          </cell>
        </row>
        <row r="1559">
          <cell r="A1559">
            <v>0</v>
          </cell>
          <cell r="B1559">
            <v>0</v>
          </cell>
          <cell r="C1559">
            <v>0</v>
          </cell>
          <cell r="D1559">
            <v>0</v>
          </cell>
          <cell r="E1559">
            <v>0</v>
          </cell>
        </row>
        <row r="1560">
          <cell r="A1560">
            <v>0</v>
          </cell>
          <cell r="B1560">
            <v>0</v>
          </cell>
          <cell r="C1560">
            <v>0</v>
          </cell>
          <cell r="D1560">
            <v>0</v>
          </cell>
          <cell r="E1560">
            <v>0</v>
          </cell>
        </row>
        <row r="1561">
          <cell r="A1561">
            <v>0</v>
          </cell>
          <cell r="B1561">
            <v>0</v>
          </cell>
          <cell r="C1561">
            <v>0</v>
          </cell>
          <cell r="D1561">
            <v>0</v>
          </cell>
          <cell r="E1561">
            <v>0</v>
          </cell>
        </row>
        <row r="1562">
          <cell r="A1562">
            <v>0</v>
          </cell>
          <cell r="B1562">
            <v>0</v>
          </cell>
          <cell r="C1562">
            <v>0</v>
          </cell>
          <cell r="D1562">
            <v>0</v>
          </cell>
          <cell r="E1562">
            <v>0</v>
          </cell>
        </row>
        <row r="1563">
          <cell r="A1563">
            <v>0</v>
          </cell>
          <cell r="B1563">
            <v>0</v>
          </cell>
          <cell r="C1563">
            <v>0</v>
          </cell>
          <cell r="D1563">
            <v>0</v>
          </cell>
          <cell r="E1563">
            <v>0</v>
          </cell>
        </row>
        <row r="1565">
          <cell r="A1565">
            <v>0</v>
          </cell>
          <cell r="B1565">
            <v>0</v>
          </cell>
          <cell r="C1565">
            <v>0</v>
          </cell>
          <cell r="D1565">
            <v>0</v>
          </cell>
          <cell r="E1565">
            <v>0</v>
          </cell>
        </row>
        <row r="1566">
          <cell r="A1566">
            <v>0</v>
          </cell>
          <cell r="B1566">
            <v>0</v>
          </cell>
          <cell r="C1566">
            <v>0</v>
          </cell>
          <cell r="D1566">
            <v>0</v>
          </cell>
          <cell r="E1566">
            <v>0</v>
          </cell>
        </row>
        <row r="1567">
          <cell r="A1567">
            <v>0</v>
          </cell>
          <cell r="B1567">
            <v>0</v>
          </cell>
          <cell r="C1567">
            <v>0</v>
          </cell>
          <cell r="D1567">
            <v>0</v>
          </cell>
          <cell r="E1567">
            <v>0</v>
          </cell>
        </row>
        <row r="1568">
          <cell r="A1568">
            <v>0</v>
          </cell>
          <cell r="B1568">
            <v>0</v>
          </cell>
          <cell r="C1568">
            <v>0</v>
          </cell>
          <cell r="D1568">
            <v>0</v>
          </cell>
          <cell r="E1568">
            <v>0</v>
          </cell>
        </row>
        <row r="1569">
          <cell r="A1569">
            <v>0</v>
          </cell>
          <cell r="B1569">
            <v>0</v>
          </cell>
          <cell r="C1569">
            <v>0</v>
          </cell>
          <cell r="D1569">
            <v>0</v>
          </cell>
          <cell r="E1569">
            <v>0</v>
          </cell>
        </row>
        <row r="1570">
          <cell r="A1570">
            <v>0</v>
          </cell>
          <cell r="B1570">
            <v>0</v>
          </cell>
          <cell r="C1570">
            <v>0</v>
          </cell>
          <cell r="D1570">
            <v>0</v>
          </cell>
          <cell r="E1570">
            <v>0</v>
          </cell>
        </row>
        <row r="1571">
          <cell r="A1571">
            <v>0</v>
          </cell>
          <cell r="B1571">
            <v>0</v>
          </cell>
          <cell r="C1571">
            <v>0</v>
          </cell>
          <cell r="D1571">
            <v>0</v>
          </cell>
          <cell r="E1571">
            <v>0</v>
          </cell>
        </row>
        <row r="1572">
          <cell r="A1572">
            <v>0</v>
          </cell>
          <cell r="B1572">
            <v>0</v>
          </cell>
          <cell r="C1572">
            <v>0</v>
          </cell>
          <cell r="D1572">
            <v>0</v>
          </cell>
          <cell r="E1572">
            <v>0</v>
          </cell>
        </row>
        <row r="1573">
          <cell r="A1573">
            <v>0</v>
          </cell>
          <cell r="B1573">
            <v>0</v>
          </cell>
          <cell r="C1573">
            <v>0</v>
          </cell>
          <cell r="D1573">
            <v>0</v>
          </cell>
          <cell r="E1573">
            <v>0</v>
          </cell>
        </row>
        <row r="1574">
          <cell r="A1574">
            <v>0</v>
          </cell>
          <cell r="B1574">
            <v>0</v>
          </cell>
          <cell r="C1574">
            <v>0</v>
          </cell>
          <cell r="D1574">
            <v>0</v>
          </cell>
          <cell r="E1574">
            <v>0</v>
          </cell>
        </row>
        <row r="1575">
          <cell r="A1575">
            <v>0</v>
          </cell>
          <cell r="B1575">
            <v>0</v>
          </cell>
          <cell r="C1575">
            <v>0</v>
          </cell>
          <cell r="D1575">
            <v>0</v>
          </cell>
          <cell r="E1575">
            <v>0</v>
          </cell>
        </row>
        <row r="1576">
          <cell r="A1576">
            <v>0</v>
          </cell>
          <cell r="B1576">
            <v>0</v>
          </cell>
          <cell r="C1576">
            <v>0</v>
          </cell>
          <cell r="D1576">
            <v>0</v>
          </cell>
          <cell r="E1576">
            <v>0</v>
          </cell>
        </row>
        <row r="1577">
          <cell r="A1577">
            <v>0</v>
          </cell>
          <cell r="B1577">
            <v>0</v>
          </cell>
          <cell r="C1577">
            <v>0</v>
          </cell>
          <cell r="D1577">
            <v>0</v>
          </cell>
          <cell r="E1577">
            <v>0</v>
          </cell>
        </row>
        <row r="1578">
          <cell r="A1578">
            <v>0</v>
          </cell>
          <cell r="B1578">
            <v>0</v>
          </cell>
          <cell r="C1578">
            <v>0</v>
          </cell>
          <cell r="D1578">
            <v>0</v>
          </cell>
          <cell r="E1578">
            <v>0</v>
          </cell>
        </row>
        <row r="1579">
          <cell r="A1579">
            <v>0</v>
          </cell>
          <cell r="B1579">
            <v>0</v>
          </cell>
          <cell r="C1579">
            <v>0</v>
          </cell>
          <cell r="D1579">
            <v>0</v>
          </cell>
          <cell r="E1579">
            <v>0</v>
          </cell>
        </row>
        <row r="1580">
          <cell r="A1580">
            <v>0</v>
          </cell>
          <cell r="B1580">
            <v>0</v>
          </cell>
          <cell r="C1580">
            <v>0</v>
          </cell>
          <cell r="D1580">
            <v>0</v>
          </cell>
          <cell r="E1580">
            <v>0</v>
          </cell>
        </row>
        <row r="1581">
          <cell r="A1581">
            <v>0</v>
          </cell>
          <cell r="B1581">
            <v>0</v>
          </cell>
          <cell r="C1581">
            <v>0</v>
          </cell>
          <cell r="D1581">
            <v>0</v>
          </cell>
          <cell r="E1581">
            <v>0</v>
          </cell>
        </row>
        <row r="1582">
          <cell r="A1582">
            <v>0</v>
          </cell>
          <cell r="B1582">
            <v>0</v>
          </cell>
          <cell r="C1582">
            <v>0</v>
          </cell>
          <cell r="D1582">
            <v>0</v>
          </cell>
          <cell r="E1582">
            <v>0</v>
          </cell>
        </row>
        <row r="1583">
          <cell r="A1583">
            <v>0</v>
          </cell>
          <cell r="B1583">
            <v>0</v>
          </cell>
          <cell r="C1583">
            <v>0</v>
          </cell>
          <cell r="D1583">
            <v>0</v>
          </cell>
          <cell r="E1583">
            <v>0</v>
          </cell>
        </row>
        <row r="1584">
          <cell r="A1584">
            <v>0</v>
          </cell>
          <cell r="B1584">
            <v>0</v>
          </cell>
          <cell r="C1584">
            <v>0</v>
          </cell>
          <cell r="D1584">
            <v>0</v>
          </cell>
          <cell r="E1584">
            <v>0</v>
          </cell>
        </row>
        <row r="1585">
          <cell r="A1585">
            <v>0</v>
          </cell>
          <cell r="B1585">
            <v>0</v>
          </cell>
          <cell r="C1585">
            <v>0</v>
          </cell>
          <cell r="D1585">
            <v>0</v>
          </cell>
          <cell r="E1585">
            <v>0</v>
          </cell>
        </row>
        <row r="1586">
          <cell r="A1586">
            <v>0</v>
          </cell>
          <cell r="B1586">
            <v>0</v>
          </cell>
          <cell r="C1586">
            <v>0</v>
          </cell>
          <cell r="D1586">
            <v>0</v>
          </cell>
          <cell r="E1586">
            <v>0</v>
          </cell>
        </row>
        <row r="1587">
          <cell r="A1587">
            <v>0</v>
          </cell>
          <cell r="B1587">
            <v>0</v>
          </cell>
          <cell r="C1587">
            <v>0</v>
          </cell>
          <cell r="D1587">
            <v>0</v>
          </cell>
          <cell r="E1587">
            <v>0</v>
          </cell>
        </row>
        <row r="1588">
          <cell r="A1588">
            <v>0</v>
          </cell>
          <cell r="B1588">
            <v>0</v>
          </cell>
          <cell r="C1588">
            <v>0</v>
          </cell>
          <cell r="D1588">
            <v>0</v>
          </cell>
          <cell r="E1588">
            <v>0</v>
          </cell>
        </row>
        <row r="1589">
          <cell r="A1589">
            <v>0</v>
          </cell>
          <cell r="B1589">
            <v>0</v>
          </cell>
          <cell r="C1589">
            <v>0</v>
          </cell>
          <cell r="D1589">
            <v>0</v>
          </cell>
          <cell r="E1589">
            <v>0</v>
          </cell>
        </row>
        <row r="1590">
          <cell r="A1590">
            <v>0</v>
          </cell>
          <cell r="B1590">
            <v>0</v>
          </cell>
          <cell r="C1590">
            <v>0</v>
          </cell>
          <cell r="D1590">
            <v>0</v>
          </cell>
          <cell r="E1590">
            <v>0</v>
          </cell>
        </row>
        <row r="1591">
          <cell r="A1591">
            <v>0</v>
          </cell>
          <cell r="B1591">
            <v>0</v>
          </cell>
          <cell r="C1591">
            <v>0</v>
          </cell>
          <cell r="D1591">
            <v>0</v>
          </cell>
          <cell r="E1591">
            <v>0</v>
          </cell>
        </row>
        <row r="1592">
          <cell r="A1592">
            <v>0</v>
          </cell>
          <cell r="B1592">
            <v>0</v>
          </cell>
          <cell r="C1592">
            <v>0</v>
          </cell>
          <cell r="D1592">
            <v>0</v>
          </cell>
          <cell r="E1592">
            <v>0</v>
          </cell>
        </row>
        <row r="1593">
          <cell r="A1593">
            <v>0</v>
          </cell>
          <cell r="B1593">
            <v>0</v>
          </cell>
          <cell r="C1593">
            <v>0</v>
          </cell>
          <cell r="D1593">
            <v>0</v>
          </cell>
          <cell r="E1593">
            <v>0</v>
          </cell>
        </row>
        <row r="1594">
          <cell r="A1594">
            <v>0</v>
          </cell>
          <cell r="B1594">
            <v>0</v>
          </cell>
          <cell r="C1594">
            <v>0</v>
          </cell>
          <cell r="D1594">
            <v>0</v>
          </cell>
          <cell r="E1594">
            <v>0</v>
          </cell>
        </row>
        <row r="1595">
          <cell r="A1595">
            <v>0</v>
          </cell>
          <cell r="B1595">
            <v>0</v>
          </cell>
          <cell r="C1595">
            <v>0</v>
          </cell>
          <cell r="D1595">
            <v>0</v>
          </cell>
          <cell r="E1595">
            <v>0</v>
          </cell>
        </row>
        <row r="1596">
          <cell r="A1596">
            <v>0</v>
          </cell>
          <cell r="B1596">
            <v>0</v>
          </cell>
          <cell r="C1596">
            <v>0</v>
          </cell>
          <cell r="D1596">
            <v>0</v>
          </cell>
          <cell r="E1596">
            <v>0</v>
          </cell>
        </row>
        <row r="1597">
          <cell r="A1597">
            <v>0</v>
          </cell>
          <cell r="B1597">
            <v>0</v>
          </cell>
          <cell r="C1597">
            <v>0</v>
          </cell>
          <cell r="D1597">
            <v>0</v>
          </cell>
          <cell r="E1597">
            <v>0</v>
          </cell>
        </row>
        <row r="1598">
          <cell r="A1598">
            <v>0</v>
          </cell>
          <cell r="B1598">
            <v>0</v>
          </cell>
          <cell r="C1598">
            <v>0</v>
          </cell>
          <cell r="D1598">
            <v>0</v>
          </cell>
          <cell r="E1598">
            <v>0</v>
          </cell>
        </row>
        <row r="1599">
          <cell r="A1599">
            <v>0</v>
          </cell>
          <cell r="B1599">
            <v>0</v>
          </cell>
          <cell r="C1599">
            <v>0</v>
          </cell>
          <cell r="D1599">
            <v>0</v>
          </cell>
          <cell r="E1599">
            <v>0</v>
          </cell>
        </row>
        <row r="1600">
          <cell r="A1600">
            <v>0</v>
          </cell>
          <cell r="B1600">
            <v>0</v>
          </cell>
          <cell r="C1600">
            <v>0</v>
          </cell>
          <cell r="D1600">
            <v>0</v>
          </cell>
          <cell r="E1600">
            <v>0</v>
          </cell>
        </row>
        <row r="1601">
          <cell r="A1601">
            <v>0</v>
          </cell>
          <cell r="B1601">
            <v>0</v>
          </cell>
          <cell r="C1601">
            <v>0</v>
          </cell>
          <cell r="D1601">
            <v>0</v>
          </cell>
          <cell r="E1601">
            <v>0</v>
          </cell>
        </row>
        <row r="1602">
          <cell r="A1602">
            <v>0</v>
          </cell>
          <cell r="B1602">
            <v>0</v>
          </cell>
          <cell r="C1602">
            <v>0</v>
          </cell>
          <cell r="D1602">
            <v>0</v>
          </cell>
          <cell r="E1602">
            <v>0</v>
          </cell>
        </row>
        <row r="1603">
          <cell r="A1603">
            <v>0</v>
          </cell>
          <cell r="B1603">
            <v>0</v>
          </cell>
          <cell r="C1603">
            <v>0</v>
          </cell>
          <cell r="D1603">
            <v>0</v>
          </cell>
          <cell r="E1603">
            <v>0</v>
          </cell>
        </row>
        <row r="1604">
          <cell r="A1604">
            <v>0</v>
          </cell>
          <cell r="B1604">
            <v>0</v>
          </cell>
          <cell r="C1604">
            <v>0</v>
          </cell>
          <cell r="D1604">
            <v>0</v>
          </cell>
          <cell r="E1604">
            <v>0</v>
          </cell>
        </row>
        <row r="1605">
          <cell r="A1605">
            <v>0</v>
          </cell>
          <cell r="B1605">
            <v>0</v>
          </cell>
          <cell r="C1605">
            <v>0</v>
          </cell>
          <cell r="D1605">
            <v>0</v>
          </cell>
          <cell r="E1605">
            <v>0</v>
          </cell>
        </row>
        <row r="1606">
          <cell r="A1606">
            <v>0</v>
          </cell>
          <cell r="B1606">
            <v>0</v>
          </cell>
          <cell r="C1606">
            <v>0</v>
          </cell>
          <cell r="D1606">
            <v>0</v>
          </cell>
          <cell r="E1606">
            <v>0</v>
          </cell>
        </row>
        <row r="1607">
          <cell r="A1607">
            <v>0</v>
          </cell>
          <cell r="B1607">
            <v>0</v>
          </cell>
          <cell r="C1607">
            <v>0</v>
          </cell>
          <cell r="D1607">
            <v>0</v>
          </cell>
          <cell r="E1607">
            <v>0</v>
          </cell>
        </row>
        <row r="1608">
          <cell r="A1608">
            <v>0</v>
          </cell>
          <cell r="B1608">
            <v>0</v>
          </cell>
          <cell r="C1608">
            <v>0</v>
          </cell>
          <cell r="D1608">
            <v>0</v>
          </cell>
          <cell r="E1608">
            <v>0</v>
          </cell>
        </row>
        <row r="1609">
          <cell r="A1609">
            <v>0</v>
          </cell>
          <cell r="B1609">
            <v>0</v>
          </cell>
          <cell r="C1609">
            <v>0</v>
          </cell>
          <cell r="D1609">
            <v>0</v>
          </cell>
          <cell r="E1609">
            <v>0</v>
          </cell>
        </row>
        <row r="1610">
          <cell r="A1610">
            <v>0</v>
          </cell>
          <cell r="B1610">
            <v>0</v>
          </cell>
          <cell r="C1610">
            <v>0</v>
          </cell>
          <cell r="D1610">
            <v>0</v>
          </cell>
          <cell r="E1610">
            <v>0</v>
          </cell>
        </row>
        <row r="1611">
          <cell r="A1611">
            <v>0</v>
          </cell>
          <cell r="B1611">
            <v>0</v>
          </cell>
          <cell r="C1611">
            <v>0</v>
          </cell>
          <cell r="D1611">
            <v>0</v>
          </cell>
          <cell r="E1611">
            <v>0</v>
          </cell>
        </row>
        <row r="1612">
          <cell r="A1612">
            <v>0</v>
          </cell>
          <cell r="B1612">
            <v>0</v>
          </cell>
          <cell r="C1612">
            <v>0</v>
          </cell>
          <cell r="D1612">
            <v>0</v>
          </cell>
          <cell r="E1612">
            <v>0</v>
          </cell>
        </row>
        <row r="1613">
          <cell r="A1613">
            <v>0</v>
          </cell>
          <cell r="B1613">
            <v>0</v>
          </cell>
          <cell r="C1613">
            <v>0</v>
          </cell>
          <cell r="D1613">
            <v>0</v>
          </cell>
          <cell r="E1613">
            <v>0</v>
          </cell>
        </row>
        <row r="1614">
          <cell r="A1614">
            <v>0</v>
          </cell>
          <cell r="B1614">
            <v>0</v>
          </cell>
          <cell r="C1614">
            <v>0</v>
          </cell>
          <cell r="D1614">
            <v>0</v>
          </cell>
          <cell r="E1614">
            <v>0</v>
          </cell>
        </row>
        <row r="1615">
          <cell r="A1615">
            <v>0</v>
          </cell>
          <cell r="B1615">
            <v>0</v>
          </cell>
          <cell r="C1615">
            <v>0</v>
          </cell>
          <cell r="D1615">
            <v>0</v>
          </cell>
          <cell r="E1615">
            <v>0</v>
          </cell>
        </row>
        <row r="1616">
          <cell r="A1616">
            <v>0</v>
          </cell>
          <cell r="B1616">
            <v>0</v>
          </cell>
          <cell r="C1616">
            <v>0</v>
          </cell>
          <cell r="D1616">
            <v>0</v>
          </cell>
          <cell r="E1616">
            <v>0</v>
          </cell>
        </row>
        <row r="1617">
          <cell r="A1617">
            <v>0</v>
          </cell>
          <cell r="B1617">
            <v>0</v>
          </cell>
          <cell r="C1617">
            <v>0</v>
          </cell>
          <cell r="D1617">
            <v>0</v>
          </cell>
          <cell r="E1617">
            <v>0</v>
          </cell>
        </row>
        <row r="1618">
          <cell r="A1618">
            <v>0</v>
          </cell>
          <cell r="B1618">
            <v>0</v>
          </cell>
          <cell r="C1618">
            <v>0</v>
          </cell>
          <cell r="D1618">
            <v>0</v>
          </cell>
          <cell r="E1618">
            <v>0</v>
          </cell>
        </row>
        <row r="1619">
          <cell r="A1619">
            <v>0</v>
          </cell>
          <cell r="B1619">
            <v>0</v>
          </cell>
          <cell r="C1619">
            <v>0</v>
          </cell>
          <cell r="D1619">
            <v>0</v>
          </cell>
          <cell r="E1619">
            <v>0</v>
          </cell>
        </row>
        <row r="1620">
          <cell r="A1620">
            <v>0</v>
          </cell>
          <cell r="B1620">
            <v>0</v>
          </cell>
          <cell r="C1620">
            <v>0</v>
          </cell>
          <cell r="D1620">
            <v>0</v>
          </cell>
          <cell r="E1620">
            <v>0</v>
          </cell>
        </row>
        <row r="1621">
          <cell r="A1621">
            <v>0</v>
          </cell>
          <cell r="B1621">
            <v>0</v>
          </cell>
          <cell r="C1621">
            <v>0</v>
          </cell>
          <cell r="D1621">
            <v>0</v>
          </cell>
          <cell r="E1621">
            <v>0</v>
          </cell>
        </row>
        <row r="1622">
          <cell r="A1622">
            <v>0</v>
          </cell>
          <cell r="B1622">
            <v>0</v>
          </cell>
          <cell r="C1622">
            <v>0</v>
          </cell>
          <cell r="D1622">
            <v>0</v>
          </cell>
          <cell r="E1622">
            <v>0</v>
          </cell>
        </row>
        <row r="1623">
          <cell r="A1623">
            <v>0</v>
          </cell>
          <cell r="B1623">
            <v>0</v>
          </cell>
          <cell r="C1623">
            <v>0</v>
          </cell>
          <cell r="D1623">
            <v>0</v>
          </cell>
          <cell r="E1623">
            <v>0</v>
          </cell>
        </row>
        <row r="1624">
          <cell r="A1624">
            <v>0</v>
          </cell>
          <cell r="B1624">
            <v>0</v>
          </cell>
          <cell r="C1624">
            <v>0</v>
          </cell>
          <cell r="D1624">
            <v>0</v>
          </cell>
          <cell r="E1624">
            <v>0</v>
          </cell>
        </row>
        <row r="1625">
          <cell r="A1625">
            <v>0</v>
          </cell>
          <cell r="B1625">
            <v>0</v>
          </cell>
          <cell r="C1625">
            <v>0</v>
          </cell>
          <cell r="D1625">
            <v>0</v>
          </cell>
          <cell r="E1625">
            <v>0</v>
          </cell>
        </row>
        <row r="1626">
          <cell r="A1626">
            <v>0</v>
          </cell>
          <cell r="B1626">
            <v>0</v>
          </cell>
          <cell r="C1626">
            <v>0</v>
          </cell>
          <cell r="D1626">
            <v>0</v>
          </cell>
          <cell r="E1626">
            <v>0</v>
          </cell>
        </row>
        <row r="1627">
          <cell r="A1627">
            <v>0</v>
          </cell>
          <cell r="B1627">
            <v>0</v>
          </cell>
          <cell r="C1627">
            <v>0</v>
          </cell>
          <cell r="D1627">
            <v>0</v>
          </cell>
          <cell r="E1627">
            <v>0</v>
          </cell>
        </row>
        <row r="1628">
          <cell r="A1628">
            <v>0</v>
          </cell>
          <cell r="B1628">
            <v>0</v>
          </cell>
          <cell r="C1628">
            <v>0</v>
          </cell>
          <cell r="D1628">
            <v>0</v>
          </cell>
          <cell r="E1628">
            <v>0</v>
          </cell>
        </row>
        <row r="1629">
          <cell r="A1629">
            <v>0</v>
          </cell>
          <cell r="B1629">
            <v>0</v>
          </cell>
          <cell r="C1629">
            <v>0</v>
          </cell>
          <cell r="D1629">
            <v>0</v>
          </cell>
          <cell r="E1629">
            <v>0</v>
          </cell>
        </row>
        <row r="1630">
          <cell r="A1630">
            <v>0</v>
          </cell>
          <cell r="B1630">
            <v>0</v>
          </cell>
          <cell r="C1630">
            <v>0</v>
          </cell>
          <cell r="D1630">
            <v>0</v>
          </cell>
          <cell r="E1630">
            <v>0</v>
          </cell>
        </row>
        <row r="1631">
          <cell r="A1631">
            <v>0</v>
          </cell>
          <cell r="B1631">
            <v>0</v>
          </cell>
          <cell r="C1631">
            <v>0</v>
          </cell>
          <cell r="D1631">
            <v>0</v>
          </cell>
          <cell r="E1631">
            <v>0</v>
          </cell>
        </row>
        <row r="1632">
          <cell r="A1632">
            <v>0</v>
          </cell>
          <cell r="B1632">
            <v>0</v>
          </cell>
          <cell r="C1632">
            <v>0</v>
          </cell>
          <cell r="D1632">
            <v>0</v>
          </cell>
          <cell r="E1632">
            <v>0</v>
          </cell>
        </row>
        <row r="1633">
          <cell r="A1633">
            <v>0</v>
          </cell>
          <cell r="B1633">
            <v>0</v>
          </cell>
          <cell r="C1633">
            <v>0</v>
          </cell>
          <cell r="D1633">
            <v>0</v>
          </cell>
          <cell r="E1633">
            <v>0</v>
          </cell>
        </row>
        <row r="1634">
          <cell r="A1634">
            <v>0</v>
          </cell>
          <cell r="B1634">
            <v>0</v>
          </cell>
          <cell r="C1634">
            <v>0</v>
          </cell>
          <cell r="D1634">
            <v>0</v>
          </cell>
          <cell r="E1634">
            <v>0</v>
          </cell>
        </row>
        <row r="1635">
          <cell r="A1635">
            <v>0</v>
          </cell>
          <cell r="B1635">
            <v>0</v>
          </cell>
          <cell r="C1635">
            <v>0</v>
          </cell>
          <cell r="D1635">
            <v>0</v>
          </cell>
          <cell r="E1635">
            <v>0</v>
          </cell>
        </row>
        <row r="1636">
          <cell r="A1636">
            <v>0</v>
          </cell>
          <cell r="B1636">
            <v>0</v>
          </cell>
          <cell r="C1636">
            <v>0</v>
          </cell>
          <cell r="D1636">
            <v>0</v>
          </cell>
          <cell r="E1636">
            <v>0</v>
          </cell>
        </row>
        <row r="1637">
          <cell r="A1637">
            <v>0</v>
          </cell>
          <cell r="B1637">
            <v>0</v>
          </cell>
          <cell r="C1637">
            <v>0</v>
          </cell>
          <cell r="D1637">
            <v>0</v>
          </cell>
          <cell r="E1637">
            <v>0</v>
          </cell>
        </row>
        <row r="1638">
          <cell r="A1638">
            <v>0</v>
          </cell>
          <cell r="B1638">
            <v>0</v>
          </cell>
          <cell r="C1638">
            <v>0</v>
          </cell>
          <cell r="D1638">
            <v>0</v>
          </cell>
          <cell r="E1638">
            <v>0</v>
          </cell>
        </row>
        <row r="1639">
          <cell r="A1639">
            <v>0</v>
          </cell>
          <cell r="B1639">
            <v>0</v>
          </cell>
          <cell r="C1639">
            <v>0</v>
          </cell>
          <cell r="D1639">
            <v>0</v>
          </cell>
          <cell r="E1639">
            <v>0</v>
          </cell>
        </row>
        <row r="1640">
          <cell r="A1640">
            <v>0</v>
          </cell>
          <cell r="B1640">
            <v>0</v>
          </cell>
          <cell r="C1640">
            <v>0</v>
          </cell>
          <cell r="D1640">
            <v>0</v>
          </cell>
          <cell r="E1640">
            <v>0</v>
          </cell>
        </row>
        <row r="1641">
          <cell r="A1641">
            <v>0</v>
          </cell>
          <cell r="B1641">
            <v>0</v>
          </cell>
          <cell r="C1641">
            <v>0</v>
          </cell>
          <cell r="D1641">
            <v>0</v>
          </cell>
          <cell r="E1641">
            <v>0</v>
          </cell>
        </row>
        <row r="1642">
          <cell r="A1642">
            <v>0</v>
          </cell>
          <cell r="B1642">
            <v>0</v>
          </cell>
          <cell r="C1642">
            <v>0</v>
          </cell>
          <cell r="D1642">
            <v>0</v>
          </cell>
          <cell r="E1642">
            <v>0</v>
          </cell>
        </row>
        <row r="1643">
          <cell r="A1643">
            <v>0</v>
          </cell>
          <cell r="B1643">
            <v>0</v>
          </cell>
          <cell r="C1643">
            <v>0</v>
          </cell>
          <cell r="D1643">
            <v>0</v>
          </cell>
          <cell r="E1643">
            <v>0</v>
          </cell>
        </row>
        <row r="1644">
          <cell r="A1644">
            <v>0</v>
          </cell>
          <cell r="B1644">
            <v>0</v>
          </cell>
          <cell r="C1644">
            <v>0</v>
          </cell>
          <cell r="D1644">
            <v>0</v>
          </cell>
          <cell r="E1644">
            <v>0</v>
          </cell>
        </row>
        <row r="1645">
          <cell r="A1645">
            <v>0</v>
          </cell>
          <cell r="B1645">
            <v>0</v>
          </cell>
          <cell r="C1645">
            <v>0</v>
          </cell>
          <cell r="D1645">
            <v>0</v>
          </cell>
          <cell r="E1645">
            <v>0</v>
          </cell>
        </row>
        <row r="1647">
          <cell r="A1647">
            <v>0</v>
          </cell>
          <cell r="B1647">
            <v>0</v>
          </cell>
          <cell r="C1647">
            <v>0</v>
          </cell>
          <cell r="D1647">
            <v>0</v>
          </cell>
          <cell r="E1647">
            <v>0</v>
          </cell>
        </row>
        <row r="1648">
          <cell r="A1648">
            <v>0</v>
          </cell>
          <cell r="B1648">
            <v>0</v>
          </cell>
          <cell r="C1648">
            <v>0</v>
          </cell>
          <cell r="D1648">
            <v>0</v>
          </cell>
          <cell r="E1648">
            <v>0</v>
          </cell>
        </row>
        <row r="1649">
          <cell r="A1649">
            <v>0</v>
          </cell>
          <cell r="B1649">
            <v>0</v>
          </cell>
          <cell r="C1649">
            <v>0</v>
          </cell>
          <cell r="D1649">
            <v>0</v>
          </cell>
          <cell r="E1649">
            <v>0</v>
          </cell>
        </row>
        <row r="1650">
          <cell r="A1650">
            <v>0</v>
          </cell>
          <cell r="B1650">
            <v>0</v>
          </cell>
          <cell r="C1650">
            <v>0</v>
          </cell>
          <cell r="D1650">
            <v>0</v>
          </cell>
          <cell r="E1650">
            <v>0</v>
          </cell>
        </row>
        <row r="1651">
          <cell r="A1651">
            <v>0</v>
          </cell>
          <cell r="B1651">
            <v>0</v>
          </cell>
          <cell r="C1651">
            <v>0</v>
          </cell>
          <cell r="D1651">
            <v>0</v>
          </cell>
          <cell r="E1651">
            <v>0</v>
          </cell>
        </row>
        <row r="1652">
          <cell r="A1652">
            <v>0</v>
          </cell>
          <cell r="B1652">
            <v>0</v>
          </cell>
          <cell r="C1652">
            <v>0</v>
          </cell>
          <cell r="D1652">
            <v>0</v>
          </cell>
          <cell r="E1652">
            <v>0</v>
          </cell>
        </row>
        <row r="1653">
          <cell r="A1653">
            <v>0</v>
          </cell>
          <cell r="B1653">
            <v>0</v>
          </cell>
          <cell r="C1653">
            <v>0</v>
          </cell>
          <cell r="D1653">
            <v>0</v>
          </cell>
          <cell r="E1653">
            <v>0</v>
          </cell>
        </row>
        <row r="1654">
          <cell r="A1654">
            <v>0</v>
          </cell>
          <cell r="B1654">
            <v>0</v>
          </cell>
          <cell r="C1654">
            <v>0</v>
          </cell>
          <cell r="D1654">
            <v>0</v>
          </cell>
          <cell r="E1654">
            <v>0</v>
          </cell>
        </row>
        <row r="1655">
          <cell r="A1655">
            <v>0</v>
          </cell>
          <cell r="B1655">
            <v>0</v>
          </cell>
          <cell r="C1655">
            <v>0</v>
          </cell>
          <cell r="D1655">
            <v>0</v>
          </cell>
          <cell r="E1655">
            <v>0</v>
          </cell>
        </row>
        <row r="1656">
          <cell r="A1656">
            <v>0</v>
          </cell>
          <cell r="B1656">
            <v>0</v>
          </cell>
          <cell r="C1656">
            <v>0</v>
          </cell>
          <cell r="D1656">
            <v>0</v>
          </cell>
          <cell r="E1656">
            <v>0</v>
          </cell>
        </row>
        <row r="1657">
          <cell r="A1657">
            <v>0</v>
          </cell>
          <cell r="B1657">
            <v>0</v>
          </cell>
          <cell r="C1657">
            <v>0</v>
          </cell>
          <cell r="D1657">
            <v>0</v>
          </cell>
          <cell r="E1657">
            <v>0</v>
          </cell>
        </row>
        <row r="1658">
          <cell r="A1658">
            <v>0</v>
          </cell>
          <cell r="B1658">
            <v>0</v>
          </cell>
          <cell r="C1658">
            <v>0</v>
          </cell>
          <cell r="D1658">
            <v>0</v>
          </cell>
          <cell r="E1658">
            <v>0</v>
          </cell>
        </row>
        <row r="1659">
          <cell r="A1659">
            <v>0</v>
          </cell>
          <cell r="B1659">
            <v>0</v>
          </cell>
          <cell r="C1659">
            <v>0</v>
          </cell>
          <cell r="D1659">
            <v>0</v>
          </cell>
          <cell r="E1659">
            <v>0</v>
          </cell>
        </row>
        <row r="1660">
          <cell r="A1660">
            <v>0</v>
          </cell>
          <cell r="B1660">
            <v>0</v>
          </cell>
          <cell r="C1660">
            <v>0</v>
          </cell>
          <cell r="D1660">
            <v>0</v>
          </cell>
          <cell r="E1660">
            <v>0</v>
          </cell>
        </row>
        <row r="1661">
          <cell r="A1661">
            <v>0</v>
          </cell>
          <cell r="B1661">
            <v>0</v>
          </cell>
          <cell r="C1661">
            <v>0</v>
          </cell>
          <cell r="D1661">
            <v>0</v>
          </cell>
          <cell r="E1661">
            <v>0</v>
          </cell>
        </row>
        <row r="1663">
          <cell r="A1663">
            <v>0</v>
          </cell>
          <cell r="B1663">
            <v>0</v>
          </cell>
          <cell r="C1663">
            <v>0</v>
          </cell>
          <cell r="D1663">
            <v>0</v>
          </cell>
          <cell r="E1663">
            <v>0</v>
          </cell>
        </row>
        <row r="1664">
          <cell r="A1664">
            <v>0</v>
          </cell>
          <cell r="B1664">
            <v>0</v>
          </cell>
          <cell r="C1664">
            <v>0</v>
          </cell>
          <cell r="D1664">
            <v>0</v>
          </cell>
          <cell r="E1664">
            <v>0</v>
          </cell>
        </row>
        <row r="1665">
          <cell r="A1665">
            <v>0</v>
          </cell>
          <cell r="B1665">
            <v>0</v>
          </cell>
          <cell r="C1665">
            <v>0</v>
          </cell>
          <cell r="D1665">
            <v>0</v>
          </cell>
          <cell r="E1665">
            <v>0</v>
          </cell>
        </row>
        <row r="1666">
          <cell r="A1666">
            <v>0</v>
          </cell>
          <cell r="B1666">
            <v>0</v>
          </cell>
          <cell r="C1666">
            <v>0</v>
          </cell>
          <cell r="D1666">
            <v>0</v>
          </cell>
          <cell r="E1666">
            <v>0</v>
          </cell>
        </row>
        <row r="1667">
          <cell r="A1667">
            <v>0</v>
          </cell>
          <cell r="B1667">
            <v>0</v>
          </cell>
          <cell r="C1667">
            <v>0</v>
          </cell>
          <cell r="D1667">
            <v>0</v>
          </cell>
          <cell r="E1667">
            <v>0</v>
          </cell>
        </row>
        <row r="1668">
          <cell r="A1668">
            <v>0</v>
          </cell>
          <cell r="B1668">
            <v>0</v>
          </cell>
          <cell r="C1668">
            <v>0</v>
          </cell>
          <cell r="D1668">
            <v>0</v>
          </cell>
          <cell r="E1668">
            <v>0</v>
          </cell>
        </row>
        <row r="1669">
          <cell r="A1669">
            <v>0</v>
          </cell>
          <cell r="B1669">
            <v>0</v>
          </cell>
          <cell r="C1669">
            <v>0</v>
          </cell>
          <cell r="D1669">
            <v>0</v>
          </cell>
          <cell r="E1669">
            <v>0</v>
          </cell>
        </row>
        <row r="1670">
          <cell r="A1670">
            <v>0</v>
          </cell>
          <cell r="B1670">
            <v>0</v>
          </cell>
          <cell r="C1670">
            <v>0</v>
          </cell>
          <cell r="D1670">
            <v>0</v>
          </cell>
          <cell r="E1670">
            <v>0</v>
          </cell>
        </row>
        <row r="1671">
          <cell r="A1671">
            <v>0</v>
          </cell>
          <cell r="B1671">
            <v>0</v>
          </cell>
          <cell r="C1671">
            <v>0</v>
          </cell>
          <cell r="D1671">
            <v>0</v>
          </cell>
          <cell r="E1671">
            <v>0</v>
          </cell>
        </row>
        <row r="1672">
          <cell r="A1672">
            <v>0</v>
          </cell>
          <cell r="B1672">
            <v>0</v>
          </cell>
          <cell r="C1672">
            <v>0</v>
          </cell>
          <cell r="D1672">
            <v>0</v>
          </cell>
          <cell r="E1672">
            <v>0</v>
          </cell>
        </row>
        <row r="1673">
          <cell r="A1673">
            <v>0</v>
          </cell>
          <cell r="B1673">
            <v>0</v>
          </cell>
          <cell r="C1673">
            <v>0</v>
          </cell>
          <cell r="D1673">
            <v>0</v>
          </cell>
          <cell r="E1673">
            <v>0</v>
          </cell>
        </row>
        <row r="1674">
          <cell r="A1674">
            <v>0</v>
          </cell>
          <cell r="B1674">
            <v>0</v>
          </cell>
          <cell r="C1674">
            <v>0</v>
          </cell>
          <cell r="D1674">
            <v>0</v>
          </cell>
          <cell r="E1674">
            <v>0</v>
          </cell>
        </row>
        <row r="1675">
          <cell r="A1675">
            <v>0</v>
          </cell>
          <cell r="B1675">
            <v>0</v>
          </cell>
          <cell r="C1675">
            <v>0</v>
          </cell>
          <cell r="D1675">
            <v>0</v>
          </cell>
          <cell r="E1675">
            <v>0</v>
          </cell>
        </row>
        <row r="1676">
          <cell r="A1676">
            <v>0</v>
          </cell>
          <cell r="B1676">
            <v>0</v>
          </cell>
          <cell r="C1676">
            <v>0</v>
          </cell>
          <cell r="D1676">
            <v>0</v>
          </cell>
          <cell r="E1676">
            <v>0</v>
          </cell>
        </row>
        <row r="1677">
          <cell r="A1677">
            <v>0</v>
          </cell>
          <cell r="B1677">
            <v>0</v>
          </cell>
          <cell r="C1677">
            <v>0</v>
          </cell>
          <cell r="D1677">
            <v>0</v>
          </cell>
          <cell r="E1677">
            <v>0</v>
          </cell>
        </row>
        <row r="1678">
          <cell r="A1678">
            <v>0</v>
          </cell>
          <cell r="B1678">
            <v>0</v>
          </cell>
          <cell r="C1678">
            <v>0</v>
          </cell>
          <cell r="D1678">
            <v>0</v>
          </cell>
          <cell r="E1678">
            <v>0</v>
          </cell>
        </row>
        <row r="1679">
          <cell r="A1679">
            <v>0</v>
          </cell>
          <cell r="B1679">
            <v>0</v>
          </cell>
          <cell r="C1679">
            <v>0</v>
          </cell>
          <cell r="D1679">
            <v>0</v>
          </cell>
          <cell r="E1679">
            <v>0</v>
          </cell>
        </row>
        <row r="1680">
          <cell r="A1680">
            <v>0</v>
          </cell>
          <cell r="B1680">
            <v>0</v>
          </cell>
          <cell r="C1680">
            <v>0</v>
          </cell>
          <cell r="D1680">
            <v>0</v>
          </cell>
          <cell r="E1680">
            <v>0</v>
          </cell>
        </row>
        <row r="1681">
          <cell r="A1681">
            <v>0</v>
          </cell>
          <cell r="B1681">
            <v>0</v>
          </cell>
          <cell r="C1681">
            <v>0</v>
          </cell>
          <cell r="D1681">
            <v>0</v>
          </cell>
          <cell r="E1681">
            <v>0</v>
          </cell>
        </row>
        <row r="1682">
          <cell r="A1682">
            <v>0</v>
          </cell>
          <cell r="B1682">
            <v>0</v>
          </cell>
          <cell r="C1682">
            <v>0</v>
          </cell>
          <cell r="D1682">
            <v>0</v>
          </cell>
          <cell r="E1682">
            <v>0</v>
          </cell>
        </row>
        <row r="1683">
          <cell r="A1683">
            <v>0</v>
          </cell>
          <cell r="B1683">
            <v>0</v>
          </cell>
          <cell r="C1683">
            <v>0</v>
          </cell>
          <cell r="D1683">
            <v>0</v>
          </cell>
          <cell r="E1683">
            <v>0</v>
          </cell>
        </row>
        <row r="1684">
          <cell r="A1684">
            <v>0</v>
          </cell>
          <cell r="B1684">
            <v>0</v>
          </cell>
          <cell r="C1684">
            <v>0</v>
          </cell>
          <cell r="D1684">
            <v>0</v>
          </cell>
          <cell r="E1684">
            <v>0</v>
          </cell>
        </row>
        <row r="1685">
          <cell r="A1685">
            <v>0</v>
          </cell>
          <cell r="B1685">
            <v>0</v>
          </cell>
          <cell r="C1685">
            <v>0</v>
          </cell>
          <cell r="D1685">
            <v>0</v>
          </cell>
          <cell r="E1685">
            <v>0</v>
          </cell>
        </row>
        <row r="1686">
          <cell r="A1686">
            <v>0</v>
          </cell>
          <cell r="B1686">
            <v>0</v>
          </cell>
          <cell r="C1686">
            <v>0</v>
          </cell>
          <cell r="D1686">
            <v>0</v>
          </cell>
          <cell r="E1686">
            <v>0</v>
          </cell>
        </row>
        <row r="1687">
          <cell r="A1687">
            <v>0</v>
          </cell>
          <cell r="B1687">
            <v>0</v>
          </cell>
          <cell r="C1687">
            <v>0</v>
          </cell>
          <cell r="D1687">
            <v>0</v>
          </cell>
          <cell r="E1687">
            <v>0</v>
          </cell>
        </row>
        <row r="1688">
          <cell r="A1688">
            <v>0</v>
          </cell>
          <cell r="B1688">
            <v>0</v>
          </cell>
          <cell r="C1688">
            <v>0</v>
          </cell>
          <cell r="D1688">
            <v>0</v>
          </cell>
          <cell r="E1688">
            <v>0</v>
          </cell>
        </row>
        <row r="1689">
          <cell r="A1689">
            <v>0</v>
          </cell>
          <cell r="B1689">
            <v>0</v>
          </cell>
          <cell r="C1689">
            <v>0</v>
          </cell>
          <cell r="D1689">
            <v>0</v>
          </cell>
          <cell r="E1689">
            <v>0</v>
          </cell>
        </row>
        <row r="1690">
          <cell r="A1690">
            <v>0</v>
          </cell>
          <cell r="B1690">
            <v>0</v>
          </cell>
          <cell r="C1690">
            <v>0</v>
          </cell>
          <cell r="D1690">
            <v>0</v>
          </cell>
          <cell r="E1690">
            <v>0</v>
          </cell>
        </row>
        <row r="1691">
          <cell r="A1691">
            <v>0</v>
          </cell>
          <cell r="B1691">
            <v>0</v>
          </cell>
          <cell r="C1691">
            <v>0</v>
          </cell>
          <cell r="D1691">
            <v>0</v>
          </cell>
          <cell r="E1691">
            <v>0</v>
          </cell>
        </row>
        <row r="1692">
          <cell r="A1692">
            <v>0</v>
          </cell>
          <cell r="B1692">
            <v>0</v>
          </cell>
          <cell r="C1692">
            <v>0</v>
          </cell>
          <cell r="D1692">
            <v>0</v>
          </cell>
          <cell r="E1692">
            <v>0</v>
          </cell>
        </row>
        <row r="1693">
          <cell r="A1693">
            <v>0</v>
          </cell>
          <cell r="B1693">
            <v>0</v>
          </cell>
          <cell r="C1693">
            <v>0</v>
          </cell>
          <cell r="D1693">
            <v>0</v>
          </cell>
          <cell r="E1693">
            <v>0</v>
          </cell>
        </row>
        <row r="1694">
          <cell r="A1694">
            <v>0</v>
          </cell>
          <cell r="B1694">
            <v>0</v>
          </cell>
          <cell r="C1694">
            <v>0</v>
          </cell>
          <cell r="D1694">
            <v>0</v>
          </cell>
          <cell r="E1694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ntidades"/>
      <sheetName val="Cronograma Físico"/>
      <sheetName val="Resumo"/>
      <sheetName val="Planilha"/>
      <sheetName val="Memória"/>
      <sheetName val="DER 06-15"/>
      <sheetName val="equip."/>
      <sheetName val="m.o."/>
      <sheetName val="mat."/>
      <sheetName val="tranp."/>
      <sheetName val="Ocor."/>
      <sheetName val="43069"/>
      <sheetName val="42981"/>
      <sheetName val="42714"/>
      <sheetName val="ST01"/>
      <sheetName val="ST02"/>
      <sheetName val="42779"/>
      <sheetName val="42783"/>
      <sheetName val="40514"/>
      <sheetName val="40515"/>
      <sheetName val="003"/>
      <sheetName val="005"/>
      <sheetName val="006"/>
      <sheetName val="Mapa"/>
      <sheetName val="CX"/>
      <sheetName val="42611"/>
      <sheetName val="40313"/>
      <sheetName val="40351"/>
      <sheetName val="40358"/>
      <sheetName val="Compos DER"/>
      <sheetName val="Compos lug"/>
      <sheetName val="Plan1"/>
      <sheetName val="P - COMPARATIVO"/>
      <sheetName val="Quantidades a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199 - Tabela Referencial Junho 2015 com desoneração</v>
          </cell>
          <cell r="B1">
            <v>0</v>
          </cell>
          <cell r="C1">
            <v>0</v>
          </cell>
          <cell r="D1">
            <v>0</v>
          </cell>
          <cell r="E1" t="str">
            <v>DataBase:Junho/2015</v>
          </cell>
        </row>
        <row r="2">
          <cell r="A2" t="str">
            <v>Valores com BDI de 29,63%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</row>
        <row r="3">
          <cell r="A3" t="str">
            <v xml:space="preserve">Código </v>
          </cell>
          <cell r="B3" t="str">
            <v>Serviço</v>
          </cell>
          <cell r="C3" t="str">
            <v>Unidade</v>
          </cell>
          <cell r="D3" t="str">
            <v>Preço Unitário</v>
          </cell>
          <cell r="E3" t="str">
            <v>Transporte</v>
          </cell>
        </row>
        <row r="4">
          <cell r="A4" t="str">
            <v>Grupo de Serviço: 1 - TERRAPLENAGEM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</row>
        <row r="5">
          <cell r="A5">
            <v>43339</v>
          </cell>
          <cell r="B5" t="str">
            <v>Capina manual inclusive limpeza</v>
          </cell>
          <cell r="C5" t="str">
            <v>m²</v>
          </cell>
          <cell r="D5" t="str">
            <v>0,53</v>
          </cell>
          <cell r="E5">
            <v>0</v>
          </cell>
        </row>
        <row r="6">
          <cell r="A6">
            <v>41099</v>
          </cell>
          <cell r="B6" t="str">
            <v>Carga de escoria de aciaria de vagão ferroviário supervisionado</v>
          </cell>
          <cell r="C6" t="str">
            <v>m³</v>
          </cell>
          <cell r="D6" t="str">
            <v>4,78</v>
          </cell>
          <cell r="E6">
            <v>0</v>
          </cell>
        </row>
        <row r="7">
          <cell r="A7">
            <v>40224</v>
          </cell>
          <cell r="B7" t="str">
            <v>Carga de material de 1ª categoria</v>
          </cell>
          <cell r="C7" t="str">
            <v>m³</v>
          </cell>
          <cell r="D7" t="str">
            <v>2,48</v>
          </cell>
          <cell r="E7">
            <v>0</v>
          </cell>
        </row>
        <row r="8">
          <cell r="A8">
            <v>40225</v>
          </cell>
          <cell r="B8" t="str">
            <v>Carga de material de 2ª categoria (solo, areia, brita, excl. rocha escavada)</v>
          </cell>
          <cell r="C8" t="str">
            <v>m³</v>
          </cell>
          <cell r="D8" t="str">
            <v>3,20</v>
          </cell>
          <cell r="E8">
            <v>0</v>
          </cell>
        </row>
        <row r="9">
          <cell r="A9">
            <v>40226</v>
          </cell>
          <cell r="B9" t="str">
            <v>Carga de material de 3ª categoria (rocha)</v>
          </cell>
          <cell r="C9" t="str">
            <v>m³</v>
          </cell>
          <cell r="D9" t="str">
            <v>4,78</v>
          </cell>
          <cell r="E9">
            <v>0</v>
          </cell>
        </row>
        <row r="10">
          <cell r="A10">
            <v>40996</v>
          </cell>
          <cell r="B10" t="str">
            <v>Carga, transporte e espalhamento de material decapado para ser usado como manutenção do Caminho de Serviço(DMT-&gt;0,500KM)</v>
          </cell>
          <cell r="C10" t="str">
            <v>m³</v>
          </cell>
          <cell r="D10" t="str">
            <v>4,60</v>
          </cell>
          <cell r="E10">
            <v>0</v>
          </cell>
        </row>
        <row r="11">
          <cell r="A11">
            <v>40229</v>
          </cell>
          <cell r="B11" t="str">
            <v>Compactação de aterros em rocha</v>
          </cell>
          <cell r="C11" t="str">
            <v>m³</v>
          </cell>
          <cell r="D11" t="str">
            <v>5,21</v>
          </cell>
          <cell r="E11">
            <v>0</v>
          </cell>
        </row>
        <row r="12">
          <cell r="A12">
            <v>43340</v>
          </cell>
          <cell r="B12" t="str">
            <v>Compactação de aterros 100% P.I.</v>
          </cell>
          <cell r="C12" t="str">
            <v>m³</v>
          </cell>
          <cell r="D12" t="str">
            <v>5,09</v>
          </cell>
          <cell r="E12">
            <v>0</v>
          </cell>
        </row>
        <row r="13">
          <cell r="A13">
            <v>40228</v>
          </cell>
          <cell r="B13" t="str">
            <v>Compactação de aterros 100% PN</v>
          </cell>
          <cell r="C13" t="str">
            <v>m³</v>
          </cell>
          <cell r="D13" t="str">
            <v>3,95</v>
          </cell>
          <cell r="E13">
            <v>0</v>
          </cell>
        </row>
        <row r="14">
          <cell r="A14">
            <v>42227</v>
          </cell>
          <cell r="B14" t="str">
            <v>Decapagem de pedreira, 1ª categoria, com escavadeira</v>
          </cell>
          <cell r="C14" t="str">
            <v>m³</v>
          </cell>
          <cell r="D14" t="str">
            <v>3,72</v>
          </cell>
          <cell r="E14">
            <v>0</v>
          </cell>
        </row>
        <row r="15">
          <cell r="A15">
            <v>40994</v>
          </cell>
          <cell r="B15" t="str">
            <v>Decapagem de pedreira, 1ª categoria, com trator de esteiras</v>
          </cell>
          <cell r="C15" t="str">
            <v>m³</v>
          </cell>
          <cell r="D15" t="str">
            <v>4,52</v>
          </cell>
          <cell r="E15">
            <v>0</v>
          </cell>
        </row>
        <row r="16">
          <cell r="A16">
            <v>42940</v>
          </cell>
          <cell r="B16" t="str">
            <v>Demolição de material de 3ª categoria com fio diamantado</v>
          </cell>
          <cell r="C16" t="str">
            <v>m³</v>
          </cell>
          <cell r="D16" t="str">
            <v>188,30</v>
          </cell>
          <cell r="E16">
            <v>0</v>
          </cell>
        </row>
        <row r="17">
          <cell r="A17">
            <v>41047</v>
          </cell>
          <cell r="B17" t="str">
            <v>Demolição de rocha a frio, até altura de 3,0m, com argamassa expansiva, inclusive remoção com escavadeira</v>
          </cell>
          <cell r="C17" t="str">
            <v>m³</v>
          </cell>
          <cell r="D17" t="str">
            <v>337,50</v>
          </cell>
          <cell r="E17">
            <v>0</v>
          </cell>
        </row>
        <row r="18">
          <cell r="A18">
            <v>41048</v>
          </cell>
          <cell r="B18" t="str">
            <v>Demolição de rocha a frio até 3 metros com utilização de argamassa expansiva, inclusive remoção com trator de esteiras</v>
          </cell>
          <cell r="C18" t="str">
            <v>m³</v>
          </cell>
          <cell r="D18" t="str">
            <v>301,64</v>
          </cell>
          <cell r="E18">
            <v>0</v>
          </cell>
        </row>
        <row r="19">
          <cell r="A19">
            <v>40217</v>
          </cell>
          <cell r="B19" t="str">
            <v>Desmonte de rocha</v>
          </cell>
          <cell r="C19" t="str">
            <v>m³</v>
          </cell>
          <cell r="D19" t="str">
            <v>34,01</v>
          </cell>
          <cell r="E19">
            <v>0</v>
          </cell>
        </row>
        <row r="20">
          <cell r="A20">
            <v>40172</v>
          </cell>
          <cell r="B20" t="str">
            <v>Destocamento de árvores com diâmetro &gt; 30 cm, com trator de esteira</v>
          </cell>
          <cell r="C20" t="str">
            <v>un</v>
          </cell>
          <cell r="D20" t="str">
            <v>20,92</v>
          </cell>
          <cell r="E20">
            <v>0</v>
          </cell>
        </row>
        <row r="21">
          <cell r="A21">
            <v>40171</v>
          </cell>
          <cell r="B21" t="str">
            <v>Destocamento de árvores com diâmetro de 15 a 30 cm, com trator de esteira</v>
          </cell>
          <cell r="C21" t="str">
            <v>un</v>
          </cell>
          <cell r="D21" t="str">
            <v>10,46</v>
          </cell>
          <cell r="E21">
            <v>0</v>
          </cell>
        </row>
        <row r="22">
          <cell r="A22">
            <v>42225</v>
          </cell>
          <cell r="B22" t="str">
            <v>Escalonamento de taludes com escavadeira</v>
          </cell>
          <cell r="C22" t="str">
            <v>m³</v>
          </cell>
          <cell r="D22" t="str">
            <v>6,23</v>
          </cell>
          <cell r="E22">
            <v>0</v>
          </cell>
        </row>
        <row r="23">
          <cell r="A23">
            <v>40178</v>
          </cell>
          <cell r="B23" t="str">
            <v>Escalonamento de taludes, com trator de esteiras</v>
          </cell>
          <cell r="C23" t="str">
            <v>m³</v>
          </cell>
          <cell r="D23" t="str">
            <v>6,44</v>
          </cell>
          <cell r="E23">
            <v>0</v>
          </cell>
        </row>
        <row r="24">
          <cell r="A24">
            <v>40179</v>
          </cell>
          <cell r="B24" t="str">
            <v>Escavação, carga e transporte de material de 1ª cat. até 200 m com moto-escavo-transportador</v>
          </cell>
          <cell r="C24" t="str">
            <v>m³</v>
          </cell>
          <cell r="D24" t="str">
            <v>10,16</v>
          </cell>
          <cell r="E24">
            <v>0</v>
          </cell>
        </row>
        <row r="25">
          <cell r="A25">
            <v>40184</v>
          </cell>
          <cell r="B25" t="str">
            <v>Escavação, carga e transporte de material de 1ª cat. 1000 a 1200 m com moto-escavo-transportador</v>
          </cell>
          <cell r="C25" t="str">
            <v>m³</v>
          </cell>
          <cell r="D25" t="str">
            <v>17,61</v>
          </cell>
          <cell r="E25">
            <v>0</v>
          </cell>
        </row>
        <row r="26">
          <cell r="A26">
            <v>40180</v>
          </cell>
          <cell r="B26" t="str">
            <v>Escavação, carga e transporte de material de 1ª cat. 200 a 400 m com moto-escavo-transportador</v>
          </cell>
          <cell r="C26" t="str">
            <v>m³</v>
          </cell>
          <cell r="D26" t="str">
            <v>11,67</v>
          </cell>
          <cell r="E26">
            <v>0</v>
          </cell>
        </row>
        <row r="27">
          <cell r="A27">
            <v>40181</v>
          </cell>
          <cell r="B27" t="str">
            <v>Escavação, carga e transporte de material de 1ª cat. 400 a 600 m com moto-escavo-transportador</v>
          </cell>
          <cell r="C27" t="str">
            <v>m³</v>
          </cell>
          <cell r="D27" t="str">
            <v>13,09</v>
          </cell>
          <cell r="E27">
            <v>0</v>
          </cell>
        </row>
        <row r="28">
          <cell r="A28">
            <v>40182</v>
          </cell>
          <cell r="B28" t="str">
            <v>Escavação, carga e transporte de material de 1ª cat. 600 a 800 m com moto-escavo-transportador</v>
          </cell>
          <cell r="C28" t="str">
            <v>m³</v>
          </cell>
          <cell r="D28" t="str">
            <v>15,01</v>
          </cell>
          <cell r="E28">
            <v>0</v>
          </cell>
        </row>
        <row r="29">
          <cell r="A29">
            <v>40183</v>
          </cell>
          <cell r="B29" t="str">
            <v>Escavação, carga e transporte de material de 1ª cat. 800 a 1000 m com moto-escavo-transportador</v>
          </cell>
          <cell r="C29" t="str">
            <v>m³</v>
          </cell>
          <cell r="D29" t="str">
            <v>15,84</v>
          </cell>
          <cell r="E29">
            <v>0</v>
          </cell>
        </row>
        <row r="30">
          <cell r="A30">
            <v>40191</v>
          </cell>
          <cell r="B30" t="str">
            <v>Escavação, carga e transporte de material de 2ª cat. até 200 m com moto-escavo-transportador</v>
          </cell>
          <cell r="C30" t="str">
            <v>m³</v>
          </cell>
          <cell r="D30" t="str">
            <v>15,49</v>
          </cell>
          <cell r="E30">
            <v>0</v>
          </cell>
        </row>
        <row r="31">
          <cell r="A31">
            <v>40196</v>
          </cell>
          <cell r="B31" t="str">
            <v>Escavação, carga e transporte de material de 2ª cat. 1000 a 1200 m com moto-escavo-transportador</v>
          </cell>
          <cell r="C31" t="str">
            <v>m³</v>
          </cell>
          <cell r="D31" t="str">
            <v>24,31</v>
          </cell>
          <cell r="E31">
            <v>0</v>
          </cell>
        </row>
        <row r="32">
          <cell r="A32">
            <v>40192</v>
          </cell>
          <cell r="B32" t="str">
            <v>Escavação, carga e transporte de material de 2ª cat. 200 a 400 m com moto-escavo-transportador</v>
          </cell>
          <cell r="C32" t="str">
            <v>m³</v>
          </cell>
          <cell r="D32" t="str">
            <v>16,74</v>
          </cell>
          <cell r="E32">
            <v>0</v>
          </cell>
        </row>
        <row r="33">
          <cell r="A33">
            <v>40193</v>
          </cell>
          <cell r="B33" t="str">
            <v>Escavação, carga e transporte de material de 2ª cat. 400 a 600 m com moto-escavo-transportador</v>
          </cell>
          <cell r="C33" t="str">
            <v>m³</v>
          </cell>
          <cell r="D33" t="str">
            <v>18,27</v>
          </cell>
          <cell r="E33">
            <v>0</v>
          </cell>
        </row>
        <row r="34">
          <cell r="A34">
            <v>40194</v>
          </cell>
          <cell r="B34" t="str">
            <v>Escavação, carga e transporte de material de 2ª cat. 600 a 800 m com moto-escavo-transportador</v>
          </cell>
          <cell r="C34" t="str">
            <v>m³</v>
          </cell>
          <cell r="D34" t="str">
            <v>20,89</v>
          </cell>
          <cell r="E34">
            <v>0</v>
          </cell>
        </row>
        <row r="35">
          <cell r="A35">
            <v>40195</v>
          </cell>
          <cell r="B35" t="str">
            <v>Escavação, carga e transporte de material de 2ª cat. 800 a 1000 m com moto-escavo-transportador</v>
          </cell>
          <cell r="C35" t="str">
            <v>m³</v>
          </cell>
          <cell r="D35" t="str">
            <v>22,28</v>
          </cell>
          <cell r="E35">
            <v>0</v>
          </cell>
        </row>
        <row r="36">
          <cell r="A36">
            <v>40220</v>
          </cell>
          <cell r="B36" t="str">
            <v>Escavação e carga de material de barreira (remoção)</v>
          </cell>
          <cell r="C36" t="str">
            <v>m³</v>
          </cell>
          <cell r="D36" t="str">
            <v>7,63</v>
          </cell>
          <cell r="E36">
            <v>0</v>
          </cell>
        </row>
        <row r="37">
          <cell r="A37">
            <v>40230</v>
          </cell>
          <cell r="B37" t="str">
            <v>Escavação e carga de material de 1ª categoria com escavadeira</v>
          </cell>
          <cell r="C37" t="str">
            <v>m³</v>
          </cell>
          <cell r="D37" t="str">
            <v>2,64</v>
          </cell>
          <cell r="E37">
            <v>0</v>
          </cell>
        </row>
        <row r="38">
          <cell r="A38">
            <v>40221</v>
          </cell>
          <cell r="B38" t="str">
            <v>Escavação e carga de material de 1ª categoria, com trator de esteira e pá carregadeira</v>
          </cell>
          <cell r="C38" t="str">
            <v>m³</v>
          </cell>
          <cell r="D38" t="str">
            <v>6,50</v>
          </cell>
          <cell r="E38">
            <v>0</v>
          </cell>
        </row>
        <row r="39">
          <cell r="A39">
            <v>40231</v>
          </cell>
          <cell r="B39" t="str">
            <v>Escavação e carga de material de 2ª categoria com escavadeira</v>
          </cell>
          <cell r="C39" t="str">
            <v>m³</v>
          </cell>
          <cell r="D39" t="str">
            <v>3,90</v>
          </cell>
          <cell r="E39">
            <v>0</v>
          </cell>
        </row>
        <row r="40">
          <cell r="A40">
            <v>40222</v>
          </cell>
          <cell r="B40" t="str">
            <v>Escavação e carga de material de 2ª categoria, com trator de esteira e pá carregadeira</v>
          </cell>
          <cell r="C40" t="str">
            <v>m³</v>
          </cell>
          <cell r="D40" t="str">
            <v>9,56</v>
          </cell>
          <cell r="E40">
            <v>0</v>
          </cell>
        </row>
        <row r="41">
          <cell r="A41">
            <v>40216</v>
          </cell>
          <cell r="B41" t="str">
            <v>Escavação e carga de material de 3ª categoria (fogo controlado)</v>
          </cell>
          <cell r="C41" t="str">
            <v>m³</v>
          </cell>
          <cell r="D41" t="str">
            <v>80,20</v>
          </cell>
          <cell r="E41">
            <v>0</v>
          </cell>
        </row>
        <row r="42">
          <cell r="A42">
            <v>40223</v>
          </cell>
          <cell r="B42" t="str">
            <v>Escavação e carga de material de 3ª categoria (H bancada &gt;1,0 m)</v>
          </cell>
          <cell r="C42" t="str">
            <v>m³</v>
          </cell>
          <cell r="D42" t="str">
            <v>33,09</v>
          </cell>
          <cell r="E42">
            <v>0</v>
          </cell>
        </row>
        <row r="43">
          <cell r="A43">
            <v>43335</v>
          </cell>
          <cell r="B43" t="str">
            <v>Espalhamento / regularização / compactação de material em bota-fora</v>
          </cell>
          <cell r="C43" t="str">
            <v>m³</v>
          </cell>
          <cell r="D43" t="str">
            <v>2,13</v>
          </cell>
          <cell r="E43">
            <v>0</v>
          </cell>
        </row>
        <row r="44">
          <cell r="A44">
            <v>42547</v>
          </cell>
          <cell r="B44" t="str">
            <v>Espalhamento de material de 1ª categoria com motoniveladora</v>
          </cell>
          <cell r="C44" t="str">
            <v>m³</v>
          </cell>
          <cell r="D44" t="str">
            <v>1,36</v>
          </cell>
          <cell r="E44">
            <v>0</v>
          </cell>
        </row>
        <row r="45">
          <cell r="A45">
            <v>40177</v>
          </cell>
          <cell r="B45" t="str">
            <v>Espalhamento de material de 1ª categoria com trator de esteiras</v>
          </cell>
          <cell r="C45" t="str">
            <v>m³</v>
          </cell>
          <cell r="D45" t="str">
            <v>3,62</v>
          </cell>
          <cell r="E45">
            <v>0</v>
          </cell>
        </row>
        <row r="46">
          <cell r="A46">
            <v>41056</v>
          </cell>
          <cell r="B46" t="str">
            <v>Forro de regularização sobre plataforma de enrocamento para tráfego de caminhões, inclusive fornecimento do pó de pedra e da pedra demão</v>
          </cell>
          <cell r="C46" t="str">
            <v>m³</v>
          </cell>
          <cell r="D46" t="str">
            <v>72,76</v>
          </cell>
          <cell r="E46">
            <v>0</v>
          </cell>
        </row>
        <row r="47">
          <cell r="A47">
            <v>40218</v>
          </cell>
          <cell r="B47" t="str">
            <v>Fragmentação de rocha (fogacheamento)</v>
          </cell>
          <cell r="C47" t="str">
            <v>m³</v>
          </cell>
          <cell r="D47" t="str">
            <v>47,47</v>
          </cell>
          <cell r="E47">
            <v>0</v>
          </cell>
        </row>
        <row r="48">
          <cell r="A48">
            <v>40170</v>
          </cell>
          <cell r="B48" t="str">
            <v>Limpeza de acostamento</v>
          </cell>
          <cell r="C48" t="str">
            <v>m²</v>
          </cell>
          <cell r="D48" t="str">
            <v>0,54</v>
          </cell>
          <cell r="E48">
            <v>0</v>
          </cell>
        </row>
        <row r="49">
          <cell r="A49">
            <v>40167</v>
          </cell>
          <cell r="B49" t="str">
            <v>Limpeza, desmatamento e destocamento de árvores com diâmetro até 15 cm, com trator de esteira</v>
          </cell>
          <cell r="C49" t="str">
            <v>m²</v>
          </cell>
          <cell r="D49" t="str">
            <v>0,40</v>
          </cell>
          <cell r="E49">
            <v>0</v>
          </cell>
        </row>
        <row r="50">
          <cell r="A50">
            <v>40168</v>
          </cell>
          <cell r="B50" t="str">
            <v>Limpeza, desmatamento e destocamento de jazida com remoçao 15 cm solo orgânico</v>
          </cell>
          <cell r="C50" t="str">
            <v>m²</v>
          </cell>
          <cell r="D50" t="str">
            <v>1,91</v>
          </cell>
          <cell r="E50">
            <v>0</v>
          </cell>
        </row>
        <row r="51">
          <cell r="A51">
            <v>40169</v>
          </cell>
          <cell r="B51" t="str">
            <v>Limpeza e desmatamento em área alagada (pântano) com ferramentas manuais, inclusive moto serra</v>
          </cell>
          <cell r="C51" t="str">
            <v>m²</v>
          </cell>
          <cell r="D51" t="str">
            <v>6,70</v>
          </cell>
          <cell r="E51">
            <v>0</v>
          </cell>
        </row>
        <row r="52">
          <cell r="A52">
            <v>40219</v>
          </cell>
          <cell r="B52" t="str">
            <v>Pré-fissuramento de taludes de rocha</v>
          </cell>
          <cell r="C52" t="str">
            <v>m²</v>
          </cell>
          <cell r="D52" t="str">
            <v>25,73</v>
          </cell>
          <cell r="E52">
            <v>0</v>
          </cell>
        </row>
        <row r="53">
          <cell r="A53">
            <v>41095</v>
          </cell>
          <cell r="B53" t="str">
            <v>Remoção de solos moles, incluindo carregamento mecânico com escavadeira hidráulica</v>
          </cell>
          <cell r="C53" t="str">
            <v>m³</v>
          </cell>
          <cell r="D53" t="str">
            <v>19,41</v>
          </cell>
          <cell r="E53">
            <v>0</v>
          </cell>
        </row>
        <row r="54">
          <cell r="A54">
            <v>43352</v>
          </cell>
          <cell r="B54" t="str">
            <v>Roçada manual com roçadeira costal, ferramentas manuais, inclusive limpeza e remoção com retroescavadeira</v>
          </cell>
          <cell r="C54" t="str">
            <v>m²</v>
          </cell>
          <cell r="D54" t="str">
            <v>0,44</v>
          </cell>
          <cell r="E54">
            <v>0</v>
          </cell>
        </row>
        <row r="55">
          <cell r="A55">
            <v>43338</v>
          </cell>
          <cell r="B55" t="str">
            <v>Roçada manual com roçadeira costal, ferramentas manuais, inclusive limpeza manual</v>
          </cell>
          <cell r="C55" t="str">
            <v>m²</v>
          </cell>
          <cell r="D55" t="str">
            <v>0,37</v>
          </cell>
          <cell r="E55">
            <v>0</v>
          </cell>
        </row>
        <row r="56">
          <cell r="A56">
            <v>40166</v>
          </cell>
          <cell r="B56" t="str">
            <v>Roçada mecânica</v>
          </cell>
          <cell r="C56" t="str">
            <v>m²</v>
          </cell>
          <cell r="D56" t="str">
            <v>0,14</v>
          </cell>
          <cell r="E56">
            <v>0</v>
          </cell>
        </row>
        <row r="57">
          <cell r="A57">
            <v>41326</v>
          </cell>
          <cell r="B57" t="str">
            <v>Transporte horizontal com trator de lâmina de material de 1ª cat. DMTaté 50m</v>
          </cell>
          <cell r="C57" t="str">
            <v>m³</v>
          </cell>
          <cell r="D57" t="str">
            <v>4,38</v>
          </cell>
          <cell r="E57">
            <v>0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E58" t="e">
            <v>#N/A</v>
          </cell>
        </row>
        <row r="59">
          <cell r="A59" t="str">
            <v>Grupo de Serviço: 2 - PAVIMENTAÇÃO</v>
          </cell>
          <cell r="B59">
            <v>0</v>
          </cell>
          <cell r="C59">
            <v>0</v>
          </cell>
          <cell r="E59" t="e">
            <v>#N/A</v>
          </cell>
        </row>
        <row r="60">
          <cell r="A60">
            <v>40801</v>
          </cell>
          <cell r="B60" t="str">
            <v>Base com mistura de argila, areia e escória de aciaria, 30%,30%,40%, inclusive fornecim. transp.areia e escória, exclusive fornecim. transp. da argila</v>
          </cell>
          <cell r="C60" t="str">
            <v>m³</v>
          </cell>
          <cell r="D60" t="str">
            <v>81,78</v>
          </cell>
          <cell r="E60" t="str">
            <v>A incluir</v>
          </cell>
        </row>
        <row r="61">
          <cell r="A61">
            <v>40799</v>
          </cell>
          <cell r="B61" t="str">
            <v>Base com mistura de argila, areia e escória de aciaria, 50%,20%,30%, inclusive fornecim.e transp. areia e escória, exclusive fornecim. e transp.argila</v>
          </cell>
          <cell r="C61" t="str">
            <v>m³</v>
          </cell>
          <cell r="D61" t="str">
            <v>64,14</v>
          </cell>
          <cell r="E61" t="str">
            <v>A incluir</v>
          </cell>
        </row>
        <row r="62">
          <cell r="A62">
            <v>40793</v>
          </cell>
          <cell r="B62" t="str">
            <v>Base com mistura de argila 30%, pó de pedra 30% e brita 40%, inclusive fornecimento e transporte do pó de pedra e da brita</v>
          </cell>
          <cell r="C62" t="str">
            <v>m³</v>
          </cell>
          <cell r="D62" t="str">
            <v>76,39</v>
          </cell>
          <cell r="E62" t="str">
            <v>A incluir</v>
          </cell>
        </row>
        <row r="63">
          <cell r="A63">
            <v>40797</v>
          </cell>
          <cell r="B63" t="str">
            <v>Base com mistura de argila 70% e escória de aciaria 30%, inclusive fornecim. e transporte da escória, exclusive fornecimento e transporte da argila</v>
          </cell>
          <cell r="C63" t="str">
            <v>m³</v>
          </cell>
          <cell r="D63" t="str">
            <v>40,40</v>
          </cell>
          <cell r="E63" t="str">
            <v>A incluir</v>
          </cell>
        </row>
        <row r="64">
          <cell r="A64">
            <v>41157</v>
          </cell>
          <cell r="B64" t="str">
            <v>Base com mistura de Saibro, Argila e Brita, 45%, 15% e 40%, exclusive transporte</v>
          </cell>
          <cell r="C64" t="str">
            <v>m³</v>
          </cell>
          <cell r="D64" t="str">
            <v>46,96</v>
          </cell>
          <cell r="E64">
            <v>0</v>
          </cell>
        </row>
        <row r="65">
          <cell r="A65">
            <v>40795</v>
          </cell>
          <cell r="B65" t="str">
            <v>Base com mistura de solo 80% e areia 20%, inclusive transporte da areia</v>
          </cell>
          <cell r="C65" t="str">
            <v>m³</v>
          </cell>
          <cell r="D65" t="str">
            <v>38,44</v>
          </cell>
          <cell r="E65" t="str">
            <v>A incluir</v>
          </cell>
        </row>
        <row r="66">
          <cell r="A66">
            <v>40787</v>
          </cell>
          <cell r="B66" t="str">
            <v>Base de brita graduada, inclusive fornecimento e transporte da brita</v>
          </cell>
          <cell r="C66" t="str">
            <v>m³</v>
          </cell>
          <cell r="D66" t="str">
            <v>104,09</v>
          </cell>
          <cell r="E66" t="str">
            <v>A incluir</v>
          </cell>
        </row>
        <row r="67">
          <cell r="A67">
            <v>40812</v>
          </cell>
          <cell r="B67" t="str">
            <v>Base de brita graduada, inclusive fornecimento, exclusive transporte da brita</v>
          </cell>
          <cell r="C67" t="str">
            <v>m³</v>
          </cell>
          <cell r="D67" t="str">
            <v>104,09</v>
          </cell>
          <cell r="E67">
            <v>0</v>
          </cell>
        </row>
        <row r="68">
          <cell r="A68">
            <v>42673</v>
          </cell>
          <cell r="B68" t="str">
            <v>Base de brita 1, inclusive fornecimento, exclusive transporte da brita</v>
          </cell>
          <cell r="C68" t="str">
            <v>m³</v>
          </cell>
          <cell r="D68" t="str">
            <v>101,27</v>
          </cell>
          <cell r="E68">
            <v>0</v>
          </cell>
        </row>
        <row r="69">
          <cell r="A69">
            <v>40803</v>
          </cell>
          <cell r="B69" t="str">
            <v>Base de escória de aciaria, inclusive fornecimento e transporte da escória</v>
          </cell>
          <cell r="C69" t="str">
            <v>m³</v>
          </cell>
          <cell r="D69" t="str">
            <v>85,41</v>
          </cell>
          <cell r="E69" t="str">
            <v>A incluir</v>
          </cell>
        </row>
        <row r="70">
          <cell r="A70">
            <v>41406</v>
          </cell>
          <cell r="B70" t="str">
            <v>Base de escória/argila na proporção 80:20, inclusive aquisição e transporte da escória, exclusive argila</v>
          </cell>
          <cell r="C70" t="str">
            <v>m³</v>
          </cell>
          <cell r="D70" t="str">
            <v>73,00</v>
          </cell>
          <cell r="E70" t="str">
            <v>A incluir</v>
          </cell>
        </row>
        <row r="71">
          <cell r="A71">
            <v>41100</v>
          </cell>
          <cell r="B71" t="str">
            <v>Base de escória/solo na proporção 75:25, inclusive fornecimento da escória, exceto fornecimento do solo e transporte do solo e escória</v>
          </cell>
          <cell r="C71" t="str">
            <v>m³</v>
          </cell>
          <cell r="D71" t="str">
            <v>69,75</v>
          </cell>
          <cell r="E71">
            <v>0</v>
          </cell>
        </row>
        <row r="72">
          <cell r="A72">
            <v>40979</v>
          </cell>
          <cell r="B72" t="str">
            <v>Base de solo brita, 20% em peso, inclusive fornecim. da brita, exclusive transporte da brita e do solo (100% P.IM)</v>
          </cell>
          <cell r="C72" t="str">
            <v>m³</v>
          </cell>
          <cell r="D72" t="str">
            <v>42,02</v>
          </cell>
          <cell r="E72">
            <v>0</v>
          </cell>
        </row>
        <row r="73">
          <cell r="A73">
            <v>40815</v>
          </cell>
          <cell r="B73" t="str">
            <v>Base de solo brita, 40% em peso, inclusive fornecimento, exclusive transporte da brita</v>
          </cell>
          <cell r="C73" t="str">
            <v>m³</v>
          </cell>
          <cell r="D73" t="str">
            <v>55,85</v>
          </cell>
          <cell r="E73">
            <v>0</v>
          </cell>
        </row>
        <row r="74">
          <cell r="A74">
            <v>40809</v>
          </cell>
          <cell r="B74" t="str">
            <v>Base de solo brita, 50% em peso, inclusive fornecimento, exclusive transporte da brita</v>
          </cell>
          <cell r="C74" t="str">
            <v>m³</v>
          </cell>
          <cell r="D74" t="str">
            <v>65,17</v>
          </cell>
          <cell r="E74">
            <v>0</v>
          </cell>
        </row>
        <row r="75">
          <cell r="A75">
            <v>40810</v>
          </cell>
          <cell r="B75" t="str">
            <v>Base de solo brita, 70% em peso, inclusive fornecimento, exclusive transporte da brita</v>
          </cell>
          <cell r="C75" t="str">
            <v>m³</v>
          </cell>
          <cell r="D75" t="str">
            <v>83,88</v>
          </cell>
          <cell r="E75">
            <v>0</v>
          </cell>
        </row>
        <row r="76">
          <cell r="A76">
            <v>41097</v>
          </cell>
          <cell r="B76" t="str">
            <v>Base de solo brita, 80% em peso, inclusive fornecimento e transporte da brita</v>
          </cell>
          <cell r="C76" t="str">
            <v>m³</v>
          </cell>
          <cell r="D76" t="str">
            <v>95,18</v>
          </cell>
          <cell r="E76" t="str">
            <v>A incluir</v>
          </cell>
        </row>
        <row r="77">
          <cell r="A77">
            <v>41364</v>
          </cell>
          <cell r="B77" t="str">
            <v>Base estabilizada granulométricamente. com mistura de escória de aciaria 80% e argila exceto fornecimento da argila e transporte da argila e escória</v>
          </cell>
          <cell r="C77" t="str">
            <v>m³</v>
          </cell>
          <cell r="D77" t="str">
            <v>73,00</v>
          </cell>
          <cell r="E77">
            <v>0</v>
          </cell>
        </row>
        <row r="78">
          <cell r="A78">
            <v>40777</v>
          </cell>
          <cell r="B78" t="str">
            <v>Base solo brita, 20% em peso, inclusive fornecimento e transporte da brita</v>
          </cell>
          <cell r="C78" t="str">
            <v>m³</v>
          </cell>
          <cell r="D78" t="str">
            <v>37,34</v>
          </cell>
          <cell r="E78" t="str">
            <v>A incluir</v>
          </cell>
        </row>
        <row r="79">
          <cell r="A79">
            <v>40779</v>
          </cell>
          <cell r="B79" t="str">
            <v>Base solo brita, 30% em peso, inclusive fornecimento e transporte da brita</v>
          </cell>
          <cell r="C79" t="str">
            <v>m³</v>
          </cell>
          <cell r="D79" t="str">
            <v>44,60</v>
          </cell>
          <cell r="E79" t="str">
            <v>A incluir</v>
          </cell>
        </row>
        <row r="80">
          <cell r="A80">
            <v>40781</v>
          </cell>
          <cell r="B80" t="str">
            <v>Base solo brita, 50% em peso, inclusive fornecimento e transporte da brita</v>
          </cell>
          <cell r="C80" t="str">
            <v>m³</v>
          </cell>
          <cell r="D80" t="str">
            <v>65,17</v>
          </cell>
          <cell r="E80" t="str">
            <v>A incluir</v>
          </cell>
        </row>
        <row r="81">
          <cell r="A81">
            <v>40783</v>
          </cell>
          <cell r="B81" t="str">
            <v>Base solo brita, 70% em peso, inclusive fornecimento e transporte da brita</v>
          </cell>
          <cell r="C81" t="str">
            <v>m³</v>
          </cell>
          <cell r="D81" t="str">
            <v>83,88</v>
          </cell>
          <cell r="E81" t="str">
            <v>A incluir</v>
          </cell>
        </row>
        <row r="82">
          <cell r="A82">
            <v>41366</v>
          </cell>
          <cell r="B82" t="str">
            <v>Base solo brita, 80% em peso, inclusive fornecimento, exclusive transporte da brita</v>
          </cell>
          <cell r="C82" t="str">
            <v>m³</v>
          </cell>
          <cell r="D82" t="str">
            <v>95,18</v>
          </cell>
          <cell r="E82">
            <v>0</v>
          </cell>
        </row>
        <row r="83">
          <cell r="A83">
            <v>40834</v>
          </cell>
          <cell r="B83" t="str">
            <v>Capa selante (emulsão e areia) exclusive fornecimento e transporte comercial da emulsão, inclusive transporte da areia</v>
          </cell>
          <cell r="C83" t="str">
            <v>m²</v>
          </cell>
          <cell r="D83" t="str">
            <v>1,51</v>
          </cell>
          <cell r="E83" t="str">
            <v>A incluir</v>
          </cell>
        </row>
        <row r="84">
          <cell r="A84">
            <v>40835</v>
          </cell>
          <cell r="B84" t="str">
            <v>Capa selante (emulsão e areia) inclusive fornecimento e transporte comercial da emulsão</v>
          </cell>
          <cell r="C84" t="str">
            <v>m²</v>
          </cell>
          <cell r="D84" t="str">
            <v>2,20</v>
          </cell>
          <cell r="E84" t="str">
            <v>A incluir</v>
          </cell>
        </row>
        <row r="85">
          <cell r="A85">
            <v>40841</v>
          </cell>
          <cell r="B85" t="str">
            <v>CBUQ (camada pronta - binder) exclusive fornecimento e transportes do CAP e massa, inclusive fornecimento e transporte da brita e pó de pedra</v>
          </cell>
          <cell r="C85" t="str">
            <v>t</v>
          </cell>
          <cell r="D85" t="str">
            <v>94,72</v>
          </cell>
          <cell r="E85" t="str">
            <v>A incluir</v>
          </cell>
        </row>
        <row r="86">
          <cell r="A86">
            <v>40842</v>
          </cell>
          <cell r="B86" t="str">
            <v>CBUQ (camada pronta - binder) inclusive fornecimento e transporte comercial do CAP, exclusive transporte da massa</v>
          </cell>
          <cell r="C86" t="str">
            <v>t</v>
          </cell>
          <cell r="D86" t="str">
            <v>209,06</v>
          </cell>
          <cell r="E86" t="str">
            <v>A incluir</v>
          </cell>
        </row>
        <row r="87">
          <cell r="A87">
            <v>40843</v>
          </cell>
          <cell r="B87" t="str">
            <v>CBUQ (camada pronta - capa) exclusive fornecimento e transportes do CAP e massa</v>
          </cell>
          <cell r="C87" t="str">
            <v>t</v>
          </cell>
          <cell r="D87" t="str">
            <v>97,98</v>
          </cell>
          <cell r="E87" t="str">
            <v>A incluir</v>
          </cell>
        </row>
        <row r="88">
          <cell r="A88">
            <v>40844</v>
          </cell>
          <cell r="B88" t="str">
            <v>CBUQ (camada pronta - capa) inclusive fornecimento e transporte comercial do CAP, exclusive transporte da massa</v>
          </cell>
          <cell r="C88" t="str">
            <v>t</v>
          </cell>
          <cell r="D88" t="str">
            <v>221,86</v>
          </cell>
          <cell r="E88" t="str">
            <v>A incluir</v>
          </cell>
        </row>
        <row r="89">
          <cell r="A89">
            <v>41112</v>
          </cell>
          <cell r="B89" t="str">
            <v>CBUQ (camada pronta Faixa "B" para revestimento) exclusive fornecimento do CAP e transp. de todos os materiais</v>
          </cell>
          <cell r="C89" t="str">
            <v>t</v>
          </cell>
          <cell r="D89" t="str">
            <v>92,85</v>
          </cell>
          <cell r="E89" t="str">
            <v>A incluir</v>
          </cell>
        </row>
        <row r="90">
          <cell r="A90">
            <v>43342</v>
          </cell>
          <cell r="B90" t="str">
            <v>CBUQ (camada pronta-faixa "C") , exclusive fornecimento do CAP e transporte de todos os materiais (traço padrão areia e brita)</v>
          </cell>
          <cell r="C90" t="str">
            <v>t</v>
          </cell>
          <cell r="D90" t="str">
            <v>99,90</v>
          </cell>
          <cell r="E90" t="str">
            <v>A incluir</v>
          </cell>
        </row>
        <row r="91">
          <cell r="A91">
            <v>40878</v>
          </cell>
          <cell r="B91" t="str">
            <v>CBUQ (camada pronta-faixa"C") exclusive fornecimento.do CAP e transporte de todos os materiais</v>
          </cell>
          <cell r="C91" t="str">
            <v>t</v>
          </cell>
          <cell r="D91" t="str">
            <v>98,54</v>
          </cell>
          <cell r="E91" t="str">
            <v>A incluir</v>
          </cell>
        </row>
        <row r="92">
          <cell r="A92">
            <v>40845</v>
          </cell>
          <cell r="B92" t="str">
            <v>CBUQ (massa asfáltica) exclusive fornecimento e transporte comercial do CAP</v>
          </cell>
          <cell r="C92" t="str">
            <v>t</v>
          </cell>
          <cell r="D92" t="str">
            <v>78,45</v>
          </cell>
          <cell r="E92" t="str">
            <v>A incluir</v>
          </cell>
        </row>
        <row r="93">
          <cell r="A93">
            <v>40846</v>
          </cell>
          <cell r="B93" t="str">
            <v>CBUQ (massa asfáltica) inclusive fornecimento e transporte comercial do CAP</v>
          </cell>
          <cell r="C93" t="str">
            <v>t</v>
          </cell>
          <cell r="D93" t="str">
            <v>202,32</v>
          </cell>
          <cell r="E93" t="str">
            <v>A incluir</v>
          </cell>
        </row>
        <row r="94">
          <cell r="A94">
            <v>40879</v>
          </cell>
          <cell r="B94" t="str">
            <v>CBUQ (massa asfáltica-faixa"C") exclusive fornecimento CAP e transporte de todos os materiais</v>
          </cell>
          <cell r="C94" t="str">
            <v>t</v>
          </cell>
          <cell r="D94" t="str">
            <v>79,00</v>
          </cell>
          <cell r="E94">
            <v>0</v>
          </cell>
        </row>
        <row r="95">
          <cell r="A95">
            <v>40877</v>
          </cell>
          <cell r="B95" t="str">
            <v>CBUQ (massa fina - faixa"D") exclusive fornecimento do CAP e transp.de todos os materiais</v>
          </cell>
          <cell r="C95" t="str">
            <v>t</v>
          </cell>
          <cell r="D95" t="str">
            <v>96,82</v>
          </cell>
          <cell r="E95" t="str">
            <v>A incluir</v>
          </cell>
        </row>
        <row r="96">
          <cell r="A96">
            <v>43341</v>
          </cell>
          <cell r="B96" t="str">
            <v>CBUQ (massa fina-faixa"D"), exclusive fornecimento do CAP e transporte de todos os materiais (traço padrão areia e brita)</v>
          </cell>
          <cell r="C96" t="str">
            <v>t</v>
          </cell>
          <cell r="D96" t="str">
            <v>98,47</v>
          </cell>
          <cell r="E96" t="str">
            <v>A incluir</v>
          </cell>
        </row>
        <row r="97">
          <cell r="A97">
            <v>40867</v>
          </cell>
          <cell r="B97" t="str">
            <v>Demolição e remoção de pavimento asfáltico</v>
          </cell>
          <cell r="C97" t="str">
            <v>m²</v>
          </cell>
          <cell r="D97" t="str">
            <v>2,20</v>
          </cell>
          <cell r="E97">
            <v>0</v>
          </cell>
        </row>
        <row r="98">
          <cell r="A98">
            <v>40763</v>
          </cell>
          <cell r="B98" t="str">
            <v>Escarificação de base H -&gt; 0,10m e capa asfáltica</v>
          </cell>
          <cell r="C98" t="str">
            <v>m²</v>
          </cell>
          <cell r="D98" t="str">
            <v>0,68</v>
          </cell>
          <cell r="E98">
            <v>0</v>
          </cell>
        </row>
        <row r="99">
          <cell r="A99">
            <v>40765</v>
          </cell>
          <cell r="B99" t="str">
            <v>Escarificação e compactação de base (100% P.I.) H-&gt;0,20m</v>
          </cell>
          <cell r="C99" t="str">
            <v>m²</v>
          </cell>
          <cell r="D99" t="str">
            <v>4,96</v>
          </cell>
          <cell r="E99">
            <v>0</v>
          </cell>
        </row>
        <row r="100">
          <cell r="A100">
            <v>40757</v>
          </cell>
          <cell r="B100" t="str">
            <v>Estabilização granulométrica de solo s/ mistura 100% P.I.</v>
          </cell>
          <cell r="C100" t="str">
            <v>m³</v>
          </cell>
          <cell r="D100" t="str">
            <v>15,08</v>
          </cell>
          <cell r="E100">
            <v>0</v>
          </cell>
        </row>
        <row r="101">
          <cell r="A101">
            <v>40758</v>
          </cell>
          <cell r="B101" t="str">
            <v>Estabilização granulométrica de solo s/ mistura 100% P.M.</v>
          </cell>
          <cell r="C101" t="str">
            <v>m³</v>
          </cell>
          <cell r="D101" t="str">
            <v>16,25</v>
          </cell>
          <cell r="E101">
            <v>0</v>
          </cell>
        </row>
        <row r="102">
          <cell r="A102">
            <v>40761</v>
          </cell>
          <cell r="B102" t="str">
            <v>Estabilização granulométrica de solos c/ mistura de areia na pista 100% P.M. (80%, 20%) exclusive transporte</v>
          </cell>
          <cell r="C102" t="str">
            <v>m³</v>
          </cell>
          <cell r="D102" t="str">
            <v>38,82</v>
          </cell>
          <cell r="E102">
            <v>0</v>
          </cell>
        </row>
        <row r="103">
          <cell r="A103">
            <v>40759</v>
          </cell>
          <cell r="B103" t="str">
            <v>Estabilização granulométrica de solos c/ mistura na pista 100 % P.I.</v>
          </cell>
          <cell r="C103" t="str">
            <v>m³</v>
          </cell>
          <cell r="D103" t="str">
            <v>16,56</v>
          </cell>
          <cell r="E103">
            <v>0</v>
          </cell>
        </row>
        <row r="104">
          <cell r="A104">
            <v>40760</v>
          </cell>
          <cell r="B104" t="str">
            <v>Estabilização granulométrica de solos c/ mistura na pista 100% P.M.</v>
          </cell>
          <cell r="C104" t="str">
            <v>m³</v>
          </cell>
          <cell r="D104" t="str">
            <v>17,03</v>
          </cell>
          <cell r="E104">
            <v>0</v>
          </cell>
        </row>
        <row r="105">
          <cell r="A105">
            <v>41069</v>
          </cell>
          <cell r="B105" t="str">
            <v>Fresagem de pavimento asfáltico a frio, esp. até 15cm, exclusive transporte de materiais</v>
          </cell>
          <cell r="C105" t="str">
            <v>m²</v>
          </cell>
          <cell r="D105" t="str">
            <v>7,58</v>
          </cell>
          <cell r="E105">
            <v>0</v>
          </cell>
        </row>
        <row r="106">
          <cell r="A106">
            <v>40985</v>
          </cell>
          <cell r="B106" t="str">
            <v>Fresagem de pavimento asfáltico a frio, esp-&gt;5cm, exclusive transporte de materiais</v>
          </cell>
          <cell r="C106" t="str">
            <v>m²</v>
          </cell>
          <cell r="D106" t="str">
            <v>6,57</v>
          </cell>
          <cell r="E106">
            <v>0</v>
          </cell>
        </row>
        <row r="107">
          <cell r="A107">
            <v>40868</v>
          </cell>
          <cell r="B107" t="str">
            <v>Fresagem de pavimento asfáltico a frio, esp.-&gt;5cm inclusive transporte do material</v>
          </cell>
          <cell r="C107" t="str">
            <v>m²</v>
          </cell>
          <cell r="D107" t="str">
            <v>10,29</v>
          </cell>
          <cell r="E107">
            <v>0</v>
          </cell>
        </row>
        <row r="108">
          <cell r="A108">
            <v>40816</v>
          </cell>
          <cell r="B108" t="str">
            <v>Imprimação exclusive fornecimento e transporte comercial do material betuminoso</v>
          </cell>
          <cell r="C108" t="str">
            <v>m²</v>
          </cell>
          <cell r="D108" t="str">
            <v>0,68</v>
          </cell>
          <cell r="E108">
            <v>0</v>
          </cell>
        </row>
        <row r="109">
          <cell r="A109">
            <v>40817</v>
          </cell>
          <cell r="B109" t="str">
            <v>Imprimação inclusive fornecimento e transporte comercial do material betuminoso</v>
          </cell>
          <cell r="C109" t="str">
            <v>m²</v>
          </cell>
          <cell r="D109" t="str">
            <v>3,94</v>
          </cell>
          <cell r="E109" t="str">
            <v>A incluir</v>
          </cell>
        </row>
        <row r="110">
          <cell r="A110">
            <v>40850</v>
          </cell>
          <cell r="B110" t="str">
            <v>Lama asfáltica (faixa I - ISSA) exclusive fornecimento e transporte comercial da emulsão</v>
          </cell>
          <cell r="C110" t="str">
            <v>m²</v>
          </cell>
          <cell r="D110" t="str">
            <v>1,32</v>
          </cell>
          <cell r="E110" t="str">
            <v>A incluir</v>
          </cell>
        </row>
        <row r="111">
          <cell r="A111">
            <v>40851</v>
          </cell>
          <cell r="B111" t="str">
            <v>Lama asfáltica (faixa I - ISSA) inclusive fornecimento e transporte comercial da emulsão</v>
          </cell>
          <cell r="C111" t="str">
            <v>m²</v>
          </cell>
          <cell r="D111" t="str">
            <v>2,60</v>
          </cell>
          <cell r="E111" t="str">
            <v>A incluir</v>
          </cell>
        </row>
        <row r="112">
          <cell r="A112">
            <v>40852</v>
          </cell>
          <cell r="B112" t="str">
            <v>Lama asfáltica (faixa II - ISSA) exclusive fornecimento e transporte comercial da emulsão</v>
          </cell>
          <cell r="C112" t="str">
            <v>m²</v>
          </cell>
          <cell r="D112" t="str">
            <v>1,43</v>
          </cell>
          <cell r="E112" t="str">
            <v>A incluir</v>
          </cell>
        </row>
        <row r="113">
          <cell r="A113">
            <v>40853</v>
          </cell>
          <cell r="B113" t="str">
            <v>Lama asfáltica (faixa II - ISSA) inclusive fornecimento e transporte comercial da emulsão</v>
          </cell>
          <cell r="C113" t="str">
            <v>m²</v>
          </cell>
          <cell r="D113" t="str">
            <v>3,47</v>
          </cell>
          <cell r="E113" t="str">
            <v>A incluir</v>
          </cell>
        </row>
        <row r="114">
          <cell r="A114">
            <v>40854</v>
          </cell>
          <cell r="B114" t="str">
            <v>Lama asfáltica (faixa III - ISSA) exclusive fornecimento e transporte comercial da emulsão</v>
          </cell>
          <cell r="C114" t="str">
            <v>m²</v>
          </cell>
          <cell r="D114" t="str">
            <v>1,52</v>
          </cell>
          <cell r="E114" t="str">
            <v>A incluir</v>
          </cell>
        </row>
        <row r="115">
          <cell r="A115">
            <v>40855</v>
          </cell>
          <cell r="B115" t="str">
            <v>Lama asfáltica (faixa III - ISSA) inclusive fornecimento e transporte comercial da emulsão</v>
          </cell>
          <cell r="C115" t="str">
            <v>m²</v>
          </cell>
          <cell r="D115" t="str">
            <v>4,48</v>
          </cell>
          <cell r="E115" t="str">
            <v>A incluir</v>
          </cell>
        </row>
        <row r="116">
          <cell r="A116">
            <v>40856</v>
          </cell>
          <cell r="B116" t="str">
            <v>Lama asfáltica (faixa IV - ISSA) exclusive fornecimento e transporte comercial da emulsão</v>
          </cell>
          <cell r="C116" t="str">
            <v>m²</v>
          </cell>
          <cell r="D116" t="str">
            <v>1,84</v>
          </cell>
          <cell r="E116" t="str">
            <v>A incluir</v>
          </cell>
        </row>
        <row r="117">
          <cell r="A117">
            <v>40857</v>
          </cell>
          <cell r="B117" t="str">
            <v>Lama asfáltica (faixa IV - ISSA) inclusive fornecimento e transporte comercial da emulsão</v>
          </cell>
          <cell r="C117" t="str">
            <v>m²</v>
          </cell>
          <cell r="D117" t="str">
            <v>5,91</v>
          </cell>
          <cell r="E117" t="str">
            <v>A incluir</v>
          </cell>
        </row>
        <row r="118">
          <cell r="A118">
            <v>40894</v>
          </cell>
          <cell r="B118" t="str">
            <v>Meio fio (assentamento), inclusive caiação</v>
          </cell>
          <cell r="C118" t="str">
            <v>m</v>
          </cell>
          <cell r="D118" t="str">
            <v>24,37</v>
          </cell>
          <cell r="E118">
            <v>0</v>
          </cell>
        </row>
        <row r="119">
          <cell r="A119">
            <v>40895</v>
          </cell>
          <cell r="B119" t="str">
            <v>Meio fio (remoção e reassentamento), inclusive caiação</v>
          </cell>
          <cell r="C119" t="str">
            <v>m</v>
          </cell>
          <cell r="D119" t="str">
            <v>42,92</v>
          </cell>
          <cell r="E119">
            <v>0</v>
          </cell>
        </row>
        <row r="120">
          <cell r="A120">
            <v>40869</v>
          </cell>
          <cell r="B120" t="str">
            <v>Micro revestimento asfáltico à frio exclusive fornecimento e transporte comercial do material betuminoso</v>
          </cell>
          <cell r="C120" t="str">
            <v>m²</v>
          </cell>
          <cell r="D120" t="str">
            <v>4,61</v>
          </cell>
          <cell r="E120" t="str">
            <v>A incluir</v>
          </cell>
        </row>
        <row r="121">
          <cell r="A121">
            <v>40881</v>
          </cell>
          <cell r="B121" t="str">
            <v>Micro revestimento asfáltico à frio exclusive fornecimento emulsão e transp. de todos os materiais</v>
          </cell>
          <cell r="C121" t="str">
            <v>m²</v>
          </cell>
          <cell r="D121" t="str">
            <v>4,61</v>
          </cell>
          <cell r="E121">
            <v>0</v>
          </cell>
        </row>
        <row r="122">
          <cell r="A122">
            <v>40870</v>
          </cell>
          <cell r="B122" t="str">
            <v>Micro revestimento asfáltico à frio inclusive fornecimento e transporte comercial do material betuminoso</v>
          </cell>
          <cell r="C122" t="str">
            <v>m²</v>
          </cell>
          <cell r="D122" t="str">
            <v>9,82</v>
          </cell>
          <cell r="E122" t="str">
            <v>A incluir</v>
          </cell>
        </row>
        <row r="123">
          <cell r="A123">
            <v>40860</v>
          </cell>
          <cell r="B123" t="str">
            <v>Obturação de buracos c/ CBUQ exclusive fornecimento e transporte comercial dos materiais betuminosos</v>
          </cell>
          <cell r="C123" t="str">
            <v>m²</v>
          </cell>
          <cell r="D123" t="str">
            <v>36,87</v>
          </cell>
          <cell r="E123" t="str">
            <v>A incluir</v>
          </cell>
        </row>
        <row r="124">
          <cell r="A124">
            <v>40864</v>
          </cell>
          <cell r="B124" t="str">
            <v>Obturação de buracos c/ CBUQ exclusive fornecimento e transporte dos materiais betuminosos</v>
          </cell>
          <cell r="C124" t="str">
            <v>t</v>
          </cell>
          <cell r="D124" t="str">
            <v>378,54</v>
          </cell>
          <cell r="E124" t="str">
            <v>A incluir</v>
          </cell>
        </row>
        <row r="125">
          <cell r="A125">
            <v>40861</v>
          </cell>
          <cell r="B125" t="str">
            <v>Obturação de buracos c/ CBUQ inclusive fornecimento e transporte comercial dos materiais betuminosos</v>
          </cell>
          <cell r="C125" t="str">
            <v>m²</v>
          </cell>
          <cell r="D125" t="str">
            <v>52,60</v>
          </cell>
          <cell r="E125" t="str">
            <v>A incluir</v>
          </cell>
        </row>
        <row r="126">
          <cell r="A126">
            <v>40865</v>
          </cell>
          <cell r="B126" t="str">
            <v>Obturação de buracos c/ CBUQ inclusive fornecimento e transporte dos materiais betuminosos</v>
          </cell>
          <cell r="C126" t="str">
            <v>t</v>
          </cell>
          <cell r="D126" t="str">
            <v>520,72</v>
          </cell>
          <cell r="E126" t="str">
            <v>A incluir</v>
          </cell>
        </row>
        <row r="127">
          <cell r="A127">
            <v>40880</v>
          </cell>
          <cell r="B127" t="str">
            <v>Obturação de buracos c/ CBUQ-faixa "C", exclusive forn.do CAP e transporte de todos os materiais</v>
          </cell>
          <cell r="C127" t="str">
            <v>m²</v>
          </cell>
          <cell r="D127" t="str">
            <v>40,41</v>
          </cell>
          <cell r="E127">
            <v>0</v>
          </cell>
        </row>
        <row r="128">
          <cell r="A128">
            <v>40858</v>
          </cell>
          <cell r="B128" t="str">
            <v>Obturação de buracos c/ PMF exclusive fornecimento e transporte comercial da emulsão</v>
          </cell>
          <cell r="C128" t="str">
            <v>m²</v>
          </cell>
          <cell r="D128" t="str">
            <v>33,70</v>
          </cell>
          <cell r="E128" t="str">
            <v>A incluir</v>
          </cell>
        </row>
        <row r="129">
          <cell r="A129">
            <v>40862</v>
          </cell>
          <cell r="B129" t="str">
            <v>Obturação de buracos c/ PMF exclusive fornecimento e transporte dos materiais betuminosos</v>
          </cell>
          <cell r="C129" t="str">
            <v>t</v>
          </cell>
          <cell r="D129" t="str">
            <v>345,37</v>
          </cell>
          <cell r="E129" t="str">
            <v>A incluir</v>
          </cell>
        </row>
        <row r="130">
          <cell r="A130">
            <v>40859</v>
          </cell>
          <cell r="B130" t="str">
            <v>Obturação de buracos c/ PMF inclusive fornecimento e transporte comercial da emulsão</v>
          </cell>
          <cell r="C130" t="str">
            <v>m²</v>
          </cell>
          <cell r="D130" t="str">
            <v>47,34</v>
          </cell>
          <cell r="E130" t="str">
            <v>A incluir</v>
          </cell>
        </row>
        <row r="131">
          <cell r="A131">
            <v>40863</v>
          </cell>
          <cell r="B131" t="str">
            <v>Obturação de buracos c/ PMF inclusive fornecimento e transporte dos materiais betuminosos</v>
          </cell>
          <cell r="C131" t="str">
            <v>t</v>
          </cell>
          <cell r="D131" t="str">
            <v>489,05</v>
          </cell>
          <cell r="E131" t="str">
            <v>A incluir</v>
          </cell>
        </row>
        <row r="132">
          <cell r="A132">
            <v>40883</v>
          </cell>
          <cell r="B132" t="str">
            <v>Pavimentação com blocos de concreto (35 MPa), esp.-&gt; 06 cm, sobre colchão areia esp.-&gt; 5 cm, inclusive fornecimento e transporte dos blocos e areia</v>
          </cell>
          <cell r="C132" t="str">
            <v>m²</v>
          </cell>
          <cell r="D132" t="str">
            <v>64,72</v>
          </cell>
          <cell r="E132" t="str">
            <v>A incluir</v>
          </cell>
        </row>
        <row r="133">
          <cell r="A133">
            <v>40885</v>
          </cell>
          <cell r="B133" t="str">
            <v>Pavimentação com blocos de concreto (35 MPa), esp. -&gt; 10 cm, sobre colchão areia esp.-&gt; 5cm, inclusive fornecimento e transporte dos blocos e areia</v>
          </cell>
          <cell r="C133" t="str">
            <v>m²</v>
          </cell>
          <cell r="D133" t="str">
            <v>89,04</v>
          </cell>
          <cell r="E133" t="str">
            <v>A incluir</v>
          </cell>
        </row>
        <row r="134">
          <cell r="A134">
            <v>40897</v>
          </cell>
          <cell r="B134" t="str">
            <v>Pavimentação com blocos de concreto (35 MPa), esp.-&gt; 06cm, sobre colchão areia esp.-&gt;5cm, inclusive fornecim. do bloco e areia, exclus. transp.materiais</v>
          </cell>
          <cell r="C134" t="str">
            <v>m²</v>
          </cell>
          <cell r="D134" t="str">
            <v>64,72</v>
          </cell>
          <cell r="E134">
            <v>0</v>
          </cell>
        </row>
        <row r="135">
          <cell r="A135">
            <v>40884</v>
          </cell>
          <cell r="B135" t="str">
            <v>Pavimentação com blocos de concreto (35 MPa), esp.-&gt; 08 cm, colchão areia esp.-&gt; 5cm, inclusive fornecimento e transporte dos blocos e areia</v>
          </cell>
          <cell r="C135" t="str">
            <v>m²</v>
          </cell>
          <cell r="D135" t="str">
            <v>72,73</v>
          </cell>
          <cell r="E135" t="str">
            <v>A incluir</v>
          </cell>
        </row>
        <row r="136">
          <cell r="A136">
            <v>40898</v>
          </cell>
          <cell r="B136" t="str">
            <v>Pavimentação com blocos de concreto (35 MPa) esp.-&gt;08 cm,colchão areia esp.-&gt;5cm, inclusive fornecim. do bloco e areia, exclusive transp. blocos e areia</v>
          </cell>
          <cell r="C136" t="str">
            <v>m²</v>
          </cell>
          <cell r="D136" t="str">
            <v>72,73</v>
          </cell>
          <cell r="E136">
            <v>0</v>
          </cell>
        </row>
        <row r="137">
          <cell r="A137">
            <v>40896</v>
          </cell>
          <cell r="B137" t="str">
            <v>Pavimentação com blocos de concreto (35MPa), esp.-&gt;10 cm, sobre colchão de areia esp.-&gt;5cm, inclusive fornecim. do bloco e areia , exclusive transportes</v>
          </cell>
          <cell r="C137" t="str">
            <v>m²</v>
          </cell>
          <cell r="D137" t="str">
            <v>89,04</v>
          </cell>
          <cell r="E137">
            <v>0</v>
          </cell>
        </row>
        <row r="138">
          <cell r="A138">
            <v>40886</v>
          </cell>
          <cell r="B138" t="str">
            <v>Pavimentação com paralelepípedo, sobre colchão areia esp.-&gt; 5cm, inclus. fornecimento e transport. da areia, exclus. fornecim. e transp. paralelepípedo</v>
          </cell>
          <cell r="C138" t="str">
            <v>m²</v>
          </cell>
          <cell r="D138" t="str">
            <v>27,58</v>
          </cell>
          <cell r="E138" t="str">
            <v>A incluir</v>
          </cell>
        </row>
        <row r="139">
          <cell r="A139">
            <v>40887</v>
          </cell>
          <cell r="B139" t="str">
            <v>Pavimentação com paralelepípedo, sobre colchão areia esp.-&gt; 5cm, inclusive fornecimento e transporte do paralelepípedo e areia</v>
          </cell>
          <cell r="C139" t="str">
            <v>m²</v>
          </cell>
          <cell r="D139" t="str">
            <v>85,91</v>
          </cell>
          <cell r="E139" t="str">
            <v>A incluir</v>
          </cell>
        </row>
        <row r="140">
          <cell r="A140">
            <v>40888</v>
          </cell>
          <cell r="B140" t="str">
            <v>Pavimentação com paralelepípedo, sobre colchão pó de pedra esp.-&gt; 5cm, inclusive fornecimento e transporte do paralelepípedo e pó de pedra</v>
          </cell>
          <cell r="C140" t="str">
            <v>m²</v>
          </cell>
          <cell r="D140" t="str">
            <v>84,60</v>
          </cell>
          <cell r="E140" t="str">
            <v>A incluir</v>
          </cell>
        </row>
        <row r="141">
          <cell r="A141">
            <v>40889</v>
          </cell>
          <cell r="B141" t="str">
            <v>Pavimentação com pedra portuguesa, inclusive fornecimento e transporte da pedra portuguesa, cimento e areia</v>
          </cell>
          <cell r="C141" t="str">
            <v>m²</v>
          </cell>
          <cell r="D141" t="str">
            <v>104,42</v>
          </cell>
          <cell r="E141" t="str">
            <v>A incluir</v>
          </cell>
        </row>
        <row r="142">
          <cell r="A142">
            <v>40818</v>
          </cell>
          <cell r="B142" t="str">
            <v>Pintura de ligação exclusive fornecimento e transporte comercial do material betuminoso</v>
          </cell>
          <cell r="C142" t="str">
            <v>m²</v>
          </cell>
          <cell r="D142" t="str">
            <v>0,57</v>
          </cell>
          <cell r="E142">
            <v>0</v>
          </cell>
        </row>
        <row r="143">
          <cell r="A143">
            <v>40819</v>
          </cell>
          <cell r="B143" t="str">
            <v>Pintura de ligação inclusive fornecimento e transporte comercial do material betuminoso</v>
          </cell>
          <cell r="C143" t="str">
            <v>m²</v>
          </cell>
          <cell r="D143" t="str">
            <v>1,50</v>
          </cell>
          <cell r="E143" t="str">
            <v>A incluir</v>
          </cell>
        </row>
        <row r="144">
          <cell r="A144">
            <v>40872</v>
          </cell>
          <cell r="B144" t="str">
            <v>PMF camada pronta exclusive fornecimento e transporte comercial da emulsão</v>
          </cell>
          <cell r="C144" t="str">
            <v>t</v>
          </cell>
          <cell r="D144" t="str">
            <v>63,75</v>
          </cell>
          <cell r="E144" t="str">
            <v>A incluir</v>
          </cell>
        </row>
        <row r="145">
          <cell r="A145">
            <v>40836</v>
          </cell>
          <cell r="B145" t="str">
            <v>PMF (massa asfáltica) exclusive fornecimento e transporte comercial da emulsão</v>
          </cell>
          <cell r="C145" t="str">
            <v>t</v>
          </cell>
          <cell r="D145" t="str">
            <v>45,27</v>
          </cell>
          <cell r="E145" t="str">
            <v>A incluir</v>
          </cell>
        </row>
        <row r="146">
          <cell r="A146">
            <v>40837</v>
          </cell>
          <cell r="B146" t="str">
            <v>PMF (massa asfáltica) inclusive fornecimento e transporte comercial da emulsão</v>
          </cell>
          <cell r="C146" t="str">
            <v>t</v>
          </cell>
          <cell r="D146" t="str">
            <v>170,65</v>
          </cell>
          <cell r="E146" t="str">
            <v>A incluir</v>
          </cell>
        </row>
        <row r="147">
          <cell r="A147">
            <v>41076</v>
          </cell>
          <cell r="B147" t="str">
            <v>Pó de pedra, fornecimento</v>
          </cell>
          <cell r="C147" t="str">
            <v>m³</v>
          </cell>
          <cell r="D147" t="str">
            <v>46,66</v>
          </cell>
          <cell r="E147">
            <v>0</v>
          </cell>
        </row>
        <row r="148">
          <cell r="A148">
            <v>41556</v>
          </cell>
          <cell r="B148" t="str">
            <v>Pó de pedra, fornecimento e espalhamento</v>
          </cell>
          <cell r="C148" t="str">
            <v>m³</v>
          </cell>
          <cell r="D148" t="str">
            <v>50,29</v>
          </cell>
          <cell r="E148" t="str">
            <v>A incluir</v>
          </cell>
        </row>
        <row r="149">
          <cell r="A149">
            <v>43345</v>
          </cell>
          <cell r="B149" t="str">
            <v>Produção de brita no canteiro, exclusive o desmonte e fragmentação de rocha</v>
          </cell>
          <cell r="C149" t="str">
            <v>m³</v>
          </cell>
          <cell r="D149" t="str">
            <v>24,97</v>
          </cell>
          <cell r="E149">
            <v>0</v>
          </cell>
        </row>
        <row r="150">
          <cell r="A150">
            <v>40720</v>
          </cell>
          <cell r="B150" t="str">
            <v>Produção de brita no canteiro, inclusive o desmonte e fragmentação de rocha</v>
          </cell>
          <cell r="C150" t="str">
            <v>m³</v>
          </cell>
          <cell r="D150" t="str">
            <v>59,61</v>
          </cell>
          <cell r="E150">
            <v>0</v>
          </cell>
        </row>
        <row r="151">
          <cell r="A151">
            <v>41070</v>
          </cell>
          <cell r="B151" t="str">
            <v>Reciclagem de pavimento (base) c/ adição de 20% de brita1, 10% de brita 0 e 2% de cimento, inclusive fornecimento e transportes dos materiais</v>
          </cell>
          <cell r="C151" t="str">
            <v>m³</v>
          </cell>
          <cell r="D151" t="str">
            <v>86,96</v>
          </cell>
          <cell r="E151" t="str">
            <v>A incluir</v>
          </cell>
        </row>
        <row r="152">
          <cell r="A152">
            <v>41134</v>
          </cell>
          <cell r="B152" t="str">
            <v>Reciclagem de pavimento (base) c/ adição de 20% de brita1, 10% de brita0 e 2% de cimento, inclusive fornecimento e transportes dos materiais</v>
          </cell>
          <cell r="C152" t="str">
            <v>m³</v>
          </cell>
          <cell r="D152" t="str">
            <v>87,82</v>
          </cell>
          <cell r="E152" t="str">
            <v>A incluir</v>
          </cell>
        </row>
        <row r="153">
          <cell r="A153">
            <v>40984</v>
          </cell>
          <cell r="B153" t="str">
            <v>Reciclagem de pavimento (Base existente + CBUQ) sem adição de materiais</v>
          </cell>
          <cell r="C153" t="str">
            <v>m³</v>
          </cell>
          <cell r="D153" t="str">
            <v>38,69</v>
          </cell>
          <cell r="E153">
            <v>0</v>
          </cell>
        </row>
        <row r="154">
          <cell r="A154">
            <v>41330</v>
          </cell>
          <cell r="B154" t="str">
            <v>Reciclagem de pavimento (base existente + T.S.D.) c/ adição de 3% de cimento e 15% de brita, inclusive fornecimento e transporte dos materiais</v>
          </cell>
          <cell r="C154" t="str">
            <v>m³</v>
          </cell>
          <cell r="D154" t="str">
            <v>74,40</v>
          </cell>
          <cell r="E154" t="str">
            <v>A incluir</v>
          </cell>
        </row>
        <row r="155">
          <cell r="A155">
            <v>41356</v>
          </cell>
          <cell r="B155" t="str">
            <v>Reciclagem de pavimento (Base existente + T.S.D.) c/ adição de 30% de brita, inclusive fornecimento e transporte da brita</v>
          </cell>
          <cell r="C155" t="str">
            <v>m³</v>
          </cell>
          <cell r="D155" t="str">
            <v>84,57</v>
          </cell>
          <cell r="E155" t="str">
            <v>A incluir</v>
          </cell>
        </row>
        <row r="156">
          <cell r="A156">
            <v>40774</v>
          </cell>
          <cell r="B156" t="str">
            <v>Reciclagem de pavimento (Base existente + T.S.D.) c/ adição de 30% de brita, inclusive fornecimento, exclusive transporte da brita</v>
          </cell>
          <cell r="C156" t="str">
            <v>m³</v>
          </cell>
          <cell r="D156" t="str">
            <v>84,57</v>
          </cell>
          <cell r="E156">
            <v>0</v>
          </cell>
        </row>
        <row r="157">
          <cell r="A157">
            <v>40768</v>
          </cell>
          <cell r="B157" t="str">
            <v>Reciclagem de pavimento (Base existente + T.S.D.) com adição de 20% de brita, inclusive fornecimento e transporte da brita.</v>
          </cell>
          <cell r="C157" t="str">
            <v>m³</v>
          </cell>
          <cell r="D157" t="str">
            <v>75,25</v>
          </cell>
          <cell r="E157" t="str">
            <v>A incluir</v>
          </cell>
        </row>
        <row r="158">
          <cell r="A158">
            <v>40767</v>
          </cell>
          <cell r="B158" t="str">
            <v>Reciclagem de pavimento (Base existente + T.S.D.) com adição de 3% de cimento, inclusive fornecimento e tarnsporte do cimento</v>
          </cell>
          <cell r="C158" t="str">
            <v>m³</v>
          </cell>
          <cell r="D158" t="str">
            <v>79,11</v>
          </cell>
          <cell r="E158" t="str">
            <v>A incluir</v>
          </cell>
        </row>
        <row r="159">
          <cell r="A159">
            <v>40769</v>
          </cell>
          <cell r="B159" t="str">
            <v>Reciclagem de pavimento (Base existente + T.S.D.) com adição de 40% de brita, inclusive fornecimento e transporte da brita.</v>
          </cell>
          <cell r="C159" t="str">
            <v>m³</v>
          </cell>
          <cell r="D159" t="str">
            <v>93,87</v>
          </cell>
          <cell r="E159" t="str">
            <v>A incluir</v>
          </cell>
        </row>
        <row r="160">
          <cell r="A160">
            <v>40766</v>
          </cell>
          <cell r="B160" t="str">
            <v>Reciclagem de pavimento (Base existente + T.S.D.) sem adição de materiais</v>
          </cell>
          <cell r="C160" t="str">
            <v>m³</v>
          </cell>
          <cell r="D160" t="str">
            <v>42,22</v>
          </cell>
          <cell r="E160">
            <v>0</v>
          </cell>
        </row>
        <row r="161">
          <cell r="A161">
            <v>40771</v>
          </cell>
          <cell r="B161" t="str">
            <v>Reciclagem de pavimento (Base existente+TSD) com adição de Ligante Betuminoso, inclusive fornecimento e transporte da emulsão</v>
          </cell>
          <cell r="C161" t="str">
            <v>m³</v>
          </cell>
          <cell r="D161" t="str">
            <v>145,35</v>
          </cell>
          <cell r="E161" t="str">
            <v>A incluir</v>
          </cell>
        </row>
        <row r="162">
          <cell r="A162">
            <v>40773</v>
          </cell>
          <cell r="B162" t="str">
            <v>Reciclagem de pavimento com adição de 2% de cimento, inclusive fornecimento e transporte do cimento</v>
          </cell>
          <cell r="C162" t="str">
            <v>m³</v>
          </cell>
          <cell r="D162" t="str">
            <v>66,66</v>
          </cell>
          <cell r="E162" t="str">
            <v>A incluir</v>
          </cell>
        </row>
        <row r="163">
          <cell r="A163">
            <v>40775</v>
          </cell>
          <cell r="B163" t="str">
            <v>Reciclagem de pavimento(Base existente + T.S.D.) com adição de 40% de brita, inclusive fornecimento, exclusive transporte da brita</v>
          </cell>
          <cell r="C163" t="str">
            <v>m³</v>
          </cell>
          <cell r="D163" t="str">
            <v>93,87</v>
          </cell>
          <cell r="E163">
            <v>0</v>
          </cell>
        </row>
        <row r="164">
          <cell r="A164">
            <v>40762</v>
          </cell>
          <cell r="B164" t="str">
            <v>Recuperação de base de acostamento exclusive transporte do material (solo)</v>
          </cell>
          <cell r="C164" t="str">
            <v>m²</v>
          </cell>
          <cell r="D164" t="str">
            <v>5,05</v>
          </cell>
          <cell r="E164">
            <v>0</v>
          </cell>
        </row>
        <row r="165">
          <cell r="A165">
            <v>40804</v>
          </cell>
          <cell r="B165" t="str">
            <v>Recuperação de base de acostamentos, inclusive fornecimento e transporte da brita</v>
          </cell>
          <cell r="C165" t="str">
            <v>m²</v>
          </cell>
          <cell r="D165" t="str">
            <v>8,75</v>
          </cell>
          <cell r="E165" t="str">
            <v>A incluir</v>
          </cell>
        </row>
        <row r="166">
          <cell r="A166">
            <v>40811</v>
          </cell>
          <cell r="B166" t="str">
            <v>Reestabilização da base com adição de 50% de brita, inclusive fonecimento, exclusive transporte da brita</v>
          </cell>
          <cell r="C166" t="str">
            <v>m³</v>
          </cell>
          <cell r="D166" t="str">
            <v>62,11</v>
          </cell>
          <cell r="E166">
            <v>0</v>
          </cell>
        </row>
        <row r="167">
          <cell r="A167">
            <v>42211</v>
          </cell>
          <cell r="B167" t="str">
            <v>Reestabilização de base com adição de 50% de brita, inclusive fornecimento e transporte da brita</v>
          </cell>
          <cell r="C167" t="str">
            <v>m³</v>
          </cell>
          <cell r="D167" t="str">
            <v>62,11</v>
          </cell>
          <cell r="E167" t="str">
            <v>A incluir</v>
          </cell>
        </row>
        <row r="168">
          <cell r="A168">
            <v>40756</v>
          </cell>
          <cell r="B168" t="str">
            <v>Reforço do sub leito 100% P.I.</v>
          </cell>
          <cell r="C168" t="str">
            <v>m³</v>
          </cell>
          <cell r="D168" t="str">
            <v>13,52</v>
          </cell>
          <cell r="E168">
            <v>0</v>
          </cell>
        </row>
        <row r="169">
          <cell r="A169">
            <v>40753</v>
          </cell>
          <cell r="B169" t="str">
            <v>Regularização e compactação do sub-leito (100% P.I.) H -&gt; 0,15 m</v>
          </cell>
          <cell r="C169" t="str">
            <v>m²</v>
          </cell>
          <cell r="D169" t="str">
            <v>3,03</v>
          </cell>
          <cell r="E169">
            <v>0</v>
          </cell>
        </row>
        <row r="170">
          <cell r="A170">
            <v>40754</v>
          </cell>
          <cell r="B170" t="str">
            <v>Regularização e compactação do sub-leito (100% P.I.) H -&gt; 0,20 m</v>
          </cell>
          <cell r="C170" t="str">
            <v>m²</v>
          </cell>
          <cell r="D170" t="str">
            <v>4,04</v>
          </cell>
          <cell r="E170">
            <v>0</v>
          </cell>
        </row>
        <row r="171">
          <cell r="A171">
            <v>40751</v>
          </cell>
          <cell r="B171" t="str">
            <v>Regularização e compactação do sub-leito (100% P.N.) H -&gt; 0,15m</v>
          </cell>
          <cell r="C171" t="str">
            <v>m²</v>
          </cell>
          <cell r="D171" t="str">
            <v>2,72</v>
          </cell>
          <cell r="E171">
            <v>0</v>
          </cell>
        </row>
        <row r="172">
          <cell r="A172">
            <v>40752</v>
          </cell>
          <cell r="B172" t="str">
            <v>Regularização e compactação do sub-leito (100% P.N.) H -&gt; 0,20 m</v>
          </cell>
          <cell r="C172" t="str">
            <v>m²</v>
          </cell>
          <cell r="D172" t="str">
            <v>3,62</v>
          </cell>
          <cell r="E172">
            <v>0</v>
          </cell>
        </row>
        <row r="173">
          <cell r="A173">
            <v>40866</v>
          </cell>
          <cell r="B173" t="str">
            <v>Remoção de capa asfáltica em TSS, TSD, ou TST exclusive transporte</v>
          </cell>
          <cell r="C173" t="str">
            <v>m²</v>
          </cell>
          <cell r="D173" t="str">
            <v>0,68</v>
          </cell>
          <cell r="E173">
            <v>0</v>
          </cell>
        </row>
        <row r="174">
          <cell r="A174">
            <v>40893</v>
          </cell>
          <cell r="B174" t="str">
            <v>Remoção de meio fio</v>
          </cell>
          <cell r="C174" t="str">
            <v>m</v>
          </cell>
          <cell r="D174" t="str">
            <v>18,53</v>
          </cell>
          <cell r="E174">
            <v>0</v>
          </cell>
        </row>
        <row r="175">
          <cell r="A175">
            <v>40891</v>
          </cell>
          <cell r="B175" t="str">
            <v>Remoção de pavimentação poliédrica</v>
          </cell>
          <cell r="C175" t="str">
            <v>m²</v>
          </cell>
          <cell r="D175" t="str">
            <v>14,98</v>
          </cell>
          <cell r="E175">
            <v>0</v>
          </cell>
        </row>
        <row r="176">
          <cell r="A176">
            <v>40890</v>
          </cell>
          <cell r="B176" t="str">
            <v>Remoção e reassentamento de blocos de concreto, inclusive perdas</v>
          </cell>
          <cell r="C176" t="str">
            <v>m²</v>
          </cell>
          <cell r="D176" t="str">
            <v>53,51</v>
          </cell>
          <cell r="E176" t="str">
            <v>A incluir</v>
          </cell>
        </row>
        <row r="177">
          <cell r="A177">
            <v>40892</v>
          </cell>
          <cell r="B177" t="str">
            <v>Remoção e reassentamento de paralelepípedos, inclusive perdas, colchão de areia e transportes de areia e paralelepípedo</v>
          </cell>
          <cell r="C177" t="str">
            <v>m²</v>
          </cell>
          <cell r="D177" t="str">
            <v>53,20</v>
          </cell>
          <cell r="E177" t="str">
            <v>A incluir</v>
          </cell>
        </row>
        <row r="178">
          <cell r="A178">
            <v>40749</v>
          </cell>
          <cell r="B178" t="str">
            <v>Revestimento em estradas vicinais (saibro)</v>
          </cell>
          <cell r="C178" t="str">
            <v>m²</v>
          </cell>
          <cell r="D178" t="str">
            <v>0,14</v>
          </cell>
          <cell r="E178">
            <v>0</v>
          </cell>
        </row>
        <row r="179">
          <cell r="A179">
            <v>40750</v>
          </cell>
          <cell r="B179" t="str">
            <v>Revestimento primário, espalhamento e compactação (espessura até 0,15m)</v>
          </cell>
          <cell r="C179" t="str">
            <v>m²</v>
          </cell>
          <cell r="D179" t="str">
            <v>0,66</v>
          </cell>
          <cell r="E179">
            <v>0</v>
          </cell>
        </row>
        <row r="180">
          <cell r="A180">
            <v>40792</v>
          </cell>
          <cell r="B180" t="str">
            <v>Sub-base c/ mistura de argila 30%, pó de pedra 30% e brita 40%, inclusive fornecimento e transporte do pó de pedra e da brita</v>
          </cell>
          <cell r="C180" t="str">
            <v>m³</v>
          </cell>
          <cell r="D180" t="str">
            <v>76,39</v>
          </cell>
          <cell r="E180" t="str">
            <v>A incluir</v>
          </cell>
        </row>
        <row r="181">
          <cell r="A181">
            <v>40794</v>
          </cell>
          <cell r="B181" t="str">
            <v>Sub-base c/ mistura de solo 80% e areia 20%, inclusive transporte da areia</v>
          </cell>
          <cell r="C181" t="str">
            <v>m³</v>
          </cell>
          <cell r="D181" t="str">
            <v>38,44</v>
          </cell>
          <cell r="E181" t="str">
            <v>A incluir</v>
          </cell>
        </row>
        <row r="182">
          <cell r="A182">
            <v>40796</v>
          </cell>
          <cell r="B182" t="str">
            <v>Sub-base com mistura de argila 70% e escória de aciaria 30%, inclusive fornecim. e transporte da escória, exceto fornecimento e transporte da argila</v>
          </cell>
          <cell r="C182" t="str">
            <v>m³</v>
          </cell>
          <cell r="D182" t="str">
            <v>40,40</v>
          </cell>
          <cell r="E182" t="str">
            <v>A incluir</v>
          </cell>
        </row>
        <row r="183">
          <cell r="A183">
            <v>41098</v>
          </cell>
          <cell r="B183" t="str">
            <v>Sub-base com solo/escória na proporção 70:30, inclusive fornecimento da escória, exceto fornecimento do solo e transporte do solo e escória</v>
          </cell>
          <cell r="C183" t="str">
            <v>m³</v>
          </cell>
          <cell r="D183" t="str">
            <v>40,40</v>
          </cell>
          <cell r="E183">
            <v>0</v>
          </cell>
        </row>
        <row r="184">
          <cell r="A184">
            <v>40786</v>
          </cell>
          <cell r="B184" t="str">
            <v>Sub-base de brita graduada, inclusive fornecimento e transporte da brita</v>
          </cell>
          <cell r="C184" t="str">
            <v>m³</v>
          </cell>
          <cell r="D184" t="str">
            <v>104,09</v>
          </cell>
          <cell r="E184" t="str">
            <v>A incluir</v>
          </cell>
        </row>
        <row r="185">
          <cell r="A185">
            <v>43327</v>
          </cell>
          <cell r="B185" t="str">
            <v>Sub-base de brita graduada, inclusive fornecimento, exclusive transporte da brita</v>
          </cell>
          <cell r="C185" t="str">
            <v>m³</v>
          </cell>
          <cell r="D185" t="str">
            <v>104,09</v>
          </cell>
          <cell r="E185">
            <v>0</v>
          </cell>
        </row>
        <row r="186">
          <cell r="A186">
            <v>42675</v>
          </cell>
          <cell r="B186" t="str">
            <v>Sub-base de brita 1, inclusive fornecimento, exclusive transporte da brita</v>
          </cell>
          <cell r="C186" t="str">
            <v>m³</v>
          </cell>
          <cell r="D186" t="str">
            <v>101,27</v>
          </cell>
          <cell r="E186">
            <v>0</v>
          </cell>
        </row>
        <row r="187">
          <cell r="A187">
            <v>40802</v>
          </cell>
          <cell r="B187" t="str">
            <v>Sub-base de escória de aciaria, inclusive fornecimento e transporte da escória</v>
          </cell>
          <cell r="C187" t="str">
            <v>m³</v>
          </cell>
          <cell r="D187" t="str">
            <v>85,41</v>
          </cell>
          <cell r="E187" t="str">
            <v>A incluir</v>
          </cell>
        </row>
        <row r="188">
          <cell r="A188">
            <v>41074</v>
          </cell>
          <cell r="B188" t="str">
            <v>Sub-base de solo brita, 50% em peso, inclusive fornecimento, exclusive transporte da brita</v>
          </cell>
          <cell r="C188" t="str">
            <v>m³</v>
          </cell>
          <cell r="D188" t="str">
            <v>62,84</v>
          </cell>
          <cell r="E188">
            <v>0</v>
          </cell>
        </row>
        <row r="189">
          <cell r="A189">
            <v>40776</v>
          </cell>
          <cell r="B189" t="str">
            <v>Sub-base solo brita, 20% em peso, inclusive fornecimento e transporte da brita.</v>
          </cell>
          <cell r="C189" t="str">
            <v>m³</v>
          </cell>
          <cell r="D189" t="str">
            <v>37,34</v>
          </cell>
          <cell r="E189" t="str">
            <v>A incluir</v>
          </cell>
        </row>
        <row r="190">
          <cell r="A190">
            <v>40778</v>
          </cell>
          <cell r="B190" t="str">
            <v>Sub-base solo brita, 30% em peso, inclusive fornecimento e transporte da brita</v>
          </cell>
          <cell r="C190" t="str">
            <v>m³</v>
          </cell>
          <cell r="D190" t="str">
            <v>44,60</v>
          </cell>
          <cell r="E190" t="str">
            <v>A incluir</v>
          </cell>
        </row>
        <row r="191">
          <cell r="A191">
            <v>40780</v>
          </cell>
          <cell r="B191" t="str">
            <v>Sub-base solo brita, 50% em peso, inclusive fornecimento e transporte da brita</v>
          </cell>
          <cell r="C191" t="str">
            <v>m³</v>
          </cell>
          <cell r="D191" t="str">
            <v>65,17</v>
          </cell>
          <cell r="E191" t="str">
            <v>A incluir</v>
          </cell>
        </row>
        <row r="192">
          <cell r="A192">
            <v>40782</v>
          </cell>
          <cell r="B192" t="str">
            <v>Sub-base solo brita, 70% em peso, inclusive fornecimento e transporte da brita</v>
          </cell>
          <cell r="C192" t="str">
            <v>m³</v>
          </cell>
          <cell r="D192" t="str">
            <v>83,88</v>
          </cell>
          <cell r="E192" t="str">
            <v>A incluir</v>
          </cell>
        </row>
        <row r="193">
          <cell r="A193">
            <v>40830</v>
          </cell>
          <cell r="B193" t="str">
            <v>T.S.B.D. com capa selante exclusive fornecimento e transporte comercial da emulsão, inclusive lavagem da brita e transporte da areia e brita</v>
          </cell>
          <cell r="C193" t="str">
            <v>m²</v>
          </cell>
          <cell r="D193" t="str">
            <v>6,48</v>
          </cell>
          <cell r="E193" t="str">
            <v>A incluir</v>
          </cell>
        </row>
        <row r="194">
          <cell r="A194">
            <v>40873</v>
          </cell>
          <cell r="B194" t="str">
            <v>T.S.B.D. com capa selante, executado c/ Multidistribuidor exclus. forn. e transp. com. da emulsão, inclus. lavagem brita e transp. comerc.areia, brita</v>
          </cell>
          <cell r="C194" t="str">
            <v>m²</v>
          </cell>
          <cell r="D194" t="str">
            <v>5,27</v>
          </cell>
          <cell r="E194" t="str">
            <v>A incluir</v>
          </cell>
        </row>
        <row r="195">
          <cell r="A195">
            <v>40876</v>
          </cell>
          <cell r="B195" t="str">
            <v>T.S.B.D. com capa selante executado c/ Multidistribuidor,inclus.fornec.areia/brita e lavagem brita, excl.fornec.da emulsão e trnasp.todos os materiais</v>
          </cell>
          <cell r="C195" t="str">
            <v>m²</v>
          </cell>
          <cell r="D195" t="str">
            <v>5,71</v>
          </cell>
          <cell r="E195">
            <v>0</v>
          </cell>
        </row>
        <row r="196">
          <cell r="A196">
            <v>41363</v>
          </cell>
          <cell r="B196" t="str">
            <v>T.S.B.D. com capa selante, executado com Multidistribuidor inclusive fornecimento, transporte comercial dos materiais e lavagem da brita</v>
          </cell>
          <cell r="C196" t="str">
            <v>m²</v>
          </cell>
          <cell r="D196" t="str">
            <v>8,40</v>
          </cell>
          <cell r="E196" t="str">
            <v>A incluir</v>
          </cell>
        </row>
        <row r="197">
          <cell r="A197">
            <v>40831</v>
          </cell>
          <cell r="B197" t="str">
            <v>T.S.B.D. com capa selante inclusive fornecimento e transporte comercial dos materiais e lavagem da brita</v>
          </cell>
          <cell r="C197" t="str">
            <v>m²</v>
          </cell>
          <cell r="D197" t="str">
            <v>11,74</v>
          </cell>
          <cell r="E197" t="str">
            <v>A incluir</v>
          </cell>
        </row>
        <row r="198">
          <cell r="A198">
            <v>40827</v>
          </cell>
          <cell r="B198" t="str">
            <v>T.S.B.D. sem capa selante, inclusive fornecimento e transporte comercial dos materiais e lavagem de brita</v>
          </cell>
          <cell r="C198" t="str">
            <v>m²</v>
          </cell>
          <cell r="D198" t="str">
            <v>7,85</v>
          </cell>
          <cell r="E198" t="str">
            <v>A incluir</v>
          </cell>
        </row>
        <row r="199">
          <cell r="A199">
            <v>40828</v>
          </cell>
          <cell r="B199" t="str">
            <v>T.S.B.D. sem capa selante exclusive fornecimento e transporte comercial da emulsão, inclusive lavagem e transporte comercial da brita</v>
          </cell>
          <cell r="C199" t="str">
            <v>m²</v>
          </cell>
          <cell r="D199" t="str">
            <v>5,88</v>
          </cell>
          <cell r="E199" t="str">
            <v>A incluir</v>
          </cell>
        </row>
        <row r="200">
          <cell r="A200">
            <v>40874</v>
          </cell>
          <cell r="B200" t="str">
            <v>T.S.B.D. sem capa selante, executado c/ Multidistribuidor exclusive fornec.e transp. comercial da emulsão, inclusive lavagem e transp. comerc.da brita</v>
          </cell>
          <cell r="C200" t="str">
            <v>m²</v>
          </cell>
          <cell r="D200" t="str">
            <v>5,80</v>
          </cell>
          <cell r="E200" t="str">
            <v>A incluir</v>
          </cell>
        </row>
        <row r="201">
          <cell r="A201">
            <v>40875</v>
          </cell>
          <cell r="B201" t="str">
            <v>T.S.B.D. sem capa selante executado com Multidistribuidor excl. forn. da emulsão e transp. comerciais da emulsão e da brita, inclus. lavagem da brita</v>
          </cell>
          <cell r="C201" t="str">
            <v>m²</v>
          </cell>
          <cell r="D201" t="str">
            <v>5,57</v>
          </cell>
          <cell r="E201">
            <v>0</v>
          </cell>
        </row>
        <row r="202">
          <cell r="A202">
            <v>40829</v>
          </cell>
          <cell r="B202" t="str">
            <v>T.S.B.D. sem capa selante inclusive fornecimento e transporte comercial dos materiais e lavagem da brita</v>
          </cell>
          <cell r="C202" t="str">
            <v>m²</v>
          </cell>
          <cell r="D202" t="str">
            <v>10,73</v>
          </cell>
          <cell r="E202" t="str">
            <v>A incluir</v>
          </cell>
        </row>
        <row r="203">
          <cell r="A203">
            <v>40824</v>
          </cell>
          <cell r="B203" t="str">
            <v>T.S.B.S. com capa selante exclusive fornecimento e transporte comercial da emulsão, inclusive lavagem e transporte comercial da brita</v>
          </cell>
          <cell r="C203" t="str">
            <v>m²</v>
          </cell>
          <cell r="D203" t="str">
            <v>3,70</v>
          </cell>
          <cell r="E203" t="str">
            <v>A incluir</v>
          </cell>
        </row>
        <row r="204">
          <cell r="A204">
            <v>40825</v>
          </cell>
          <cell r="B204" t="str">
            <v>T.S.B.S. com capa selante inclusive fornecimento e transporte comercial dos materiais e lavagem da brita</v>
          </cell>
          <cell r="C204" t="str">
            <v>m²</v>
          </cell>
          <cell r="D204" t="str">
            <v>5,67</v>
          </cell>
          <cell r="E204" t="str">
            <v>A incluir</v>
          </cell>
        </row>
        <row r="205">
          <cell r="A205">
            <v>40820</v>
          </cell>
          <cell r="B205" t="str">
            <v>T.S.B.S. exclusive fornecimento e transporte comercial do material betuminoso, inclusive fornecimento, transporte e lavagem da brita</v>
          </cell>
          <cell r="C205" t="str">
            <v>m²</v>
          </cell>
          <cell r="D205" t="str">
            <v>3,38</v>
          </cell>
          <cell r="E205" t="str">
            <v>A incluir</v>
          </cell>
        </row>
        <row r="206">
          <cell r="A206">
            <v>40821</v>
          </cell>
          <cell r="B206" t="str">
            <v>T.S.B.S. inclusive fornecimento e transporte comercial dos materiais e lavagem da brita</v>
          </cell>
          <cell r="C206" t="str">
            <v>m²</v>
          </cell>
          <cell r="D206" t="str">
            <v>5,35</v>
          </cell>
          <cell r="E206" t="str">
            <v>A incluir</v>
          </cell>
        </row>
        <row r="207">
          <cell r="A207">
            <v>40840</v>
          </cell>
          <cell r="B207" t="str">
            <v>Usinagem de concreto betuminoso usinado a quente (CBUQ), inclusive transporte comercial do oleo combustível</v>
          </cell>
          <cell r="C207" t="str">
            <v>t</v>
          </cell>
          <cell r="D207" t="str">
            <v>37,46</v>
          </cell>
          <cell r="E207" t="str">
            <v>A incluir</v>
          </cell>
        </row>
        <row r="208">
          <cell r="A208">
            <v>43331</v>
          </cell>
          <cell r="B208" t="str">
            <v>Usinagem de mistura de solo brita</v>
          </cell>
          <cell r="C208" t="str">
            <v>m³</v>
          </cell>
          <cell r="D208" t="str">
            <v>5,25</v>
          </cell>
          <cell r="E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 t="e">
            <v>#N/A</v>
          </cell>
        </row>
        <row r="210">
          <cell r="A210" t="str">
            <v>Grupo de Serviço: 3 - OBRAS DE ARTE CORRENTES E DRENAGEM</v>
          </cell>
          <cell r="B210">
            <v>0</v>
          </cell>
          <cell r="C210">
            <v>0</v>
          </cell>
          <cell r="D210">
            <v>0</v>
          </cell>
          <cell r="E210" t="e">
            <v>#N/A</v>
          </cell>
        </row>
        <row r="211">
          <cell r="A211">
            <v>100394</v>
          </cell>
          <cell r="B211" t="str">
            <v>Aço CA-25, fornecimento, dobragem e colocação nas formas</v>
          </cell>
          <cell r="C211" t="str">
            <v>kg</v>
          </cell>
          <cell r="D211" t="str">
            <v>8,33</v>
          </cell>
          <cell r="E211">
            <v>0</v>
          </cell>
        </row>
        <row r="212">
          <cell r="A212">
            <v>40376</v>
          </cell>
          <cell r="B212" t="str">
            <v>Aço CA-50, fornecimento, dobragem e colocação nas formas (preço médio das bitolas)</v>
          </cell>
          <cell r="C212" t="str">
            <v>kg</v>
          </cell>
          <cell r="D212" t="str">
            <v>8,14</v>
          </cell>
          <cell r="E212">
            <v>0</v>
          </cell>
        </row>
        <row r="213">
          <cell r="A213">
            <v>43351</v>
          </cell>
          <cell r="B213" t="str">
            <v>Aço CA-50 grossa, diâmetro de 12.5 a 25 mm, fornecimento, dobragem e colocação nas formas</v>
          </cell>
          <cell r="C213" t="str">
            <v>kg</v>
          </cell>
          <cell r="D213" t="str">
            <v>8,43</v>
          </cell>
          <cell r="E213">
            <v>0</v>
          </cell>
        </row>
        <row r="214">
          <cell r="A214">
            <v>43350</v>
          </cell>
          <cell r="B214" t="str">
            <v>Aço CA-50 média, diâmetro de 6.3 a 10 mm, fornecimento, dobragem e colocação nas formas</v>
          </cell>
          <cell r="C214" t="str">
            <v>kg</v>
          </cell>
          <cell r="D214" t="str">
            <v>7,79</v>
          </cell>
          <cell r="E214">
            <v>0</v>
          </cell>
        </row>
        <row r="215">
          <cell r="A215">
            <v>41261</v>
          </cell>
          <cell r="B215" t="str">
            <v>Aço CA-60 fina, diâmetro de 4.2 a 5.0 mm, fornecimento, dobragem e colocação nas formas</v>
          </cell>
          <cell r="C215" t="str">
            <v>kg</v>
          </cell>
          <cell r="D215" t="str">
            <v>7,59</v>
          </cell>
          <cell r="E215">
            <v>0</v>
          </cell>
        </row>
        <row r="216">
          <cell r="A216">
            <v>41023</v>
          </cell>
          <cell r="B216" t="str">
            <v>Aluguel mensal de escoramento tubular com tubos metálicos com até 10 metros de altura</v>
          </cell>
          <cell r="C216" t="str">
            <v>m</v>
          </cell>
          <cell r="D216" t="str">
            <v>123,01</v>
          </cell>
          <cell r="E216">
            <v>0</v>
          </cell>
        </row>
        <row r="217">
          <cell r="A217">
            <v>41575</v>
          </cell>
          <cell r="B217" t="str">
            <v>Alvenaria de bloco (39 x 19 x 09) cm espessura 09 cm, inclusive transporte da areia, cimento e bloco</v>
          </cell>
          <cell r="C217" t="str">
            <v>m²</v>
          </cell>
          <cell r="D217" t="str">
            <v>45,05</v>
          </cell>
          <cell r="E217" t="str">
            <v>A incluir</v>
          </cell>
        </row>
        <row r="218">
          <cell r="A218">
            <v>40346</v>
          </cell>
          <cell r="B218" t="str">
            <v>Alvenaria de bloco (39 x 19 x 19) cm espessura 19 cm, inclusive fornecimento e transporte do bloco, areia e cimento</v>
          </cell>
          <cell r="C218" t="str">
            <v>m²</v>
          </cell>
          <cell r="D218" t="str">
            <v>75,82</v>
          </cell>
          <cell r="E218" t="str">
            <v>A incluir</v>
          </cell>
        </row>
        <row r="219">
          <cell r="A219">
            <v>40345</v>
          </cell>
          <cell r="B219" t="str">
            <v>Alvenaria de lajota (20 x 20 x 10) cm espessura 10 cm, inclusive transporte de areia, lajota e cimento</v>
          </cell>
          <cell r="C219" t="str">
            <v>m²</v>
          </cell>
          <cell r="D219" t="str">
            <v>52,87</v>
          </cell>
          <cell r="E219" t="str">
            <v>A incluir</v>
          </cell>
        </row>
        <row r="220">
          <cell r="A220">
            <v>40343</v>
          </cell>
          <cell r="B220" t="str">
            <v>Alvenaria de pedra de mão argamassada (argamassa cimento areia 1:4), inclusive transporte da pedra</v>
          </cell>
          <cell r="C220" t="str">
            <v>m³</v>
          </cell>
          <cell r="D220" t="str">
            <v>304,64</v>
          </cell>
          <cell r="E220" t="str">
            <v>A incluir</v>
          </cell>
        </row>
        <row r="221">
          <cell r="A221">
            <v>40344</v>
          </cell>
          <cell r="B221" t="str">
            <v>Alvenaria de pedra de mão (junta seca), inclusive transporte da pedra</v>
          </cell>
          <cell r="C221" t="str">
            <v>m³</v>
          </cell>
          <cell r="D221" t="str">
            <v>205,26</v>
          </cell>
          <cell r="E221" t="str">
            <v>A incluir</v>
          </cell>
        </row>
        <row r="222">
          <cell r="A222">
            <v>41027</v>
          </cell>
          <cell r="B222" t="str">
            <v>Andaime de madeira para altura até 7 m, compreendendo montagem e desmontagem</v>
          </cell>
          <cell r="C222" t="str">
            <v>m³</v>
          </cell>
          <cell r="D222" t="str">
            <v>18,08</v>
          </cell>
          <cell r="E222">
            <v>0</v>
          </cell>
        </row>
        <row r="223">
          <cell r="A223">
            <v>40337</v>
          </cell>
          <cell r="B223" t="str">
            <v>Andaime suspenso em madeira, inclusive montagem e desmontagem</v>
          </cell>
          <cell r="C223" t="str">
            <v>m²</v>
          </cell>
          <cell r="D223" t="str">
            <v>109,58</v>
          </cell>
          <cell r="E223">
            <v>0</v>
          </cell>
        </row>
        <row r="224">
          <cell r="A224">
            <v>40395</v>
          </cell>
          <cell r="B224" t="str">
            <v>Apicoamento manual de superfície de concreto</v>
          </cell>
          <cell r="C224" t="str">
            <v>m²</v>
          </cell>
          <cell r="D224" t="str">
            <v>18,80</v>
          </cell>
          <cell r="E224">
            <v>0</v>
          </cell>
        </row>
        <row r="225">
          <cell r="A225">
            <v>40300</v>
          </cell>
          <cell r="B225" t="str">
            <v>Apiloamento manual</v>
          </cell>
          <cell r="C225" t="str">
            <v>m³</v>
          </cell>
          <cell r="D225" t="str">
            <v>39,51</v>
          </cell>
          <cell r="E225">
            <v>0</v>
          </cell>
        </row>
        <row r="226">
          <cell r="A226">
            <v>40348</v>
          </cell>
          <cell r="B226" t="str">
            <v>Argamassa cimento e areia traço 1:4, tudo incluído</v>
          </cell>
          <cell r="C226" t="str">
            <v>m³</v>
          </cell>
          <cell r="D226" t="str">
            <v>457,34</v>
          </cell>
          <cell r="E226" t="str">
            <v>A incluir</v>
          </cell>
        </row>
        <row r="227">
          <cell r="A227">
            <v>40347</v>
          </cell>
          <cell r="B227" t="str">
            <v>Argamassa cimento (nata), inclusive transporte de cimento</v>
          </cell>
          <cell r="C227" t="str">
            <v>m³</v>
          </cell>
          <cell r="D227" t="str">
            <v>949,56</v>
          </cell>
          <cell r="E227" t="str">
            <v>A incluir</v>
          </cell>
        </row>
        <row r="228">
          <cell r="A228">
            <v>41415</v>
          </cell>
          <cell r="B228" t="str">
            <v>Argamassa de cimento e areia, traço 1:4, consumo de cimento 400 kg/m³</v>
          </cell>
          <cell r="C228" t="str">
            <v>m³</v>
          </cell>
          <cell r="D228" t="str">
            <v>477,56</v>
          </cell>
          <cell r="E228" t="str">
            <v>A incluir</v>
          </cell>
        </row>
        <row r="229">
          <cell r="A229">
            <v>42257</v>
          </cell>
          <cell r="B229" t="str">
            <v>Aterro com areia, exceto fornecimento da areia</v>
          </cell>
          <cell r="C229" t="str">
            <v>m³</v>
          </cell>
          <cell r="D229" t="str">
            <v>5,57</v>
          </cell>
          <cell r="E229">
            <v>0</v>
          </cell>
        </row>
        <row r="230">
          <cell r="A230">
            <v>40519</v>
          </cell>
          <cell r="B230" t="str">
            <v>Berço de concreto ciclópico para BDTC diâmetro 0,60 m</v>
          </cell>
          <cell r="C230" t="str">
            <v>m</v>
          </cell>
          <cell r="D230" t="str">
            <v>240,45</v>
          </cell>
          <cell r="E230" t="str">
            <v>A incluir</v>
          </cell>
        </row>
        <row r="231">
          <cell r="A231">
            <v>40520</v>
          </cell>
          <cell r="B231" t="str">
            <v>Berço de concreto ciclópico para BDTC diâmetro 0,80 m</v>
          </cell>
          <cell r="C231" t="str">
            <v>m</v>
          </cell>
          <cell r="D231" t="str">
            <v>376,56</v>
          </cell>
          <cell r="E231" t="str">
            <v>A incluir</v>
          </cell>
        </row>
        <row r="232">
          <cell r="A232">
            <v>40521</v>
          </cell>
          <cell r="B232" t="str">
            <v>Berço de concreto ciclópico para BDTC diâmetro 1,00 m</v>
          </cell>
          <cell r="C232" t="str">
            <v>m</v>
          </cell>
          <cell r="D232" t="str">
            <v>542,63</v>
          </cell>
          <cell r="E232" t="str">
            <v>A incluir</v>
          </cell>
        </row>
        <row r="233">
          <cell r="A233">
            <v>40522</v>
          </cell>
          <cell r="B233" t="str">
            <v>Berço de concreto ciclópico para BDTC diâmetro 1,20 m</v>
          </cell>
          <cell r="C233" t="str">
            <v>m</v>
          </cell>
          <cell r="D233" t="str">
            <v>733,34</v>
          </cell>
          <cell r="E233" t="str">
            <v>A incluir</v>
          </cell>
        </row>
        <row r="234">
          <cell r="A234">
            <v>40523</v>
          </cell>
          <cell r="B234" t="str">
            <v>Berço de concreto ciclópico para BDTC diâmetro 1,50 m</v>
          </cell>
          <cell r="C234" t="str">
            <v>m</v>
          </cell>
          <cell r="D234" t="str">
            <v>1.060,01</v>
          </cell>
          <cell r="E234" t="str">
            <v>A incluir</v>
          </cell>
        </row>
        <row r="235">
          <cell r="A235">
            <v>40513</v>
          </cell>
          <cell r="B235" t="str">
            <v>Berço de concreto ciclópico para BSTC diâmetro 0,40 m</v>
          </cell>
          <cell r="C235" t="str">
            <v>m</v>
          </cell>
          <cell r="D235" t="str">
            <v>84,79</v>
          </cell>
          <cell r="E235" t="str">
            <v>A incluir</v>
          </cell>
        </row>
        <row r="236">
          <cell r="A236">
            <v>40514</v>
          </cell>
          <cell r="B236" t="str">
            <v>Berço de concreto ciclópico para BSTC diâmetro 0,60 m</v>
          </cell>
          <cell r="C236" t="str">
            <v>m</v>
          </cell>
          <cell r="D236" t="str">
            <v>142,72</v>
          </cell>
          <cell r="E236" t="str">
            <v>A incluir</v>
          </cell>
        </row>
        <row r="237">
          <cell r="A237">
            <v>40515</v>
          </cell>
          <cell r="B237" t="str">
            <v>Berço de concreto ciclópico para BSTC diâmetro 0,80 m</v>
          </cell>
          <cell r="C237" t="str">
            <v>m</v>
          </cell>
          <cell r="D237" t="str">
            <v>218,06</v>
          </cell>
          <cell r="E237" t="str">
            <v>A incluir</v>
          </cell>
        </row>
        <row r="238">
          <cell r="A238">
            <v>40516</v>
          </cell>
          <cell r="B238" t="str">
            <v>Berço de concreto ciclópico para BSTC diâmetro 1,00 m</v>
          </cell>
          <cell r="C238" t="str">
            <v>m</v>
          </cell>
          <cell r="D238" t="str">
            <v>308,16</v>
          </cell>
          <cell r="E238" t="str">
            <v>A incluir</v>
          </cell>
        </row>
        <row r="239">
          <cell r="A239">
            <v>40517</v>
          </cell>
          <cell r="B239" t="str">
            <v>Berço de concreto ciclópico para BSTC diâmetro 1,20 m</v>
          </cell>
          <cell r="C239" t="str">
            <v>m</v>
          </cell>
          <cell r="D239" t="str">
            <v>411,01</v>
          </cell>
          <cell r="E239" t="str">
            <v>A incluir</v>
          </cell>
        </row>
        <row r="240">
          <cell r="A240">
            <v>40518</v>
          </cell>
          <cell r="B240" t="str">
            <v>Berço de concreto ciclópico para BSTC diâmetro 1,50 m</v>
          </cell>
          <cell r="C240" t="str">
            <v>m</v>
          </cell>
          <cell r="D240" t="str">
            <v>584,94</v>
          </cell>
          <cell r="E240" t="str">
            <v>A incluir</v>
          </cell>
        </row>
        <row r="241">
          <cell r="A241">
            <v>40524</v>
          </cell>
          <cell r="B241" t="str">
            <v>Berço de concreto ciclópico para BTTC diâmetro 0,60 m</v>
          </cell>
          <cell r="C241" t="str">
            <v>m</v>
          </cell>
          <cell r="D241" t="str">
            <v>336,53</v>
          </cell>
          <cell r="E241" t="str">
            <v>A incluir</v>
          </cell>
        </row>
        <row r="242">
          <cell r="A242">
            <v>40525</v>
          </cell>
          <cell r="B242" t="str">
            <v>Berço de concreto ciclópico para BTTC diâmetro 0,80 m</v>
          </cell>
          <cell r="C242" t="str">
            <v>m</v>
          </cell>
          <cell r="D242" t="str">
            <v>535,87</v>
          </cell>
          <cell r="E242" t="str">
            <v>A incluir</v>
          </cell>
        </row>
        <row r="243">
          <cell r="A243">
            <v>40526</v>
          </cell>
          <cell r="B243" t="str">
            <v>Berço de concreto ciclópico para BTTC diâmetro 1,00 m</v>
          </cell>
          <cell r="C243" t="str">
            <v>m</v>
          </cell>
          <cell r="D243" t="str">
            <v>776,66</v>
          </cell>
          <cell r="E243" t="str">
            <v>A incluir</v>
          </cell>
        </row>
        <row r="244">
          <cell r="A244">
            <v>40527</v>
          </cell>
          <cell r="B244" t="str">
            <v>Berço de concreto ciclópico para BTTC diâmetro 1,20 m</v>
          </cell>
          <cell r="C244" t="str">
            <v>m</v>
          </cell>
          <cell r="D244" t="str">
            <v>1.055,66</v>
          </cell>
          <cell r="E244" t="str">
            <v>A incluir</v>
          </cell>
        </row>
        <row r="245">
          <cell r="A245">
            <v>40528</v>
          </cell>
          <cell r="B245" t="str">
            <v>Berço de concreto ciclópico para BTTC diâmetro 1,50 m</v>
          </cell>
          <cell r="C245" t="str">
            <v>m</v>
          </cell>
          <cell r="D245" t="str">
            <v>1.535,07</v>
          </cell>
          <cell r="E245" t="str">
            <v>A incluir</v>
          </cell>
        </row>
        <row r="246">
          <cell r="A246">
            <v>41177</v>
          </cell>
          <cell r="B246" t="str">
            <v>Berço em brita para BSTC diâm. -&gt; 1,00 m</v>
          </cell>
          <cell r="C246" t="str">
            <v>m</v>
          </cell>
          <cell r="D246" t="str">
            <v>34,15</v>
          </cell>
          <cell r="E246" t="str">
            <v>A incluir</v>
          </cell>
        </row>
        <row r="247">
          <cell r="A247">
            <v>100391</v>
          </cell>
          <cell r="B247" t="str">
            <v>Berço em brita para BSTC diâm. -&gt; 1,20 m</v>
          </cell>
          <cell r="C247" t="str">
            <v>m</v>
          </cell>
          <cell r="D247" t="str">
            <v>38,03</v>
          </cell>
          <cell r="E247" t="str">
            <v>A incluir</v>
          </cell>
        </row>
        <row r="248">
          <cell r="A248">
            <v>41172</v>
          </cell>
          <cell r="B248" t="str">
            <v>Berço em concreto ciclópico para BSTC diâm. -&gt; 0,30m</v>
          </cell>
          <cell r="C248" t="str">
            <v>m</v>
          </cell>
          <cell r="D248" t="str">
            <v>73,31</v>
          </cell>
          <cell r="E248" t="str">
            <v>A incluir</v>
          </cell>
        </row>
        <row r="249">
          <cell r="A249">
            <v>40620</v>
          </cell>
          <cell r="B249" t="str">
            <v>Boca de BDCC 1,50 x 1,50 m projeto DNIT</v>
          </cell>
          <cell r="C249" t="str">
            <v>un</v>
          </cell>
          <cell r="D249" t="str">
            <v>12.758,78</v>
          </cell>
          <cell r="E249">
            <v>0</v>
          </cell>
        </row>
        <row r="250">
          <cell r="A250">
            <v>40626</v>
          </cell>
          <cell r="B250" t="str">
            <v>Boca de BDCC 2,00 x 1,20 m conforme projeto</v>
          </cell>
          <cell r="C250" t="str">
            <v>un</v>
          </cell>
          <cell r="D250" t="str">
            <v>12.362,90</v>
          </cell>
          <cell r="E250">
            <v>0</v>
          </cell>
        </row>
        <row r="251">
          <cell r="A251">
            <v>40621</v>
          </cell>
          <cell r="B251" t="str">
            <v>Boca de BDCC 2,00 x 2,00 m projeto DNIT</v>
          </cell>
          <cell r="C251" t="str">
            <v>un</v>
          </cell>
          <cell r="D251" t="str">
            <v>19.456,99</v>
          </cell>
          <cell r="E251">
            <v>0</v>
          </cell>
        </row>
        <row r="252">
          <cell r="A252">
            <v>40622</v>
          </cell>
          <cell r="B252" t="str">
            <v>Boca de BDCC 2,00 x 3,00 m projeto DNIT</v>
          </cell>
          <cell r="C252" t="str">
            <v>un</v>
          </cell>
          <cell r="D252" t="str">
            <v>30.071,59</v>
          </cell>
          <cell r="E252">
            <v>0</v>
          </cell>
        </row>
        <row r="253">
          <cell r="A253">
            <v>40627</v>
          </cell>
          <cell r="B253" t="str">
            <v>Boca de BDCC 2,50 x 2,00 m conforme projeto</v>
          </cell>
          <cell r="C253" t="str">
            <v>un</v>
          </cell>
          <cell r="D253" t="str">
            <v>22.763,98</v>
          </cell>
          <cell r="E253">
            <v>0</v>
          </cell>
        </row>
        <row r="254">
          <cell r="A254">
            <v>40623</v>
          </cell>
          <cell r="B254" t="str">
            <v>Boca de BDCC 2,50 x 2,50 m projeto DNIT</v>
          </cell>
          <cell r="C254" t="str">
            <v>un</v>
          </cell>
          <cell r="D254" t="str">
            <v>27.009,90</v>
          </cell>
          <cell r="E254">
            <v>0</v>
          </cell>
        </row>
        <row r="255">
          <cell r="A255">
            <v>40624</v>
          </cell>
          <cell r="B255" t="str">
            <v>Boca de BDCC 2,50 x 3,00 m projeto DNIT</v>
          </cell>
          <cell r="C255" t="str">
            <v>un</v>
          </cell>
          <cell r="D255" t="str">
            <v>34.074,51</v>
          </cell>
          <cell r="E255">
            <v>0</v>
          </cell>
        </row>
        <row r="256">
          <cell r="A256">
            <v>40625</v>
          </cell>
          <cell r="B256" t="str">
            <v>Boca de BDCC 3,00 x 3,00 m projeto DNIT</v>
          </cell>
          <cell r="C256" t="str">
            <v>un</v>
          </cell>
          <cell r="D256" t="str">
            <v>38.345,61</v>
          </cell>
          <cell r="E256">
            <v>0</v>
          </cell>
        </row>
        <row r="257">
          <cell r="A257">
            <v>40613</v>
          </cell>
          <cell r="B257" t="str">
            <v>Boca de BSCC 1,50 x 1,50 m projeto DNIT</v>
          </cell>
          <cell r="C257" t="str">
            <v>un</v>
          </cell>
          <cell r="D257" t="str">
            <v>11.172,44</v>
          </cell>
          <cell r="E257">
            <v>0</v>
          </cell>
        </row>
        <row r="258">
          <cell r="A258">
            <v>40614</v>
          </cell>
          <cell r="B258" t="str">
            <v>Boca de BSCC 2,00 x 2,00 m projeto DNIT</v>
          </cell>
          <cell r="C258" t="str">
            <v>un</v>
          </cell>
          <cell r="D258" t="str">
            <v>17.102,48</v>
          </cell>
          <cell r="E258">
            <v>0</v>
          </cell>
        </row>
        <row r="259">
          <cell r="A259">
            <v>40615</v>
          </cell>
          <cell r="B259" t="str">
            <v>Boca de BSCC 2,00 x 3,00 m projeto DNIT</v>
          </cell>
          <cell r="C259" t="str">
            <v>un</v>
          </cell>
          <cell r="D259" t="str">
            <v>25.548,07</v>
          </cell>
          <cell r="E259">
            <v>0</v>
          </cell>
        </row>
        <row r="260">
          <cell r="A260">
            <v>40616</v>
          </cell>
          <cell r="B260" t="str">
            <v>Boca de BSCC 2,50 x 2,50 m projeto DNIT</v>
          </cell>
          <cell r="C260" t="str">
            <v>un</v>
          </cell>
          <cell r="D260" t="str">
            <v>22.513,33</v>
          </cell>
          <cell r="E260">
            <v>0</v>
          </cell>
        </row>
        <row r="261">
          <cell r="A261">
            <v>40617</v>
          </cell>
          <cell r="B261" t="str">
            <v>Boca de BSCC 2,50 x 3,00 m projeto DNIT</v>
          </cell>
          <cell r="C261" t="str">
            <v>un</v>
          </cell>
          <cell r="D261" t="str">
            <v>28.544,47</v>
          </cell>
          <cell r="E261">
            <v>0</v>
          </cell>
        </row>
        <row r="262">
          <cell r="A262">
            <v>40618</v>
          </cell>
          <cell r="B262" t="str">
            <v>Boca de BSCC 3,00 x 3,00 m projeto DNIT</v>
          </cell>
          <cell r="C262" t="str">
            <v>un</v>
          </cell>
          <cell r="D262" t="str">
            <v>32.061,76</v>
          </cell>
          <cell r="E262">
            <v>0</v>
          </cell>
        </row>
        <row r="263">
          <cell r="A263">
            <v>40629</v>
          </cell>
          <cell r="B263" t="str">
            <v>Boca de BTCC 1,50 x 1,50 m projeto DNIT</v>
          </cell>
          <cell r="C263" t="str">
            <v>un</v>
          </cell>
          <cell r="D263" t="str">
            <v>15.773,52</v>
          </cell>
          <cell r="E263">
            <v>0</v>
          </cell>
        </row>
        <row r="264">
          <cell r="A264">
            <v>40630</v>
          </cell>
          <cell r="B264" t="str">
            <v>Boca de BTCC 2,00 x 2,00 m projeto DNIT</v>
          </cell>
          <cell r="C264" t="str">
            <v>un</v>
          </cell>
          <cell r="D264" t="str">
            <v>23.752,90</v>
          </cell>
          <cell r="E264">
            <v>0</v>
          </cell>
        </row>
        <row r="265">
          <cell r="A265">
            <v>40631</v>
          </cell>
          <cell r="B265" t="str">
            <v>Boca de BTCC 2,00 x 3,00 m projeto DNIT</v>
          </cell>
          <cell r="C265" t="str">
            <v>un</v>
          </cell>
          <cell r="D265" t="str">
            <v>35.694,57</v>
          </cell>
          <cell r="E265">
            <v>0</v>
          </cell>
        </row>
        <row r="266">
          <cell r="A266">
            <v>40632</v>
          </cell>
          <cell r="B266" t="str">
            <v>Boca de BTCC 2,50 x 2,50 m projeto DNIT</v>
          </cell>
          <cell r="C266" t="str">
            <v>un</v>
          </cell>
          <cell r="D266" t="str">
            <v>32.966,78</v>
          </cell>
          <cell r="E266">
            <v>0</v>
          </cell>
        </row>
        <row r="267">
          <cell r="A267">
            <v>40633</v>
          </cell>
          <cell r="B267" t="str">
            <v>Boca de BTCC 2,50 x 3,00 m projeto DNIT</v>
          </cell>
          <cell r="C267" t="str">
            <v>un</v>
          </cell>
          <cell r="D267" t="str">
            <v>40.571,86</v>
          </cell>
          <cell r="E267">
            <v>0</v>
          </cell>
        </row>
        <row r="268">
          <cell r="A268">
            <v>40634</v>
          </cell>
          <cell r="B268" t="str">
            <v>Boca de BTCC 3,00 x 3,00 m projeto DNIT</v>
          </cell>
          <cell r="C268" t="str">
            <v>un</v>
          </cell>
          <cell r="D268" t="str">
            <v>46.023,10</v>
          </cell>
          <cell r="E268">
            <v>0</v>
          </cell>
        </row>
        <row r="269">
          <cell r="A269">
            <v>40535</v>
          </cell>
          <cell r="B269" t="str">
            <v>Boca de concreto ciclópico para BDTC diâmetro 0,60 m</v>
          </cell>
          <cell r="C269" t="str">
            <v>un</v>
          </cell>
          <cell r="D269" t="str">
            <v>1.226,37</v>
          </cell>
          <cell r="E269" t="str">
            <v>A incluir</v>
          </cell>
        </row>
        <row r="270">
          <cell r="A270">
            <v>40536</v>
          </cell>
          <cell r="B270" t="str">
            <v>Boca de concreto ciclópico para BDTC diâmetro 0,80 m</v>
          </cell>
          <cell r="C270" t="str">
            <v>un</v>
          </cell>
          <cell r="D270" t="str">
            <v>2.032,46</v>
          </cell>
          <cell r="E270" t="str">
            <v>A incluir</v>
          </cell>
        </row>
        <row r="271">
          <cell r="A271">
            <v>40537</v>
          </cell>
          <cell r="B271" t="str">
            <v>Boca de concreto ciclópico para BDTC diâmetro 1,00 m</v>
          </cell>
          <cell r="C271" t="str">
            <v>un</v>
          </cell>
          <cell r="D271" t="str">
            <v>3.759,30</v>
          </cell>
          <cell r="E271" t="str">
            <v>A incluir</v>
          </cell>
        </row>
        <row r="272">
          <cell r="A272">
            <v>40538</v>
          </cell>
          <cell r="B272" t="str">
            <v>Boca de concreto ciclópico para BDTC diâmetro 1,20 m</v>
          </cell>
          <cell r="C272" t="str">
            <v>un</v>
          </cell>
          <cell r="D272" t="str">
            <v>5.428,15</v>
          </cell>
          <cell r="E272" t="str">
            <v>A incluir</v>
          </cell>
        </row>
        <row r="273">
          <cell r="A273">
            <v>40539</v>
          </cell>
          <cell r="B273" t="str">
            <v>Boca de concreto ciclópico para BDTC diâmetro 1,50 m</v>
          </cell>
          <cell r="C273" t="str">
            <v>un</v>
          </cell>
          <cell r="D273" t="str">
            <v>9.539,69</v>
          </cell>
          <cell r="E273" t="str">
            <v>A incluir</v>
          </cell>
        </row>
        <row r="274">
          <cell r="A274">
            <v>40529</v>
          </cell>
          <cell r="B274" t="str">
            <v>Boca de concreto ciclópico para BSTC diâmetro 0,40 m</v>
          </cell>
          <cell r="C274" t="str">
            <v>un</v>
          </cell>
          <cell r="D274" t="str">
            <v>351,97</v>
          </cell>
          <cell r="E274" t="str">
            <v>A incluir</v>
          </cell>
        </row>
        <row r="275">
          <cell r="A275">
            <v>40530</v>
          </cell>
          <cell r="B275" t="str">
            <v>Boca de concreto ciclópico para BSTC diâmetro 0,60 m</v>
          </cell>
          <cell r="C275" t="str">
            <v>un</v>
          </cell>
          <cell r="D275" t="str">
            <v>1.061,07</v>
          </cell>
          <cell r="E275" t="str">
            <v>A incluir</v>
          </cell>
        </row>
        <row r="276">
          <cell r="A276">
            <v>40531</v>
          </cell>
          <cell r="B276" t="str">
            <v>Boca de concreto ciclópico para BSTC diâmetro 0,80 m</v>
          </cell>
          <cell r="C276" t="str">
            <v>un</v>
          </cell>
          <cell r="D276" t="str">
            <v>1.759,76</v>
          </cell>
          <cell r="E276" t="str">
            <v>A incluir</v>
          </cell>
        </row>
        <row r="277">
          <cell r="A277">
            <v>40532</v>
          </cell>
          <cell r="B277" t="str">
            <v>Boca de concreto ciclópico para BSTC diâmetro 1,00 m</v>
          </cell>
          <cell r="C277" t="str">
            <v>un</v>
          </cell>
          <cell r="D277" t="str">
            <v>2.701,43</v>
          </cell>
          <cell r="E277" t="str">
            <v>A incluir</v>
          </cell>
        </row>
        <row r="278">
          <cell r="A278">
            <v>40533</v>
          </cell>
          <cell r="B278" t="str">
            <v>Boca de concreto ciclópico para BSTC diâmetro 1,20 m</v>
          </cell>
          <cell r="C278" t="str">
            <v>un</v>
          </cell>
          <cell r="D278" t="str">
            <v>3.889,63</v>
          </cell>
          <cell r="E278" t="str">
            <v>A incluir</v>
          </cell>
        </row>
        <row r="279">
          <cell r="A279">
            <v>40534</v>
          </cell>
          <cell r="B279" t="str">
            <v>Boca de concreto ciclópico para BSTC diâmetro 1,50 m</v>
          </cell>
          <cell r="C279" t="str">
            <v>un</v>
          </cell>
          <cell r="D279" t="str">
            <v>7.005,34</v>
          </cell>
          <cell r="E279" t="str">
            <v>A incluir</v>
          </cell>
        </row>
        <row r="280">
          <cell r="A280">
            <v>40540</v>
          </cell>
          <cell r="B280" t="str">
            <v>Boca de concreto ciclópico para BTTC diâmetro 0,60 m</v>
          </cell>
          <cell r="C280" t="str">
            <v>un</v>
          </cell>
          <cell r="D280" t="str">
            <v>1.530,51</v>
          </cell>
          <cell r="E280" t="str">
            <v>A incluir</v>
          </cell>
        </row>
        <row r="281">
          <cell r="A281">
            <v>40541</v>
          </cell>
          <cell r="B281" t="str">
            <v>Boca de concreto ciclópico para BTTC diâmetro 0,80 m</v>
          </cell>
          <cell r="C281" t="str">
            <v>un</v>
          </cell>
          <cell r="D281" t="str">
            <v>2.495,09</v>
          </cell>
          <cell r="E281" t="str">
            <v>A incluir</v>
          </cell>
        </row>
        <row r="282">
          <cell r="A282">
            <v>40542</v>
          </cell>
          <cell r="B282" t="str">
            <v>Boca de concreto ciclópico para BTTC diâmetro 1,00 m</v>
          </cell>
          <cell r="C282" t="str">
            <v>un</v>
          </cell>
          <cell r="D282" t="str">
            <v>4.817,18</v>
          </cell>
          <cell r="E282" t="str">
            <v>A incluir</v>
          </cell>
        </row>
        <row r="283">
          <cell r="A283">
            <v>40543</v>
          </cell>
          <cell r="B283" t="str">
            <v>Boca de concreto ciclópico para BTTC diâmetro 1,20 m</v>
          </cell>
          <cell r="C283" t="str">
            <v>un</v>
          </cell>
          <cell r="D283" t="str">
            <v>6.965,87</v>
          </cell>
          <cell r="E283" t="str">
            <v>A incluir</v>
          </cell>
        </row>
        <row r="284">
          <cell r="A284">
            <v>40544</v>
          </cell>
          <cell r="B284" t="str">
            <v>Boca de concreto ciclópico para BTTC diâmetro 1,50 m</v>
          </cell>
          <cell r="C284" t="str">
            <v>un</v>
          </cell>
          <cell r="D284" t="str">
            <v>12.120,58</v>
          </cell>
          <cell r="E284" t="str">
            <v>A incluir</v>
          </cell>
        </row>
        <row r="285">
          <cell r="A285">
            <v>40565</v>
          </cell>
          <cell r="B285" t="str">
            <v>Boca de lobo simples</v>
          </cell>
          <cell r="C285" t="str">
            <v>un</v>
          </cell>
          <cell r="D285" t="str">
            <v>2.747,52</v>
          </cell>
          <cell r="E285">
            <v>0</v>
          </cell>
        </row>
        <row r="286">
          <cell r="A286">
            <v>40656</v>
          </cell>
          <cell r="B286" t="str">
            <v>Boca de saída de dreno profundo BSD-01</v>
          </cell>
          <cell r="C286" t="str">
            <v>un</v>
          </cell>
          <cell r="D286" t="str">
            <v>223,83</v>
          </cell>
          <cell r="E286" t="str">
            <v>A incluir</v>
          </cell>
        </row>
        <row r="287">
          <cell r="A287">
            <v>41102</v>
          </cell>
          <cell r="B287" t="str">
            <v>BSCC (pré-moldado) 1,50 x 1,50 x 1,00m CL 45t, inclusive transporte do Anel de Bueiro Celular Pré-moldado</v>
          </cell>
          <cell r="C287" t="str">
            <v>m</v>
          </cell>
          <cell r="D287" t="str">
            <v>4.207,99</v>
          </cell>
          <cell r="E287" t="str">
            <v>A incluir</v>
          </cell>
        </row>
        <row r="288">
          <cell r="A288">
            <v>41103</v>
          </cell>
          <cell r="B288" t="str">
            <v>BSCC (pré-moldado) 2,00 x 2,00 x 1,00m CL 45t, inclusive transporte de Anel de Bueiro Celular Pré-moldado</v>
          </cell>
          <cell r="C288" t="str">
            <v>m</v>
          </cell>
          <cell r="D288" t="str">
            <v>5.626,65</v>
          </cell>
          <cell r="E288" t="str">
            <v>A incluir</v>
          </cell>
        </row>
        <row r="289">
          <cell r="A289">
            <v>41104</v>
          </cell>
          <cell r="B289" t="str">
            <v>BSCC (pré-moldado) 2,50 x 2,50 x 1,00m CL 45t, inclusive transporte de Anel de Bueiro Celular Pré-moldado</v>
          </cell>
          <cell r="C289" t="str">
            <v>m</v>
          </cell>
          <cell r="D289" t="str">
            <v>5.940,74</v>
          </cell>
          <cell r="E289" t="str">
            <v>A incluir</v>
          </cell>
        </row>
        <row r="290">
          <cell r="A290">
            <v>41155</v>
          </cell>
          <cell r="B290" t="str">
            <v>BSCC (pré-moldado) 3,00 x 3,00 x 1,00m CL 45t, inclusive transporte de Anel de Bueiro Celular Pré-moldado</v>
          </cell>
          <cell r="C290" t="str">
            <v>m</v>
          </cell>
          <cell r="D290" t="str">
            <v>7.926,62</v>
          </cell>
          <cell r="E290" t="str">
            <v>A incluir</v>
          </cell>
        </row>
        <row r="291">
          <cell r="A291">
            <v>40635</v>
          </cell>
          <cell r="B291" t="str">
            <v>Bueiro Metálico BSTM - D -&gt; 3,00 m - T.L. com tratamento epóxi e -&gt; 2,7 mm - método não destrutivo</v>
          </cell>
          <cell r="C291" t="str">
            <v>m</v>
          </cell>
          <cell r="D291" t="str">
            <v>8.931,85</v>
          </cell>
          <cell r="E291" t="str">
            <v>A incluir</v>
          </cell>
        </row>
        <row r="292">
          <cell r="A292">
            <v>42230</v>
          </cell>
          <cell r="B292" t="str">
            <v>Bueiro Metálico BSTM - D-&gt;3,05m - MP-152 com tratamento epóxi e-&gt;2,7mm - método destrutivo, inclusive lastro de brita</v>
          </cell>
          <cell r="C292" t="str">
            <v>m</v>
          </cell>
          <cell r="D292" t="str">
            <v>6.095,90</v>
          </cell>
          <cell r="E292" t="str">
            <v>A incluir</v>
          </cell>
        </row>
        <row r="293">
          <cell r="A293">
            <v>40658</v>
          </cell>
          <cell r="B293" t="str">
            <v>Caiação de meio fios, sarjetas, etc</v>
          </cell>
          <cell r="C293" t="str">
            <v>m²</v>
          </cell>
          <cell r="D293" t="str">
            <v>4,84</v>
          </cell>
          <cell r="E293">
            <v>0</v>
          </cell>
        </row>
        <row r="294">
          <cell r="A294">
            <v>41161</v>
          </cell>
          <cell r="B294" t="str">
            <v>Caixa Boca de Lobo em bloco pré-moldado 1,20 x 1,20m</v>
          </cell>
          <cell r="C294" t="str">
            <v>un</v>
          </cell>
          <cell r="D294" t="str">
            <v>3.850,15</v>
          </cell>
          <cell r="E294">
            <v>0</v>
          </cell>
        </row>
        <row r="295">
          <cell r="A295">
            <v>40563</v>
          </cell>
          <cell r="B295" t="str">
            <v>Caixa coletora concreto armado H-&gt; 2,00 m, inclusive escavação</v>
          </cell>
          <cell r="C295" t="str">
            <v>un</v>
          </cell>
          <cell r="D295" t="str">
            <v>4.040,03</v>
          </cell>
          <cell r="E295">
            <v>0</v>
          </cell>
        </row>
        <row r="296">
          <cell r="A296">
            <v>40564</v>
          </cell>
          <cell r="B296" t="str">
            <v>Caixa coletora concreto armado H-&gt; 2,50 m, inclusive escavação</v>
          </cell>
          <cell r="C296" t="str">
            <v>un</v>
          </cell>
          <cell r="D296" t="str">
            <v>4.964,76</v>
          </cell>
          <cell r="E296">
            <v>0</v>
          </cell>
        </row>
        <row r="297">
          <cell r="A297">
            <v>41333</v>
          </cell>
          <cell r="B297" t="str">
            <v>Caixa coletora em bloco pré-moldado para d-&gt;0,60m (1,00 x 1,00m)</v>
          </cell>
          <cell r="C297" t="str">
            <v>un</v>
          </cell>
          <cell r="D297" t="str">
            <v>1.938,42</v>
          </cell>
          <cell r="E297" t="str">
            <v>A incluir</v>
          </cell>
        </row>
        <row r="298">
          <cell r="A298">
            <v>40545</v>
          </cell>
          <cell r="B298" t="str">
            <v>Caixa de concreto para BSTC diâmetro 0,40 m H-&gt;1,60 m</v>
          </cell>
          <cell r="C298" t="str">
            <v>un</v>
          </cell>
          <cell r="D298" t="str">
            <v>1.879,82</v>
          </cell>
          <cell r="E298" t="str">
            <v>A incluir</v>
          </cell>
        </row>
        <row r="299">
          <cell r="A299">
            <v>40546</v>
          </cell>
          <cell r="B299" t="str">
            <v>Caixa de concreto para BSTC diâmetro 0,60 m H-&gt;2,00 m</v>
          </cell>
          <cell r="C299" t="str">
            <v>un</v>
          </cell>
          <cell r="D299" t="str">
            <v>2.922,18</v>
          </cell>
          <cell r="E299" t="str">
            <v>A incluir</v>
          </cell>
        </row>
        <row r="300">
          <cell r="A300">
            <v>40547</v>
          </cell>
          <cell r="B300" t="str">
            <v>Caixa de concreto para BSTC diâmetro 0,80 m H-&gt;2,50 m</v>
          </cell>
          <cell r="C300" t="str">
            <v>un</v>
          </cell>
          <cell r="D300" t="str">
            <v>3.626,24</v>
          </cell>
          <cell r="E300" t="str">
            <v>A incluir</v>
          </cell>
        </row>
        <row r="301">
          <cell r="A301">
            <v>40548</v>
          </cell>
          <cell r="B301" t="str">
            <v>Caixa de concreto para BSTC diâmetro 1,00 m H-&gt;3,00 m</v>
          </cell>
          <cell r="C301" t="str">
            <v>un</v>
          </cell>
          <cell r="D301" t="str">
            <v>4.307,29</v>
          </cell>
          <cell r="E301" t="str">
            <v>A incluir</v>
          </cell>
        </row>
        <row r="302">
          <cell r="A302">
            <v>40549</v>
          </cell>
          <cell r="B302" t="str">
            <v>Caixa de passagem para tubos de D-&gt;0,40 m H-&gt;1,10 m</v>
          </cell>
          <cell r="C302" t="str">
            <v>un</v>
          </cell>
          <cell r="D302" t="str">
            <v>1.246,52</v>
          </cell>
          <cell r="E302">
            <v>0</v>
          </cell>
        </row>
        <row r="303">
          <cell r="A303">
            <v>40550</v>
          </cell>
          <cell r="B303" t="str">
            <v>Caixa de passagem para tubos de D-&gt;0,60 m H-&gt;1,30 m</v>
          </cell>
          <cell r="C303" t="str">
            <v>un</v>
          </cell>
          <cell r="D303" t="str">
            <v>1.571,69</v>
          </cell>
          <cell r="E303">
            <v>0</v>
          </cell>
        </row>
        <row r="304">
          <cell r="A304">
            <v>40551</v>
          </cell>
          <cell r="B304" t="str">
            <v>Caixa de passagem para tubos de D-&gt;0,80 m H-&gt;1,50 m</v>
          </cell>
          <cell r="C304" t="str">
            <v>un</v>
          </cell>
          <cell r="D304" t="str">
            <v>1.974,22</v>
          </cell>
          <cell r="E304">
            <v>0</v>
          </cell>
        </row>
        <row r="305">
          <cell r="A305">
            <v>40552</v>
          </cell>
          <cell r="B305" t="str">
            <v>Caixa de passagem para tubos de D-&gt;1,00 m H-&gt;1,80 m</v>
          </cell>
          <cell r="C305" t="str">
            <v>un</v>
          </cell>
          <cell r="D305" t="str">
            <v>3.131,40</v>
          </cell>
          <cell r="E305">
            <v>0</v>
          </cell>
        </row>
        <row r="306">
          <cell r="A306">
            <v>41320</v>
          </cell>
          <cell r="B306" t="str">
            <v>Caixa de passagem (2,50 x 2,50m)</v>
          </cell>
          <cell r="C306" t="str">
            <v>un</v>
          </cell>
          <cell r="D306" t="str">
            <v>6.897,61</v>
          </cell>
          <cell r="E306" t="str">
            <v>A incluir</v>
          </cell>
        </row>
        <row r="307">
          <cell r="A307">
            <v>41184</v>
          </cell>
          <cell r="B307" t="str">
            <v>Caixa para rede de dutos, dimensões 100 x 100 x 100 cm</v>
          </cell>
          <cell r="C307" t="str">
            <v>m</v>
          </cell>
          <cell r="D307" t="str">
            <v>1.138,03</v>
          </cell>
          <cell r="E307">
            <v>0</v>
          </cell>
        </row>
        <row r="308">
          <cell r="A308">
            <v>41338</v>
          </cell>
          <cell r="B308" t="str">
            <v>Caixa para rede de dutos, dimensões 60 x 60 x 60 cm</v>
          </cell>
          <cell r="C308" t="str">
            <v>un</v>
          </cell>
          <cell r="D308" t="str">
            <v>521,56</v>
          </cell>
          <cell r="E308">
            <v>0</v>
          </cell>
        </row>
        <row r="309">
          <cell r="A309">
            <v>40561</v>
          </cell>
          <cell r="B309" t="str">
            <v>Caixa ralo de elementos pré-moldados em concreto (tudo incluído)</v>
          </cell>
          <cell r="C309" t="str">
            <v>un</v>
          </cell>
          <cell r="D309" t="str">
            <v>675,35</v>
          </cell>
          <cell r="E309" t="str">
            <v>A incluir</v>
          </cell>
        </row>
        <row r="310">
          <cell r="A310">
            <v>40672</v>
          </cell>
          <cell r="B310" t="str">
            <v>Canaleta com grelha DP-1, inclusive transporte da grelha</v>
          </cell>
          <cell r="C310" t="str">
            <v>m</v>
          </cell>
          <cell r="D310" t="str">
            <v>558,32</v>
          </cell>
          <cell r="E310" t="str">
            <v>A incluir</v>
          </cell>
        </row>
        <row r="311">
          <cell r="A311">
            <v>40703</v>
          </cell>
          <cell r="B311" t="str">
            <v>Canaleta de concreto, com forma retangular inclusive caiação - parede 12 cm</v>
          </cell>
          <cell r="C311" t="str">
            <v>m</v>
          </cell>
          <cell r="D311" t="str">
            <v>187,89</v>
          </cell>
          <cell r="E311">
            <v>0</v>
          </cell>
        </row>
        <row r="312">
          <cell r="A312">
            <v>40671</v>
          </cell>
          <cell r="B312" t="str">
            <v>Canaleta de concreto retangular (0,130m³/m) inclusive caiação</v>
          </cell>
          <cell r="C312" t="str">
            <v>m</v>
          </cell>
          <cell r="D312" t="str">
            <v>232,85</v>
          </cell>
          <cell r="E312">
            <v>0</v>
          </cell>
        </row>
        <row r="313">
          <cell r="A313">
            <v>41016</v>
          </cell>
          <cell r="B313" t="str">
            <v>Canaleta de concreto (0,130m³/m) forma trapezoidal inclusive caiação</v>
          </cell>
          <cell r="C313" t="str">
            <v>m</v>
          </cell>
          <cell r="D313" t="str">
            <v>170,21</v>
          </cell>
          <cell r="E313" t="str">
            <v>A incluir</v>
          </cell>
        </row>
        <row r="314">
          <cell r="A314">
            <v>40952</v>
          </cell>
          <cell r="B314" t="str">
            <v>Cerca de tela de arame galvanizado h -&gt; 1,20 m</v>
          </cell>
          <cell r="C314" t="str">
            <v>m²</v>
          </cell>
          <cell r="D314" t="str">
            <v>28,31</v>
          </cell>
          <cell r="E314">
            <v>0</v>
          </cell>
        </row>
        <row r="315">
          <cell r="A315">
            <v>40953</v>
          </cell>
          <cell r="B315" t="str">
            <v>Cerca de tela galvanizada fio 12 malha 3"x3", com altura de 1,80 m</v>
          </cell>
          <cell r="C315" t="str">
            <v>m</v>
          </cell>
          <cell r="D315" t="str">
            <v>67,93</v>
          </cell>
          <cell r="E315" t="str">
            <v>A incluir</v>
          </cell>
        </row>
        <row r="316">
          <cell r="A316">
            <v>40708</v>
          </cell>
          <cell r="B316" t="str">
            <v>Cerca em tela revestida em PVC com mourões de concreto, 10 x 10 x 2,40 m, fornecimento e execução</v>
          </cell>
          <cell r="C316" t="str">
            <v>m²</v>
          </cell>
          <cell r="D316" t="str">
            <v>68,25</v>
          </cell>
          <cell r="E316">
            <v>0</v>
          </cell>
        </row>
        <row r="317">
          <cell r="A317">
            <v>40377</v>
          </cell>
          <cell r="B317" t="str">
            <v>Chapisco com argamassa de cimento e areia no traço 1:3</v>
          </cell>
          <cell r="C317" t="str">
            <v>m²</v>
          </cell>
          <cell r="D317" t="str">
            <v>5,06</v>
          </cell>
          <cell r="E317">
            <v>0</v>
          </cell>
        </row>
        <row r="318">
          <cell r="A318">
            <v>40378</v>
          </cell>
          <cell r="B318" t="str">
            <v>Chapisco com argamassa de cimento e pedrisco no traço 1:4</v>
          </cell>
          <cell r="C318" t="str">
            <v>m²</v>
          </cell>
          <cell r="D318" t="str">
            <v>7,80</v>
          </cell>
          <cell r="E318">
            <v>0</v>
          </cell>
        </row>
        <row r="319">
          <cell r="A319">
            <v>41389</v>
          </cell>
          <cell r="B319" t="str">
            <v>Colchão drenante de areia para fundação de aterros, exclusive o fornecimento de areia</v>
          </cell>
          <cell r="C319" t="str">
            <v>m³</v>
          </cell>
          <cell r="D319" t="str">
            <v>4,10</v>
          </cell>
          <cell r="E319">
            <v>0</v>
          </cell>
        </row>
        <row r="320">
          <cell r="A320">
            <v>40715</v>
          </cell>
          <cell r="B320" t="str">
            <v>Colchão drenante de areia para fundação de aterros, inclusive fornecimento e transporte da areia</v>
          </cell>
          <cell r="C320" t="str">
            <v>m³</v>
          </cell>
          <cell r="D320" t="str">
            <v>77,02</v>
          </cell>
          <cell r="E320" t="str">
            <v>A incluir</v>
          </cell>
        </row>
        <row r="321">
          <cell r="A321">
            <v>40716</v>
          </cell>
          <cell r="B321" t="str">
            <v>Colchão drenante de brita 1 inclusive fornecimento, espalhamento, compactação e transporte da brita</v>
          </cell>
          <cell r="C321" t="str">
            <v>m³</v>
          </cell>
          <cell r="D321" t="str">
            <v>94,97</v>
          </cell>
          <cell r="E321" t="str">
            <v>A incluir</v>
          </cell>
        </row>
        <row r="322">
          <cell r="A322">
            <v>40717</v>
          </cell>
          <cell r="B322" t="str">
            <v>Colchão drenante de brita 2 inclusive fornecimento, espalhamento, compactação e transporte da brita</v>
          </cell>
          <cell r="C322" t="str">
            <v>m³</v>
          </cell>
          <cell r="D322" t="str">
            <v>92,25</v>
          </cell>
          <cell r="E322" t="str">
            <v>A incluir</v>
          </cell>
        </row>
        <row r="323">
          <cell r="A323">
            <v>40718</v>
          </cell>
          <cell r="B323" t="str">
            <v>Colchão drenante de brita 3 inclusive fornecimento, espalhamento, compactação e transporte da brita</v>
          </cell>
          <cell r="C323" t="str">
            <v>m³</v>
          </cell>
          <cell r="D323" t="str">
            <v>100,15</v>
          </cell>
          <cell r="E323" t="str">
            <v>A incluir</v>
          </cell>
        </row>
        <row r="324">
          <cell r="A324">
            <v>40652</v>
          </cell>
          <cell r="B324" t="str">
            <v>Coleta drenante (1,00x1,00) m c/ geotêxtil não tecido RT 16kn/m, inclusive transporte da brita</v>
          </cell>
          <cell r="C324" t="str">
            <v>m</v>
          </cell>
          <cell r="D324" t="str">
            <v>303,02</v>
          </cell>
          <cell r="E324" t="str">
            <v>A incluir</v>
          </cell>
        </row>
        <row r="325">
          <cell r="A325">
            <v>41090</v>
          </cell>
          <cell r="B325" t="str">
            <v>Concreto armado, dosado para resist. 20 Mpa, incluindo 60kg aço CA-50A, mão de obra p/ corte, dobragem e montagem, exclusive forma</v>
          </cell>
          <cell r="C325" t="str">
            <v>m³</v>
          </cell>
          <cell r="D325" t="str">
            <v>793,41</v>
          </cell>
          <cell r="E325">
            <v>0</v>
          </cell>
        </row>
        <row r="326">
          <cell r="A326">
            <v>40350</v>
          </cell>
          <cell r="B326" t="str">
            <v>Concreto ciclópico com 70% concreto 10,0 MPa e 30% de pedra de mão, tudo incluído</v>
          </cell>
          <cell r="C326" t="str">
            <v>m³</v>
          </cell>
          <cell r="D326" t="str">
            <v>372,02</v>
          </cell>
          <cell r="E326" t="str">
            <v>A incluir</v>
          </cell>
        </row>
        <row r="327">
          <cell r="A327">
            <v>40351</v>
          </cell>
          <cell r="B327" t="str">
            <v>Concreto ciclópico com 70% concreto 15,0 MPa e 30% de pedra de mão, tudo incluído</v>
          </cell>
          <cell r="C327" t="str">
            <v>m³</v>
          </cell>
          <cell r="D327" t="str">
            <v>410,60</v>
          </cell>
          <cell r="E327" t="str">
            <v>A incluir</v>
          </cell>
        </row>
        <row r="328">
          <cell r="A328">
            <v>40353</v>
          </cell>
          <cell r="B328" t="str">
            <v>Concreto ciclópico com 70% concreto 20,0 MPa e 30% de pedra de mão, tudo incluído</v>
          </cell>
          <cell r="C328" t="str">
            <v>m³</v>
          </cell>
          <cell r="D328" t="str">
            <v>429,91</v>
          </cell>
          <cell r="E328" t="str">
            <v>A incluir</v>
          </cell>
        </row>
        <row r="329">
          <cell r="A329">
            <v>40383</v>
          </cell>
          <cell r="B329" t="str">
            <v>Concreto de Cim.Port. com equip peq.porte (custo SICRO/DNIT)</v>
          </cell>
          <cell r="C329" t="str">
            <v>m³</v>
          </cell>
          <cell r="D329" t="str">
            <v>449,85</v>
          </cell>
          <cell r="E329">
            <v>0</v>
          </cell>
        </row>
        <row r="330">
          <cell r="A330">
            <v>40349</v>
          </cell>
          <cell r="B330" t="str">
            <v>Concreto de regularização, tudo incluído</v>
          </cell>
          <cell r="C330" t="str">
            <v>m³</v>
          </cell>
          <cell r="D330" t="str">
            <v>399,48</v>
          </cell>
          <cell r="E330" t="str">
            <v>A incluir</v>
          </cell>
        </row>
        <row r="331">
          <cell r="A331">
            <v>40358</v>
          </cell>
          <cell r="B331" t="str">
            <v>Concreto estrutural fck -&gt; 15,0 MPa, tudo incluído</v>
          </cell>
          <cell r="C331" t="str">
            <v>m³</v>
          </cell>
          <cell r="D331" t="str">
            <v>544,99</v>
          </cell>
          <cell r="E331" t="str">
            <v>A incluir</v>
          </cell>
        </row>
        <row r="332">
          <cell r="A332">
            <v>40361</v>
          </cell>
          <cell r="B332" t="str">
            <v>Concreto estrutural fck -&gt; 20,0 MPa com plastificante, tudo incluído</v>
          </cell>
          <cell r="C332" t="str">
            <v>m³</v>
          </cell>
          <cell r="D332" t="str">
            <v>574,76</v>
          </cell>
          <cell r="E332" t="str">
            <v>A incluir</v>
          </cell>
        </row>
        <row r="333">
          <cell r="A333">
            <v>40360</v>
          </cell>
          <cell r="B333" t="str">
            <v>Concreto estrutural fck -&gt; 20,0 MPa, tudo incluído</v>
          </cell>
          <cell r="C333" t="str">
            <v>m³</v>
          </cell>
          <cell r="D333" t="str">
            <v>572,58</v>
          </cell>
          <cell r="E333" t="str">
            <v>A incluir</v>
          </cell>
        </row>
        <row r="334">
          <cell r="A334">
            <v>40363</v>
          </cell>
          <cell r="B334" t="str">
            <v>Concreto estrutural fck -&gt; 25,0 MPa com plastificante, tudo incluído</v>
          </cell>
          <cell r="C334" t="str">
            <v>m³</v>
          </cell>
          <cell r="D334" t="str">
            <v>604,37</v>
          </cell>
          <cell r="E334" t="str">
            <v>A incluir</v>
          </cell>
        </row>
        <row r="335">
          <cell r="A335">
            <v>40362</v>
          </cell>
          <cell r="B335" t="str">
            <v>Concreto estrutural fck -&gt; 25,0 MPa, inclusive fornecimento e transporte do cimento, areia e pedra britada</v>
          </cell>
          <cell r="C335" t="str">
            <v>m³</v>
          </cell>
          <cell r="D335" t="str">
            <v>601,93</v>
          </cell>
          <cell r="E335" t="str">
            <v>A incluir</v>
          </cell>
        </row>
        <row r="336">
          <cell r="A336">
            <v>40368</v>
          </cell>
          <cell r="B336" t="str">
            <v>Concreto estrutural fck -&gt; 30,0 MPa com micro-silica e Sikacrete BR ou equivalente</v>
          </cell>
          <cell r="C336" t="str">
            <v>m³</v>
          </cell>
          <cell r="D336" t="str">
            <v>744,76</v>
          </cell>
          <cell r="E336" t="str">
            <v>A incluir</v>
          </cell>
        </row>
        <row r="337">
          <cell r="A337">
            <v>40365</v>
          </cell>
          <cell r="B337" t="str">
            <v>Concreto estrutural fck -&gt; 30,0 MPa com plastificante</v>
          </cell>
          <cell r="C337" t="str">
            <v>m³</v>
          </cell>
          <cell r="D337" t="str">
            <v>631,63</v>
          </cell>
          <cell r="E337" t="str">
            <v>A incluir</v>
          </cell>
        </row>
        <row r="338">
          <cell r="A338">
            <v>40364</v>
          </cell>
          <cell r="B338" t="str">
            <v>Concreto estrutural fck -&gt; 30,0 MPa, tudo incluído</v>
          </cell>
          <cell r="C338" t="str">
            <v>m³</v>
          </cell>
          <cell r="D338" t="str">
            <v>628,95</v>
          </cell>
          <cell r="E338" t="str">
            <v>A incluir</v>
          </cell>
        </row>
        <row r="339">
          <cell r="A339">
            <v>40369</v>
          </cell>
          <cell r="B339" t="str">
            <v>Concreto estrutural fck -&gt; 35,0 MPa com micro-silica e Sikacrete BR ou equivalente</v>
          </cell>
          <cell r="C339" t="str">
            <v>m³</v>
          </cell>
          <cell r="D339" t="str">
            <v>784,49</v>
          </cell>
          <cell r="E339" t="str">
            <v>A incluir</v>
          </cell>
        </row>
        <row r="340">
          <cell r="A340">
            <v>40371</v>
          </cell>
          <cell r="B340" t="str">
            <v>Concreto submerso fck -&gt; 20,0 MPa, tudo incluído</v>
          </cell>
          <cell r="C340" t="str">
            <v>m³</v>
          </cell>
          <cell r="D340" t="str">
            <v>1.111,71</v>
          </cell>
          <cell r="E340" t="str">
            <v>A incluir</v>
          </cell>
        </row>
        <row r="341">
          <cell r="A341">
            <v>41205</v>
          </cell>
          <cell r="B341" t="str">
            <v>Conjunto Moto-bomba submersível de 15CV, fornecimento e assentamento</v>
          </cell>
          <cell r="C341" t="str">
            <v>un</v>
          </cell>
          <cell r="D341" t="str">
            <v>32.264,69</v>
          </cell>
          <cell r="E341">
            <v>0</v>
          </cell>
        </row>
        <row r="342">
          <cell r="A342">
            <v>40467</v>
          </cell>
          <cell r="B342" t="str">
            <v>Corpo BDTC (grota) diâmetro 0,60 m CA-1 MF exclusive escavação e reaterro, inclusive transporte do tubo</v>
          </cell>
          <cell r="C342" t="str">
            <v>m</v>
          </cell>
          <cell r="D342" t="str">
            <v>275,01</v>
          </cell>
          <cell r="E342" t="str">
            <v>A incluir</v>
          </cell>
        </row>
        <row r="343">
          <cell r="A343">
            <v>40468</v>
          </cell>
          <cell r="B343" t="str">
            <v>Corpo BDTC (grota) diâmetro 0,60 m CA-1 PB exclusive escavação e reaterro, inclusive transporte do tubo</v>
          </cell>
          <cell r="C343" t="str">
            <v>m</v>
          </cell>
          <cell r="D343" t="str">
            <v>285,45</v>
          </cell>
          <cell r="E343" t="str">
            <v>A incluir</v>
          </cell>
        </row>
        <row r="344">
          <cell r="A344">
            <v>40469</v>
          </cell>
          <cell r="B344" t="str">
            <v>Corpo BDTC (grota) diâmetro 0,60 m CA-2 MF exclusive escavação e reaterro, inclusive transporte do tubo</v>
          </cell>
          <cell r="C344" t="str">
            <v>m</v>
          </cell>
          <cell r="D344" t="str">
            <v>278,89</v>
          </cell>
          <cell r="E344" t="str">
            <v>A incluir</v>
          </cell>
        </row>
        <row r="345">
          <cell r="A345">
            <v>40470</v>
          </cell>
          <cell r="B345" t="str">
            <v>Corpo BDTC (grota) diâmetro 0,60 m CA-2 PB exclusive escavação e reaterro, inclusive transporte do tubo</v>
          </cell>
          <cell r="C345" t="str">
            <v>m</v>
          </cell>
          <cell r="D345" t="str">
            <v>285,58</v>
          </cell>
          <cell r="E345" t="str">
            <v>A incluir</v>
          </cell>
        </row>
        <row r="346">
          <cell r="A346">
            <v>40471</v>
          </cell>
          <cell r="B346" t="str">
            <v>Corpo BDTC (grota) diâmetro 0,80 m CA-1 MF exclusive escavação e reaterro, inclusive transporte do tubo</v>
          </cell>
          <cell r="C346" t="str">
            <v>m</v>
          </cell>
          <cell r="D346" t="str">
            <v>571,90</v>
          </cell>
          <cell r="E346" t="str">
            <v>A incluir</v>
          </cell>
        </row>
        <row r="347">
          <cell r="A347">
            <v>40472</v>
          </cell>
          <cell r="B347" t="str">
            <v>Corpo BDTC (grota) diâmetro 0,80 m CA-1 PB exclusive escavação e reaterro, inclusive transporte do tubo</v>
          </cell>
          <cell r="C347" t="str">
            <v>m</v>
          </cell>
          <cell r="D347" t="str">
            <v>585,46</v>
          </cell>
          <cell r="E347" t="str">
            <v>A incluir</v>
          </cell>
        </row>
        <row r="348">
          <cell r="A348">
            <v>40473</v>
          </cell>
          <cell r="B348" t="str">
            <v>Corpo BDTC (grota) diâmetro 0,80 m CA-2 MF exclusive escavação e reaterro, inclusive transporte do tubo</v>
          </cell>
          <cell r="C348" t="str">
            <v>m</v>
          </cell>
          <cell r="D348" t="str">
            <v>591,34</v>
          </cell>
          <cell r="E348" t="str">
            <v>A incluir</v>
          </cell>
        </row>
        <row r="349">
          <cell r="A349">
            <v>40474</v>
          </cell>
          <cell r="B349" t="str">
            <v>Corpo BDTC (grota) diâmetro 0,80 m CA-2 PB exclusive escavação e reaterro, inclusive transporte do tubo</v>
          </cell>
          <cell r="C349" t="str">
            <v>m</v>
          </cell>
          <cell r="D349" t="str">
            <v>619,29</v>
          </cell>
          <cell r="E349" t="str">
            <v>A incluir</v>
          </cell>
        </row>
        <row r="350">
          <cell r="A350">
            <v>40475</v>
          </cell>
          <cell r="B350" t="str">
            <v>Corpo BDTC (grota) diâmetro 1,00 m CA-1 MF exclusive escavação e reaterro, inclusive transporte do tubo</v>
          </cell>
          <cell r="C350" t="str">
            <v>m</v>
          </cell>
          <cell r="D350" t="str">
            <v>731,45</v>
          </cell>
          <cell r="E350" t="str">
            <v>A incluir</v>
          </cell>
        </row>
        <row r="351">
          <cell r="A351">
            <v>40476</v>
          </cell>
          <cell r="B351" t="str">
            <v>Corpo BDTC (grota) diâmetro 1,00 m CA-1 PB exclusive escavação e reaterro, inclusive transporte do tubo</v>
          </cell>
          <cell r="C351" t="str">
            <v>m</v>
          </cell>
          <cell r="D351" t="str">
            <v>748,35</v>
          </cell>
          <cell r="E351" t="str">
            <v>A incluir</v>
          </cell>
        </row>
        <row r="352">
          <cell r="A352">
            <v>40477</v>
          </cell>
          <cell r="B352" t="str">
            <v>Corpo BDTC (grota) diâmetro 1,00 m CA-2 MF exclusive escavação e reaterro, inclusive transporte do tubo</v>
          </cell>
          <cell r="C352" t="str">
            <v>m</v>
          </cell>
          <cell r="D352" t="str">
            <v>757,37</v>
          </cell>
          <cell r="E352" t="str">
            <v>A incluir</v>
          </cell>
        </row>
        <row r="353">
          <cell r="A353">
            <v>40478</v>
          </cell>
          <cell r="B353" t="str">
            <v>Corpo BDTC (grota) diâmetro 1,00 m CA-2 PB exclusive escavação e reaterro, inclusive transporte do tubo</v>
          </cell>
          <cell r="C353" t="str">
            <v>m</v>
          </cell>
          <cell r="D353" t="str">
            <v>788,48</v>
          </cell>
          <cell r="E353" t="str">
            <v>A incluir</v>
          </cell>
        </row>
        <row r="354">
          <cell r="A354">
            <v>40479</v>
          </cell>
          <cell r="B354" t="str">
            <v>Corpo BDTC (grota) diâmetro 1,00 m CA-3 MF exclusive escavação e reaterro, inclusive transporte do tubo</v>
          </cell>
          <cell r="C354" t="str">
            <v>m</v>
          </cell>
          <cell r="D354" t="str">
            <v>828,67</v>
          </cell>
          <cell r="E354" t="str">
            <v>A incluir</v>
          </cell>
        </row>
        <row r="355">
          <cell r="A355">
            <v>40480</v>
          </cell>
          <cell r="B355" t="str">
            <v>Corpo BDTC (grota) diâmetro 1,20 m CA-1 MF exclusive escavação e reaterro, inclusive transporte do tubo</v>
          </cell>
          <cell r="C355" t="str">
            <v>m</v>
          </cell>
          <cell r="D355" t="str">
            <v>1.086,36</v>
          </cell>
          <cell r="E355" t="str">
            <v>A incluir</v>
          </cell>
        </row>
        <row r="356">
          <cell r="A356">
            <v>40481</v>
          </cell>
          <cell r="B356" t="str">
            <v>Corpo BDTC (grota) diâmetro 1,20 m CA-1 PB exclusive escavação e reaterro, inclusive transporte do tubo</v>
          </cell>
          <cell r="C356" t="str">
            <v>m</v>
          </cell>
          <cell r="D356" t="str">
            <v>1.118,33</v>
          </cell>
          <cell r="E356" t="str">
            <v>A incluir</v>
          </cell>
        </row>
        <row r="357">
          <cell r="A357">
            <v>40482</v>
          </cell>
          <cell r="B357" t="str">
            <v>Corpo BDTC (grota) diâmetro 1,20 m CA-2 MF exclusive escavação e reaterro, inclusive transporte do tubo</v>
          </cell>
          <cell r="C357" t="str">
            <v>m</v>
          </cell>
          <cell r="D357" t="str">
            <v>1.125,25</v>
          </cell>
          <cell r="E357" t="str">
            <v>A incluir</v>
          </cell>
        </row>
        <row r="358">
          <cell r="A358">
            <v>40483</v>
          </cell>
          <cell r="B358" t="str">
            <v>Corpo BDTC (grota) diâmetro 1,20 m CA-2 PB exclusive escavação e reaterro, inclusive transporte do tubo</v>
          </cell>
          <cell r="C358" t="str">
            <v>m</v>
          </cell>
          <cell r="D358" t="str">
            <v>1.191,36</v>
          </cell>
          <cell r="E358" t="str">
            <v>A incluir</v>
          </cell>
        </row>
        <row r="359">
          <cell r="A359">
            <v>40484</v>
          </cell>
          <cell r="B359" t="str">
            <v>Corpo BDTC (grota) diâmetro 1,20 m CA-3 MF exclusive escavação e reaterro, inclusive transporte do tubo</v>
          </cell>
          <cell r="C359" t="str">
            <v>m</v>
          </cell>
          <cell r="D359" t="str">
            <v>1.157,66</v>
          </cell>
          <cell r="E359" t="str">
            <v>A incluir</v>
          </cell>
        </row>
        <row r="360">
          <cell r="A360">
            <v>40485</v>
          </cell>
          <cell r="B360" t="str">
            <v>Corpo BDTC (grota) diâmetro 1,50 m CA-1 MF exclusive escavação e reaterro, inclusive transporte do tubo</v>
          </cell>
          <cell r="C360" t="str">
            <v>m</v>
          </cell>
          <cell r="D360" t="str">
            <v>1.815,07</v>
          </cell>
          <cell r="E360" t="str">
            <v>A incluir</v>
          </cell>
        </row>
        <row r="361">
          <cell r="A361">
            <v>40486</v>
          </cell>
          <cell r="B361" t="str">
            <v>Corpo BDTC (grota) diâmetro 1,50 m CA-1 PB exclusive escavação e reaterro, inclusive transporte do tubo</v>
          </cell>
          <cell r="C361" t="str">
            <v>m</v>
          </cell>
          <cell r="D361" t="str">
            <v>1.587,76</v>
          </cell>
          <cell r="E361" t="str">
            <v>A incluir</v>
          </cell>
        </row>
        <row r="362">
          <cell r="A362">
            <v>40487</v>
          </cell>
          <cell r="B362" t="str">
            <v>Corpo BDTC (grota) diâmetro 1,50 m CA-2 MF exclusive escavação e reaterro, inclusive transporte do tubo</v>
          </cell>
          <cell r="C362" t="str">
            <v>m</v>
          </cell>
          <cell r="D362" t="str">
            <v>1.892,85</v>
          </cell>
          <cell r="E362" t="str">
            <v>A incluir</v>
          </cell>
        </row>
        <row r="363">
          <cell r="A363">
            <v>40488</v>
          </cell>
          <cell r="B363" t="str">
            <v>Corpo BDTC (grota) diâmetro 1,50 m CA-2 PB exclusive escavação e reaterro, inclusive transporte do tubo</v>
          </cell>
          <cell r="C363" t="str">
            <v>m</v>
          </cell>
          <cell r="D363" t="str">
            <v>1.686,95</v>
          </cell>
          <cell r="E363" t="str">
            <v>A incluir</v>
          </cell>
        </row>
        <row r="364">
          <cell r="A364">
            <v>40489</v>
          </cell>
          <cell r="B364" t="str">
            <v>Corpo BDTC (grota) diâmetro 1,50 m CA-3 MF exclusive escavação e reaterro, inclusive transporte do tubo</v>
          </cell>
          <cell r="C364" t="str">
            <v>m</v>
          </cell>
          <cell r="D364" t="str">
            <v>1.452,11</v>
          </cell>
          <cell r="E364" t="str">
            <v>A incluir</v>
          </cell>
        </row>
        <row r="365">
          <cell r="A365">
            <v>40417</v>
          </cell>
          <cell r="B365" t="str">
            <v>Corpo BSTC diâmetro 0,20 m C.S. MF inclusive escavação, reaterro e transporte do tubo</v>
          </cell>
          <cell r="C365" t="str">
            <v>m</v>
          </cell>
          <cell r="D365" t="str">
            <v>80,66</v>
          </cell>
          <cell r="E365" t="str">
            <v>A incluir</v>
          </cell>
        </row>
        <row r="366">
          <cell r="A366">
            <v>40418</v>
          </cell>
          <cell r="B366" t="str">
            <v>Corpo BSTC diâmetro 0,20 m C.S. PB inclusive escavação, reaterro e transporte do tubo</v>
          </cell>
          <cell r="C366" t="str">
            <v>m</v>
          </cell>
          <cell r="D366" t="str">
            <v>80,66</v>
          </cell>
          <cell r="E366" t="str">
            <v>A incluir</v>
          </cell>
        </row>
        <row r="367">
          <cell r="A367">
            <v>40419</v>
          </cell>
          <cell r="B367" t="str">
            <v>Corpo BSTC diâmetro 0,30 m C.S. MF inclusive escavação, reaterro e transporte do tubo</v>
          </cell>
          <cell r="C367" t="str">
            <v>m</v>
          </cell>
          <cell r="D367" t="str">
            <v>101,30</v>
          </cell>
          <cell r="E367" t="str">
            <v>A incluir</v>
          </cell>
        </row>
        <row r="368">
          <cell r="A368">
            <v>40420</v>
          </cell>
          <cell r="B368" t="str">
            <v>Corpo BSTC diâmetro 0,30 m C.S. PB inclusive escavação, reaterro e transporte do tubo</v>
          </cell>
          <cell r="C368" t="str">
            <v>m</v>
          </cell>
          <cell r="D368" t="str">
            <v>104,67</v>
          </cell>
          <cell r="E368" t="str">
            <v>A incluir</v>
          </cell>
        </row>
        <row r="369">
          <cell r="A369">
            <v>40422</v>
          </cell>
          <cell r="B369" t="str">
            <v>Corpo BSTC diâmetro 0,40 m C.S. MF inclusive escavação, reaterro e transporte do tubo</v>
          </cell>
          <cell r="C369" t="str">
            <v>m</v>
          </cell>
          <cell r="D369" t="str">
            <v>134,40</v>
          </cell>
          <cell r="E369" t="str">
            <v>A incluir</v>
          </cell>
        </row>
        <row r="370">
          <cell r="A370">
            <v>40423</v>
          </cell>
          <cell r="B370" t="str">
            <v>Corpo BSTC diâmetro 0,40 m C.S. PB inclusive escavação, reaterro e transporte do tubo</v>
          </cell>
          <cell r="C370" t="str">
            <v>m</v>
          </cell>
          <cell r="D370" t="str">
            <v>137,55</v>
          </cell>
          <cell r="E370" t="str">
            <v>A incluir</v>
          </cell>
        </row>
        <row r="371">
          <cell r="A371">
            <v>40426</v>
          </cell>
          <cell r="B371" t="str">
            <v>Corpo BSTC diâmetro 0,60 m C.S. MF inclusive escavação, reaterro e transporte do tubo</v>
          </cell>
          <cell r="C371" t="str">
            <v>m</v>
          </cell>
          <cell r="D371" t="str">
            <v>219,16</v>
          </cell>
          <cell r="E371" t="str">
            <v>A incluir</v>
          </cell>
        </row>
        <row r="372">
          <cell r="A372">
            <v>40427</v>
          </cell>
          <cell r="B372" t="str">
            <v>Corpo BSTC diâmetro 0,60 m C.S. PB inclusive escavação, reaterro e transporte do tubo</v>
          </cell>
          <cell r="C372" t="str">
            <v>m</v>
          </cell>
          <cell r="D372" t="str">
            <v>224,16</v>
          </cell>
          <cell r="E372" t="str">
            <v>A incluir</v>
          </cell>
        </row>
        <row r="373">
          <cell r="A373">
            <v>40421</v>
          </cell>
          <cell r="B373" t="str">
            <v>Corpo BSTC (greide) diâmetro 0,30 m CA-1 MF inclusive escavação, reaterro e transporte do tubo</v>
          </cell>
          <cell r="C373" t="str">
            <v>m</v>
          </cell>
          <cell r="D373" t="str">
            <v>103,89</v>
          </cell>
          <cell r="E373" t="str">
            <v>A incluir</v>
          </cell>
        </row>
        <row r="374">
          <cell r="A374">
            <v>40424</v>
          </cell>
          <cell r="B374" t="str">
            <v>Corpo BSTC (greide) diâmetro 0,40 m CA-1 MF inclusive escavação, reaterro e transporte do tubo</v>
          </cell>
          <cell r="C374" t="str">
            <v>m</v>
          </cell>
          <cell r="D374" t="str">
            <v>143,47</v>
          </cell>
          <cell r="E374" t="str">
            <v>A incluir</v>
          </cell>
        </row>
        <row r="375">
          <cell r="A375">
            <v>40425</v>
          </cell>
          <cell r="B375" t="str">
            <v>Corpo BSTC (greide) diâmetro 0,40 m CA-2 MF inclusive escavação, reaterro e transporte do tubo</v>
          </cell>
          <cell r="C375" t="str">
            <v>m</v>
          </cell>
          <cell r="D375" t="str">
            <v>148,65</v>
          </cell>
          <cell r="E375" t="str">
            <v>A incluir</v>
          </cell>
        </row>
        <row r="376">
          <cell r="A376">
            <v>40428</v>
          </cell>
          <cell r="B376" t="str">
            <v>Corpo BSTC (greide) diâmetro 0,60 m CA-1 MF inclusive escavação, reaterro e transporte do tubo</v>
          </cell>
          <cell r="C376" t="str">
            <v>m</v>
          </cell>
          <cell r="D376" t="str">
            <v>223,70</v>
          </cell>
          <cell r="E376" t="str">
            <v>A incluir</v>
          </cell>
        </row>
        <row r="377">
          <cell r="A377">
            <v>40429</v>
          </cell>
          <cell r="B377" t="str">
            <v>Corpo BSTC (greide) diâmetro 0,60 m CA-1 PB inclusive escavação, reaterro e transporte do tubo</v>
          </cell>
          <cell r="C377" t="str">
            <v>m</v>
          </cell>
          <cell r="D377" t="str">
            <v>228,92</v>
          </cell>
          <cell r="E377" t="str">
            <v>A incluir</v>
          </cell>
        </row>
        <row r="378">
          <cell r="A378">
            <v>40430</v>
          </cell>
          <cell r="B378" t="str">
            <v>Corpo BSTC (greide) diâmetro 0,60 m CA-2 MF inclusive escavação, reaterro e transporte do tubo</v>
          </cell>
          <cell r="C378" t="str">
            <v>m</v>
          </cell>
          <cell r="D378" t="str">
            <v>225,64</v>
          </cell>
          <cell r="E378" t="str">
            <v>A incluir</v>
          </cell>
        </row>
        <row r="379">
          <cell r="A379">
            <v>40431</v>
          </cell>
          <cell r="B379" t="str">
            <v>Corpo BSTC (greide) diâmetro 0,60 m CA-2 PB inclusive escavação, reaterro e transporte do tubo</v>
          </cell>
          <cell r="C379" t="str">
            <v>m</v>
          </cell>
          <cell r="D379" t="str">
            <v>228,99</v>
          </cell>
          <cell r="E379" t="str">
            <v>A incluir</v>
          </cell>
        </row>
        <row r="380">
          <cell r="A380">
            <v>40432</v>
          </cell>
          <cell r="B380" t="str">
            <v>Corpo BSTC (greide) diâmetro 0,80 m CA-1 MF inclusive escavação, reaterro e transporte do tubo</v>
          </cell>
          <cell r="C380" t="str">
            <v>m</v>
          </cell>
          <cell r="D380" t="str">
            <v>440,35</v>
          </cell>
          <cell r="E380" t="str">
            <v>A incluir</v>
          </cell>
        </row>
        <row r="381">
          <cell r="A381">
            <v>40433</v>
          </cell>
          <cell r="B381" t="str">
            <v>Corpo BSTC (greide) diâmetro 0,80 m CA-1 PB inclusive escavação, reaterro e transporte do tubo</v>
          </cell>
          <cell r="C381" t="str">
            <v>m</v>
          </cell>
          <cell r="D381" t="str">
            <v>447,13</v>
          </cell>
          <cell r="E381" t="str">
            <v>A incluir</v>
          </cell>
        </row>
        <row r="382">
          <cell r="A382">
            <v>40434</v>
          </cell>
          <cell r="B382" t="str">
            <v>Corpo BSTC (greide) diâmetro 0,80 m CA-2 MF inclusive escavação, reaterro e transporte do tubo</v>
          </cell>
          <cell r="C382" t="str">
            <v>m</v>
          </cell>
          <cell r="D382" t="str">
            <v>450,07</v>
          </cell>
          <cell r="E382" t="str">
            <v>A incluir</v>
          </cell>
        </row>
        <row r="383">
          <cell r="A383">
            <v>40435</v>
          </cell>
          <cell r="B383" t="str">
            <v>Corpo BSTC (greide) diâmetro 0,80 m CA-2 PB inclusive escavação, reaterro e transporte do tubo</v>
          </cell>
          <cell r="C383" t="str">
            <v>m</v>
          </cell>
          <cell r="D383" t="str">
            <v>464,04</v>
          </cell>
          <cell r="E383" t="str">
            <v>A incluir</v>
          </cell>
        </row>
        <row r="384">
          <cell r="A384">
            <v>40436</v>
          </cell>
          <cell r="B384" t="str">
            <v>Corpo BSTC (greide) diâmetro 1,00 m CA-1 MF inclusive escavação, reaterro e transporte do tubo</v>
          </cell>
          <cell r="C384" t="str">
            <v>m</v>
          </cell>
          <cell r="D384" t="str">
            <v>592,91</v>
          </cell>
          <cell r="E384" t="str">
            <v>A incluir</v>
          </cell>
        </row>
        <row r="385">
          <cell r="A385">
            <v>40437</v>
          </cell>
          <cell r="B385" t="str">
            <v>Corpo BSTC (greide) diâmetro 1,00 m CA-1 PB inclusive escavação, reaterro e transporte do tubo</v>
          </cell>
          <cell r="C385" t="str">
            <v>m</v>
          </cell>
          <cell r="D385" t="str">
            <v>601,36</v>
          </cell>
          <cell r="E385" t="str">
            <v>A incluir</v>
          </cell>
        </row>
        <row r="386">
          <cell r="A386">
            <v>40438</v>
          </cell>
          <cell r="B386" t="str">
            <v>Corpo BSTC (greide) diâmetro 1,00 m CA-2 MF inclusive escavação, reaterro e transporte do tubo</v>
          </cell>
          <cell r="C386" t="str">
            <v>m</v>
          </cell>
          <cell r="D386" t="str">
            <v>605,87</v>
          </cell>
          <cell r="E386" t="str">
            <v>A incluir</v>
          </cell>
        </row>
        <row r="387">
          <cell r="A387">
            <v>40439</v>
          </cell>
          <cell r="B387" t="str">
            <v>Corpo BSTC (greide) diâmetro 1,00 m CA-2 PB inclusive escavação, reaterro e transporte do tubo</v>
          </cell>
          <cell r="C387" t="str">
            <v>m</v>
          </cell>
          <cell r="D387" t="str">
            <v>621,43</v>
          </cell>
          <cell r="E387" t="str">
            <v>A incluir</v>
          </cell>
        </row>
        <row r="388">
          <cell r="A388">
            <v>40440</v>
          </cell>
          <cell r="B388" t="str">
            <v>Corpo BSTC (greide) diâmetro 1,20 m CA-1 MF inclusive escavação, reaterro e transporte do tubo</v>
          </cell>
          <cell r="C388" t="str">
            <v>m</v>
          </cell>
          <cell r="D388" t="str">
            <v>841,32</v>
          </cell>
          <cell r="E388" t="str">
            <v>A incluir</v>
          </cell>
        </row>
        <row r="389">
          <cell r="A389">
            <v>40441</v>
          </cell>
          <cell r="B389" t="str">
            <v>Corpo BSTC (greide) diâmetro 1,20 m CA-1 PB inclusive escavação, reaterro e transporte do tubo</v>
          </cell>
          <cell r="C389" t="str">
            <v>m</v>
          </cell>
          <cell r="D389" t="str">
            <v>857,30</v>
          </cell>
          <cell r="E389" t="str">
            <v>A incluir</v>
          </cell>
        </row>
        <row r="390">
          <cell r="A390">
            <v>40442</v>
          </cell>
          <cell r="B390" t="str">
            <v>Corpo BSTC (greide) diâmetro 1,20 m CA-2 MF inclusive escavação, reaterro e transporte do tubo</v>
          </cell>
          <cell r="C390" t="str">
            <v>m</v>
          </cell>
          <cell r="D390" t="str">
            <v>860,76</v>
          </cell>
          <cell r="E390" t="str">
            <v>A incluir</v>
          </cell>
        </row>
        <row r="391">
          <cell r="A391">
            <v>40443</v>
          </cell>
          <cell r="B391" t="str">
            <v>Corpo BSTC (greide) diâmetro 1,20 m CA-2 PB inclusive escavação, reaterro e transporte do tubo</v>
          </cell>
          <cell r="C391" t="str">
            <v>m</v>
          </cell>
          <cell r="D391" t="str">
            <v>893,82</v>
          </cell>
          <cell r="E391" t="str">
            <v>A incluir</v>
          </cell>
        </row>
        <row r="392">
          <cell r="A392">
            <v>40444</v>
          </cell>
          <cell r="B392" t="str">
            <v>Corpo BSTC (grota) diâmetro 0,60 m CA-1 MF exclusive escavação e reaterro, inclusive transporte do tubo</v>
          </cell>
          <cell r="C392" t="str">
            <v>m</v>
          </cell>
          <cell r="D392" t="str">
            <v>138,79</v>
          </cell>
          <cell r="E392" t="str">
            <v>A incluir</v>
          </cell>
        </row>
        <row r="393">
          <cell r="A393">
            <v>40445</v>
          </cell>
          <cell r="B393" t="str">
            <v>Corpo BSTC (grota) diâmetro 0,60 m CA-1 PB exclusive escavação e reaterro, inclusive transporte do tubo</v>
          </cell>
          <cell r="C393" t="str">
            <v>m</v>
          </cell>
          <cell r="D393" t="str">
            <v>144,01</v>
          </cell>
          <cell r="E393" t="str">
            <v>A incluir</v>
          </cell>
        </row>
        <row r="394">
          <cell r="A394">
            <v>40446</v>
          </cell>
          <cell r="B394" t="str">
            <v>Corpo BSTC (grota) diâmetro 0,60 m CA-2 MF exclusive escavação e reaterro, inclusive transporte do tubo</v>
          </cell>
          <cell r="C394" t="str">
            <v>m</v>
          </cell>
          <cell r="D394" t="str">
            <v>140,73</v>
          </cell>
          <cell r="E394" t="str">
            <v>A incluir</v>
          </cell>
        </row>
        <row r="395">
          <cell r="A395">
            <v>40447</v>
          </cell>
          <cell r="B395" t="str">
            <v>Corpo BSTC (grota) diâmetro 0,60 m CA-2 PB exclusive escavação e reaterro, inclusive transporte do tubo</v>
          </cell>
          <cell r="C395" t="str">
            <v>m</v>
          </cell>
          <cell r="D395" t="str">
            <v>144,08</v>
          </cell>
          <cell r="E395" t="str">
            <v>A incluir</v>
          </cell>
        </row>
        <row r="396">
          <cell r="A396">
            <v>40448</v>
          </cell>
          <cell r="B396" t="str">
            <v>Corpo BSTC (grota) diâmetro 0,80 m CA-1 MF exclusive escavação e reaterro, inclusive transporte do tubo</v>
          </cell>
          <cell r="C396" t="str">
            <v>m</v>
          </cell>
          <cell r="D396" t="str">
            <v>320,48</v>
          </cell>
          <cell r="E396" t="str">
            <v>A incluir</v>
          </cell>
        </row>
        <row r="397">
          <cell r="A397">
            <v>40449</v>
          </cell>
          <cell r="B397" t="str">
            <v>Corpo BSTC (grota) diâmetro 0,80 m CA-1 PB exclusive escavação e reaterro, inclusive transporte do tubo</v>
          </cell>
          <cell r="C397" t="str">
            <v>m</v>
          </cell>
          <cell r="D397" t="str">
            <v>327,26</v>
          </cell>
          <cell r="E397" t="str">
            <v>A incluir</v>
          </cell>
        </row>
        <row r="398">
          <cell r="A398">
            <v>40450</v>
          </cell>
          <cell r="B398" t="str">
            <v>Corpo BSTC (grota) diâmetro 0,80 m CA-2 MF exclusive escavação e reaterro, inclusive transporte do tubo</v>
          </cell>
          <cell r="C398" t="str">
            <v>m</v>
          </cell>
          <cell r="D398" t="str">
            <v>330,20</v>
          </cell>
          <cell r="E398" t="str">
            <v>A incluir</v>
          </cell>
        </row>
        <row r="399">
          <cell r="A399">
            <v>40451</v>
          </cell>
          <cell r="B399" t="str">
            <v>Corpo BSTC (grota) diâmetro 0,80 m CA-2 PB exclusive escavação e reaterro, inclusive transporte do tubo</v>
          </cell>
          <cell r="C399" t="str">
            <v>m</v>
          </cell>
          <cell r="D399" t="str">
            <v>344,18</v>
          </cell>
          <cell r="E399" t="str">
            <v>A incluir</v>
          </cell>
        </row>
        <row r="400">
          <cell r="A400">
            <v>40452</v>
          </cell>
          <cell r="B400" t="str">
            <v>Corpo BSTC (grota) diâmetro 1,00 m CA-1 MF exclusive escavação e reaterro, inclusive transporte do tubo</v>
          </cell>
          <cell r="C400" t="str">
            <v>m</v>
          </cell>
          <cell r="D400" t="str">
            <v>399,54</v>
          </cell>
          <cell r="E400" t="str">
            <v>A incluir</v>
          </cell>
        </row>
        <row r="401">
          <cell r="A401">
            <v>40453</v>
          </cell>
          <cell r="B401" t="str">
            <v>Corpo BSTC (grota) diâmetro 1,00 m CA-1 PB exclusive escavação e reaterro, inclusive transporte do tubo</v>
          </cell>
          <cell r="C401" t="str">
            <v>m</v>
          </cell>
          <cell r="D401" t="str">
            <v>407,99</v>
          </cell>
          <cell r="E401" t="str">
            <v>A incluir</v>
          </cell>
        </row>
        <row r="402">
          <cell r="A402">
            <v>40454</v>
          </cell>
          <cell r="B402" t="str">
            <v>Corpo BSTC (grota) diâmetro 1,00 m CA-2 MF exclusive escavação e reaterro, inclusive transporte do tubo</v>
          </cell>
          <cell r="C402" t="str">
            <v>m</v>
          </cell>
          <cell r="D402" t="str">
            <v>412,50</v>
          </cell>
          <cell r="E402" t="str">
            <v>A incluir</v>
          </cell>
        </row>
        <row r="403">
          <cell r="A403">
            <v>40455</v>
          </cell>
          <cell r="B403" t="str">
            <v>Corpo BSTC (grota) diâmetro 1,00 m CA-2 PB exclusive escavação e reaterro, inclusive transporte do tubo</v>
          </cell>
          <cell r="C403" t="str">
            <v>m</v>
          </cell>
          <cell r="D403" t="str">
            <v>428,06</v>
          </cell>
          <cell r="E403" t="str">
            <v>A incluir</v>
          </cell>
        </row>
        <row r="404">
          <cell r="A404">
            <v>40456</v>
          </cell>
          <cell r="B404" t="str">
            <v>Corpo BSTC (grota) diâmetro 1,00 m CA-3 MF exclusive escavação e reaterro, inclusive transporte do tubo</v>
          </cell>
          <cell r="C404" t="str">
            <v>m</v>
          </cell>
          <cell r="D404" t="str">
            <v>448,15</v>
          </cell>
          <cell r="E404" t="str">
            <v>A incluir</v>
          </cell>
        </row>
        <row r="405">
          <cell r="A405">
            <v>40457</v>
          </cell>
          <cell r="B405" t="str">
            <v>Corpo BSTC (grota) diâmetro 1,20 m CA-1 MF exclusive escavação e reaterro, inclusive transporte do tubo</v>
          </cell>
          <cell r="C405" t="str">
            <v>m</v>
          </cell>
          <cell r="D405" t="str">
            <v>579,57</v>
          </cell>
          <cell r="E405" t="str">
            <v>A incluir</v>
          </cell>
        </row>
        <row r="406">
          <cell r="A406">
            <v>40458</v>
          </cell>
          <cell r="B406" t="str">
            <v>Corpo BSTC (grota) diâmetro 1,20 m CA-1 PB exclusive escavação e reaterro, inclusive transporte do tubo</v>
          </cell>
          <cell r="C406" t="str">
            <v>m</v>
          </cell>
          <cell r="D406" t="str">
            <v>595,55</v>
          </cell>
          <cell r="E406" t="str">
            <v>A incluir</v>
          </cell>
        </row>
        <row r="407">
          <cell r="A407">
            <v>40459</v>
          </cell>
          <cell r="B407" t="str">
            <v>Corpo BSTC (grota) diâmetro 1,20 m CA-2 MF exclusive escavação e reaterro, inclusive transporte do tubo</v>
          </cell>
          <cell r="C407" t="str">
            <v>m</v>
          </cell>
          <cell r="D407" t="str">
            <v>599,02</v>
          </cell>
          <cell r="E407" t="str">
            <v>A incluir</v>
          </cell>
        </row>
        <row r="408">
          <cell r="A408">
            <v>40460</v>
          </cell>
          <cell r="B408" t="str">
            <v>Corpo BSTC (grota) diâmetro 1,20 m CA-2 PB exclusive escavação e reaterro, inclusive transporte do tubo</v>
          </cell>
          <cell r="C408" t="str">
            <v>m</v>
          </cell>
          <cell r="D408" t="str">
            <v>632,07</v>
          </cell>
          <cell r="E408" t="str">
            <v>A incluir</v>
          </cell>
        </row>
        <row r="409">
          <cell r="A409">
            <v>40461</v>
          </cell>
          <cell r="B409" t="str">
            <v>Corpo BSTC (grota) diâmetro 1,20 m CA-3 MF exclusive escavação e reaterro, inclusive transporte do tubo</v>
          </cell>
          <cell r="C409" t="str">
            <v>m</v>
          </cell>
          <cell r="D409" t="str">
            <v>615,22</v>
          </cell>
          <cell r="E409" t="str">
            <v>A incluir</v>
          </cell>
        </row>
        <row r="410">
          <cell r="A410">
            <v>40462</v>
          </cell>
          <cell r="B410" t="str">
            <v>Corpo BSTC (grota) diâmetro 1,50 m CA-1 MF exclusive escavação e reaterro, inclusive transporte do tubo</v>
          </cell>
          <cell r="C410" t="str">
            <v>m</v>
          </cell>
          <cell r="D410" t="str">
            <v>941,34</v>
          </cell>
          <cell r="E410" t="str">
            <v>A incluir</v>
          </cell>
        </row>
        <row r="411">
          <cell r="A411">
            <v>40463</v>
          </cell>
          <cell r="B411" t="str">
            <v>Corpo BSTC (grota) diâmetro 1,50 m CA-1 PB exclusive escavação e reaterro, inclusive transporte do tubo</v>
          </cell>
          <cell r="C411" t="str">
            <v>m</v>
          </cell>
          <cell r="D411" t="str">
            <v>827,68</v>
          </cell>
          <cell r="E411" t="str">
            <v>A incluir</v>
          </cell>
        </row>
        <row r="412">
          <cell r="A412">
            <v>40464</v>
          </cell>
          <cell r="B412" t="str">
            <v>Corpo BSTC (grota) diâmetro 1,50 m CA-2 MF exclusive escavação e reaterro, inclusive transporte do tubo</v>
          </cell>
          <cell r="C412" t="str">
            <v>m</v>
          </cell>
          <cell r="D412" t="str">
            <v>980,23</v>
          </cell>
          <cell r="E412" t="str">
            <v>A incluir</v>
          </cell>
        </row>
        <row r="413">
          <cell r="A413">
            <v>40465</v>
          </cell>
          <cell r="B413" t="str">
            <v>Corpo BSTC (grota) diâmetro 1,50 m CA-2 PB exclusive escavação e reaterro, inclusive transporte do tubo</v>
          </cell>
          <cell r="C413" t="str">
            <v>m</v>
          </cell>
          <cell r="D413" t="str">
            <v>877,28</v>
          </cell>
          <cell r="E413" t="str">
            <v>A incluir</v>
          </cell>
        </row>
        <row r="414">
          <cell r="A414">
            <v>40466</v>
          </cell>
          <cell r="B414" t="str">
            <v>Corpo BSTC (grota) diâmetro 1,50 m CA-3 MF exclusive escavação e reaterro, inclusive transporte do tubo</v>
          </cell>
          <cell r="C414" t="str">
            <v>m</v>
          </cell>
          <cell r="D414" t="str">
            <v>759,86</v>
          </cell>
          <cell r="E414" t="str">
            <v>A incluir</v>
          </cell>
        </row>
        <row r="415">
          <cell r="A415">
            <v>40490</v>
          </cell>
          <cell r="B415" t="str">
            <v>Corpo BTTC (grota) diâmetro 0,60 m CA-1 MF exclusive escavação e reaterro, inclusive transporte do tubo</v>
          </cell>
          <cell r="C415" t="str">
            <v>m</v>
          </cell>
          <cell r="D415" t="str">
            <v>413,81</v>
          </cell>
          <cell r="E415" t="str">
            <v>A incluir</v>
          </cell>
        </row>
        <row r="416">
          <cell r="A416">
            <v>40491</v>
          </cell>
          <cell r="B416" t="str">
            <v>Corpo BTTC (grota) diâmetro 0,60 m CA-1 PB exclusive escavação e reaterro, inclusive transporte do tubo</v>
          </cell>
          <cell r="C416" t="str">
            <v>m</v>
          </cell>
          <cell r="D416" t="str">
            <v>429,49</v>
          </cell>
          <cell r="E416" t="str">
            <v>A incluir</v>
          </cell>
        </row>
        <row r="417">
          <cell r="A417">
            <v>40492</v>
          </cell>
          <cell r="B417" t="str">
            <v>Corpo BTTC (grota) diâmetro 0,60 m CA-2 MF exclusive escavação e reaterro, inclusive transporte do tubo</v>
          </cell>
          <cell r="C417" t="str">
            <v>m</v>
          </cell>
          <cell r="D417" t="str">
            <v>419,65</v>
          </cell>
          <cell r="E417" t="str">
            <v>A incluir</v>
          </cell>
        </row>
        <row r="418">
          <cell r="A418">
            <v>40493</v>
          </cell>
          <cell r="B418" t="str">
            <v>Corpo BTTC (grota) diâmetro 0,60 m CA-2 PB exclusive escavação e reaterro, inclusive transporte do tubo</v>
          </cell>
          <cell r="C418" t="str">
            <v>m</v>
          </cell>
          <cell r="D418" t="str">
            <v>429,68</v>
          </cell>
          <cell r="E418" t="str">
            <v>A incluir</v>
          </cell>
        </row>
        <row r="419">
          <cell r="A419">
            <v>40494</v>
          </cell>
          <cell r="B419" t="str">
            <v>Corpo BTTC (grota) diâmetro 0,80 m CA-1 MF exclusive escavação e reaterro, inclusive transporte do tubo</v>
          </cell>
          <cell r="C419" t="str">
            <v>m</v>
          </cell>
          <cell r="D419" t="str">
            <v>826,17</v>
          </cell>
          <cell r="E419" t="str">
            <v>A incluir</v>
          </cell>
        </row>
        <row r="420">
          <cell r="A420">
            <v>40495</v>
          </cell>
          <cell r="B420" t="str">
            <v>Corpo BTTC (grota) diâmetro 0,80 m CA-1 PB exclusive escavação e reaterro, inclusive transporte do tubo</v>
          </cell>
          <cell r="C420" t="str">
            <v>m</v>
          </cell>
          <cell r="D420" t="str">
            <v>846,50</v>
          </cell>
          <cell r="E420" t="str">
            <v>A incluir</v>
          </cell>
        </row>
        <row r="421">
          <cell r="A421">
            <v>40496</v>
          </cell>
          <cell r="B421" t="str">
            <v>Corpo BTTC (grota) diâmetro 0,80 m CA-2 MF exclusive escavação e reaterro, inclusive transporte do tubo</v>
          </cell>
          <cell r="C421" t="str">
            <v>m</v>
          </cell>
          <cell r="D421" t="str">
            <v>855,33</v>
          </cell>
          <cell r="E421" t="str">
            <v>A incluir</v>
          </cell>
        </row>
        <row r="422">
          <cell r="A422">
            <v>40497</v>
          </cell>
          <cell r="B422" t="str">
            <v>Corpo BTTC (grota) diâmetro 0,80 m CA-2 PB exclusive escavação e reaterro, inclusive transporte do tubo</v>
          </cell>
          <cell r="C422" t="str">
            <v>m</v>
          </cell>
          <cell r="D422" t="str">
            <v>897,25</v>
          </cell>
          <cell r="E422" t="str">
            <v>A incluir</v>
          </cell>
        </row>
        <row r="423">
          <cell r="A423">
            <v>40498</v>
          </cell>
          <cell r="B423" t="str">
            <v>Corpo BTTC (grota) diâmetro 1,00 m CA-1 MF exclusive escavação e reaterro, inclusive transporte do tubo</v>
          </cell>
          <cell r="C423" t="str">
            <v>m</v>
          </cell>
          <cell r="D423" t="str">
            <v>1.063,35</v>
          </cell>
          <cell r="E423" t="str">
            <v>A incluir</v>
          </cell>
        </row>
        <row r="424">
          <cell r="A424">
            <v>40499</v>
          </cell>
          <cell r="B424" t="str">
            <v>Corpo BTTC (grota) diâmetro 1,00 m CA-1 PB exclusive escavação e reaterro, inclusive transporte do tubo</v>
          </cell>
          <cell r="C424" t="str">
            <v>m</v>
          </cell>
          <cell r="D424" t="str">
            <v>1.088,71</v>
          </cell>
          <cell r="E424" t="str">
            <v>A incluir</v>
          </cell>
        </row>
        <row r="425">
          <cell r="A425">
            <v>40500</v>
          </cell>
          <cell r="B425" t="str">
            <v>Corpo BTTC (grota) diâmetro 1,00 m CA-2 MF exclusive escavação e reaterro, inclusive transporte do tubo</v>
          </cell>
          <cell r="C425" t="str">
            <v>m</v>
          </cell>
          <cell r="D425" t="str">
            <v>1.102,24</v>
          </cell>
          <cell r="E425" t="str">
            <v>A incluir</v>
          </cell>
        </row>
        <row r="426">
          <cell r="A426">
            <v>40501</v>
          </cell>
          <cell r="B426" t="str">
            <v>Corpo BTTC (grota) diâmetro 1,00 m CA-2 PB exclusive escavação e reaterro, inclusive transporte do tubo</v>
          </cell>
          <cell r="C426" t="str">
            <v>m</v>
          </cell>
          <cell r="D426" t="str">
            <v>1.148,91</v>
          </cell>
          <cell r="E426" t="str">
            <v>A incluir</v>
          </cell>
        </row>
        <row r="427">
          <cell r="A427">
            <v>40502</v>
          </cell>
          <cell r="B427" t="str">
            <v>Corpo BTTC (grota) diâmetro 1,00 m CA-3 MF exclusive escavação e reaterro, inclusive transporte do tubo</v>
          </cell>
          <cell r="C427" t="str">
            <v>m</v>
          </cell>
          <cell r="D427" t="str">
            <v>1.209,18</v>
          </cell>
          <cell r="E427" t="str">
            <v>A incluir</v>
          </cell>
        </row>
        <row r="428">
          <cell r="A428">
            <v>40503</v>
          </cell>
          <cell r="B428" t="str">
            <v>Corpo BTTC (grota) diâmetro 1,20 m CA-1 MF exclusive escavação e reaterro, inclusive transporte do tubo</v>
          </cell>
          <cell r="C428" t="str">
            <v>m</v>
          </cell>
          <cell r="D428" t="str">
            <v>1.603,45</v>
          </cell>
          <cell r="E428" t="str">
            <v>A incluir</v>
          </cell>
        </row>
        <row r="429">
          <cell r="A429">
            <v>40504</v>
          </cell>
          <cell r="B429" t="str">
            <v>Corpo BTTC (grota) diâmetro 1,20 m CA-1 PB exclusive escavação e reaterro, inclusive transporte do tubo</v>
          </cell>
          <cell r="C429" t="str">
            <v>m</v>
          </cell>
          <cell r="D429" t="str">
            <v>1.651,40</v>
          </cell>
          <cell r="E429" t="str">
            <v>A incluir</v>
          </cell>
        </row>
        <row r="430">
          <cell r="A430">
            <v>40505</v>
          </cell>
          <cell r="B430" t="str">
            <v>Corpo BTTC (grota) diâmetro 1,20 m CA-2 MF exclusive escavação e reaterro, inclusive transporte do tubo</v>
          </cell>
          <cell r="C430" t="str">
            <v>m</v>
          </cell>
          <cell r="D430" t="str">
            <v>1.661,79</v>
          </cell>
          <cell r="E430" t="str">
            <v>A incluir</v>
          </cell>
        </row>
        <row r="431">
          <cell r="A431">
            <v>40506</v>
          </cell>
          <cell r="B431" t="str">
            <v>Corpo BTTC (grota) diâmetro 1,20 m CA-2 PB exclusive escavação e reaterro, inclusive transporte do tubo</v>
          </cell>
          <cell r="C431" t="str">
            <v>m</v>
          </cell>
          <cell r="D431" t="str">
            <v>1.760,95</v>
          </cell>
          <cell r="E431" t="str">
            <v>A incluir</v>
          </cell>
        </row>
        <row r="432">
          <cell r="A432">
            <v>40507</v>
          </cell>
          <cell r="B432" t="str">
            <v>Corpo BTTC (grota) diâmetro 1,20 m CA-3 MF exclusive escavação e reaterro, inclusive transporte do tubo</v>
          </cell>
          <cell r="C432" t="str">
            <v>m</v>
          </cell>
          <cell r="D432" t="str">
            <v>1.710,40</v>
          </cell>
          <cell r="E432" t="str">
            <v>A incluir</v>
          </cell>
        </row>
        <row r="433">
          <cell r="A433">
            <v>40508</v>
          </cell>
          <cell r="B433" t="str">
            <v>Corpo BTTC (grota) diâmetro 1,50 m CA-1 MF exclusive escavação e reaterro, inclusive transporte do tubo</v>
          </cell>
          <cell r="C433" t="str">
            <v>m</v>
          </cell>
          <cell r="D433" t="str">
            <v>2.688,81</v>
          </cell>
          <cell r="E433" t="str">
            <v>A incluir</v>
          </cell>
        </row>
        <row r="434">
          <cell r="A434">
            <v>40509</v>
          </cell>
          <cell r="B434" t="str">
            <v>Corpo BTTC (grota) diâmetro 1,50 m CA-1 PB exclusive escavação e reaterro, inclusive transporte do tubo</v>
          </cell>
          <cell r="C434" t="str">
            <v>m</v>
          </cell>
          <cell r="D434" t="str">
            <v>2.347,83</v>
          </cell>
          <cell r="E434" t="str">
            <v>A incluir</v>
          </cell>
        </row>
        <row r="435">
          <cell r="A435">
            <v>40510</v>
          </cell>
          <cell r="B435" t="str">
            <v>Corpo BTTC (grota) diâmetro 1,50 m CA-2 MF exclusive escavação e reaterro, inclusive transporte do tubo</v>
          </cell>
          <cell r="C435" t="str">
            <v>m</v>
          </cell>
          <cell r="D435" t="str">
            <v>2.805,47</v>
          </cell>
          <cell r="E435" t="str">
            <v>A incluir</v>
          </cell>
        </row>
        <row r="436">
          <cell r="A436">
            <v>40511</v>
          </cell>
          <cell r="B436" t="str">
            <v>Corpo BTTC (grota) diâmetro 1,50 m CA-2 PB exclusive escavação e reaterro, inclusive transporte do tubo</v>
          </cell>
          <cell r="C436" t="str">
            <v>m</v>
          </cell>
          <cell r="D436" t="str">
            <v>2.496,62</v>
          </cell>
          <cell r="E436" t="str">
            <v>A incluir</v>
          </cell>
        </row>
        <row r="437">
          <cell r="A437">
            <v>40512</v>
          </cell>
          <cell r="B437" t="str">
            <v>Corpo BTTC (grota) diâmetro 1,50 m CA-3 MF exclusive escavação e reaterro, inclusive transporte do tubo</v>
          </cell>
          <cell r="C437" t="str">
            <v>m</v>
          </cell>
          <cell r="D437" t="str">
            <v>2.144,36</v>
          </cell>
          <cell r="E437" t="str">
            <v>A incluir</v>
          </cell>
        </row>
        <row r="438">
          <cell r="A438">
            <v>40586</v>
          </cell>
          <cell r="B438" t="str">
            <v>Corpo de BDCC 1,50 x 1,50 m projeto DNIT para H &lt; -&gt; 2,50 m</v>
          </cell>
          <cell r="C438" t="str">
            <v>m</v>
          </cell>
          <cell r="D438" t="str">
            <v>3.704,96</v>
          </cell>
          <cell r="E438">
            <v>0</v>
          </cell>
        </row>
        <row r="439">
          <cell r="A439">
            <v>40592</v>
          </cell>
          <cell r="B439" t="str">
            <v>Corpo de BDCC 1,50 x 1,50 m projeto DNIT para 2,50 &lt; H &lt; 5,00 m</v>
          </cell>
          <cell r="C439" t="str">
            <v>m</v>
          </cell>
          <cell r="D439" t="str">
            <v>3.867,78</v>
          </cell>
          <cell r="E439">
            <v>0</v>
          </cell>
        </row>
        <row r="440">
          <cell r="A440">
            <v>40598</v>
          </cell>
          <cell r="B440" t="str">
            <v>Corpo de BDCC 2,00 x 1,20 m -tudo incluido conforme projeto</v>
          </cell>
          <cell r="C440" t="str">
            <v>m</v>
          </cell>
          <cell r="D440" t="str">
            <v>5.390,62</v>
          </cell>
          <cell r="E440">
            <v>0</v>
          </cell>
        </row>
        <row r="441">
          <cell r="A441">
            <v>40587</v>
          </cell>
          <cell r="B441" t="str">
            <v>Corpo de BDCC 2,00 x 2,00 m projeto DNIT para H &lt; -&gt; 2,50 m</v>
          </cell>
          <cell r="C441" t="str">
            <v>m</v>
          </cell>
          <cell r="D441" t="str">
            <v>5.326,40</v>
          </cell>
          <cell r="E441">
            <v>0</v>
          </cell>
        </row>
        <row r="442">
          <cell r="A442">
            <v>40593</v>
          </cell>
          <cell r="B442" t="str">
            <v>Corpo de BDCC 2,00 x 2,00 m projeto DNIT para 2,50 &lt; H &lt;5,00 m</v>
          </cell>
          <cell r="C442" t="str">
            <v>m</v>
          </cell>
          <cell r="D442" t="str">
            <v>5.885,26</v>
          </cell>
          <cell r="E442">
            <v>0</v>
          </cell>
        </row>
        <row r="443">
          <cell r="A443">
            <v>40588</v>
          </cell>
          <cell r="B443" t="str">
            <v>Corpo de BDCC 2,00 x 3,00 m projeto DNIT para H &lt; -&gt; 2,50 m</v>
          </cell>
          <cell r="C443" t="str">
            <v>m</v>
          </cell>
          <cell r="D443" t="str">
            <v>7.584,32</v>
          </cell>
          <cell r="E443">
            <v>0</v>
          </cell>
        </row>
        <row r="444">
          <cell r="A444">
            <v>40594</v>
          </cell>
          <cell r="B444" t="str">
            <v>Corpo de BDCC 2,00 x 3,00 m projeto DNIT para 2,50 &lt; H &lt; 5,00 m</v>
          </cell>
          <cell r="C444" t="str">
            <v>m</v>
          </cell>
          <cell r="D444" t="str">
            <v>8.845,71</v>
          </cell>
          <cell r="E444">
            <v>0</v>
          </cell>
        </row>
        <row r="445">
          <cell r="A445">
            <v>40599</v>
          </cell>
          <cell r="B445" t="str">
            <v>Corpo de BDCC 2,50 x 2,00 m - tudo incluído conforme projeto</v>
          </cell>
          <cell r="C445" t="str">
            <v>m</v>
          </cell>
          <cell r="D445" t="str">
            <v>7.780,04</v>
          </cell>
          <cell r="E445">
            <v>0</v>
          </cell>
        </row>
        <row r="446">
          <cell r="A446">
            <v>40589</v>
          </cell>
          <cell r="B446" t="str">
            <v>Corpo de BDCC 2,50 x 2,50 m projeto DNIT para H &lt; -&gt; 2,50 m</v>
          </cell>
          <cell r="C446" t="str">
            <v>m</v>
          </cell>
          <cell r="D446" t="str">
            <v>7.150,71</v>
          </cell>
          <cell r="E446">
            <v>0</v>
          </cell>
        </row>
        <row r="447">
          <cell r="A447">
            <v>40595</v>
          </cell>
          <cell r="B447" t="str">
            <v>Corpo de BDCC 2,50 x 2,50 m projeto DNIT para 2,50 &lt; H &lt; 5,00 m</v>
          </cell>
          <cell r="C447" t="str">
            <v>m</v>
          </cell>
          <cell r="D447" t="str">
            <v>7.992,77</v>
          </cell>
          <cell r="E447">
            <v>0</v>
          </cell>
        </row>
        <row r="448">
          <cell r="A448">
            <v>40590</v>
          </cell>
          <cell r="B448" t="str">
            <v>Corpo de BDCC 2,50 x 3,00 m projeto DNIT para H &lt; -&gt; 2,50 m</v>
          </cell>
          <cell r="C448" t="str">
            <v>m</v>
          </cell>
          <cell r="D448" t="str">
            <v>8.668,85</v>
          </cell>
          <cell r="E448">
            <v>0</v>
          </cell>
        </row>
        <row r="449">
          <cell r="A449">
            <v>40596</v>
          </cell>
          <cell r="B449" t="str">
            <v>Corpo de BDCC 2,50 x 3,00 m projeto DNIT para 2,50 &lt; H &lt; 5,00 m</v>
          </cell>
          <cell r="C449" t="str">
            <v>m</v>
          </cell>
          <cell r="D449" t="str">
            <v>9.600,72</v>
          </cell>
          <cell r="E449">
            <v>0</v>
          </cell>
        </row>
        <row r="450">
          <cell r="A450">
            <v>40591</v>
          </cell>
          <cell r="B450" t="str">
            <v>Corpo de BDCC 3,00 x 3,00 m projeto DNIT para H &lt; -&gt; 2,50 m</v>
          </cell>
          <cell r="C450" t="str">
            <v>m</v>
          </cell>
          <cell r="D450" t="str">
            <v>9.513,20</v>
          </cell>
          <cell r="E450">
            <v>0</v>
          </cell>
        </row>
        <row r="451">
          <cell r="A451">
            <v>40597</v>
          </cell>
          <cell r="B451" t="str">
            <v>Corpo de BDCC 3,00 x 3,00 m projeto DNIT para 2,50 &lt; H &lt; 5,00 m</v>
          </cell>
          <cell r="C451" t="str">
            <v>m</v>
          </cell>
          <cell r="D451" t="str">
            <v>10.270,19</v>
          </cell>
          <cell r="E451">
            <v>0</v>
          </cell>
        </row>
        <row r="452">
          <cell r="A452">
            <v>40573</v>
          </cell>
          <cell r="B452" t="str">
            <v>Corpo de BSCC 1,50 x 1,50 m projeto DNIT para H &lt; -&gt; 2,50 m</v>
          </cell>
          <cell r="C452" t="str">
            <v>m</v>
          </cell>
          <cell r="D452" t="str">
            <v>2.250,89</v>
          </cell>
          <cell r="E452">
            <v>0</v>
          </cell>
        </row>
        <row r="453">
          <cell r="A453">
            <v>40579</v>
          </cell>
          <cell r="B453" t="str">
            <v>Corpo de BSCC 1,50 x 1,50 m projeto DNIT para 2,50 &lt; H &lt; 5,00 m</v>
          </cell>
          <cell r="C453" t="str">
            <v>m</v>
          </cell>
          <cell r="D453" t="str">
            <v>2.373,00</v>
          </cell>
          <cell r="E453">
            <v>0</v>
          </cell>
        </row>
        <row r="454">
          <cell r="A454">
            <v>41113</v>
          </cell>
          <cell r="B454" t="str">
            <v>Corpo de BSCC 2,00 x 2,00 m projeto DNIT para 5,00 &lt; H &lt; 7,50 m</v>
          </cell>
          <cell r="C454" t="str">
            <v>m</v>
          </cell>
          <cell r="D454" t="str">
            <v>3.868,50</v>
          </cell>
          <cell r="E454">
            <v>0</v>
          </cell>
        </row>
        <row r="455">
          <cell r="A455">
            <v>40574</v>
          </cell>
          <cell r="B455" t="str">
            <v>Corpo de BSCC 2,00 x 2,00 m projeto DNIT para H &lt; -&gt; 2,50 m</v>
          </cell>
          <cell r="C455" t="str">
            <v>m</v>
          </cell>
          <cell r="D455" t="str">
            <v>3.182,22</v>
          </cell>
          <cell r="E455">
            <v>0</v>
          </cell>
        </row>
        <row r="456">
          <cell r="A456">
            <v>40580</v>
          </cell>
          <cell r="B456" t="str">
            <v>Corpo de BSCC 2,00 x 2,00 m projeto DNIT para 2,50 &lt; H &lt; 5,00 m</v>
          </cell>
          <cell r="C456" t="str">
            <v>m</v>
          </cell>
          <cell r="D456" t="str">
            <v>3.583,58</v>
          </cell>
          <cell r="E456">
            <v>0</v>
          </cell>
        </row>
        <row r="457">
          <cell r="A457">
            <v>40575</v>
          </cell>
          <cell r="B457" t="str">
            <v>Corpo de BSCC 2,00 x 3,00 m projeto DNIT para H &lt; -&gt; 2,50 m</v>
          </cell>
          <cell r="C457" t="str">
            <v>m</v>
          </cell>
          <cell r="D457" t="str">
            <v>4.615,92</v>
          </cell>
          <cell r="E457">
            <v>0</v>
          </cell>
        </row>
        <row r="458">
          <cell r="A458">
            <v>40581</v>
          </cell>
          <cell r="B458" t="str">
            <v>Corpo de BSCC 2,00 x 3,00 m projeto DNIT para 2,50 &lt; H &lt; 5,00 m</v>
          </cell>
          <cell r="C458" t="str">
            <v>m</v>
          </cell>
          <cell r="D458" t="str">
            <v>5.815,26</v>
          </cell>
          <cell r="E458">
            <v>0</v>
          </cell>
        </row>
        <row r="459">
          <cell r="A459">
            <v>40576</v>
          </cell>
          <cell r="B459" t="str">
            <v>Corpo de BSCC 2,50 x 2,50 m projeto DNIT para H &lt; -&gt; 2,50 m</v>
          </cell>
          <cell r="C459" t="str">
            <v>m</v>
          </cell>
          <cell r="D459" t="str">
            <v>4.523,32</v>
          </cell>
          <cell r="E459">
            <v>0</v>
          </cell>
        </row>
        <row r="460">
          <cell r="A460">
            <v>40582</v>
          </cell>
          <cell r="B460" t="str">
            <v>Corpo de BSCC 2,50 x 2,50 m projeto DNIT para 2,50 &lt; H &lt; 5,00 m</v>
          </cell>
          <cell r="C460" t="str">
            <v>m</v>
          </cell>
          <cell r="D460" t="str">
            <v>4.954,78</v>
          </cell>
          <cell r="E460">
            <v>0</v>
          </cell>
        </row>
        <row r="461">
          <cell r="A461">
            <v>40577</v>
          </cell>
          <cell r="B461" t="str">
            <v>Corpo de BSCC 2,50 x 3,00 m projeto DNIT para H &lt; -&gt; 2,50 m</v>
          </cell>
          <cell r="C461" t="str">
            <v>m</v>
          </cell>
          <cell r="D461" t="str">
            <v>5.680,80</v>
          </cell>
          <cell r="E461">
            <v>0</v>
          </cell>
        </row>
        <row r="462">
          <cell r="A462">
            <v>40583</v>
          </cell>
          <cell r="B462" t="str">
            <v>Corpo de BSCC 2,50 x 3,00 m projeto DNIT para 2,50 &lt; H &lt; 5,00 m</v>
          </cell>
          <cell r="C462" t="str">
            <v>m</v>
          </cell>
          <cell r="D462" t="str">
            <v>6.771,44</v>
          </cell>
          <cell r="E462">
            <v>0</v>
          </cell>
        </row>
        <row r="463">
          <cell r="A463">
            <v>40578</v>
          </cell>
          <cell r="B463" t="str">
            <v>Corpo de BSCC 3,00 x 3,00 m projeto DNIT para H &lt; -&gt; 2,50 m</v>
          </cell>
          <cell r="C463" t="str">
            <v>m</v>
          </cell>
          <cell r="D463" t="str">
            <v>6.187,46</v>
          </cell>
          <cell r="E463">
            <v>0</v>
          </cell>
        </row>
        <row r="464">
          <cell r="A464">
            <v>40584</v>
          </cell>
          <cell r="B464" t="str">
            <v>Corpo de BSCC 3,00 x 3,00 m projeto DNIT para 2,50 &lt; H &lt; 5,00 m</v>
          </cell>
          <cell r="C464" t="str">
            <v>m</v>
          </cell>
          <cell r="D464" t="str">
            <v>7.075,21</v>
          </cell>
          <cell r="E464">
            <v>0</v>
          </cell>
        </row>
        <row r="465">
          <cell r="A465">
            <v>40601</v>
          </cell>
          <cell r="B465" t="str">
            <v>Corpo de BTCC 1,50 x 1,50 m projeto DNIT para H &lt; -&gt; 2,50 m</v>
          </cell>
          <cell r="C465" t="str">
            <v>m</v>
          </cell>
          <cell r="D465" t="str">
            <v>5.198,81</v>
          </cell>
          <cell r="E465">
            <v>0</v>
          </cell>
        </row>
        <row r="466">
          <cell r="A466">
            <v>40607</v>
          </cell>
          <cell r="B466" t="str">
            <v>Corpo de BTCC 1,50 x 1,50 m projeto DNIT para 2,50 &lt; H &lt; 5,00 m</v>
          </cell>
          <cell r="C466" t="str">
            <v>m</v>
          </cell>
          <cell r="D466" t="str">
            <v>5.500,01</v>
          </cell>
          <cell r="E466">
            <v>0</v>
          </cell>
        </row>
        <row r="467">
          <cell r="A467">
            <v>40602</v>
          </cell>
          <cell r="B467" t="str">
            <v>Corpo de BTCC 2,00 x 2,00 m projeto DNIT para H &lt; -&gt; 2,50 m</v>
          </cell>
          <cell r="C467" t="str">
            <v>m</v>
          </cell>
          <cell r="D467" t="str">
            <v>7.563,96</v>
          </cell>
          <cell r="E467">
            <v>0</v>
          </cell>
        </row>
        <row r="468">
          <cell r="A468">
            <v>40608</v>
          </cell>
          <cell r="B468" t="str">
            <v>Corpo de BTCC 2,00 x 2,00 m projeto DNIT para 2,50 &lt; H &lt; 5,00 m</v>
          </cell>
          <cell r="C468" t="str">
            <v>m</v>
          </cell>
          <cell r="D468" t="str">
            <v>8.079,68</v>
          </cell>
          <cell r="E468">
            <v>0</v>
          </cell>
        </row>
        <row r="469">
          <cell r="A469">
            <v>40603</v>
          </cell>
          <cell r="B469" t="str">
            <v>Corpo de BTCC 2,00 x 3,00 m projeto DNIT para H &lt; -&gt; 2,50 m</v>
          </cell>
          <cell r="C469" t="str">
            <v>m</v>
          </cell>
          <cell r="D469" t="str">
            <v>11.001,02</v>
          </cell>
          <cell r="E469">
            <v>0</v>
          </cell>
        </row>
        <row r="470">
          <cell r="A470">
            <v>40609</v>
          </cell>
          <cell r="B470" t="str">
            <v>Corpo de BTCC 2,00 x 3,00 m projeto DNIT para 2,50 &lt; H &lt; 5,00 m</v>
          </cell>
          <cell r="C470" t="str">
            <v>m</v>
          </cell>
          <cell r="D470" t="str">
            <v>12.455,99</v>
          </cell>
          <cell r="E470">
            <v>0</v>
          </cell>
        </row>
        <row r="471">
          <cell r="A471">
            <v>40604</v>
          </cell>
          <cell r="B471" t="str">
            <v>Corpo de BTCC 2,50 x 2,50 m projeto DNIT para H &lt; -&gt; 2,50 m</v>
          </cell>
          <cell r="C471" t="str">
            <v>m</v>
          </cell>
          <cell r="D471" t="str">
            <v>9.907,19</v>
          </cell>
          <cell r="E471">
            <v>0</v>
          </cell>
        </row>
        <row r="472">
          <cell r="A472">
            <v>40610</v>
          </cell>
          <cell r="B472" t="str">
            <v>Corpo de BTCC 2,50 x 2,50 m projeto DNIT para 2,50 &lt; H &lt; 5,00 m</v>
          </cell>
          <cell r="C472" t="str">
            <v>m</v>
          </cell>
          <cell r="D472" t="str">
            <v>11.106,93</v>
          </cell>
          <cell r="E472">
            <v>0</v>
          </cell>
        </row>
        <row r="473">
          <cell r="A473">
            <v>40605</v>
          </cell>
          <cell r="B473" t="str">
            <v>Corpo de BTCC 2,50 x 3,00 m projeto DNIT para H &lt; -&gt; 2,50 m</v>
          </cell>
          <cell r="C473" t="str">
            <v>m</v>
          </cell>
          <cell r="D473" t="str">
            <v>12.306,26</v>
          </cell>
          <cell r="E473">
            <v>0</v>
          </cell>
        </row>
        <row r="474">
          <cell r="A474">
            <v>40611</v>
          </cell>
          <cell r="B474" t="str">
            <v>Corpo de BTCC 2,50 x 3,00 m projeto DNIT para 2,50 &lt; H &lt; 5,00 m</v>
          </cell>
          <cell r="C474" t="str">
            <v>m</v>
          </cell>
          <cell r="D474" t="str">
            <v>13.932,36</v>
          </cell>
          <cell r="E474">
            <v>0</v>
          </cell>
        </row>
        <row r="475">
          <cell r="A475">
            <v>40606</v>
          </cell>
          <cell r="B475" t="str">
            <v>Corpo de BTCC 3,00 x 3,00 m projeto DNIT para H &lt; -&gt; 2,50 m</v>
          </cell>
          <cell r="C475" t="str">
            <v>m</v>
          </cell>
          <cell r="D475" t="str">
            <v>13.235,39</v>
          </cell>
          <cell r="E475">
            <v>0</v>
          </cell>
        </row>
        <row r="476">
          <cell r="A476">
            <v>40612</v>
          </cell>
          <cell r="B476" t="str">
            <v>Corpo de BTCC 3,00 x 3,00 m projeto DNIT para 2,50 &lt; H &lt; 5,00 m</v>
          </cell>
          <cell r="C476" t="str">
            <v>m</v>
          </cell>
          <cell r="D476" t="str">
            <v>14.821,12</v>
          </cell>
          <cell r="E476">
            <v>0</v>
          </cell>
        </row>
        <row r="477">
          <cell r="A477">
            <v>40305</v>
          </cell>
          <cell r="B477" t="str">
            <v>Corta-rio (escavação mecânica em material de 1ª cat.) H -&gt; 1,50 a 3,00 m</v>
          </cell>
          <cell r="C477" t="str">
            <v>m³</v>
          </cell>
          <cell r="D477" t="str">
            <v>11,16</v>
          </cell>
          <cell r="E477">
            <v>0</v>
          </cell>
        </row>
        <row r="478">
          <cell r="A478">
            <v>40306</v>
          </cell>
          <cell r="B478" t="str">
            <v>Corta-rio (escavação mecânica em material de 2ª cat.) H -&gt; 1,50 a 3,00 m</v>
          </cell>
          <cell r="C478" t="str">
            <v>m³</v>
          </cell>
          <cell r="D478" t="str">
            <v>22,33</v>
          </cell>
          <cell r="E478">
            <v>0</v>
          </cell>
        </row>
        <row r="479">
          <cell r="A479">
            <v>40307</v>
          </cell>
          <cell r="B479" t="str">
            <v>Corta-rio (escavação mecânica em material de 3º cat.) H -&gt; 0,00 a 1,50 m</v>
          </cell>
          <cell r="C479" t="str">
            <v>m³</v>
          </cell>
          <cell r="D479" t="str">
            <v>97,19</v>
          </cell>
          <cell r="E479">
            <v>0</v>
          </cell>
        </row>
        <row r="480">
          <cell r="A480">
            <v>41049</v>
          </cell>
          <cell r="B480" t="str">
            <v>Corte e esmerilhamento de pontas de tubo de ferro fundido DN 500 a 200mm</v>
          </cell>
          <cell r="C480" t="str">
            <v>m</v>
          </cell>
          <cell r="D480" t="str">
            <v>15,68</v>
          </cell>
          <cell r="E480">
            <v>0</v>
          </cell>
        </row>
        <row r="481">
          <cell r="A481">
            <v>41124</v>
          </cell>
          <cell r="B481" t="str">
            <v>Curva 90° de PVC, junta elástica PBA, D-&gt;75mm, fornecimento e assentamento</v>
          </cell>
          <cell r="C481" t="str">
            <v>un</v>
          </cell>
          <cell r="D481" t="str">
            <v>52,79</v>
          </cell>
          <cell r="E481">
            <v>0</v>
          </cell>
        </row>
        <row r="482">
          <cell r="A482">
            <v>40372</v>
          </cell>
          <cell r="B482" t="str">
            <v>Demolição manual alvenaria tijolo furado assentado com argamassa</v>
          </cell>
          <cell r="C482" t="str">
            <v>m³</v>
          </cell>
          <cell r="D482" t="str">
            <v>154,89</v>
          </cell>
          <cell r="E482">
            <v>0</v>
          </cell>
        </row>
        <row r="483">
          <cell r="A483">
            <v>40374</v>
          </cell>
          <cell r="B483" t="str">
            <v>Demolição manual de concreto armado</v>
          </cell>
          <cell r="C483" t="str">
            <v>m³</v>
          </cell>
          <cell r="D483" t="str">
            <v>228,55</v>
          </cell>
          <cell r="E483">
            <v>0</v>
          </cell>
        </row>
        <row r="484">
          <cell r="A484">
            <v>40373</v>
          </cell>
          <cell r="B484" t="str">
            <v>Demolição manual de concreto simples ou ciclópico</v>
          </cell>
          <cell r="C484" t="str">
            <v>m³</v>
          </cell>
          <cell r="D484" t="str">
            <v>201,66</v>
          </cell>
          <cell r="E484">
            <v>0</v>
          </cell>
        </row>
        <row r="485">
          <cell r="A485">
            <v>40375</v>
          </cell>
          <cell r="B485" t="str">
            <v>Demolição mecânica de concreto</v>
          </cell>
          <cell r="C485" t="str">
            <v>m³</v>
          </cell>
          <cell r="D485" t="str">
            <v>131,36</v>
          </cell>
          <cell r="E485">
            <v>0</v>
          </cell>
        </row>
        <row r="486">
          <cell r="A486">
            <v>40678</v>
          </cell>
          <cell r="B486" t="str">
            <v>Descida d'água concreto armado (calha) c/ caiação (DSA-01A) canal</v>
          </cell>
          <cell r="C486" t="str">
            <v>m</v>
          </cell>
          <cell r="D486" t="str">
            <v>326,31</v>
          </cell>
          <cell r="E486">
            <v>0</v>
          </cell>
        </row>
        <row r="487">
          <cell r="A487">
            <v>40679</v>
          </cell>
          <cell r="B487" t="str">
            <v>Descida d'água concreto armado (calha) c/ caiação (DSA-01A) dispersor</v>
          </cell>
          <cell r="C487" t="str">
            <v>un</v>
          </cell>
          <cell r="D487" t="str">
            <v>649,34</v>
          </cell>
          <cell r="E487">
            <v>0</v>
          </cell>
        </row>
        <row r="488">
          <cell r="A488">
            <v>40684</v>
          </cell>
          <cell r="B488" t="str">
            <v>Descida d'água concreto armado (degraus) c/ caiação (DSA-03A) apoio</v>
          </cell>
          <cell r="C488" t="str">
            <v>un</v>
          </cell>
          <cell r="D488" t="str">
            <v>712,39</v>
          </cell>
          <cell r="E488">
            <v>0</v>
          </cell>
        </row>
        <row r="489">
          <cell r="A489">
            <v>40683</v>
          </cell>
          <cell r="B489" t="str">
            <v>Descida d'água concreto armado (degraus) c/ caiação (DSA-03A) degrau</v>
          </cell>
          <cell r="C489" t="str">
            <v>m</v>
          </cell>
          <cell r="D489" t="str">
            <v>341,51</v>
          </cell>
          <cell r="E489">
            <v>0</v>
          </cell>
        </row>
        <row r="490">
          <cell r="A490">
            <v>40685</v>
          </cell>
          <cell r="B490" t="str">
            <v>Descida d'água concreto armado (degraus) c/ caiação (DSA-03A) dispersor</v>
          </cell>
          <cell r="C490" t="str">
            <v>un</v>
          </cell>
          <cell r="D490" t="str">
            <v>619,76</v>
          </cell>
          <cell r="E490">
            <v>0</v>
          </cell>
        </row>
        <row r="491">
          <cell r="A491">
            <v>40686</v>
          </cell>
          <cell r="B491" t="str">
            <v>Descida d'água concreto armado DP-1 (calha) c/ caiação</v>
          </cell>
          <cell r="C491" t="str">
            <v>m</v>
          </cell>
          <cell r="D491" t="str">
            <v>446,10</v>
          </cell>
          <cell r="E491">
            <v>0</v>
          </cell>
        </row>
        <row r="492">
          <cell r="A492">
            <v>40687</v>
          </cell>
          <cell r="B492" t="str">
            <v>Descida d'água concreto armado DP-1 (degraus) c/ caiação</v>
          </cell>
          <cell r="C492" t="str">
            <v>m</v>
          </cell>
          <cell r="D492" t="str">
            <v>425,74</v>
          </cell>
          <cell r="E492">
            <v>0</v>
          </cell>
        </row>
        <row r="493">
          <cell r="A493">
            <v>40676</v>
          </cell>
          <cell r="B493" t="str">
            <v>Descida d'água concreto simples (calha) c/ caiação (DSA-01) canal</v>
          </cell>
          <cell r="C493" t="str">
            <v>m</v>
          </cell>
          <cell r="D493" t="str">
            <v>269,33</v>
          </cell>
          <cell r="E493">
            <v>0</v>
          </cell>
        </row>
        <row r="494">
          <cell r="A494">
            <v>40677</v>
          </cell>
          <cell r="B494" t="str">
            <v>Descida d'água concreto simples (calha) c/ caiação (DSA-01) dispersor</v>
          </cell>
          <cell r="C494" t="str">
            <v>un</v>
          </cell>
          <cell r="D494" t="str">
            <v>584,21</v>
          </cell>
          <cell r="E494">
            <v>0</v>
          </cell>
        </row>
        <row r="495">
          <cell r="A495">
            <v>40681</v>
          </cell>
          <cell r="B495" t="str">
            <v>Descida d'água concreto simples (degraus) c/ caiação (DSA-03) apoio</v>
          </cell>
          <cell r="C495" t="str">
            <v>un</v>
          </cell>
          <cell r="D495" t="str">
            <v>664,78</v>
          </cell>
          <cell r="E495">
            <v>0</v>
          </cell>
        </row>
        <row r="496">
          <cell r="A496">
            <v>40680</v>
          </cell>
          <cell r="B496" t="str">
            <v>Descida d'água concreto simples (degraus) c/ caiação (DSA-03) degrau</v>
          </cell>
          <cell r="C496" t="str">
            <v>m</v>
          </cell>
          <cell r="D496" t="str">
            <v>325,22</v>
          </cell>
          <cell r="E496">
            <v>0</v>
          </cell>
        </row>
        <row r="497">
          <cell r="A497">
            <v>40682</v>
          </cell>
          <cell r="B497" t="str">
            <v>Descida d'água concreto simples (degraus) c/ caiação (DSA-03) dispersor</v>
          </cell>
          <cell r="C497" t="str">
            <v>un</v>
          </cell>
          <cell r="D497" t="str">
            <v>579,05</v>
          </cell>
          <cell r="E497">
            <v>0</v>
          </cell>
        </row>
        <row r="498">
          <cell r="A498">
            <v>41189</v>
          </cell>
          <cell r="B498" t="str">
            <v>Deslocamento de cerca de tela galvanizada fio 12 malha 3" x 3"</v>
          </cell>
          <cell r="C498" t="str">
            <v>m</v>
          </cell>
          <cell r="D498" t="str">
            <v>32,55</v>
          </cell>
          <cell r="E498" t="str">
            <v>A incluir</v>
          </cell>
        </row>
        <row r="499">
          <cell r="A499">
            <v>40728</v>
          </cell>
          <cell r="B499" t="str">
            <v>Dissipador de energia aplicado a saída d'água tipo DP-1</v>
          </cell>
          <cell r="C499" t="str">
            <v>un</v>
          </cell>
          <cell r="D499" t="str">
            <v>305,21</v>
          </cell>
          <cell r="E499" t="str">
            <v>A incluir</v>
          </cell>
        </row>
        <row r="500">
          <cell r="A500">
            <v>40732</v>
          </cell>
          <cell r="B500" t="str">
            <v>Dissipador de energia aplicado a saída de bueiro/descida d'agua de aterro (DEB-01)</v>
          </cell>
          <cell r="C500" t="str">
            <v>un</v>
          </cell>
          <cell r="D500" t="str">
            <v>546,75</v>
          </cell>
          <cell r="E500" t="str">
            <v>A incluir</v>
          </cell>
        </row>
        <row r="501">
          <cell r="A501">
            <v>40733</v>
          </cell>
          <cell r="B501" t="str">
            <v>Dissipador de energia aplicado a saída de bueiro/descida d'água de aterro (DEB-02)</v>
          </cell>
          <cell r="C501" t="str">
            <v>un</v>
          </cell>
          <cell r="D501" t="str">
            <v>1.349,60</v>
          </cell>
          <cell r="E501" t="str">
            <v>A incluir</v>
          </cell>
        </row>
        <row r="502">
          <cell r="A502">
            <v>40734</v>
          </cell>
          <cell r="B502" t="str">
            <v>Dissipador de energia aplicado a saída de bueiro/descida d'água de aterro (DEB-03)</v>
          </cell>
          <cell r="C502" t="str">
            <v>un</v>
          </cell>
          <cell r="D502" t="str">
            <v>2.112,77</v>
          </cell>
          <cell r="E502" t="str">
            <v>A incluir</v>
          </cell>
        </row>
        <row r="503">
          <cell r="A503">
            <v>40735</v>
          </cell>
          <cell r="B503" t="str">
            <v>Dissipador de energia aplicado a saída de bueiro/descida d'água de aterro (DEB-04)</v>
          </cell>
          <cell r="C503" t="str">
            <v>un</v>
          </cell>
          <cell r="D503" t="str">
            <v>3.051,74</v>
          </cell>
          <cell r="E503" t="str">
            <v>A incluir</v>
          </cell>
        </row>
        <row r="504">
          <cell r="A504">
            <v>40736</v>
          </cell>
          <cell r="B504" t="str">
            <v>Dissipador de energia aplicado a saída de bueiro/descida d'água de aterro (DEB-05)</v>
          </cell>
          <cell r="C504" t="str">
            <v>un</v>
          </cell>
          <cell r="D504" t="str">
            <v>4.104,20</v>
          </cell>
          <cell r="E504" t="str">
            <v>A incluir</v>
          </cell>
        </row>
        <row r="505">
          <cell r="A505">
            <v>40737</v>
          </cell>
          <cell r="B505" t="str">
            <v>Dissipador de energia aplicado a saída de bueiro/descida d'água de aterro (DEB-06)</v>
          </cell>
          <cell r="C505" t="str">
            <v>un</v>
          </cell>
          <cell r="D505" t="str">
            <v>6.519,18</v>
          </cell>
          <cell r="E505" t="str">
            <v>A incluir</v>
          </cell>
        </row>
        <row r="506">
          <cell r="A506">
            <v>40738</v>
          </cell>
          <cell r="B506" t="str">
            <v>Dissipador de energia aplicado a saída de bueiro/descida d'água de aterro (DEB-07)</v>
          </cell>
          <cell r="C506" t="str">
            <v>un</v>
          </cell>
          <cell r="D506" t="str">
            <v>4.176,03</v>
          </cell>
          <cell r="E506" t="str">
            <v>A incluir</v>
          </cell>
        </row>
        <row r="507">
          <cell r="A507">
            <v>40739</v>
          </cell>
          <cell r="B507" t="str">
            <v>Dissipador de energia aplicado a saída de bueiro/descida d'água de aterro (DEB-08)</v>
          </cell>
          <cell r="C507" t="str">
            <v>un</v>
          </cell>
          <cell r="D507" t="str">
            <v>5.620,04</v>
          </cell>
          <cell r="E507" t="str">
            <v>A incluir</v>
          </cell>
        </row>
        <row r="508">
          <cell r="A508">
            <v>40740</v>
          </cell>
          <cell r="B508" t="str">
            <v>Dissipador de energia aplicado a saída de bueiro/descida d'água de aterro (DEB-09)</v>
          </cell>
          <cell r="C508" t="str">
            <v>un</v>
          </cell>
          <cell r="D508" t="str">
            <v>8.711,00</v>
          </cell>
          <cell r="E508" t="str">
            <v>A incluir</v>
          </cell>
        </row>
        <row r="509">
          <cell r="A509">
            <v>40741</v>
          </cell>
          <cell r="B509" t="str">
            <v>Dissipador de energia aplicado a saída de bueiro/descida d'água de aterro (DEB-10)</v>
          </cell>
          <cell r="C509" t="str">
            <v>un</v>
          </cell>
          <cell r="D509" t="str">
            <v>5.306,23</v>
          </cell>
          <cell r="E509" t="str">
            <v>A incluir</v>
          </cell>
        </row>
        <row r="510">
          <cell r="A510">
            <v>40742</v>
          </cell>
          <cell r="B510" t="str">
            <v>Dissipador de energia aplicado a saída de bueiro/descida d'água de aterro (DEB-12)</v>
          </cell>
          <cell r="C510" t="str">
            <v>un</v>
          </cell>
          <cell r="D510" t="str">
            <v>10.901,13</v>
          </cell>
          <cell r="E510" t="str">
            <v>A incluir</v>
          </cell>
        </row>
        <row r="511">
          <cell r="A511">
            <v>40729</v>
          </cell>
          <cell r="B511" t="str">
            <v>Dissipador de energia aplicado a saída de sarjeta/valeta (DES-01)</v>
          </cell>
          <cell r="C511" t="str">
            <v>un</v>
          </cell>
          <cell r="D511" t="str">
            <v>256,61</v>
          </cell>
          <cell r="E511" t="str">
            <v>A incluir</v>
          </cell>
        </row>
        <row r="512">
          <cell r="A512">
            <v>40730</v>
          </cell>
          <cell r="B512" t="str">
            <v>Dissipador de energia aplicado a saída de sarjeta/valeta (DES-02)</v>
          </cell>
          <cell r="C512" t="str">
            <v>un</v>
          </cell>
          <cell r="D512" t="str">
            <v>305,21</v>
          </cell>
          <cell r="E512" t="str">
            <v>A incluir</v>
          </cell>
        </row>
        <row r="513">
          <cell r="A513">
            <v>40731</v>
          </cell>
          <cell r="B513" t="str">
            <v>Dissipador de energia aplicado a saída de sarjeta/valeta (DES-03)</v>
          </cell>
          <cell r="C513" t="str">
            <v>un</v>
          </cell>
          <cell r="D513" t="str">
            <v>363,92</v>
          </cell>
          <cell r="E513" t="str">
            <v>A incluir</v>
          </cell>
        </row>
        <row r="514">
          <cell r="A514">
            <v>40650</v>
          </cell>
          <cell r="B514" t="str">
            <v>Dreno de alívio de pavimento (DP - DAP - 01), com utilização de geotêxtil não tecido RT 07 kn/m, inclusive transporte da brita</v>
          </cell>
          <cell r="C514" t="str">
            <v>m</v>
          </cell>
          <cell r="D514" t="str">
            <v>45,62</v>
          </cell>
          <cell r="E514" t="str">
            <v>A incluir</v>
          </cell>
        </row>
        <row r="515">
          <cell r="A515">
            <v>40637</v>
          </cell>
          <cell r="B515" t="str">
            <v>Dreno de PVC D -&gt; 100 mm</v>
          </cell>
          <cell r="C515" t="str">
            <v>m</v>
          </cell>
          <cell r="D515" t="str">
            <v>27,04</v>
          </cell>
          <cell r="E515">
            <v>0</v>
          </cell>
        </row>
        <row r="516">
          <cell r="A516">
            <v>40636</v>
          </cell>
          <cell r="B516" t="str">
            <v>Dreno de PVC D -&gt; 50 mm</v>
          </cell>
          <cell r="C516" t="str">
            <v>m</v>
          </cell>
          <cell r="D516" t="str">
            <v>16,25</v>
          </cell>
          <cell r="E516">
            <v>0</v>
          </cell>
        </row>
        <row r="517">
          <cell r="A517">
            <v>40712</v>
          </cell>
          <cell r="B517" t="str">
            <v>Dreno Longitudinal tipo Trincheira Drenante, H -&gt; 0,90 m com tubo poroso tipo PEAD de diâm -&gt; 110 mm, incluindo esc. em mat. 1ª cat.</v>
          </cell>
          <cell r="C517" t="str">
            <v>m</v>
          </cell>
          <cell r="D517" t="str">
            <v>80,72</v>
          </cell>
          <cell r="E517" t="str">
            <v>A incluir</v>
          </cell>
        </row>
        <row r="518">
          <cell r="A518">
            <v>40713</v>
          </cell>
          <cell r="B518" t="str">
            <v>Dreno Longitudinal tipo Trincheira Drenante, H -&gt; 0,90 m com tubo poroso tipo PEAD de diâm -&gt; 110 mm, incluindo esc. mat. 3ª cat.</v>
          </cell>
          <cell r="C518" t="str">
            <v>m</v>
          </cell>
          <cell r="D518" t="str">
            <v>100,42</v>
          </cell>
          <cell r="E518" t="str">
            <v>A incluir</v>
          </cell>
        </row>
        <row r="519">
          <cell r="A519">
            <v>41262</v>
          </cell>
          <cell r="B519" t="str">
            <v>Dreno Longitudinal tipo Trincheira Drenante, H-&gt;0,40m c/ tubo poroso tipo PEAD d-&gt;65mm, inclus. esc. em mat. 1ª cat.e geotêxtil não tecido RT 07 kN/m</v>
          </cell>
          <cell r="C519" t="str">
            <v>m</v>
          </cell>
          <cell r="D519" t="str">
            <v>77,01</v>
          </cell>
          <cell r="E519">
            <v>0</v>
          </cell>
        </row>
        <row r="520">
          <cell r="A520">
            <v>41259</v>
          </cell>
          <cell r="B520" t="str">
            <v>Dreno ou Barbacã em tubo PVC, diâmetro de 2"</v>
          </cell>
          <cell r="C520" t="str">
            <v>m</v>
          </cell>
          <cell r="D520" t="str">
            <v>14,49</v>
          </cell>
          <cell r="E520">
            <v>0</v>
          </cell>
        </row>
        <row r="521">
          <cell r="A521">
            <v>40640</v>
          </cell>
          <cell r="B521" t="str">
            <v>Dreno profundo com enchimento de areia, escavação em material 1ª categoria, inclusive transporte da areia</v>
          </cell>
          <cell r="C521" t="str">
            <v>m</v>
          </cell>
          <cell r="D521" t="str">
            <v>86,33</v>
          </cell>
          <cell r="E521" t="str">
            <v>A incluir</v>
          </cell>
        </row>
        <row r="522">
          <cell r="A522">
            <v>40642</v>
          </cell>
          <cell r="B522" t="str">
            <v>Dreno profundo com enchimento de brita e areia (1:1) escavação em material 1ª categoria, inclusive transporte da areia e da brita</v>
          </cell>
          <cell r="C522" t="str">
            <v>m</v>
          </cell>
          <cell r="D522" t="str">
            <v>90,00</v>
          </cell>
          <cell r="E522" t="str">
            <v>A incluir</v>
          </cell>
        </row>
        <row r="523">
          <cell r="A523">
            <v>40643</v>
          </cell>
          <cell r="B523" t="str">
            <v>Dreno profundo com enchimento de brita e areia (1:1) escavação em material 2ª categoria, inclusive transporte da areia e da brita</v>
          </cell>
          <cell r="C523" t="str">
            <v>m</v>
          </cell>
          <cell r="D523" t="str">
            <v>96,34</v>
          </cell>
          <cell r="E523" t="str">
            <v>A incluir</v>
          </cell>
        </row>
        <row r="524">
          <cell r="A524">
            <v>40641</v>
          </cell>
          <cell r="B524" t="str">
            <v>Dreno profundo com enchimento de brita, escavação em material 1ª categoria, inclusive transporte da brita</v>
          </cell>
          <cell r="C524" t="str">
            <v>m</v>
          </cell>
          <cell r="D524" t="str">
            <v>87,88</v>
          </cell>
          <cell r="E524" t="str">
            <v>A incluir</v>
          </cell>
        </row>
        <row r="525">
          <cell r="A525">
            <v>40648</v>
          </cell>
          <cell r="B525" t="str">
            <v>Dreno profundo com tubo poroso, D -&gt; 0,20 m com enchimento de brita e areia, escavação em material 2ª categoria, inclusive transp.da areia, brita, tubo</v>
          </cell>
          <cell r="C525" t="str">
            <v>m</v>
          </cell>
          <cell r="D525" t="str">
            <v>115,34</v>
          </cell>
          <cell r="E525" t="str">
            <v>A incluir</v>
          </cell>
        </row>
        <row r="526">
          <cell r="A526">
            <v>40649</v>
          </cell>
          <cell r="B526" t="str">
            <v>Dreno profundo com tubo poroso, D -&gt; 0,20 m com enchimento de brita, escavação em material 3ª categoria (DPR-01), inclusive transporte da brita, tubo</v>
          </cell>
          <cell r="C526" t="str">
            <v>m</v>
          </cell>
          <cell r="D526" t="str">
            <v>86,63</v>
          </cell>
          <cell r="E526" t="str">
            <v>A incluir</v>
          </cell>
        </row>
        <row r="527">
          <cell r="A527">
            <v>40645</v>
          </cell>
          <cell r="B527" t="str">
            <v>Dreno profundo D -&gt; 0,10 m c/ enchim. brita, areia (1:1) escav. mat. 3º categ.incl. transp. areia, brita c/ geotêxtil não tecido res.long. mín 16kn/m</v>
          </cell>
          <cell r="C527" t="str">
            <v>m</v>
          </cell>
          <cell r="D527" t="str">
            <v>181,81</v>
          </cell>
          <cell r="E527" t="str">
            <v>A incluir</v>
          </cell>
        </row>
        <row r="528">
          <cell r="A528">
            <v>40644</v>
          </cell>
          <cell r="B528" t="str">
            <v>Dreno profundo D -&gt; 0,10 m c/enchim. brita e areia (1:1) escav.mat. 1º categ., inclus.transp.areia, brita,c/ geotêxtil não tecido res.long. mín 16 kn/m</v>
          </cell>
          <cell r="C528" t="str">
            <v>m</v>
          </cell>
          <cell r="D528" t="str">
            <v>116,53</v>
          </cell>
          <cell r="E528" t="str">
            <v>A incluir</v>
          </cell>
        </row>
        <row r="529">
          <cell r="A529">
            <v>40646</v>
          </cell>
          <cell r="B529" t="str">
            <v>Dreno profundo D -&gt; 0,20 m com enchimento de areia, escavação em material 1ª categoria (DPS-01), inclusive transporte da areia e do tubo</v>
          </cell>
          <cell r="C529" t="str">
            <v>m</v>
          </cell>
          <cell r="D529" t="str">
            <v>110,72</v>
          </cell>
          <cell r="E529" t="str">
            <v>A incluir</v>
          </cell>
        </row>
        <row r="530">
          <cell r="A530">
            <v>40647</v>
          </cell>
          <cell r="B530" t="str">
            <v>Dreno profundo D -&gt; 0,20 m com enchimento de brita e areia, escavação em material 1ª categoria, inclusive transporte da brita e da areia</v>
          </cell>
          <cell r="C530" t="str">
            <v>m</v>
          </cell>
          <cell r="D530" t="str">
            <v>109,00</v>
          </cell>
          <cell r="E530" t="str">
            <v>A incluir</v>
          </cell>
        </row>
        <row r="531">
          <cell r="A531">
            <v>40704</v>
          </cell>
          <cell r="B531" t="str">
            <v>Dreno profundo em solo com tubo PVC perfur. D-&gt;0,10 m, envolto por geotêxtil não tecido RT16 kn/m, preenchim. c/ brita, incl. transporte</v>
          </cell>
          <cell r="C531" t="str">
            <v>m</v>
          </cell>
          <cell r="D531" t="str">
            <v>80,13</v>
          </cell>
          <cell r="E531" t="str">
            <v>A incluir</v>
          </cell>
        </row>
        <row r="532">
          <cell r="A532">
            <v>41107</v>
          </cell>
          <cell r="B532" t="str">
            <v>Dreno profundo para corte em solo, com enchimento em brita revestido com geotextil não tecido RT 16 kn/m, inclusive transporte da brita</v>
          </cell>
          <cell r="C532" t="str">
            <v>m</v>
          </cell>
          <cell r="D532" t="str">
            <v>110,44</v>
          </cell>
          <cell r="E532" t="str">
            <v>A incluir</v>
          </cell>
        </row>
        <row r="533">
          <cell r="A533">
            <v>40638</v>
          </cell>
          <cell r="B533" t="str">
            <v>Dreno sub-horizontal D -&gt; 50 mm em PVC, com geotêxtil não tecido RT 16 kn/m, exclusive transportes</v>
          </cell>
          <cell r="C533" t="str">
            <v>m</v>
          </cell>
          <cell r="D533" t="str">
            <v>370,57</v>
          </cell>
          <cell r="E533">
            <v>0</v>
          </cell>
        </row>
        <row r="534">
          <cell r="A534">
            <v>41188</v>
          </cell>
          <cell r="B534" t="str">
            <v>Dreno sub-horizontal D-&gt;50mm em PVC (escavação em alteração de rocha), inclusive geotêxtil não tecido RT 16 kn/m, exclusive transportes</v>
          </cell>
          <cell r="C534" t="str">
            <v>m</v>
          </cell>
          <cell r="D534" t="str">
            <v>564,18</v>
          </cell>
          <cell r="E534">
            <v>0</v>
          </cell>
        </row>
        <row r="535">
          <cell r="A535">
            <v>41187</v>
          </cell>
          <cell r="B535" t="str">
            <v>Dreno sub-horizontal D-&gt;50mm em PVC (escavação em rocha sã), inlusive geotêxtil não tecido RT 16 kn/m, exclusive transportes</v>
          </cell>
          <cell r="C535" t="str">
            <v>m</v>
          </cell>
          <cell r="D535" t="str">
            <v>736,20</v>
          </cell>
          <cell r="E535">
            <v>0</v>
          </cell>
        </row>
        <row r="536">
          <cell r="A536">
            <v>40705</v>
          </cell>
          <cell r="B536" t="str">
            <v>Dreno sub-superficial rocha (h-&gt;0,55m) c/ tubo PVC perfur. d-&gt;0,10m, env. por geotêxtil16kn/m,preenc.c/ brita,inclus.transp. dreno, exclus transp.brita</v>
          </cell>
          <cell r="C536" t="str">
            <v>m</v>
          </cell>
          <cell r="D536" t="str">
            <v>64,06</v>
          </cell>
          <cell r="E536" t="str">
            <v>A incluir</v>
          </cell>
        </row>
        <row r="537">
          <cell r="A537">
            <v>40639</v>
          </cell>
          <cell r="B537" t="str">
            <v>Dreno vertical D -&gt; 75 mm em PVC, com geotêxtil não tecido resistência longitudinal 16 kn/m</v>
          </cell>
          <cell r="C537" t="str">
            <v>m</v>
          </cell>
          <cell r="D537" t="str">
            <v>376,35</v>
          </cell>
          <cell r="E537">
            <v>0</v>
          </cell>
        </row>
        <row r="538">
          <cell r="A538">
            <v>41227</v>
          </cell>
          <cell r="B538" t="str">
            <v>Eletroduto de ferro galvanizado DN 4", inclusive conexões, exclusive escavação e reaterro, fornecimento e assentamento</v>
          </cell>
          <cell r="C538" t="str">
            <v>m</v>
          </cell>
          <cell r="D538" t="str">
            <v>90,32</v>
          </cell>
          <cell r="E538">
            <v>0</v>
          </cell>
        </row>
        <row r="539">
          <cell r="A539">
            <v>40951</v>
          </cell>
          <cell r="B539" t="str">
            <v>Eletroduto para rede de lógica, inclusive conexões</v>
          </cell>
          <cell r="C539" t="str">
            <v>m</v>
          </cell>
          <cell r="D539" t="str">
            <v>17,04</v>
          </cell>
          <cell r="E539">
            <v>0</v>
          </cell>
        </row>
        <row r="540">
          <cell r="A540">
            <v>41121</v>
          </cell>
          <cell r="B540" t="str">
            <v>Eletroduto PVC diâmetro 75mm, fornecimento e assentamento</v>
          </cell>
          <cell r="C540" t="str">
            <v>m</v>
          </cell>
          <cell r="D540" t="str">
            <v>21,14</v>
          </cell>
          <cell r="E540">
            <v>0</v>
          </cell>
        </row>
        <row r="541">
          <cell r="A541">
            <v>41120</v>
          </cell>
          <cell r="B541" t="str">
            <v>Eletroduto PVC rígido roscável diâm. 50mm, fornecimento e assentamento</v>
          </cell>
          <cell r="C541" t="str">
            <v>m</v>
          </cell>
          <cell r="D541" t="str">
            <v>10,75</v>
          </cell>
          <cell r="E541">
            <v>0</v>
          </cell>
        </row>
        <row r="542">
          <cell r="A542">
            <v>41128</v>
          </cell>
          <cell r="B542" t="str">
            <v>Eletroduto tipo Kanaflex diâmetro 1 1/4", fornecimento e assentamento</v>
          </cell>
          <cell r="C542" t="str">
            <v>m</v>
          </cell>
          <cell r="D542" t="str">
            <v>10,95</v>
          </cell>
          <cell r="E542">
            <v>0</v>
          </cell>
        </row>
        <row r="543">
          <cell r="A543">
            <v>41129</v>
          </cell>
          <cell r="B543" t="str">
            <v>Eletroduto tipo Kanaflex diâmetro 1 1/2", fornecimento e assentamento</v>
          </cell>
          <cell r="C543" t="str">
            <v>m</v>
          </cell>
          <cell r="D543" t="str">
            <v>13,72</v>
          </cell>
          <cell r="E543">
            <v>0</v>
          </cell>
        </row>
        <row r="544">
          <cell r="A544">
            <v>41131</v>
          </cell>
          <cell r="B544" t="str">
            <v>Eletroduto tipo Kanaflex diâmetro 2", fornecimento e assentamento</v>
          </cell>
          <cell r="C544" t="str">
            <v>m</v>
          </cell>
          <cell r="D544" t="str">
            <v>17,15</v>
          </cell>
          <cell r="E544">
            <v>0</v>
          </cell>
        </row>
        <row r="545">
          <cell r="A545">
            <v>41130</v>
          </cell>
          <cell r="B545" t="str">
            <v>Eletroduto tipo Kanaflex diâmetro 4", fornecimento e assentamento</v>
          </cell>
          <cell r="C545" t="str">
            <v>m</v>
          </cell>
          <cell r="D545" t="str">
            <v>29,84</v>
          </cell>
          <cell r="E545">
            <v>0</v>
          </cell>
        </row>
        <row r="546">
          <cell r="A546">
            <v>40997</v>
          </cell>
          <cell r="B546" t="str">
            <v>Enrocamento de pedra arrumada com pá carregadeira e escavadeira, inclusive fornecimento, exclusive transporte da pedra</v>
          </cell>
          <cell r="C546" t="str">
            <v>m³</v>
          </cell>
          <cell r="D546" t="str">
            <v>75,17</v>
          </cell>
          <cell r="E546">
            <v>0</v>
          </cell>
        </row>
        <row r="547">
          <cell r="A547">
            <v>40724</v>
          </cell>
          <cell r="B547" t="str">
            <v>Enrocamento de pedra de mão arrumada exclusive transporte</v>
          </cell>
          <cell r="C547" t="str">
            <v>m³</v>
          </cell>
          <cell r="D547" t="str">
            <v>129,99</v>
          </cell>
          <cell r="E547">
            <v>0</v>
          </cell>
        </row>
        <row r="548">
          <cell r="A548">
            <v>40722</v>
          </cell>
          <cell r="B548" t="str">
            <v>Enrocamento de pedra jogada exclusive fornecimento e transporte (utilização de material considerado em medição)</v>
          </cell>
          <cell r="C548" t="str">
            <v>m³</v>
          </cell>
          <cell r="D548" t="str">
            <v>8,02</v>
          </cell>
          <cell r="E548">
            <v>0</v>
          </cell>
        </row>
        <row r="549">
          <cell r="A549">
            <v>40998</v>
          </cell>
          <cell r="B549" t="str">
            <v>Enrocamento de pedra jogada exclusive o fornecimento e transporte da pedra</v>
          </cell>
          <cell r="C549" t="str">
            <v>m³</v>
          </cell>
          <cell r="D549" t="str">
            <v>8,86</v>
          </cell>
          <cell r="E549">
            <v>0</v>
          </cell>
        </row>
        <row r="550">
          <cell r="A550">
            <v>40723</v>
          </cell>
          <cell r="B550" t="str">
            <v>Enrocamento de pedra jogada inclusive fornecimento, exclusive transporte da pedra</v>
          </cell>
          <cell r="C550" t="str">
            <v>m³</v>
          </cell>
          <cell r="D550" t="str">
            <v>52,92</v>
          </cell>
          <cell r="E550">
            <v>0</v>
          </cell>
        </row>
        <row r="551">
          <cell r="A551">
            <v>40335</v>
          </cell>
          <cell r="B551" t="str">
            <v>Ensecadeira dupla de madeira esp.-&gt; 5 cm com 1 reaproveitamento</v>
          </cell>
          <cell r="C551" t="str">
            <v>m²</v>
          </cell>
          <cell r="D551" t="str">
            <v>494,07</v>
          </cell>
          <cell r="E551" t="str">
            <v>A incluir</v>
          </cell>
        </row>
        <row r="552">
          <cell r="A552">
            <v>40334</v>
          </cell>
          <cell r="B552" t="str">
            <v>Ensecadeira dupla de madeira esp.-&gt; 5 cm sem reaproveitamento, tudo incluído</v>
          </cell>
          <cell r="C552" t="str">
            <v>m²</v>
          </cell>
          <cell r="D552" t="str">
            <v>710,29</v>
          </cell>
          <cell r="E552" t="str">
            <v>A incluir</v>
          </cell>
        </row>
        <row r="553">
          <cell r="A553">
            <v>40333</v>
          </cell>
          <cell r="B553" t="str">
            <v>Ensecadeira simples de madeira esp.-&gt; 5 cm com 1 reaproveitamento, inclusive transporte das madeiras</v>
          </cell>
          <cell r="C553" t="str">
            <v>m²</v>
          </cell>
          <cell r="D553" t="str">
            <v>247,03</v>
          </cell>
          <cell r="E553" t="str">
            <v>A incluir</v>
          </cell>
        </row>
        <row r="554">
          <cell r="A554">
            <v>40332</v>
          </cell>
          <cell r="B554" t="str">
            <v>Ensecadeira simples de madeira esp.-&gt; 5 cm sem reaproveitamento, inclusive transporte das madeiras</v>
          </cell>
          <cell r="C554" t="str">
            <v>m²</v>
          </cell>
          <cell r="D554" t="str">
            <v>355,14</v>
          </cell>
          <cell r="E554" t="str">
            <v>A incluir</v>
          </cell>
        </row>
        <row r="555">
          <cell r="A555">
            <v>40675</v>
          </cell>
          <cell r="B555" t="str">
            <v>Entrada para descida d'agua DP-1 (calha/degraus) inclusive caiação</v>
          </cell>
          <cell r="C555" t="str">
            <v>un</v>
          </cell>
          <cell r="D555" t="str">
            <v>189,41</v>
          </cell>
          <cell r="E555">
            <v>0</v>
          </cell>
        </row>
        <row r="556">
          <cell r="A556">
            <v>40673</v>
          </cell>
          <cell r="B556" t="str">
            <v>Entrada para descida d'água EDA-01</v>
          </cell>
          <cell r="C556" t="str">
            <v>un</v>
          </cell>
          <cell r="D556" t="str">
            <v>68,63</v>
          </cell>
          <cell r="E556">
            <v>0</v>
          </cell>
        </row>
        <row r="557">
          <cell r="A557">
            <v>40674</v>
          </cell>
          <cell r="B557" t="str">
            <v>Entrada para descida d'água EDA-02</v>
          </cell>
          <cell r="C557" t="str">
            <v>un</v>
          </cell>
          <cell r="D557" t="str">
            <v>73,15</v>
          </cell>
          <cell r="E557">
            <v>0</v>
          </cell>
        </row>
        <row r="558">
          <cell r="A558">
            <v>41037</v>
          </cell>
          <cell r="B558" t="str">
            <v>Escada de madeira executada sobre terreno inclinado, com 80 cm de largura mínima</v>
          </cell>
          <cell r="C558" t="str">
            <v>m</v>
          </cell>
          <cell r="D558" t="str">
            <v>53,99</v>
          </cell>
          <cell r="E558">
            <v>0</v>
          </cell>
        </row>
        <row r="559">
          <cell r="A559">
            <v>40258</v>
          </cell>
          <cell r="B559" t="str">
            <v>Escavação manual em mat. 1ª cat. H-&gt; 0,00 a 1,50 m</v>
          </cell>
          <cell r="C559" t="str">
            <v>m³</v>
          </cell>
          <cell r="D559" t="str">
            <v>48,36</v>
          </cell>
          <cell r="E559">
            <v>0</v>
          </cell>
        </row>
        <row r="560">
          <cell r="A560">
            <v>40261</v>
          </cell>
          <cell r="B560" t="str">
            <v>Escavação manual em mat. 1ª cat. H-&gt; 0,00 a 1,50 m com esgotamento</v>
          </cell>
          <cell r="C560" t="str">
            <v>m³</v>
          </cell>
          <cell r="D560" t="str">
            <v>55,11</v>
          </cell>
          <cell r="E560">
            <v>0</v>
          </cell>
        </row>
        <row r="561">
          <cell r="A561">
            <v>40259</v>
          </cell>
          <cell r="B561" t="str">
            <v>Escavação manual em mat. 1ª cat. H-&gt; 1,50 a 3,00 m</v>
          </cell>
          <cell r="C561" t="str">
            <v>m³</v>
          </cell>
          <cell r="D561" t="str">
            <v>71,25</v>
          </cell>
          <cell r="E561">
            <v>0</v>
          </cell>
        </row>
        <row r="562">
          <cell r="A562">
            <v>40262</v>
          </cell>
          <cell r="B562" t="str">
            <v>Escavação manual em mat. 1ª cat. H-&gt; 1,50 a 3,00 m com esgotamento</v>
          </cell>
          <cell r="C562" t="str">
            <v>m³</v>
          </cell>
          <cell r="D562" t="str">
            <v>78,01</v>
          </cell>
          <cell r="E562">
            <v>0</v>
          </cell>
        </row>
        <row r="563">
          <cell r="A563">
            <v>40260</v>
          </cell>
          <cell r="B563" t="str">
            <v>Escavação manual em mat. 1ª cat. H-&gt; 3,00 a 4,50 m</v>
          </cell>
          <cell r="C563" t="str">
            <v>m³</v>
          </cell>
          <cell r="D563" t="str">
            <v>105,59</v>
          </cell>
          <cell r="E563">
            <v>0</v>
          </cell>
        </row>
        <row r="564">
          <cell r="A564">
            <v>40263</v>
          </cell>
          <cell r="B564" t="str">
            <v>Escavação manual em mat. 1ª cat. H-&gt; 3,00 a 4,50 m com esgotamento</v>
          </cell>
          <cell r="C564" t="str">
            <v>m³</v>
          </cell>
          <cell r="D564" t="str">
            <v>112,35</v>
          </cell>
          <cell r="E564">
            <v>0</v>
          </cell>
        </row>
        <row r="565">
          <cell r="A565">
            <v>40267</v>
          </cell>
          <cell r="B565" t="str">
            <v>Escavação manual em mat. 2ª cat. H-&gt; 0,00 a 1,50 m com esgotamento</v>
          </cell>
          <cell r="C565" t="str">
            <v>m³</v>
          </cell>
          <cell r="D565" t="str">
            <v>117,40</v>
          </cell>
          <cell r="E565">
            <v>0</v>
          </cell>
        </row>
        <row r="566">
          <cell r="A566">
            <v>40264</v>
          </cell>
          <cell r="B566" t="str">
            <v>Escavação manual em mat. 2ª cat. H-&gt; 0,00 a 1,50 m sem detonação</v>
          </cell>
          <cell r="C566" t="str">
            <v>m³</v>
          </cell>
          <cell r="D566" t="str">
            <v>110,65</v>
          </cell>
          <cell r="E566">
            <v>0</v>
          </cell>
        </row>
        <row r="567">
          <cell r="A567">
            <v>40268</v>
          </cell>
          <cell r="B567" t="str">
            <v>Escavação manual em mat. 2ª cat. H-&gt; 1,50 a 3,00 m com esgotamento</v>
          </cell>
          <cell r="C567" t="str">
            <v>m³</v>
          </cell>
          <cell r="D567" t="str">
            <v>144,34</v>
          </cell>
          <cell r="E567">
            <v>0</v>
          </cell>
        </row>
        <row r="568">
          <cell r="A568">
            <v>40265</v>
          </cell>
          <cell r="B568" t="str">
            <v>Escavação manual em mat. 2ª cat. H-&gt; 1,50 a 3,00 m sem detonação</v>
          </cell>
          <cell r="C568" t="str">
            <v>m³</v>
          </cell>
          <cell r="D568" t="str">
            <v>137,58</v>
          </cell>
          <cell r="E568">
            <v>0</v>
          </cell>
        </row>
        <row r="569">
          <cell r="A569">
            <v>40269</v>
          </cell>
          <cell r="B569" t="str">
            <v>Escavação manual em mat. 2ª cat. H-&gt; 3,00 a 4,50 m com esgotamento</v>
          </cell>
          <cell r="C569" t="str">
            <v>m³</v>
          </cell>
          <cell r="D569" t="str">
            <v>250,96</v>
          </cell>
          <cell r="E569">
            <v>0</v>
          </cell>
        </row>
        <row r="570">
          <cell r="A570">
            <v>40266</v>
          </cell>
          <cell r="B570" t="str">
            <v>Escavação manual em mat. 2ª cat. H-&gt; 3,00 a 4,50 m sem detonação</v>
          </cell>
          <cell r="C570" t="str">
            <v>m³</v>
          </cell>
          <cell r="D570" t="str">
            <v>244,20</v>
          </cell>
          <cell r="E570">
            <v>0</v>
          </cell>
        </row>
        <row r="571">
          <cell r="A571">
            <v>40276</v>
          </cell>
          <cell r="B571" t="str">
            <v>Escavação manual em mat. 3ª cat. H-&gt; 0,00 a 1,50 m, a fogo</v>
          </cell>
          <cell r="C571" t="str">
            <v>m³</v>
          </cell>
          <cell r="D571" t="str">
            <v>318,72</v>
          </cell>
          <cell r="E571">
            <v>0</v>
          </cell>
        </row>
        <row r="572">
          <cell r="A572">
            <v>40256</v>
          </cell>
          <cell r="B572" t="str">
            <v>Escavação manual furos, valetas mat. 1ª cat. H-&gt; 0,00 a 1,50 m (dim. reduz.)</v>
          </cell>
          <cell r="C572" t="str">
            <v>m³</v>
          </cell>
          <cell r="D572" t="str">
            <v>71,25</v>
          </cell>
          <cell r="E572">
            <v>0</v>
          </cell>
        </row>
        <row r="573">
          <cell r="A573">
            <v>40257</v>
          </cell>
          <cell r="B573" t="str">
            <v>Escavação manual furos, valetas mat. 2ª cat. H-&gt; 0,00 a 1,50 m sem detonação (dim. reduz.)</v>
          </cell>
          <cell r="C573" t="str">
            <v>m³</v>
          </cell>
          <cell r="D573" t="str">
            <v>164,69</v>
          </cell>
          <cell r="E573">
            <v>0</v>
          </cell>
        </row>
        <row r="574">
          <cell r="A574">
            <v>41192</v>
          </cell>
          <cell r="B574" t="str">
            <v>Escavação mecânica de valas em material de 1ª categoria, 3,00 a 4,50m, com esgotamento, carga do material, transporte do material para bota-fora</v>
          </cell>
          <cell r="C574" t="str">
            <v>m³</v>
          </cell>
          <cell r="D574" t="str">
            <v>188,00</v>
          </cell>
          <cell r="E574" t="str">
            <v>A incluir</v>
          </cell>
        </row>
        <row r="575">
          <cell r="A575">
            <v>41198</v>
          </cell>
          <cell r="B575" t="str">
            <v>Escavação mecânica de valas em 1ª categoria, profundidade de 4,50 a 6,00m com esgotamento, transp. DMT-&gt;20km, descarga e espalhamento</v>
          </cell>
          <cell r="C575" t="str">
            <v>m³</v>
          </cell>
          <cell r="D575" t="str">
            <v>189,70</v>
          </cell>
          <cell r="E575" t="str">
            <v>A incluir</v>
          </cell>
        </row>
        <row r="576">
          <cell r="A576">
            <v>40282</v>
          </cell>
          <cell r="B576" t="str">
            <v>Escavação mecânica em material de 1ª cat. H-&gt; 0,00 a 1,50 m</v>
          </cell>
          <cell r="C576" t="str">
            <v>m³</v>
          </cell>
          <cell r="D576" t="str">
            <v>10,15</v>
          </cell>
          <cell r="E576">
            <v>0</v>
          </cell>
        </row>
        <row r="577">
          <cell r="A577">
            <v>40285</v>
          </cell>
          <cell r="B577" t="str">
            <v>Escavação mecânica em material de 1ª cat. H-&gt; 0,00 a 1,50 m com esgotamento</v>
          </cell>
          <cell r="C577" t="str">
            <v>m³</v>
          </cell>
          <cell r="D577" t="str">
            <v>16,90</v>
          </cell>
          <cell r="E577">
            <v>0</v>
          </cell>
        </row>
        <row r="578">
          <cell r="A578">
            <v>40283</v>
          </cell>
          <cell r="B578" t="str">
            <v>Escavação mecânica em material de 1ª cat. H-&gt; 1,50 a 3,00 m</v>
          </cell>
          <cell r="C578" t="str">
            <v>m³</v>
          </cell>
          <cell r="D578" t="str">
            <v>11,16</v>
          </cell>
          <cell r="E578">
            <v>0</v>
          </cell>
        </row>
        <row r="579">
          <cell r="A579">
            <v>40286</v>
          </cell>
          <cell r="B579" t="str">
            <v>Escavação mecânica em material de 1ª cat. H-&gt; 1,50 a 3,00 m com esgotamento</v>
          </cell>
          <cell r="C579" t="str">
            <v>m³</v>
          </cell>
          <cell r="D579" t="str">
            <v>17,91</v>
          </cell>
          <cell r="E579">
            <v>0</v>
          </cell>
        </row>
        <row r="580">
          <cell r="A580">
            <v>40284</v>
          </cell>
          <cell r="B580" t="str">
            <v>Escavação mecânica em material de 1ª cat. H-&gt; 3,00 a 4,50 m</v>
          </cell>
          <cell r="C580" t="str">
            <v>m³</v>
          </cell>
          <cell r="D580" t="str">
            <v>13,13</v>
          </cell>
          <cell r="E580">
            <v>0</v>
          </cell>
        </row>
        <row r="581">
          <cell r="A581">
            <v>40287</v>
          </cell>
          <cell r="B581" t="str">
            <v>Escavação mecânica em material de 1º cat. H-&gt; 3,00 a 4,50 m com esgotamento</v>
          </cell>
          <cell r="C581" t="str">
            <v>m³</v>
          </cell>
          <cell r="D581" t="str">
            <v>19,88</v>
          </cell>
          <cell r="E581">
            <v>0</v>
          </cell>
        </row>
        <row r="582">
          <cell r="A582">
            <v>40288</v>
          </cell>
          <cell r="B582" t="str">
            <v>Escavação mecânica em material de 2ª cat. H-&gt; 0,00 a 1,50 m</v>
          </cell>
          <cell r="C582" t="str">
            <v>m³</v>
          </cell>
          <cell r="D582" t="str">
            <v>18,60</v>
          </cell>
          <cell r="E582">
            <v>0</v>
          </cell>
        </row>
        <row r="583">
          <cell r="A583">
            <v>40291</v>
          </cell>
          <cell r="B583" t="str">
            <v>Escavação mecânica em material de 2ª cat. H-&gt; 0,00 a 1,50 m com esgotamento</v>
          </cell>
          <cell r="C583" t="str">
            <v>m³</v>
          </cell>
          <cell r="D583" t="str">
            <v>25,35</v>
          </cell>
          <cell r="E583">
            <v>0</v>
          </cell>
        </row>
        <row r="584">
          <cell r="A584">
            <v>40289</v>
          </cell>
          <cell r="B584" t="str">
            <v>Escavação mecânica em material de 2ª cat. H-&gt; 1,50 a 3,00 m</v>
          </cell>
          <cell r="C584" t="str">
            <v>m³</v>
          </cell>
          <cell r="D584" t="str">
            <v>22,33</v>
          </cell>
          <cell r="E584">
            <v>0</v>
          </cell>
        </row>
        <row r="585">
          <cell r="A585">
            <v>40292</v>
          </cell>
          <cell r="B585" t="str">
            <v>Escavação mecânica em material de 2ª cat. H-&gt; 1,50 a 3,00 m com esgotamento</v>
          </cell>
          <cell r="C585" t="str">
            <v>m³</v>
          </cell>
          <cell r="D585" t="str">
            <v>29,08</v>
          </cell>
          <cell r="E585">
            <v>0</v>
          </cell>
        </row>
        <row r="586">
          <cell r="A586">
            <v>40290</v>
          </cell>
          <cell r="B586" t="str">
            <v>Escavação mecânica em material de 2ª cat. H-&gt; 3,00 a 4,50 m</v>
          </cell>
          <cell r="C586" t="str">
            <v>m³</v>
          </cell>
          <cell r="D586" t="str">
            <v>27,90</v>
          </cell>
          <cell r="E586">
            <v>0</v>
          </cell>
        </row>
        <row r="587">
          <cell r="A587">
            <v>40293</v>
          </cell>
          <cell r="B587" t="str">
            <v>Escavação mecânica em material de 2º cat. H-&gt; 3,00 a 4,50 m com esgotamento</v>
          </cell>
          <cell r="C587" t="str">
            <v>m³</v>
          </cell>
          <cell r="D587" t="str">
            <v>34,66</v>
          </cell>
          <cell r="E587">
            <v>0</v>
          </cell>
        </row>
        <row r="588">
          <cell r="A588">
            <v>40294</v>
          </cell>
          <cell r="B588" t="str">
            <v>Escavação mecânica em material de 3ª cat. H-&gt; 0,00 a 1,50 m</v>
          </cell>
          <cell r="C588" t="str">
            <v>m³</v>
          </cell>
          <cell r="D588" t="str">
            <v>97,19</v>
          </cell>
          <cell r="E588">
            <v>0</v>
          </cell>
        </row>
        <row r="589">
          <cell r="A589">
            <v>40297</v>
          </cell>
          <cell r="B589" t="str">
            <v>Escavação mecânica em material de 3ª cat. H-&gt; 0,00 a 1,50 m com esgotamento</v>
          </cell>
          <cell r="C589" t="str">
            <v>m³</v>
          </cell>
          <cell r="D589" t="str">
            <v>103,95</v>
          </cell>
          <cell r="E589">
            <v>0</v>
          </cell>
        </row>
        <row r="590">
          <cell r="A590">
            <v>40295</v>
          </cell>
          <cell r="B590" t="str">
            <v>Escavação mecânica em material de 3ª cat. H-&gt; 1,50 a 3,00 m</v>
          </cell>
          <cell r="C590" t="str">
            <v>m³</v>
          </cell>
          <cell r="D590" t="str">
            <v>109,43</v>
          </cell>
          <cell r="E590">
            <v>0</v>
          </cell>
        </row>
        <row r="591">
          <cell r="A591">
            <v>40298</v>
          </cell>
          <cell r="B591" t="str">
            <v>Escavação mecânica em material de 3ª cat. H-&gt; 1,50 a 3,00 m com esgotamento</v>
          </cell>
          <cell r="C591" t="str">
            <v>m³</v>
          </cell>
          <cell r="D591" t="str">
            <v>116,18</v>
          </cell>
          <cell r="E591">
            <v>0</v>
          </cell>
        </row>
        <row r="592">
          <cell r="A592">
            <v>40296</v>
          </cell>
          <cell r="B592" t="str">
            <v>Escavação mecânica em material de 3ª cat. H-&gt; 3,00 a 4,50 m</v>
          </cell>
          <cell r="C592" t="str">
            <v>m³</v>
          </cell>
          <cell r="D592" t="str">
            <v>131,79</v>
          </cell>
          <cell r="E592">
            <v>0</v>
          </cell>
        </row>
        <row r="593">
          <cell r="A593">
            <v>40299</v>
          </cell>
          <cell r="B593" t="str">
            <v>Escavação mecânica em material de 3ª cat. H-&gt; 3,00 a 4,50 m com esgotamento</v>
          </cell>
          <cell r="C593" t="str">
            <v>m³</v>
          </cell>
          <cell r="D593" t="str">
            <v>138,54</v>
          </cell>
          <cell r="E593">
            <v>0</v>
          </cell>
        </row>
        <row r="594">
          <cell r="A594">
            <v>40327</v>
          </cell>
          <cell r="B594" t="str">
            <v>Escoramento de cavas e valas, inclusive fornecimento e transportes das madeiras</v>
          </cell>
          <cell r="C594" t="str">
            <v>m²</v>
          </cell>
          <cell r="D594" t="str">
            <v>174,46</v>
          </cell>
          <cell r="E594" t="str">
            <v>A incluir</v>
          </cell>
        </row>
        <row r="595">
          <cell r="A595">
            <v>40328</v>
          </cell>
          <cell r="B595" t="str">
            <v>Escoramento e cimbramento (bueiro celular), inclusive fornecimento e transportes das madeiras</v>
          </cell>
          <cell r="C595" t="str">
            <v>m³</v>
          </cell>
          <cell r="D595" t="str">
            <v>105,38</v>
          </cell>
          <cell r="E595" t="str">
            <v>A incluir</v>
          </cell>
        </row>
        <row r="596">
          <cell r="A596">
            <v>0</v>
          </cell>
          <cell r="B596">
            <v>0</v>
          </cell>
          <cell r="C596">
            <v>0</v>
          </cell>
          <cell r="E596" t="e">
            <v>#N/A</v>
          </cell>
        </row>
        <row r="597">
          <cell r="A597">
            <v>43332</v>
          </cell>
          <cell r="B597" t="str">
            <v>Esgotamento de escavações para rebaixamento do nível dágua nos serviços de bueiros,galerias e outros, com conj. moto bomba</v>
          </cell>
          <cell r="C597" t="str">
            <v>mês</v>
          </cell>
          <cell r="D597" t="str">
            <v>4.966,26</v>
          </cell>
          <cell r="E597">
            <v>0</v>
          </cell>
        </row>
        <row r="598">
          <cell r="A598">
            <v>40316</v>
          </cell>
          <cell r="B598" t="str">
            <v>Forma especial de madeira para meio fio, inclusive fornecimento e transporte das madeiras</v>
          </cell>
          <cell r="C598" t="str">
            <v>m²</v>
          </cell>
          <cell r="D598" t="str">
            <v>66,96</v>
          </cell>
          <cell r="E598" t="str">
            <v>A incluir</v>
          </cell>
        </row>
        <row r="599">
          <cell r="A599">
            <v>40317</v>
          </cell>
          <cell r="B599" t="str">
            <v>Forma especial de madeira para sarjeta (gabarito), inclusive fornecimento e transporte da madeira</v>
          </cell>
          <cell r="C599" t="str">
            <v>m²</v>
          </cell>
          <cell r="D599" t="str">
            <v>58,03</v>
          </cell>
          <cell r="E599" t="str">
            <v>A incluir</v>
          </cell>
        </row>
        <row r="600">
          <cell r="A600">
            <v>40318</v>
          </cell>
          <cell r="B600" t="str">
            <v>Forma metálica para meio fio</v>
          </cell>
          <cell r="C600" t="str">
            <v>m²</v>
          </cell>
          <cell r="D600" t="str">
            <v>6,13</v>
          </cell>
          <cell r="E600">
            <v>0</v>
          </cell>
        </row>
        <row r="601">
          <cell r="A601">
            <v>40311</v>
          </cell>
          <cell r="B601" t="str">
            <v>Formas planas de madeira com 01 (um) reaproveitamento, inclusive fornecimento e transporte das madeiras</v>
          </cell>
          <cell r="C601" t="str">
            <v>m²</v>
          </cell>
          <cell r="D601" t="str">
            <v>95,23</v>
          </cell>
          <cell r="E601" t="str">
            <v>A incluir</v>
          </cell>
        </row>
        <row r="602">
          <cell r="A602">
            <v>40312</v>
          </cell>
          <cell r="B602" t="str">
            <v>Formas planas de madeira com 02 (dois) reaproveitamentos, inclusive fornecimento e transporte das madeiras</v>
          </cell>
          <cell r="C602" t="str">
            <v>m²</v>
          </cell>
          <cell r="D602" t="str">
            <v>78,87</v>
          </cell>
          <cell r="E602" t="str">
            <v>A incluir</v>
          </cell>
        </row>
        <row r="603">
          <cell r="A603">
            <v>40313</v>
          </cell>
          <cell r="B603" t="str">
            <v>Formas planas de madeira com 04 (quatro) reaproveitamentos, inclusive fornecimento e transporte das madeiras</v>
          </cell>
          <cell r="C603" t="str">
            <v>m²</v>
          </cell>
          <cell r="D603" t="str">
            <v>66,20</v>
          </cell>
          <cell r="E603" t="str">
            <v>A incluir</v>
          </cell>
        </row>
        <row r="604">
          <cell r="A604">
            <v>40310</v>
          </cell>
          <cell r="B604" t="str">
            <v>Formas planas de madeira sem reaproveitamento (forma perdida), inclusive fornecimento e transporte das madeiras</v>
          </cell>
          <cell r="C604" t="str">
            <v>m²</v>
          </cell>
          <cell r="D604" t="str">
            <v>141,82</v>
          </cell>
          <cell r="E604" t="str">
            <v>A incluir</v>
          </cell>
        </row>
        <row r="605">
          <cell r="A605">
            <v>40748</v>
          </cell>
          <cell r="B605" t="str">
            <v>Gabião manta/colchão, malha hex 6x8mm Zn-Al/PVC, e-&gt;2,8mm,h-&gt;0,23m, inclus.aquis./assentam. pedra mão, exclus. transp. p/ revestim. canal</v>
          </cell>
          <cell r="C605" t="str">
            <v>m²</v>
          </cell>
          <cell r="D605" t="str">
            <v>153,55</v>
          </cell>
          <cell r="E605">
            <v>0</v>
          </cell>
        </row>
        <row r="606">
          <cell r="A606">
            <v>41400</v>
          </cell>
          <cell r="B606" t="str">
            <v>Gabiões com caixas e sacos galvanizados, com geotêxtil não tecido RT 07 kN/m, incluisve transp. de madeira e pedra de mão</v>
          </cell>
          <cell r="C606" t="str">
            <v>m³</v>
          </cell>
          <cell r="D606" t="str">
            <v>318,31</v>
          </cell>
          <cell r="E606" t="str">
            <v>A incluir</v>
          </cell>
        </row>
        <row r="607">
          <cell r="A607">
            <v>40726</v>
          </cell>
          <cell r="B607" t="str">
            <v>Gabiões com caixas galvanizadas com utilização de geotêxtil não tecido RT 07 kN/m, inclus. transp. madeira e pedra mão</v>
          </cell>
          <cell r="C607" t="str">
            <v>m³</v>
          </cell>
          <cell r="D607" t="str">
            <v>303,03</v>
          </cell>
          <cell r="E607" t="str">
            <v>A incluir</v>
          </cell>
        </row>
        <row r="608">
          <cell r="A608">
            <v>40725</v>
          </cell>
          <cell r="B608" t="str">
            <v>Gabiões com caixas galvanizadas, sem manta</v>
          </cell>
          <cell r="C608" t="str">
            <v>m³</v>
          </cell>
          <cell r="D608" t="str">
            <v>299,73</v>
          </cell>
          <cell r="E608" t="str">
            <v>A incluir</v>
          </cell>
        </row>
        <row r="609">
          <cell r="A609">
            <v>41394</v>
          </cell>
          <cell r="B609" t="str">
            <v>Geogrelha com resistência londitudinal a tração 35 a 40 kN, resist. transversal a tração 30 kN, fornecimento e aplicação</v>
          </cell>
          <cell r="C609" t="str">
            <v>m²</v>
          </cell>
          <cell r="D609" t="str">
            <v>22,49</v>
          </cell>
          <cell r="E609">
            <v>0</v>
          </cell>
        </row>
        <row r="610">
          <cell r="A610">
            <v>41393</v>
          </cell>
          <cell r="B610" t="str">
            <v>Geogrelha com resistência londitudinal a tração 55 a 60 kN, resist. transversal a tração 30 kN, fornecimento e aplicação</v>
          </cell>
          <cell r="C610" t="str">
            <v>m²</v>
          </cell>
          <cell r="D610" t="str">
            <v>26,22</v>
          </cell>
          <cell r="E610">
            <v>0</v>
          </cell>
        </row>
        <row r="611">
          <cell r="A611">
            <v>41391</v>
          </cell>
          <cell r="B611" t="str">
            <v>Geogrelha com resistência longitudinal a tração 300 kN, resist. transversal a tração 30 kN, fornecimento e aplicação</v>
          </cell>
          <cell r="C611" t="str">
            <v>m²</v>
          </cell>
          <cell r="D611" t="str">
            <v>70,81</v>
          </cell>
          <cell r="E611">
            <v>0</v>
          </cell>
        </row>
        <row r="612">
          <cell r="A612">
            <v>41392</v>
          </cell>
          <cell r="B612" t="str">
            <v>Geogrelha com resistência longitudinal a tração 80 a 90 kN, resist. transversal a tração 30 kN, fornecimento e aplicação</v>
          </cell>
          <cell r="C612" t="str">
            <v>m²</v>
          </cell>
          <cell r="D612" t="str">
            <v>32,69</v>
          </cell>
          <cell r="E612">
            <v>0</v>
          </cell>
        </row>
        <row r="613">
          <cell r="A613">
            <v>41197</v>
          </cell>
          <cell r="B613" t="str">
            <v>Geogrelha monodirecional 200KN, fornecimento e assentamento</v>
          </cell>
          <cell r="C613" t="str">
            <v>m²</v>
          </cell>
          <cell r="D613" t="str">
            <v>54,70</v>
          </cell>
          <cell r="E613">
            <v>0</v>
          </cell>
        </row>
        <row r="614">
          <cell r="A614">
            <v>40709</v>
          </cell>
          <cell r="B614" t="str">
            <v>Geogrelha tecida bidirecional de polipropileno de alto módulo inicial c/ módulo de rigidez nominal -&gt; 400KN/m nas duas direções, fornecimento/aplicação</v>
          </cell>
          <cell r="C614" t="str">
            <v>m²</v>
          </cell>
          <cell r="D614" t="str">
            <v>18,97</v>
          </cell>
          <cell r="E614">
            <v>0</v>
          </cell>
        </row>
        <row r="615">
          <cell r="A615">
            <v>40721</v>
          </cell>
          <cell r="B615" t="str">
            <v>Lastro de brita, inclusive transporte da brita</v>
          </cell>
          <cell r="C615" t="str">
            <v>m³</v>
          </cell>
          <cell r="D615" t="str">
            <v>96,91</v>
          </cell>
          <cell r="E615" t="str">
            <v>A incluir</v>
          </cell>
        </row>
        <row r="616">
          <cell r="A616">
            <v>40396</v>
          </cell>
          <cell r="B616" t="str">
            <v>Limpeza e apicoamento manual de superfície de rocha</v>
          </cell>
          <cell r="C616" t="str">
            <v>m²</v>
          </cell>
          <cell r="D616" t="str">
            <v>26,80</v>
          </cell>
          <cell r="E616">
            <v>0</v>
          </cell>
        </row>
        <row r="617">
          <cell r="A617">
            <v>40744</v>
          </cell>
          <cell r="B617" t="str">
            <v>Limpeza e desobstrução de BDTC e BDCC</v>
          </cell>
          <cell r="C617" t="str">
            <v>m</v>
          </cell>
          <cell r="D617" t="str">
            <v>24,17</v>
          </cell>
          <cell r="E617">
            <v>0</v>
          </cell>
        </row>
        <row r="618">
          <cell r="A618">
            <v>40746</v>
          </cell>
          <cell r="B618" t="str">
            <v>Limpeza e desobstrução de BQTC</v>
          </cell>
          <cell r="C618" t="str">
            <v>m</v>
          </cell>
          <cell r="D618" t="str">
            <v>47,06</v>
          </cell>
          <cell r="E618">
            <v>0</v>
          </cell>
        </row>
        <row r="619">
          <cell r="A619">
            <v>40743</v>
          </cell>
          <cell r="B619" t="str">
            <v>Limpeza e desobstrução de BSTC e BSCC</v>
          </cell>
          <cell r="C619" t="str">
            <v>m</v>
          </cell>
          <cell r="D619" t="str">
            <v>12,72</v>
          </cell>
          <cell r="E619">
            <v>0</v>
          </cell>
        </row>
        <row r="620">
          <cell r="A620">
            <v>40745</v>
          </cell>
          <cell r="B620" t="str">
            <v>Limpeza e desobstrução de BTTC e BTCC</v>
          </cell>
          <cell r="C620" t="str">
            <v>m</v>
          </cell>
          <cell r="D620" t="str">
            <v>35,62</v>
          </cell>
          <cell r="E620">
            <v>0</v>
          </cell>
        </row>
        <row r="621">
          <cell r="A621">
            <v>40397</v>
          </cell>
          <cell r="B621" t="str">
            <v>Limpeza e preparo de superfície de aço</v>
          </cell>
          <cell r="C621" t="str">
            <v>m²</v>
          </cell>
          <cell r="D621" t="str">
            <v>70,12</v>
          </cell>
          <cell r="E621">
            <v>0</v>
          </cell>
        </row>
        <row r="622">
          <cell r="A622">
            <v>41221</v>
          </cell>
          <cell r="B622" t="str">
            <v>Lona plástica preta para isolamento de concretagem sobre solo, fornecimento e colocação</v>
          </cell>
          <cell r="C622" t="str">
            <v>m²</v>
          </cell>
          <cell r="D622" t="str">
            <v>3,30</v>
          </cell>
          <cell r="E622">
            <v>0</v>
          </cell>
        </row>
        <row r="623">
          <cell r="A623">
            <v>41401</v>
          </cell>
          <cell r="B623" t="str">
            <v>Manta Geotêxtil não tecida com resistência longitudinal a tração 10kN/m, fornecimento e aplicação</v>
          </cell>
          <cell r="C623" t="str">
            <v>m²</v>
          </cell>
          <cell r="D623" t="str">
            <v>5,97</v>
          </cell>
          <cell r="E623">
            <v>0</v>
          </cell>
        </row>
        <row r="624">
          <cell r="A624">
            <v>40714</v>
          </cell>
          <cell r="B624" t="str">
            <v>Manta Geotêxtil não tecida RT - 16 kn/m, fornecimento e aplicação</v>
          </cell>
          <cell r="C624" t="str">
            <v>m²</v>
          </cell>
          <cell r="D624" t="str">
            <v>8,50</v>
          </cell>
          <cell r="E624">
            <v>0</v>
          </cell>
        </row>
        <row r="625">
          <cell r="A625">
            <v>40660</v>
          </cell>
          <cell r="B625" t="str">
            <v>Meio fio de concreto DP-1, inclusive caiação</v>
          </cell>
          <cell r="C625" t="str">
            <v>m</v>
          </cell>
          <cell r="D625" t="str">
            <v>50,72</v>
          </cell>
          <cell r="E625">
            <v>0</v>
          </cell>
        </row>
        <row r="626">
          <cell r="A626">
            <v>40661</v>
          </cell>
          <cell r="B626" t="str">
            <v>Meio fio de concreto MFC 01, inclusive caiação</v>
          </cell>
          <cell r="C626" t="str">
            <v>m</v>
          </cell>
          <cell r="D626" t="str">
            <v>101,48</v>
          </cell>
          <cell r="E626">
            <v>0</v>
          </cell>
        </row>
        <row r="627">
          <cell r="A627">
            <v>40662</v>
          </cell>
          <cell r="B627" t="str">
            <v>Meio fio de concreto MFC 05, inclusive caiação</v>
          </cell>
          <cell r="C627" t="str">
            <v>m</v>
          </cell>
          <cell r="D627" t="str">
            <v>53,86</v>
          </cell>
          <cell r="E627">
            <v>0</v>
          </cell>
        </row>
        <row r="628">
          <cell r="A628">
            <v>40663</v>
          </cell>
          <cell r="B628" t="str">
            <v>Meio fio de concreto pré-moldado (12 x 30 x 15) cm, inclusive caiação e transporte do meio fio</v>
          </cell>
          <cell r="C628" t="str">
            <v>m</v>
          </cell>
          <cell r="D628" t="str">
            <v>45,65</v>
          </cell>
          <cell r="E628" t="str">
            <v>A incluir</v>
          </cell>
        </row>
        <row r="629">
          <cell r="A629">
            <v>41018</v>
          </cell>
          <cell r="B629" t="str">
            <v>Meio fio de concreto pré-moldado (1,20m x 0,12m x 0,15m x 0,30m), exclusive transporte</v>
          </cell>
          <cell r="C629" t="str">
            <v>m</v>
          </cell>
          <cell r="D629" t="str">
            <v>46,03</v>
          </cell>
          <cell r="E629">
            <v>0</v>
          </cell>
        </row>
        <row r="630">
          <cell r="A630">
            <v>40665</v>
          </cell>
          <cell r="B630" t="str">
            <v>Meio fio de pedra (fornecimento e assentamento), inclusive caiação e transporte do meio fio</v>
          </cell>
          <cell r="C630" t="str">
            <v>m</v>
          </cell>
          <cell r="D630" t="str">
            <v>48,27</v>
          </cell>
          <cell r="E630" t="str">
            <v>A incluir</v>
          </cell>
        </row>
        <row r="631">
          <cell r="A631">
            <v>40659</v>
          </cell>
          <cell r="B631" t="str">
            <v>Meio fio sarjeta de concreto tipo DP-1 (0,035 m³/m) inclusive caiação</v>
          </cell>
          <cell r="C631" t="str">
            <v>m</v>
          </cell>
          <cell r="D631" t="str">
            <v>46,23</v>
          </cell>
          <cell r="E631">
            <v>0</v>
          </cell>
        </row>
        <row r="632">
          <cell r="A632">
            <v>41024</v>
          </cell>
          <cell r="B632" t="str">
            <v>Montagem e desmontagem de escoramento tubular normal, em obras de arte na densidade de 5m de tubo por m³ de escoramento</v>
          </cell>
          <cell r="C632" t="str">
            <v>m</v>
          </cell>
          <cell r="D632" t="str">
            <v>15,71</v>
          </cell>
          <cell r="E632">
            <v>0</v>
          </cell>
        </row>
        <row r="633">
          <cell r="A633">
            <v>40657</v>
          </cell>
          <cell r="B633" t="str">
            <v>Mureta de corte em rocha</v>
          </cell>
          <cell r="C633" t="str">
            <v>m</v>
          </cell>
          <cell r="D633" t="str">
            <v>168,03</v>
          </cell>
          <cell r="E633">
            <v>0</v>
          </cell>
        </row>
        <row r="634">
          <cell r="A634">
            <v>41395</v>
          </cell>
          <cell r="B634" t="str">
            <v>Muro com Terramesh System ou similar, altura H&lt;-&gt; 4,00 metros (4 cx 1x1x4m), tudo incluído</v>
          </cell>
          <cell r="C634" t="str">
            <v>m²</v>
          </cell>
          <cell r="D634" t="str">
            <v>576,45</v>
          </cell>
          <cell r="E634" t="str">
            <v>A incluir</v>
          </cell>
        </row>
        <row r="635">
          <cell r="A635">
            <v>41396</v>
          </cell>
          <cell r="B635" t="str">
            <v>Muro com Terramesh System ou similar, altura 4,00 &lt; H &lt;-&gt; 5,00 metros (3 cx 1x1x4m e 4 cx 0,5x1x4m) , execução, tudo incluído</v>
          </cell>
          <cell r="C635" t="str">
            <v>m²</v>
          </cell>
          <cell r="D635" t="str">
            <v>675,64</v>
          </cell>
          <cell r="E635" t="str">
            <v>A incluir</v>
          </cell>
        </row>
        <row r="636">
          <cell r="A636">
            <v>41397</v>
          </cell>
          <cell r="B636" t="str">
            <v>Muro com Terramesh System ou similar, altura 5,00 &lt; H &lt;-&gt; 6,00 metros (4 cx 1x1x4m e 4 cx 0,5x1x4m) , tudo incluído</v>
          </cell>
          <cell r="C636" t="str">
            <v>m²</v>
          </cell>
          <cell r="D636" t="str">
            <v>660,98</v>
          </cell>
          <cell r="E636" t="str">
            <v>A incluir</v>
          </cell>
        </row>
        <row r="637">
          <cell r="A637">
            <v>41398</v>
          </cell>
          <cell r="B637" t="str">
            <v>Muro com Terramesh System ou similar, altura 6,00 &lt; H &lt;-&gt; 7,50 metros (3cx 1x1x4m, 2cx 1x1x5 e 5cx 0,5x1x6m), tudo incluído</v>
          </cell>
          <cell r="C637" t="str">
            <v>m²</v>
          </cell>
          <cell r="D637" t="str">
            <v>701,49</v>
          </cell>
          <cell r="E637" t="str">
            <v>A incluir</v>
          </cell>
        </row>
        <row r="638">
          <cell r="A638">
            <v>41399</v>
          </cell>
          <cell r="B638" t="str">
            <v>Muro com Terramesh System ou similar, altura 7,50 &lt; H &lt;-&gt; 9,00 metros (4 cx 1x1x4m, 2 cx 1x1x5, 3 cx 0,5x1x6m e 3cx 0,5x1x7), tudo incluído</v>
          </cell>
          <cell r="C638" t="str">
            <v>m²</v>
          </cell>
          <cell r="D638" t="str">
            <v>710,69</v>
          </cell>
          <cell r="E638" t="str">
            <v>A incluir</v>
          </cell>
        </row>
        <row r="639">
          <cell r="A639">
            <v>40654</v>
          </cell>
          <cell r="B639" t="str">
            <v>Muro de testa em concreto para saída de dreno profundo em rocha, inclusive transporte do tubo</v>
          </cell>
          <cell r="C639" t="str">
            <v>un</v>
          </cell>
          <cell r="D639" t="str">
            <v>524,14</v>
          </cell>
          <cell r="E639" t="str">
            <v>A incluir</v>
          </cell>
        </row>
        <row r="640">
          <cell r="A640">
            <v>40653</v>
          </cell>
          <cell r="B640" t="str">
            <v>Muro de testa em concreto para saída de dreno profundo em solo, inclusive transporte do tubo</v>
          </cell>
          <cell r="C640" t="str">
            <v>un</v>
          </cell>
          <cell r="D640" t="str">
            <v>580,05</v>
          </cell>
          <cell r="E640" t="str">
            <v>A incluir</v>
          </cell>
        </row>
        <row r="641">
          <cell r="A641">
            <v>41337</v>
          </cell>
          <cell r="B641" t="str">
            <v>Passagem d'água 1,10 x 1,00 - Canteiro</v>
          </cell>
          <cell r="C641" t="str">
            <v>un</v>
          </cell>
          <cell r="D641" t="str">
            <v>266,23</v>
          </cell>
          <cell r="E641" t="str">
            <v>A incluir</v>
          </cell>
        </row>
        <row r="642">
          <cell r="A642">
            <v>40719</v>
          </cell>
          <cell r="B642" t="str">
            <v>Pedra de mão para (concreto ciclópico ou alvenaria) rocha paga em medição</v>
          </cell>
          <cell r="C642" t="str">
            <v>m³</v>
          </cell>
          <cell r="D642" t="str">
            <v>41,09</v>
          </cell>
          <cell r="E642">
            <v>0</v>
          </cell>
        </row>
        <row r="643">
          <cell r="A643">
            <v>41019</v>
          </cell>
          <cell r="B643" t="str">
            <v>Perfuração rotativa inclinada, em rocha sã, com coroa de diamante, diâmetro N (75mm), inclusive deslocamento e posicionamento em cada furo.</v>
          </cell>
          <cell r="C643" t="str">
            <v>m</v>
          </cell>
          <cell r="D643" t="str">
            <v>524,15</v>
          </cell>
          <cell r="E643">
            <v>0</v>
          </cell>
        </row>
        <row r="644">
          <cell r="A644">
            <v>40557</v>
          </cell>
          <cell r="B644" t="str">
            <v>Pescoço de poço de visita H-&gt;0,30 m, diâm. -&gt; 0,60 m, fornecimento, assentamento e transporte</v>
          </cell>
          <cell r="C644" t="str">
            <v>un</v>
          </cell>
          <cell r="D644" t="str">
            <v>124,67</v>
          </cell>
          <cell r="E644" t="str">
            <v>A incluir</v>
          </cell>
        </row>
        <row r="645">
          <cell r="A645">
            <v>40391</v>
          </cell>
          <cell r="B645" t="str">
            <v>Pintura com nata de cimento</v>
          </cell>
          <cell r="C645" t="str">
            <v>m²</v>
          </cell>
          <cell r="D645" t="str">
            <v>4,53</v>
          </cell>
          <cell r="E645">
            <v>0</v>
          </cell>
        </row>
        <row r="646">
          <cell r="A646">
            <v>40380</v>
          </cell>
          <cell r="B646" t="str">
            <v>Pintura interna ou externa sobre ferro, com tinta a base de resina de borracha clorada</v>
          </cell>
          <cell r="C646" t="str">
            <v>m²</v>
          </cell>
          <cell r="D646" t="str">
            <v>41,27</v>
          </cell>
          <cell r="E646">
            <v>0</v>
          </cell>
        </row>
        <row r="647">
          <cell r="A647">
            <v>40399</v>
          </cell>
          <cell r="B647" t="str">
            <v>Placas pré-moldadas para passeio</v>
          </cell>
          <cell r="C647" t="str">
            <v>m²</v>
          </cell>
          <cell r="D647" t="str">
            <v>160,79</v>
          </cell>
          <cell r="E647">
            <v>0</v>
          </cell>
        </row>
        <row r="648">
          <cell r="A648">
            <v>41028</v>
          </cell>
          <cell r="B648" t="str">
            <v>Plataforma ou passarela de pinho de 1ª ou similar, 1" x 12"</v>
          </cell>
          <cell r="C648" t="str">
            <v>m²</v>
          </cell>
          <cell r="D648" t="str">
            <v>2,33</v>
          </cell>
          <cell r="E648">
            <v>0</v>
          </cell>
        </row>
        <row r="649">
          <cell r="A649">
            <v>41167</v>
          </cell>
          <cell r="B649" t="str">
            <v>Poço de visita em bloco pré-moldado para d-&gt;0,30 e 0,40m (0,80x0,80m)</v>
          </cell>
          <cell r="C649" t="str">
            <v>un</v>
          </cell>
          <cell r="D649" t="str">
            <v>2.096,37</v>
          </cell>
          <cell r="E649">
            <v>0</v>
          </cell>
        </row>
        <row r="650">
          <cell r="A650">
            <v>41168</v>
          </cell>
          <cell r="B650" t="str">
            <v>Poço de visita em bloco pré-moldado para d-&gt;0,60m (1,00x1,00m)</v>
          </cell>
          <cell r="C650" t="str">
            <v>un</v>
          </cell>
          <cell r="D650" t="str">
            <v>2.456,68</v>
          </cell>
          <cell r="E650">
            <v>0</v>
          </cell>
        </row>
        <row r="651">
          <cell r="A651">
            <v>40570</v>
          </cell>
          <cell r="B651" t="str">
            <v>Poço de visita para BDTC diam. 1,00 m - tudo incluido</v>
          </cell>
          <cell r="C651" t="str">
            <v>un</v>
          </cell>
          <cell r="D651" t="str">
            <v>9.161,72</v>
          </cell>
          <cell r="E651" t="str">
            <v>A incluir</v>
          </cell>
        </row>
        <row r="652">
          <cell r="A652">
            <v>41115</v>
          </cell>
          <cell r="B652" t="str">
            <v>Poço de Visita para BSTC diâm. 0,40m em blocos de concreto</v>
          </cell>
          <cell r="C652" t="str">
            <v>un</v>
          </cell>
          <cell r="D652" t="str">
            <v>1.154,69</v>
          </cell>
          <cell r="E652">
            <v>0</v>
          </cell>
        </row>
        <row r="653">
          <cell r="A653">
            <v>41116</v>
          </cell>
          <cell r="B653" t="str">
            <v>Poço de visita para BSTC diâm. 0,60m em blocos de concreto</v>
          </cell>
          <cell r="C653" t="str">
            <v>un</v>
          </cell>
          <cell r="D653" t="str">
            <v>1.542,88</v>
          </cell>
          <cell r="E653">
            <v>0</v>
          </cell>
        </row>
        <row r="654">
          <cell r="A654">
            <v>41117</v>
          </cell>
          <cell r="B654" t="str">
            <v>Poço de visita para BSTC diâm. 0,80m em blocos de concreto</v>
          </cell>
          <cell r="C654" t="str">
            <v>un</v>
          </cell>
          <cell r="D654" t="str">
            <v>1.920,54</v>
          </cell>
          <cell r="E654">
            <v>0</v>
          </cell>
        </row>
        <row r="655">
          <cell r="A655">
            <v>40572</v>
          </cell>
          <cell r="B655" t="str">
            <v>Poço de visita para BTTC diam. 1,20 m - tudo incluído</v>
          </cell>
          <cell r="C655" t="str">
            <v>un</v>
          </cell>
          <cell r="D655" t="str">
            <v>15.032,99</v>
          </cell>
          <cell r="E655" t="str">
            <v>A incluir</v>
          </cell>
        </row>
        <row r="656">
          <cell r="A656">
            <v>40553</v>
          </cell>
          <cell r="B656" t="str">
            <v>Poço de visita (tubo D-&gt;0,40 m) H-&gt;1,50 m com tampão F.F.A.P., inclusive escavação e transporte do tampão</v>
          </cell>
          <cell r="C656" t="str">
            <v>un</v>
          </cell>
          <cell r="D656" t="str">
            <v>3.291,35</v>
          </cell>
          <cell r="E656" t="str">
            <v>A incluir</v>
          </cell>
        </row>
        <row r="657">
          <cell r="A657">
            <v>40554</v>
          </cell>
          <cell r="B657" t="str">
            <v>Poço de visita (tubo D-&gt;0,60 m) H-&gt;1,70 m com tampão F.F.A.P., inclusive escavação e transporte do tampão</v>
          </cell>
          <cell r="C657" t="str">
            <v>un</v>
          </cell>
          <cell r="D657" t="str">
            <v>3.660,80</v>
          </cell>
          <cell r="E657" t="str">
            <v>A incluir</v>
          </cell>
        </row>
        <row r="658">
          <cell r="A658">
            <v>40555</v>
          </cell>
          <cell r="B658" t="str">
            <v>Poço de visita (tubo D-&gt;0,80 m) H-&gt;1,90 m com tampão F.F.A.P., inclusive escavação e transporte do tampão</v>
          </cell>
          <cell r="C658" t="str">
            <v>un</v>
          </cell>
          <cell r="D658" t="str">
            <v>4.030,22</v>
          </cell>
          <cell r="E658" t="str">
            <v>A incluir</v>
          </cell>
        </row>
        <row r="659">
          <cell r="A659">
            <v>40556</v>
          </cell>
          <cell r="B659" t="str">
            <v>Poço de visita (tubo D-&gt;1,00 m) H-&gt;2,10 m com tampão F.F.A.P., inclusive escavação e transporte do tampão</v>
          </cell>
          <cell r="C659" t="str">
            <v>un</v>
          </cell>
          <cell r="D659" t="str">
            <v>4.399,61</v>
          </cell>
          <cell r="E659" t="str">
            <v>A incluir</v>
          </cell>
        </row>
        <row r="660">
          <cell r="A660">
            <v>41086</v>
          </cell>
          <cell r="B660" t="str">
            <v>Preparo manual de talude, compreendendo acerto, raspagem eventual de até 0,30m de prof. e afastamento lateral</v>
          </cell>
          <cell r="C660" t="str">
            <v>m²</v>
          </cell>
          <cell r="D660" t="str">
            <v>8,14</v>
          </cell>
          <cell r="E660">
            <v>0</v>
          </cell>
        </row>
        <row r="661">
          <cell r="A661">
            <v>41021</v>
          </cell>
          <cell r="B661" t="str">
            <v>Preparo manual de terreno, compreendendo acerto raspagem até 25cm de profundidade e afastamento lateral do material excedente</v>
          </cell>
          <cell r="C661" t="str">
            <v>m²</v>
          </cell>
          <cell r="D661" t="str">
            <v>6,53</v>
          </cell>
          <cell r="E661">
            <v>0</v>
          </cell>
        </row>
        <row r="662">
          <cell r="A662">
            <v>40304</v>
          </cell>
          <cell r="B662" t="str">
            <v>Reaterro com areia, tudo incluído</v>
          </cell>
          <cell r="C662" t="str">
            <v>m³</v>
          </cell>
          <cell r="D662" t="str">
            <v>65,17</v>
          </cell>
          <cell r="E662" t="str">
            <v>A incluir</v>
          </cell>
        </row>
        <row r="663">
          <cell r="A663">
            <v>40302</v>
          </cell>
          <cell r="B663" t="str">
            <v>Reaterro de cavas c/ compactação manual (apiloamento)</v>
          </cell>
          <cell r="C663" t="str">
            <v>m³</v>
          </cell>
          <cell r="D663" t="str">
            <v>50,95</v>
          </cell>
          <cell r="E663">
            <v>0</v>
          </cell>
        </row>
        <row r="664">
          <cell r="A664">
            <v>40301</v>
          </cell>
          <cell r="B664" t="str">
            <v>Reaterro de cavas c/ compactação manual (apiloamento) (dim. reduz.)</v>
          </cell>
          <cell r="C664" t="str">
            <v>m³</v>
          </cell>
          <cell r="D664" t="str">
            <v>73,85</v>
          </cell>
          <cell r="E664">
            <v>0</v>
          </cell>
        </row>
        <row r="665">
          <cell r="A665">
            <v>40303</v>
          </cell>
          <cell r="B665" t="str">
            <v>Reaterro de cavas c/ compactação mecânica (compactador manual)</v>
          </cell>
          <cell r="C665" t="str">
            <v>m³</v>
          </cell>
          <cell r="D665" t="str">
            <v>32,67</v>
          </cell>
          <cell r="E665">
            <v>0</v>
          </cell>
        </row>
        <row r="666">
          <cell r="A666">
            <v>40559</v>
          </cell>
          <cell r="B666" t="str">
            <v>Recuperação de poço de visita inclusive fornecimento tampão F.F.A.P.</v>
          </cell>
          <cell r="C666" t="str">
            <v>un</v>
          </cell>
          <cell r="D666" t="str">
            <v>528,55</v>
          </cell>
          <cell r="E666" t="str">
            <v>A incluir</v>
          </cell>
        </row>
        <row r="667">
          <cell r="A667">
            <v>41339</v>
          </cell>
          <cell r="B667" t="str">
            <v>Rede de dutos 65mm (duplo), envelopada com brita 3</v>
          </cell>
          <cell r="C667" t="str">
            <v>m</v>
          </cell>
          <cell r="D667" t="str">
            <v>71,95</v>
          </cell>
          <cell r="E667">
            <v>0</v>
          </cell>
        </row>
        <row r="668">
          <cell r="A668">
            <v>41332</v>
          </cell>
          <cell r="B668" t="str">
            <v>Rede em PVC Vinilfort ou similar DN -&gt; 200mm</v>
          </cell>
          <cell r="C668" t="str">
            <v>m</v>
          </cell>
          <cell r="D668" t="str">
            <v>204,94</v>
          </cell>
          <cell r="E668">
            <v>0</v>
          </cell>
        </row>
        <row r="669">
          <cell r="A669">
            <v>41224</v>
          </cell>
          <cell r="B669" t="str">
            <v>Religação de rede de água em PVC DN 20mm, inclusive conexões</v>
          </cell>
          <cell r="C669" t="str">
            <v>m</v>
          </cell>
          <cell r="D669" t="str">
            <v>14,12</v>
          </cell>
          <cell r="E669">
            <v>0</v>
          </cell>
        </row>
        <row r="670">
          <cell r="A670">
            <v>41225</v>
          </cell>
          <cell r="B670" t="str">
            <v>Religação de rede de água em PVC DN 25mm, incluisve conexões</v>
          </cell>
          <cell r="C670" t="str">
            <v>m</v>
          </cell>
          <cell r="D670" t="str">
            <v>17,18</v>
          </cell>
          <cell r="E670">
            <v>0</v>
          </cell>
        </row>
        <row r="671">
          <cell r="A671">
            <v>41226</v>
          </cell>
          <cell r="B671" t="str">
            <v>Religação de rede de água em PVC DN 32mm, incluisve conexões</v>
          </cell>
          <cell r="C671" t="str">
            <v>m</v>
          </cell>
          <cell r="D671" t="str">
            <v>20,63</v>
          </cell>
          <cell r="E671">
            <v>0</v>
          </cell>
        </row>
        <row r="672">
          <cell r="A672">
            <v>41060</v>
          </cell>
          <cell r="B672" t="str">
            <v>Religação de rede de água em PVC DN 75mm, inclusive conexões</v>
          </cell>
          <cell r="C672" t="str">
            <v>m</v>
          </cell>
          <cell r="D672" t="str">
            <v>49,11</v>
          </cell>
          <cell r="E672">
            <v>0</v>
          </cell>
        </row>
        <row r="673">
          <cell r="A673">
            <v>41059</v>
          </cell>
          <cell r="B673" t="str">
            <v>Religação de rede de água em PVC PBA CL 15 DN 100mm, inclusive conexões</v>
          </cell>
          <cell r="C673" t="str">
            <v>m</v>
          </cell>
          <cell r="D673" t="str">
            <v>76,79</v>
          </cell>
          <cell r="E673">
            <v>0</v>
          </cell>
        </row>
        <row r="674">
          <cell r="A674">
            <v>40567</v>
          </cell>
          <cell r="B674" t="str">
            <v>Remanejamento de ligação e religação de redes de esgoto</v>
          </cell>
          <cell r="C674" t="str">
            <v>m</v>
          </cell>
          <cell r="D674" t="str">
            <v>62,58</v>
          </cell>
          <cell r="E674">
            <v>0</v>
          </cell>
        </row>
        <row r="675">
          <cell r="A675">
            <v>40747</v>
          </cell>
          <cell r="B675" t="str">
            <v>Remoção de bueiros existentes</v>
          </cell>
          <cell r="C675" t="str">
            <v>m</v>
          </cell>
          <cell r="D675" t="str">
            <v>99,27</v>
          </cell>
          <cell r="E675">
            <v>0</v>
          </cell>
        </row>
        <row r="676">
          <cell r="A676">
            <v>40727</v>
          </cell>
          <cell r="B676" t="str">
            <v>Rip-rap c/ argamassa cimento areia 1:6, inclusive aquisição e transporte dos materiais</v>
          </cell>
          <cell r="C676" t="str">
            <v>m³</v>
          </cell>
          <cell r="D676" t="str">
            <v>312,46</v>
          </cell>
          <cell r="E676" t="str">
            <v>A incluir</v>
          </cell>
        </row>
        <row r="677">
          <cell r="A677">
            <v>41264</v>
          </cell>
          <cell r="B677" t="str">
            <v>Rip-rap de areia inclusive escavação, transporte e fornecimento de materiais</v>
          </cell>
          <cell r="C677" t="str">
            <v>m³</v>
          </cell>
          <cell r="D677" t="str">
            <v>336,09</v>
          </cell>
          <cell r="E677" t="str">
            <v>A incluir</v>
          </cell>
        </row>
        <row r="678">
          <cell r="A678">
            <v>41239</v>
          </cell>
          <cell r="B678" t="str">
            <v>Rip-rap de solo e cimento (Traço 1:15)</v>
          </cell>
          <cell r="C678" t="str">
            <v>m³</v>
          </cell>
          <cell r="D678" t="str">
            <v>83,76</v>
          </cell>
          <cell r="E678">
            <v>0</v>
          </cell>
        </row>
        <row r="679">
          <cell r="A679">
            <v>40688</v>
          </cell>
          <cell r="B679" t="str">
            <v>Saída d'água concreto armado DP-1 c/ caiação</v>
          </cell>
          <cell r="C679" t="str">
            <v>un</v>
          </cell>
          <cell r="D679" t="str">
            <v>262,39</v>
          </cell>
          <cell r="E679">
            <v>0</v>
          </cell>
        </row>
        <row r="680">
          <cell r="A680">
            <v>40690</v>
          </cell>
          <cell r="B680" t="str">
            <v>Saída d'água concreto p/ aterro c/ caiação (SDA-01)</v>
          </cell>
          <cell r="C680" t="str">
            <v>un</v>
          </cell>
          <cell r="D680" t="str">
            <v>1.293,05</v>
          </cell>
          <cell r="E680">
            <v>0</v>
          </cell>
        </row>
        <row r="681">
          <cell r="A681">
            <v>40691</v>
          </cell>
          <cell r="B681" t="str">
            <v>Saída d'água concreto p/ aterro c/ caiação (SDA-02)</v>
          </cell>
          <cell r="C681" t="str">
            <v>un</v>
          </cell>
          <cell r="D681" t="str">
            <v>1.535,24</v>
          </cell>
          <cell r="E681">
            <v>0</v>
          </cell>
        </row>
        <row r="682">
          <cell r="A682">
            <v>40689</v>
          </cell>
          <cell r="B682" t="str">
            <v>Saída d'água concreto p/ corte c/ caiação (SDC-01)</v>
          </cell>
          <cell r="C682" t="str">
            <v>un</v>
          </cell>
          <cell r="D682" t="str">
            <v>666,22</v>
          </cell>
          <cell r="E682">
            <v>0</v>
          </cell>
        </row>
        <row r="683">
          <cell r="A683">
            <v>40666</v>
          </cell>
          <cell r="B683" t="str">
            <v>Sarjeta de concreto DP-1 (0,081 m³/m) calha triangular, inclusive caiação</v>
          </cell>
          <cell r="C683" t="str">
            <v>m</v>
          </cell>
          <cell r="D683" t="str">
            <v>76,83</v>
          </cell>
          <cell r="E683">
            <v>0</v>
          </cell>
        </row>
        <row r="684">
          <cell r="A684">
            <v>40667</v>
          </cell>
          <cell r="B684" t="str">
            <v>Sarjeta de concreto DP-2 (0,085 m³/m) calha triangular, inclusive caiação</v>
          </cell>
          <cell r="C684" t="str">
            <v>m</v>
          </cell>
          <cell r="D684" t="str">
            <v>80,26</v>
          </cell>
          <cell r="E684">
            <v>0</v>
          </cell>
        </row>
        <row r="685">
          <cell r="A685">
            <v>41180</v>
          </cell>
          <cell r="B685" t="str">
            <v>Sarjeta de concreto SCA 40/10</v>
          </cell>
          <cell r="C685" t="str">
            <v>m</v>
          </cell>
          <cell r="D685" t="str">
            <v>66,86</v>
          </cell>
          <cell r="E685" t="str">
            <v>A incluir</v>
          </cell>
        </row>
        <row r="686">
          <cell r="A686">
            <v>40668</v>
          </cell>
          <cell r="B686" t="str">
            <v>Sarjeta de concreto (SCA 70/15) calha triangular, inclusive caiação</v>
          </cell>
          <cell r="C686" t="str">
            <v>m</v>
          </cell>
          <cell r="D686" t="str">
            <v>90,01</v>
          </cell>
          <cell r="E686">
            <v>0</v>
          </cell>
        </row>
        <row r="687">
          <cell r="A687">
            <v>40982</v>
          </cell>
          <cell r="B687" t="str">
            <v>Sarjeta de concreto (SCA 90/10) calha triangular, inclusive caiação</v>
          </cell>
          <cell r="C687" t="str">
            <v>m</v>
          </cell>
          <cell r="D687" t="str">
            <v>161,36</v>
          </cell>
          <cell r="E687">
            <v>0</v>
          </cell>
        </row>
        <row r="688">
          <cell r="A688">
            <v>41336</v>
          </cell>
          <cell r="B688" t="str">
            <v>Sarjeta de concreto SCC 40/15</v>
          </cell>
          <cell r="C688" t="str">
            <v>m</v>
          </cell>
          <cell r="D688" t="str">
            <v>84,19</v>
          </cell>
          <cell r="E688" t="str">
            <v>A incluir</v>
          </cell>
        </row>
        <row r="689">
          <cell r="A689">
            <v>40669</v>
          </cell>
          <cell r="B689" t="str">
            <v>Sarjeta de concreto (STC - 02) calha triangular em corte/aterro, inclusive caiação</v>
          </cell>
          <cell r="C689" t="str">
            <v>m</v>
          </cell>
          <cell r="D689" t="str">
            <v>74,84</v>
          </cell>
          <cell r="E689">
            <v>0</v>
          </cell>
        </row>
        <row r="690">
          <cell r="A690">
            <v>40670</v>
          </cell>
          <cell r="B690" t="str">
            <v>Sarjeta de concreto (STC - 04) calha triangular de bancada em corte, inclusive caiação</v>
          </cell>
          <cell r="C690" t="str">
            <v>m</v>
          </cell>
          <cell r="D690" t="str">
            <v>55,24</v>
          </cell>
          <cell r="E690">
            <v>0</v>
          </cell>
        </row>
        <row r="691">
          <cell r="A691">
            <v>40560</v>
          </cell>
          <cell r="B691" t="str">
            <v>Tampa de concreto em grelha, fornecimento, assentamento e transporte</v>
          </cell>
          <cell r="C691" t="str">
            <v>un</v>
          </cell>
          <cell r="D691" t="str">
            <v>178,82</v>
          </cell>
          <cell r="E691" t="str">
            <v>A incluir</v>
          </cell>
        </row>
        <row r="692">
          <cell r="A692">
            <v>40558</v>
          </cell>
          <cell r="B692" t="str">
            <v>Tampão F.F.A.P. com 100 kg, fornecimento, assentamento e transporte</v>
          </cell>
          <cell r="C692" t="str">
            <v>un</v>
          </cell>
          <cell r="D692" t="str">
            <v>290,39</v>
          </cell>
          <cell r="E692" t="str">
            <v>A incluir</v>
          </cell>
        </row>
        <row r="693">
          <cell r="A693">
            <v>0</v>
          </cell>
          <cell r="B693">
            <v>0</v>
          </cell>
          <cell r="C693">
            <v>0</v>
          </cell>
          <cell r="E693" t="e">
            <v>#N/A</v>
          </cell>
        </row>
        <row r="694">
          <cell r="A694">
            <v>41029</v>
          </cell>
          <cell r="B694" t="str">
            <v>Tapume de vedação e proteção, executado com chapas de compensado resinado com 6mm de espessura, exclusive pintura</v>
          </cell>
          <cell r="C694" t="str">
            <v>m²</v>
          </cell>
          <cell r="D694" t="str">
            <v>32,16</v>
          </cell>
          <cell r="E694">
            <v>0</v>
          </cell>
        </row>
        <row r="695">
          <cell r="A695">
            <v>41040</v>
          </cell>
          <cell r="B695" t="str">
            <v>Tela de aço soldada Telcon Q-138 ou similar, fornecimento e assentamento.</v>
          </cell>
          <cell r="C695" t="str">
            <v>m²</v>
          </cell>
          <cell r="D695" t="str">
            <v>25,77</v>
          </cell>
          <cell r="E695">
            <v>0</v>
          </cell>
        </row>
        <row r="696">
          <cell r="A696">
            <v>42658</v>
          </cell>
          <cell r="B696" t="str">
            <v>Tela de aço soldada Telcon Q-196 ou similar, fornecimento e assentamento.</v>
          </cell>
          <cell r="C696" t="str">
            <v>m²</v>
          </cell>
          <cell r="D696" t="str">
            <v>30,80</v>
          </cell>
          <cell r="E696">
            <v>0</v>
          </cell>
        </row>
        <row r="697">
          <cell r="A697">
            <v>40655</v>
          </cell>
          <cell r="B697" t="str">
            <v>Terminal de dreno de alívio de pavimento (DP - TDA - 01)</v>
          </cell>
          <cell r="C697" t="str">
            <v>un</v>
          </cell>
          <cell r="D697" t="str">
            <v>293,63</v>
          </cell>
          <cell r="E697" t="str">
            <v>A incluir</v>
          </cell>
        </row>
        <row r="698">
          <cell r="A698">
            <v>41092</v>
          </cell>
          <cell r="B698" t="str">
            <v>Transporte de materiais encosta abaixo, serviço manual, inclusive carga e descarga</v>
          </cell>
          <cell r="C698" t="str">
            <v>t dam</v>
          </cell>
          <cell r="D698" t="str">
            <v>18,52</v>
          </cell>
          <cell r="E698">
            <v>0</v>
          </cell>
        </row>
        <row r="699">
          <cell r="A699">
            <v>41091</v>
          </cell>
          <cell r="B699" t="str">
            <v>Transporte de materiais encosta acima, serviço manual, inclusive carga e descarga</v>
          </cell>
          <cell r="C699" t="str">
            <v>t dam</v>
          </cell>
          <cell r="D699" t="str">
            <v>25,07</v>
          </cell>
          <cell r="E699">
            <v>0</v>
          </cell>
        </row>
        <row r="700">
          <cell r="A700">
            <v>40706</v>
          </cell>
          <cell r="B700" t="str">
            <v>Transposição de segmento de sarjeta - TSS 01, inclusive transporte do tubo de concreto</v>
          </cell>
          <cell r="C700" t="str">
            <v>m</v>
          </cell>
          <cell r="D700" t="str">
            <v>265,31</v>
          </cell>
          <cell r="E700" t="str">
            <v>A incluir</v>
          </cell>
        </row>
        <row r="701">
          <cell r="A701">
            <v>40651</v>
          </cell>
          <cell r="B701" t="str">
            <v>Trincheira drenante cega (0,50 x 1,70) m, inclusive transporte da brita c/ geotêxtil não tecido res.long. mín 16 kn/m</v>
          </cell>
          <cell r="C701" t="str">
            <v>m</v>
          </cell>
          <cell r="D701" t="str">
            <v>324,21</v>
          </cell>
          <cell r="E701" t="str">
            <v>A incluir</v>
          </cell>
        </row>
        <row r="702">
          <cell r="A702">
            <v>41122</v>
          </cell>
          <cell r="B702" t="str">
            <v>Tubo de PVC NBR 5648 diâmetro 50 mm, fornecimento e assentamento</v>
          </cell>
          <cell r="C702" t="str">
            <v>m</v>
          </cell>
          <cell r="D702" t="str">
            <v>15,36</v>
          </cell>
          <cell r="E702">
            <v>0</v>
          </cell>
        </row>
        <row r="703">
          <cell r="A703">
            <v>41123</v>
          </cell>
          <cell r="B703" t="str">
            <v>Tubo de PVC NBR 5648 diâmetro 75 mm, fornecimento e assentamento</v>
          </cell>
          <cell r="C703" t="str">
            <v>m</v>
          </cell>
          <cell r="D703" t="str">
            <v>22,46</v>
          </cell>
          <cell r="E703">
            <v>0</v>
          </cell>
        </row>
        <row r="704">
          <cell r="A704">
            <v>41126</v>
          </cell>
          <cell r="B704" t="str">
            <v>Tubo de PVC PBA diâmetro 300 mm, fornecimento e assentamento</v>
          </cell>
          <cell r="C704" t="str">
            <v>m</v>
          </cell>
          <cell r="D704" t="str">
            <v>177,93</v>
          </cell>
          <cell r="E704">
            <v>0</v>
          </cell>
        </row>
        <row r="705">
          <cell r="A705">
            <v>41125</v>
          </cell>
          <cell r="B705" t="str">
            <v>Tubo de PVC rígido série R diâmetro 100 mm, fornecimento e assentamento</v>
          </cell>
          <cell r="C705" t="str">
            <v>m</v>
          </cell>
          <cell r="D705" t="str">
            <v>20,72</v>
          </cell>
          <cell r="E705">
            <v>0</v>
          </cell>
        </row>
        <row r="706">
          <cell r="A706">
            <v>41119</v>
          </cell>
          <cell r="B706" t="str">
            <v>Tubo irrifort agropecuário diâmetro 32 mm, fornecimento e assentamento</v>
          </cell>
          <cell r="C706" t="str">
            <v>m</v>
          </cell>
          <cell r="D706" t="str">
            <v>5,75</v>
          </cell>
          <cell r="E706">
            <v>0</v>
          </cell>
        </row>
        <row r="707">
          <cell r="A707">
            <v>41114</v>
          </cell>
          <cell r="B707" t="str">
            <v>Tubo para irrigação linha fixa PN40 50 mm, fornecimento e assentamento</v>
          </cell>
          <cell r="C707" t="str">
            <v>m</v>
          </cell>
          <cell r="D707" t="str">
            <v>7,36</v>
          </cell>
          <cell r="E707">
            <v>0</v>
          </cell>
        </row>
        <row r="708">
          <cell r="A708">
            <v>41127</v>
          </cell>
          <cell r="B708" t="str">
            <v>Tubo PVC PBA diâmetro 150 mm, fornecimento e assentamento</v>
          </cell>
          <cell r="C708" t="str">
            <v>m</v>
          </cell>
          <cell r="D708" t="str">
            <v>32,73</v>
          </cell>
          <cell r="E708">
            <v>0</v>
          </cell>
        </row>
        <row r="709">
          <cell r="A709">
            <v>40707</v>
          </cell>
          <cell r="B709" t="str">
            <v>Tubos de ferro fundido diâmetro 0,90 m, assentamento</v>
          </cell>
          <cell r="C709" t="str">
            <v>m</v>
          </cell>
          <cell r="D709" t="str">
            <v>215,00</v>
          </cell>
          <cell r="E709" t="str">
            <v>A incluir</v>
          </cell>
        </row>
        <row r="710">
          <cell r="A710">
            <v>41118</v>
          </cell>
          <cell r="B710" t="str">
            <v>Tubos para irrigação Linha fixa PN40, diâmetro 75 mm, fornecimento e assentamento</v>
          </cell>
          <cell r="C710" t="str">
            <v>m</v>
          </cell>
          <cell r="D710" t="str">
            <v>10,70</v>
          </cell>
          <cell r="E710">
            <v>0</v>
          </cell>
        </row>
        <row r="711">
          <cell r="A711">
            <v>40702</v>
          </cell>
          <cell r="B711" t="str">
            <v>Valeta de pedra argamassada VPAR</v>
          </cell>
          <cell r="C711" t="str">
            <v>m³</v>
          </cell>
          <cell r="D711" t="str">
            <v>304,64</v>
          </cell>
          <cell r="E711" t="str">
            <v>A incluir</v>
          </cell>
        </row>
        <row r="712">
          <cell r="A712">
            <v>40701</v>
          </cell>
          <cell r="B712" t="str">
            <v>Valeta de pedra jogada VPJ, inclusive transporte da pedra</v>
          </cell>
          <cell r="C712" t="str">
            <v>m³</v>
          </cell>
          <cell r="D712" t="str">
            <v>129,98</v>
          </cell>
          <cell r="E712" t="str">
            <v>A incluir</v>
          </cell>
        </row>
        <row r="713">
          <cell r="A713">
            <v>40698</v>
          </cell>
          <cell r="B713" t="str">
            <v>Valeta de proteção de aterro enleivada (VPA-01 DNIT)</v>
          </cell>
          <cell r="C713" t="str">
            <v>m</v>
          </cell>
          <cell r="D713" t="str">
            <v>68,53</v>
          </cell>
          <cell r="E713" t="str">
            <v>A incluir</v>
          </cell>
        </row>
        <row r="714">
          <cell r="A714">
            <v>40700</v>
          </cell>
          <cell r="B714" t="str">
            <v>Valeta de proteção de aterro revestida em concreto (VPA-03 DNIT)</v>
          </cell>
          <cell r="C714" t="str">
            <v>m</v>
          </cell>
          <cell r="D714" t="str">
            <v>82,91</v>
          </cell>
          <cell r="E714" t="str">
            <v>A incluir</v>
          </cell>
        </row>
        <row r="715">
          <cell r="A715">
            <v>40696</v>
          </cell>
          <cell r="B715" t="str">
            <v>Valeta de proteção de aterro VPA 02 (revestida em concreto)</v>
          </cell>
          <cell r="C715" t="str">
            <v>m</v>
          </cell>
          <cell r="D715" t="str">
            <v>159,35</v>
          </cell>
          <cell r="E715" t="str">
            <v>A incluir</v>
          </cell>
        </row>
        <row r="716">
          <cell r="A716">
            <v>40695</v>
          </cell>
          <cell r="B716" t="str">
            <v>Valeta de proteção de aterro VPA-01 (escavação)</v>
          </cell>
          <cell r="C716" t="str">
            <v>m</v>
          </cell>
          <cell r="D716" t="str">
            <v>50,19</v>
          </cell>
          <cell r="E716">
            <v>0</v>
          </cell>
        </row>
        <row r="717">
          <cell r="A717">
            <v>40692</v>
          </cell>
          <cell r="B717" t="str">
            <v>Valeta de proteção de corte - desobstrução e limpeza</v>
          </cell>
          <cell r="C717" t="str">
            <v>m</v>
          </cell>
          <cell r="D717" t="str">
            <v>2,80</v>
          </cell>
          <cell r="E717">
            <v>0</v>
          </cell>
        </row>
        <row r="718">
          <cell r="A718">
            <v>40697</v>
          </cell>
          <cell r="B718" t="str">
            <v>Valeta de proteção de corte enleivada (VPC-01 DNIT)</v>
          </cell>
          <cell r="C718" t="str">
            <v>m</v>
          </cell>
          <cell r="D718" t="str">
            <v>67,12</v>
          </cell>
          <cell r="E718" t="str">
            <v>A incluir</v>
          </cell>
        </row>
        <row r="719">
          <cell r="A719">
            <v>40699</v>
          </cell>
          <cell r="B719" t="str">
            <v>Valeta de proteção de corte revestida em concreto VPC-03</v>
          </cell>
          <cell r="C719" t="str">
            <v>m</v>
          </cell>
          <cell r="D719" t="str">
            <v>185,05</v>
          </cell>
          <cell r="E719" t="str">
            <v>A incluir</v>
          </cell>
        </row>
        <row r="720">
          <cell r="A720">
            <v>40693</v>
          </cell>
          <cell r="B720" t="str">
            <v>Valeta de proteção de corte VPC-01 (escavação)</v>
          </cell>
          <cell r="C720" t="str">
            <v>m</v>
          </cell>
          <cell r="D720" t="str">
            <v>27,17</v>
          </cell>
          <cell r="E720">
            <v>0</v>
          </cell>
        </row>
        <row r="721">
          <cell r="A721">
            <v>40694</v>
          </cell>
          <cell r="B721" t="str">
            <v>Valeta de proteção de corte VPC-02 (revestida em grama)</v>
          </cell>
          <cell r="C721" t="str">
            <v>m</v>
          </cell>
          <cell r="D721" t="str">
            <v>55,98</v>
          </cell>
          <cell r="E721" t="str">
            <v>A incluir</v>
          </cell>
        </row>
        <row r="722">
          <cell r="A722">
            <v>0</v>
          </cell>
          <cell r="B722">
            <v>0</v>
          </cell>
          <cell r="C722">
            <v>0</v>
          </cell>
          <cell r="D722">
            <v>0</v>
          </cell>
          <cell r="E722" t="e">
            <v>#N/A</v>
          </cell>
        </row>
        <row r="723">
          <cell r="A723" t="str">
            <v>Grupo de Serviço: 4 - MATERIAL BETUMINOSO</v>
          </cell>
          <cell r="B723">
            <v>0</v>
          </cell>
          <cell r="C723">
            <v>0</v>
          </cell>
          <cell r="E723" t="e">
            <v>#N/A</v>
          </cell>
        </row>
        <row r="724">
          <cell r="A724">
            <v>40972</v>
          </cell>
          <cell r="B724" t="str">
            <v>Bonificação de 20,93% sobre Materiais Betuminosos</v>
          </cell>
          <cell r="C724" t="str">
            <v>%</v>
          </cell>
          <cell r="D724" t="str">
            <v>0,00</v>
          </cell>
          <cell r="E724">
            <v>0</v>
          </cell>
        </row>
        <row r="725">
          <cell r="A725">
            <v>41405</v>
          </cell>
          <cell r="B725" t="str">
            <v>CAP FLEX 60/85, fornecimento</v>
          </cell>
          <cell r="C725" t="str">
            <v>t</v>
          </cell>
          <cell r="D725" t="str">
            <v>1.782,44</v>
          </cell>
          <cell r="E725">
            <v>0</v>
          </cell>
        </row>
        <row r="726">
          <cell r="A726">
            <v>41360</v>
          </cell>
          <cell r="B726" t="str">
            <v>CAP-50/70, fornecimento</v>
          </cell>
          <cell r="C726" t="str">
            <v>t</v>
          </cell>
          <cell r="D726" t="str">
            <v>1.307,23</v>
          </cell>
          <cell r="E726">
            <v>0</v>
          </cell>
        </row>
        <row r="727">
          <cell r="A727">
            <v>40968</v>
          </cell>
          <cell r="B727" t="str">
            <v>CM-30, fornecimento</v>
          </cell>
          <cell r="C727" t="str">
            <v>t</v>
          </cell>
          <cell r="D727" t="str">
            <v>2.099,09</v>
          </cell>
          <cell r="E727">
            <v>0</v>
          </cell>
        </row>
        <row r="728">
          <cell r="A728">
            <v>40976</v>
          </cell>
          <cell r="B728" t="str">
            <v>Dope, fornecimento</v>
          </cell>
          <cell r="C728" t="str">
            <v>t</v>
          </cell>
          <cell r="D728" t="str">
            <v>32.630,00</v>
          </cell>
          <cell r="E728">
            <v>0</v>
          </cell>
        </row>
        <row r="729">
          <cell r="A729">
            <v>42545</v>
          </cell>
          <cell r="B729" t="str">
            <v>Emulsão RL-1C- FLEX (Emulflex RL-1C-E), fornecimento</v>
          </cell>
          <cell r="C729" t="str">
            <v>t</v>
          </cell>
          <cell r="D729" t="str">
            <v>1.428,00</v>
          </cell>
          <cell r="E729">
            <v>0</v>
          </cell>
        </row>
        <row r="730">
          <cell r="A730">
            <v>40974</v>
          </cell>
          <cell r="B730" t="str">
            <v>Emulsão RM-1C, fornecimento</v>
          </cell>
          <cell r="C730" t="str">
            <v>t</v>
          </cell>
          <cell r="D730" t="str">
            <v>1.209,01</v>
          </cell>
          <cell r="E730">
            <v>0</v>
          </cell>
        </row>
        <row r="731">
          <cell r="A731">
            <v>40978</v>
          </cell>
          <cell r="B731" t="str">
            <v>Emulsão RR-1C FLEX (Emulflex RR-1C-E,) fornecimento</v>
          </cell>
          <cell r="C731" t="str">
            <v>t</v>
          </cell>
          <cell r="D731" t="str">
            <v>1.783,21</v>
          </cell>
          <cell r="E731">
            <v>0</v>
          </cell>
        </row>
        <row r="732">
          <cell r="A732">
            <v>40975</v>
          </cell>
          <cell r="B732" t="str">
            <v>Emulsão RR-1C, fornecimento</v>
          </cell>
          <cell r="C732" t="str">
            <v>t</v>
          </cell>
          <cell r="D732" t="str">
            <v>1.016,32</v>
          </cell>
          <cell r="E732">
            <v>0</v>
          </cell>
        </row>
        <row r="733">
          <cell r="A733">
            <v>40969</v>
          </cell>
          <cell r="B733" t="str">
            <v>Emulsão RR-2C, fornecimento</v>
          </cell>
          <cell r="C733" t="str">
            <v>t</v>
          </cell>
          <cell r="D733" t="str">
            <v>1.070,41</v>
          </cell>
          <cell r="E733">
            <v>0</v>
          </cell>
        </row>
        <row r="734">
          <cell r="A734">
            <v>40971</v>
          </cell>
          <cell r="B734" t="str">
            <v>Emulsão RR-2C-FLEX (Emulflex RR-2C-E), fornecimento</v>
          </cell>
          <cell r="C734" t="str">
            <v>t</v>
          </cell>
          <cell r="D734" t="str">
            <v>1.508,00</v>
          </cell>
          <cell r="E734">
            <v>0</v>
          </cell>
        </row>
        <row r="735">
          <cell r="A735">
            <v>0</v>
          </cell>
          <cell r="B735">
            <v>0</v>
          </cell>
          <cell r="C735">
            <v>0</v>
          </cell>
          <cell r="D735">
            <v>0</v>
          </cell>
          <cell r="E735" t="e">
            <v>#N/A</v>
          </cell>
        </row>
        <row r="736">
          <cell r="A736" t="str">
            <v>Grupo de Serviço: 5 - OBRAS COMPLEMENTARES</v>
          </cell>
          <cell r="B736">
            <v>0</v>
          </cell>
          <cell r="C736">
            <v>0</v>
          </cell>
          <cell r="E736" t="e">
            <v>#N/A</v>
          </cell>
        </row>
        <row r="737">
          <cell r="A737">
            <v>40910</v>
          </cell>
          <cell r="B737" t="str">
            <v>Abrigo de Ônibus - Rodovia Rural - 3,40 m x 6,00 m</v>
          </cell>
          <cell r="C737" t="str">
            <v>un</v>
          </cell>
          <cell r="D737" t="str">
            <v>11.172,13</v>
          </cell>
          <cell r="E737" t="str">
            <v>A incluir</v>
          </cell>
        </row>
        <row r="738">
          <cell r="A738">
            <v>0</v>
          </cell>
          <cell r="B738">
            <v>0</v>
          </cell>
          <cell r="C738">
            <v>0</v>
          </cell>
          <cell r="E738" t="e">
            <v>#N/A</v>
          </cell>
        </row>
        <row r="739">
          <cell r="A739">
            <v>41362</v>
          </cell>
          <cell r="B739" t="str">
            <v>Abrigo de Ônibus Urbano - Padrão reduzido - 2,40 x 6,00 m</v>
          </cell>
          <cell r="C739" t="str">
            <v>un</v>
          </cell>
          <cell r="D739" t="str">
            <v>10.526,72</v>
          </cell>
          <cell r="E739">
            <v>0</v>
          </cell>
        </row>
        <row r="740">
          <cell r="A740">
            <v>43343</v>
          </cell>
          <cell r="B740" t="str">
            <v>Alvenaria de tijolos cerâmicos maciços aparentes 5x10x20cm,assent.c/argam.de cimento,cal hidratada CH1 e areia no traço 1:0,5:8,juntas de 10mm e esp.</v>
          </cell>
          <cell r="C740" t="str">
            <v>m²</v>
          </cell>
          <cell r="D740" t="str">
            <v>150,68</v>
          </cell>
          <cell r="E740">
            <v>0</v>
          </cell>
        </row>
        <row r="741">
          <cell r="A741">
            <v>41151</v>
          </cell>
          <cell r="B741" t="str">
            <v>Braço galvanizado 101mm - projeção 4,70m, fornecimento e instalação</v>
          </cell>
          <cell r="C741" t="str">
            <v>un</v>
          </cell>
          <cell r="D741" t="str">
            <v>1.783,54</v>
          </cell>
          <cell r="E741">
            <v>0</v>
          </cell>
        </row>
        <row r="742">
          <cell r="A742">
            <v>41346</v>
          </cell>
          <cell r="B742" t="str">
            <v>Cabo de cobre nú, seção 35 mm², fornecimento e colocação</v>
          </cell>
          <cell r="C742" t="str">
            <v>m</v>
          </cell>
          <cell r="D742" t="str">
            <v>23,60</v>
          </cell>
          <cell r="E742">
            <v>0</v>
          </cell>
        </row>
        <row r="743">
          <cell r="A743">
            <v>41150</v>
          </cell>
          <cell r="B743" t="str">
            <v>Cabo flexível 2 x 1,5 mm², fornecimento e instalação</v>
          </cell>
          <cell r="C743" t="str">
            <v>m</v>
          </cell>
          <cell r="D743" t="str">
            <v>5,15</v>
          </cell>
          <cell r="E743">
            <v>0</v>
          </cell>
        </row>
        <row r="744">
          <cell r="A744">
            <v>41149</v>
          </cell>
          <cell r="B744" t="str">
            <v>Cabo flexível 2 x 2,5 mm², fornecimento e instalação</v>
          </cell>
          <cell r="C744" t="str">
            <v>m</v>
          </cell>
          <cell r="D744" t="str">
            <v>6,01</v>
          </cell>
          <cell r="E744">
            <v>0</v>
          </cell>
        </row>
        <row r="745">
          <cell r="A745">
            <v>41410</v>
          </cell>
          <cell r="B745" t="str">
            <v>Cabo flexível 3 x 1,5 mm², fornecimento e instalação</v>
          </cell>
          <cell r="C745" t="str">
            <v>m</v>
          </cell>
          <cell r="D745" t="str">
            <v>5,72</v>
          </cell>
          <cell r="E745">
            <v>0</v>
          </cell>
        </row>
        <row r="746">
          <cell r="A746">
            <v>41148</v>
          </cell>
          <cell r="B746" t="str">
            <v>Cabo flexível 4 x 1,5 mm², fornecimento e instalação</v>
          </cell>
          <cell r="C746" t="str">
            <v>m</v>
          </cell>
          <cell r="D746" t="str">
            <v>6,65</v>
          </cell>
          <cell r="E746">
            <v>0</v>
          </cell>
        </row>
        <row r="747">
          <cell r="A747">
            <v>41152</v>
          </cell>
          <cell r="B747" t="str">
            <v>Caixa de passagem de concreto armado de 0,40 x 0,40 x 0,40m</v>
          </cell>
          <cell r="C747" t="str">
            <v>un</v>
          </cell>
          <cell r="D747" t="str">
            <v>402,50</v>
          </cell>
          <cell r="E747">
            <v>0</v>
          </cell>
        </row>
        <row r="748">
          <cell r="A748">
            <v>41004</v>
          </cell>
          <cell r="B748" t="str">
            <v>Caixa de passagem de eletroduto de lógica</v>
          </cell>
          <cell r="C748" t="str">
            <v>un</v>
          </cell>
          <cell r="D748" t="str">
            <v>844,56</v>
          </cell>
          <cell r="E748">
            <v>0</v>
          </cell>
        </row>
        <row r="749">
          <cell r="A749">
            <v>40911</v>
          </cell>
          <cell r="B749" t="str">
            <v>Calçada de concreto</v>
          </cell>
          <cell r="C749" t="str">
            <v>m²</v>
          </cell>
          <cell r="D749" t="str">
            <v>39,71</v>
          </cell>
          <cell r="E749" t="str">
            <v>A incluir</v>
          </cell>
        </row>
        <row r="750">
          <cell r="A750">
            <v>40915</v>
          </cell>
          <cell r="B750" t="str">
            <v>Calçada de concreto fck-&gt;15 MP, camurçado c/ argam. cimento e areia 1:4, lastro de brita e 8 cm de concreto, incl. preparo da caixa e transp. da brita</v>
          </cell>
          <cell r="C750" t="str">
            <v>m²</v>
          </cell>
          <cell r="D750" t="str">
            <v>89,92</v>
          </cell>
          <cell r="E750" t="str">
            <v>A incluir</v>
          </cell>
        </row>
        <row r="751">
          <cell r="A751">
            <v>40899</v>
          </cell>
          <cell r="B751" t="str">
            <v>Cerca de arame farpado 4 fios com mourões a cada 2,0 m, esticadores de madeira, a cada 20,0 m, inclusive transporte de mourão e arame farpado)</v>
          </cell>
          <cell r="C751" t="str">
            <v>m</v>
          </cell>
          <cell r="D751" t="str">
            <v>14,37</v>
          </cell>
          <cell r="E751" t="str">
            <v>A incluir</v>
          </cell>
        </row>
        <row r="752">
          <cell r="A752">
            <v>40900</v>
          </cell>
          <cell r="B752" t="str">
            <v>Cerca de arame farpado 4 fios com mourões a cada 1,0 m, esticadores de madeira, a cada 20,0 m, inclusive transporte de mourão e arame farpado</v>
          </cell>
          <cell r="C752" t="str">
            <v>m</v>
          </cell>
          <cell r="D752" t="str">
            <v>20,14</v>
          </cell>
          <cell r="E752" t="str">
            <v>A incluir</v>
          </cell>
        </row>
        <row r="753">
          <cell r="A753">
            <v>41365</v>
          </cell>
          <cell r="B753" t="str">
            <v>Cerca de arame farpado 4 fios com mourões, a cada 2,5 m, esticadores de madeira a cada 60,0m, inclusive transporte de arame farpado e mourão</v>
          </cell>
          <cell r="C753" t="str">
            <v>m</v>
          </cell>
          <cell r="D753" t="str">
            <v>16,32</v>
          </cell>
          <cell r="E753" t="str">
            <v>A incluir</v>
          </cell>
        </row>
        <row r="754">
          <cell r="A754">
            <v>41110</v>
          </cell>
          <cell r="B754" t="str">
            <v>Cerca de arame farpado 4 fios com mourões a cada 3,0 metros e sem esticadores, inclusive transporte de arame e mourão</v>
          </cell>
          <cell r="C754" t="str">
            <v>m</v>
          </cell>
          <cell r="D754" t="str">
            <v>14,02</v>
          </cell>
          <cell r="E754" t="str">
            <v>A incluir</v>
          </cell>
        </row>
        <row r="755">
          <cell r="A755">
            <v>40903</v>
          </cell>
          <cell r="B755" t="str">
            <v>Cerca de arame farpado 4 fios com postes cada 2,5 m, esticadores de concreto a cada 25,0 m</v>
          </cell>
          <cell r="C755" t="str">
            <v>m</v>
          </cell>
          <cell r="D755" t="str">
            <v>18,83</v>
          </cell>
          <cell r="E755" t="str">
            <v>A incluir</v>
          </cell>
        </row>
        <row r="756">
          <cell r="A756">
            <v>40904</v>
          </cell>
          <cell r="B756" t="str">
            <v>Cerca de arame farpado 8 fios com postes concreto 10 x 10 x 220 cm, a cada 1,5 m</v>
          </cell>
          <cell r="C756" t="str">
            <v>m</v>
          </cell>
          <cell r="D756" t="str">
            <v>39,86</v>
          </cell>
          <cell r="E756" t="str">
            <v>A incluir</v>
          </cell>
        </row>
        <row r="757">
          <cell r="A757">
            <v>40905</v>
          </cell>
          <cell r="B757" t="str">
            <v>Cerca de arame farpado 8 fios com postes triangulares 10 x 200 cm, a cada 2,5 m, mourão de concreto 10 x 10 x 220 cm, a cada 50,0 m</v>
          </cell>
          <cell r="C757" t="str">
            <v>m</v>
          </cell>
          <cell r="D757" t="str">
            <v>20,66</v>
          </cell>
          <cell r="E757" t="str">
            <v>A incluir</v>
          </cell>
        </row>
        <row r="758">
          <cell r="A758">
            <v>43330</v>
          </cell>
          <cell r="B758" t="str">
            <v>Cerca de arame farpado,4 fios ,mourões de madeira a cada 2,5 m e esticadores de concreto/madeira a cada 40m</v>
          </cell>
          <cell r="C758" t="str">
            <v>m</v>
          </cell>
          <cell r="D758" t="str">
            <v>25,47</v>
          </cell>
          <cell r="E758" t="str">
            <v>A incluir</v>
          </cell>
        </row>
        <row r="759">
          <cell r="A759">
            <v>40901</v>
          </cell>
          <cell r="B759" t="str">
            <v>Cerca de arame liso 4 fios com mourões cada 2,0 m, esticadores de madeira, a cada 20,0 m, inclusive transporte de mourão e arame liso</v>
          </cell>
          <cell r="C759" t="str">
            <v>m</v>
          </cell>
          <cell r="D759" t="str">
            <v>13,71</v>
          </cell>
          <cell r="E759" t="str">
            <v>A incluir</v>
          </cell>
        </row>
        <row r="760">
          <cell r="A760">
            <v>42475</v>
          </cell>
          <cell r="B760" t="str">
            <v>Concreto estrutural fck -&gt; 10,0 MPa, inclusive transportes areia, cimento e pedra britada</v>
          </cell>
          <cell r="C760" t="str">
            <v>m³</v>
          </cell>
          <cell r="D760" t="str">
            <v>489,88</v>
          </cell>
          <cell r="E760" t="str">
            <v>A incluir</v>
          </cell>
        </row>
        <row r="761">
          <cell r="A761">
            <v>40945</v>
          </cell>
          <cell r="B761" t="str">
            <v>Corrimão em eucalipto tratado</v>
          </cell>
          <cell r="C761" t="str">
            <v>m</v>
          </cell>
          <cell r="D761" t="str">
            <v>51,95</v>
          </cell>
          <cell r="E761" t="str">
            <v>A incluir</v>
          </cell>
        </row>
        <row r="762">
          <cell r="A762">
            <v>41109</v>
          </cell>
          <cell r="B762" t="str">
            <v>Demolição de cerca de madeira com 4 fios</v>
          </cell>
          <cell r="C762" t="str">
            <v>m</v>
          </cell>
          <cell r="D762" t="str">
            <v>2,13</v>
          </cell>
          <cell r="E762">
            <v>0</v>
          </cell>
        </row>
        <row r="763">
          <cell r="A763">
            <v>40164</v>
          </cell>
          <cell r="B763" t="str">
            <v>Demolição de edificações</v>
          </cell>
          <cell r="C763" t="str">
            <v>m²</v>
          </cell>
          <cell r="D763" t="str">
            <v>35,89</v>
          </cell>
          <cell r="E763">
            <v>0</v>
          </cell>
        </row>
        <row r="764">
          <cell r="A764">
            <v>40944</v>
          </cell>
          <cell r="B764" t="str">
            <v>Descida d'água em madeira e pedra de mão, tudo incluído</v>
          </cell>
          <cell r="C764" t="str">
            <v>m</v>
          </cell>
          <cell r="D764" t="str">
            <v>466,83</v>
          </cell>
          <cell r="E764" t="str">
            <v>A incluir</v>
          </cell>
        </row>
        <row r="765">
          <cell r="A765">
            <v>40902</v>
          </cell>
          <cell r="B765" t="str">
            <v>Deslocamento de cerca de madeira com 4 fios de arame</v>
          </cell>
          <cell r="C765" t="str">
            <v>m</v>
          </cell>
          <cell r="D765" t="str">
            <v>3,82</v>
          </cell>
          <cell r="E765">
            <v>0</v>
          </cell>
        </row>
        <row r="766">
          <cell r="A766">
            <v>41344</v>
          </cell>
          <cell r="B766" t="str">
            <v>Eletroduto de aço galv. 1 1/4" inclusive abertura e fechamento de rasgos em alvenaria, e luvas</v>
          </cell>
          <cell r="C766" t="str">
            <v>m</v>
          </cell>
          <cell r="D766" t="str">
            <v>61,75</v>
          </cell>
          <cell r="E766">
            <v>0</v>
          </cell>
        </row>
        <row r="767">
          <cell r="A767">
            <v>41345</v>
          </cell>
          <cell r="B767" t="str">
            <v>Eletroduto de PVC diâmetro de 4", fornecimento e instalação</v>
          </cell>
          <cell r="C767" t="str">
            <v>m</v>
          </cell>
          <cell r="D767" t="str">
            <v>90,37</v>
          </cell>
          <cell r="E767">
            <v>0</v>
          </cell>
        </row>
        <row r="768">
          <cell r="A768">
            <v>41242</v>
          </cell>
          <cell r="B768" t="str">
            <v>Estrutura de madeira para telha cerâmica ancorada em laje ou alvenaria</v>
          </cell>
          <cell r="C768" t="str">
            <v>m²</v>
          </cell>
          <cell r="D768" t="str">
            <v>69,50</v>
          </cell>
          <cell r="E768">
            <v>0</v>
          </cell>
        </row>
        <row r="769">
          <cell r="A769">
            <v>42476</v>
          </cell>
          <cell r="B769" t="str">
            <v>Fita isolante em rolo de 19 mm x 20 m, número 33 Scoth ou equivalente</v>
          </cell>
          <cell r="C769" t="str">
            <v>un</v>
          </cell>
          <cell r="D769" t="str">
            <v>34,26</v>
          </cell>
          <cell r="E769">
            <v>0</v>
          </cell>
        </row>
        <row r="770">
          <cell r="A770">
            <v>41136</v>
          </cell>
          <cell r="B770" t="str">
            <v>Haste cobreada para aterramento diâmetro 5/8" x 2,4m ( fornecimento e instalação)</v>
          </cell>
          <cell r="C770" t="str">
            <v>un</v>
          </cell>
          <cell r="D770" t="str">
            <v>111,00</v>
          </cell>
          <cell r="E770">
            <v>0</v>
          </cell>
        </row>
        <row r="771">
          <cell r="A771">
            <v>41135</v>
          </cell>
          <cell r="B771" t="str">
            <v>Isolador de Porcelana tipo roldana com rack 3 x 16, instalação</v>
          </cell>
          <cell r="C771" t="str">
            <v>un</v>
          </cell>
          <cell r="D771" t="str">
            <v>76,84</v>
          </cell>
          <cell r="E771">
            <v>0</v>
          </cell>
        </row>
        <row r="772">
          <cell r="A772">
            <v>40912</v>
          </cell>
          <cell r="B772" t="str">
            <v>Ladrilho hidráulico (argamassa cimento e areia 1:4), fornecimento e assentamento</v>
          </cell>
          <cell r="C772" t="str">
            <v>m²</v>
          </cell>
          <cell r="D772" t="str">
            <v>81,82</v>
          </cell>
          <cell r="E772" t="str">
            <v>A incluir</v>
          </cell>
        </row>
        <row r="773">
          <cell r="A773">
            <v>40908</v>
          </cell>
          <cell r="B773" t="str">
            <v>Mata-burro</v>
          </cell>
          <cell r="C773" t="str">
            <v>un</v>
          </cell>
          <cell r="D773" t="str">
            <v>7.337,26</v>
          </cell>
          <cell r="E773" t="str">
            <v>A incluir</v>
          </cell>
        </row>
        <row r="774">
          <cell r="A774">
            <v>40907</v>
          </cell>
          <cell r="B774" t="str">
            <v>Passagem de gado (boca)</v>
          </cell>
          <cell r="C774" t="str">
            <v>un</v>
          </cell>
          <cell r="D774" t="str">
            <v>12.416,16</v>
          </cell>
          <cell r="E774" t="str">
            <v>A incluir</v>
          </cell>
        </row>
        <row r="775">
          <cell r="A775">
            <v>40906</v>
          </cell>
          <cell r="B775" t="str">
            <v>Passagem de gado (sem guarda corpo)</v>
          </cell>
          <cell r="C775" t="str">
            <v>m</v>
          </cell>
          <cell r="D775" t="str">
            <v>3.591,38</v>
          </cell>
          <cell r="E775">
            <v>0</v>
          </cell>
        </row>
        <row r="776">
          <cell r="A776">
            <v>41240</v>
          </cell>
          <cell r="B776" t="str">
            <v>Passeio em concreto, largura 2,00m, acabamento em ladrilho hidráulico podotátil (L-&gt;0,40m)</v>
          </cell>
          <cell r="C776" t="str">
            <v>m²</v>
          </cell>
          <cell r="D776" t="str">
            <v>71,76</v>
          </cell>
          <cell r="E776" t="str">
            <v>A incluir</v>
          </cell>
        </row>
        <row r="777">
          <cell r="A777">
            <v>40946</v>
          </cell>
          <cell r="B777" t="str">
            <v>Passeio pavimentado em blocos de concreto esp.-&gt;6cm, colorido, resistência 35 MPa, colchão de areia 5cm, inclusive transporte dos blocos e da areia</v>
          </cell>
          <cell r="C777" t="str">
            <v>m²</v>
          </cell>
          <cell r="D777" t="str">
            <v>84,62</v>
          </cell>
          <cell r="E777" t="str">
            <v>A incluir</v>
          </cell>
        </row>
        <row r="778">
          <cell r="A778">
            <v>40942</v>
          </cell>
          <cell r="B778" t="str">
            <v>Pavimentação com pedra de mão (pé de moleque) argamassada</v>
          </cell>
          <cell r="C778" t="str">
            <v>m²</v>
          </cell>
          <cell r="D778" t="str">
            <v>33,25</v>
          </cell>
          <cell r="E778" t="str">
            <v>A incluir</v>
          </cell>
        </row>
        <row r="779">
          <cell r="A779">
            <v>41245</v>
          </cell>
          <cell r="B779" t="str">
            <v>Pintura com tinta a óleo em esquadria de ferros duas demãos</v>
          </cell>
          <cell r="C779" t="str">
            <v>m²</v>
          </cell>
          <cell r="D779" t="str">
            <v>34,55</v>
          </cell>
          <cell r="E779">
            <v>0</v>
          </cell>
        </row>
        <row r="780">
          <cell r="A780">
            <v>41404</v>
          </cell>
          <cell r="B780" t="str">
            <v>Pintura em estrutura metálica com tinta epoxídica inclusive primer</v>
          </cell>
          <cell r="C780" t="str">
            <v>m²</v>
          </cell>
          <cell r="D780" t="str">
            <v>32,66</v>
          </cell>
          <cell r="E780">
            <v>0</v>
          </cell>
        </row>
        <row r="781">
          <cell r="A781">
            <v>41244</v>
          </cell>
          <cell r="B781" t="str">
            <v>Pintura em látex acrílica em parede externa, sem massa corrida, três demãos</v>
          </cell>
          <cell r="C781" t="str">
            <v>m²</v>
          </cell>
          <cell r="D781" t="str">
            <v>20,13</v>
          </cell>
          <cell r="E781">
            <v>0</v>
          </cell>
        </row>
        <row r="782">
          <cell r="A782">
            <v>43328</v>
          </cell>
          <cell r="B782" t="str">
            <v>Pintura logomarca DER-ES em mourões de concreto ( baixo relevo )</v>
          </cell>
          <cell r="C782" t="str">
            <v>un</v>
          </cell>
          <cell r="D782" t="str">
            <v>9,94</v>
          </cell>
          <cell r="E782">
            <v>0</v>
          </cell>
        </row>
        <row r="783">
          <cell r="A783">
            <v>40909</v>
          </cell>
          <cell r="B783" t="str">
            <v>Porteira, confecção e colocação, inclusive fornecimento e transporte da madeira e chapa de aço</v>
          </cell>
          <cell r="C783" t="str">
            <v>un</v>
          </cell>
          <cell r="D783" t="str">
            <v>2.468,85</v>
          </cell>
          <cell r="E783" t="str">
            <v>A incluir</v>
          </cell>
        </row>
        <row r="784">
          <cell r="A784">
            <v>41237</v>
          </cell>
          <cell r="B784" t="str">
            <v>Poste de iluminação urbana com luminária tipo chapeú chinês</v>
          </cell>
          <cell r="C784" t="str">
            <v>un</v>
          </cell>
          <cell r="D784" t="str">
            <v>1.579,96</v>
          </cell>
          <cell r="E784" t="str">
            <v>A incluir</v>
          </cell>
        </row>
        <row r="785">
          <cell r="A785">
            <v>41140</v>
          </cell>
          <cell r="B785" t="str">
            <v>Poste galvanizado 101mm simples, fornecimento e instalação</v>
          </cell>
          <cell r="C785" t="str">
            <v>un</v>
          </cell>
          <cell r="D785" t="str">
            <v>1.123,63</v>
          </cell>
          <cell r="E785">
            <v>0</v>
          </cell>
        </row>
        <row r="786">
          <cell r="A786">
            <v>41139</v>
          </cell>
          <cell r="B786" t="str">
            <v>Poste galvanizado 114 mm - 1boca, fornecimento e instalação</v>
          </cell>
          <cell r="C786" t="str">
            <v>un</v>
          </cell>
          <cell r="D786" t="str">
            <v>1.632,89</v>
          </cell>
          <cell r="E786">
            <v>0</v>
          </cell>
        </row>
        <row r="787">
          <cell r="A787">
            <v>41138</v>
          </cell>
          <cell r="B787" t="str">
            <v>Poste galvanizado 114mm - 2 bocas, fornecimento e instalação</v>
          </cell>
          <cell r="C787" t="str">
            <v>un</v>
          </cell>
          <cell r="D787" t="str">
            <v>1.820,91</v>
          </cell>
          <cell r="E787">
            <v>0</v>
          </cell>
        </row>
        <row r="788">
          <cell r="A788">
            <v>41246</v>
          </cell>
          <cell r="B788" t="str">
            <v>Rampa de pedestres, com piso em ladrilho hidráulico podotátil</v>
          </cell>
          <cell r="C788" t="str">
            <v>m</v>
          </cell>
          <cell r="D788" t="str">
            <v>43,87</v>
          </cell>
          <cell r="E788" t="str">
            <v>A incluir</v>
          </cell>
        </row>
        <row r="789">
          <cell r="A789">
            <v>40943</v>
          </cell>
          <cell r="B789" t="str">
            <v>Rampa em pedra de mão (pé de moleque) argamassada e travada</v>
          </cell>
          <cell r="C789" t="str">
            <v>m</v>
          </cell>
          <cell r="D789" t="str">
            <v>40,58</v>
          </cell>
          <cell r="E789" t="str">
            <v>A incluir</v>
          </cell>
        </row>
        <row r="790">
          <cell r="A790">
            <v>40922</v>
          </cell>
          <cell r="B790" t="str">
            <v>Remoção de camada vegetal</v>
          </cell>
          <cell r="C790" t="str">
            <v>m³</v>
          </cell>
          <cell r="D790" t="str">
            <v>4,45</v>
          </cell>
          <cell r="E790">
            <v>0</v>
          </cell>
        </row>
        <row r="791">
          <cell r="A791">
            <v>40914</v>
          </cell>
          <cell r="B791" t="str">
            <v>Retirada de Defensa Metálica</v>
          </cell>
          <cell r="C791" t="str">
            <v>m</v>
          </cell>
          <cell r="D791" t="str">
            <v>13,58</v>
          </cell>
          <cell r="E791" t="str">
            <v>A incluir</v>
          </cell>
        </row>
        <row r="792">
          <cell r="A792">
            <v>40913</v>
          </cell>
          <cell r="B792" t="str">
            <v>Retirada e recolocação de alambrado</v>
          </cell>
          <cell r="C792" t="str">
            <v>m</v>
          </cell>
          <cell r="D792" t="str">
            <v>91,51</v>
          </cell>
          <cell r="E792">
            <v>0</v>
          </cell>
        </row>
        <row r="793">
          <cell r="A793">
            <v>41191</v>
          </cell>
          <cell r="B793" t="str">
            <v>Sistema cercamento tipo Gradil Nylofor 3DPintura Simples (preto, verde ou branco), # 50x200m, fio 5,0mm, L-&gt;2,50m, H-&gt;2,03m, incl. forn./chumb. postes</v>
          </cell>
          <cell r="C793" t="str">
            <v>m</v>
          </cell>
          <cell r="D793" t="str">
            <v>301,96</v>
          </cell>
          <cell r="E793" t="str">
            <v>A incluir</v>
          </cell>
        </row>
        <row r="794">
          <cell r="A794">
            <v>40947</v>
          </cell>
          <cell r="B794" t="str">
            <v>Sumidouro cilíndrico pré-moldado diam. 2,00m com 5 anéis inclusive escavação</v>
          </cell>
          <cell r="C794" t="str">
            <v>un</v>
          </cell>
          <cell r="D794" t="str">
            <v>3.003,63</v>
          </cell>
          <cell r="E794" t="str">
            <v>A incluir</v>
          </cell>
        </row>
        <row r="795">
          <cell r="A795">
            <v>43329</v>
          </cell>
          <cell r="B795" t="str">
            <v>Suporte de concreto armado ( 15x15x280 ) com logomarca pintada em baixo relevo</v>
          </cell>
          <cell r="C795" t="str">
            <v>un</v>
          </cell>
          <cell r="D795" t="str">
            <v>170,15</v>
          </cell>
          <cell r="E795" t="str">
            <v>A incluir</v>
          </cell>
        </row>
        <row r="796">
          <cell r="A796">
            <v>0</v>
          </cell>
          <cell r="B796">
            <v>0</v>
          </cell>
          <cell r="C796">
            <v>0</v>
          </cell>
          <cell r="E796" t="e">
            <v>#N/A</v>
          </cell>
        </row>
        <row r="797">
          <cell r="A797">
            <v>42050</v>
          </cell>
          <cell r="B797" t="str">
            <v>Tela de aço galvanizado ,em malha hexagonal de dupla torção, tipo 8,0cm x 10,0cm, com fios de diâmetro 2,7mm, tudo incluído, fornecimento e execução</v>
          </cell>
          <cell r="C797" t="str">
            <v>m²</v>
          </cell>
          <cell r="D797" t="str">
            <v>89,30</v>
          </cell>
          <cell r="E797" t="str">
            <v>A incluir</v>
          </cell>
        </row>
        <row r="798">
          <cell r="A798">
            <v>0</v>
          </cell>
          <cell r="B798">
            <v>0</v>
          </cell>
          <cell r="C798">
            <v>0</v>
          </cell>
          <cell r="E798" t="e">
            <v>#N/A</v>
          </cell>
        </row>
        <row r="799">
          <cell r="A799" t="str">
            <v>Grupo de Serviço: 8 - SERVIÇOS AMBIENTAIS</v>
          </cell>
          <cell r="B799">
            <v>0</v>
          </cell>
          <cell r="C799">
            <v>0</v>
          </cell>
          <cell r="E799" t="e">
            <v>#N/A</v>
          </cell>
        </row>
        <row r="800">
          <cell r="A800">
            <v>42203</v>
          </cell>
          <cell r="B800" t="str">
            <v>Arborização para paisagismo ( mudas viveiro de espera) com altura maior que 150 cm</v>
          </cell>
          <cell r="C800" t="str">
            <v>un</v>
          </cell>
          <cell r="D800" t="str">
            <v>106,40</v>
          </cell>
          <cell r="E800" t="str">
            <v>A incluir</v>
          </cell>
        </row>
        <row r="801">
          <cell r="A801">
            <v>42202</v>
          </cell>
          <cell r="B801" t="str">
            <v>Arborização para paisagismo (mudas viveiro de espera) com altura até 150 cm</v>
          </cell>
          <cell r="C801" t="str">
            <v>un</v>
          </cell>
          <cell r="D801" t="str">
            <v>85,33</v>
          </cell>
          <cell r="E801" t="str">
            <v>A incluir</v>
          </cell>
        </row>
        <row r="802">
          <cell r="A802">
            <v>42041</v>
          </cell>
          <cell r="B802" t="str">
            <v>Barreira de Siltagem com escoras de eucalipto, diâm. 0,10m e a altura 1,60m, espaçadas a cada 2,0 m, 1 reaproveitamento</v>
          </cell>
          <cell r="C802" t="str">
            <v>m</v>
          </cell>
          <cell r="D802" t="str">
            <v>20,45</v>
          </cell>
          <cell r="E802" t="str">
            <v>A incluir</v>
          </cell>
        </row>
        <row r="803">
          <cell r="A803">
            <v>42199</v>
          </cell>
          <cell r="B803" t="str">
            <v>Conformação manual de taludes</v>
          </cell>
          <cell r="C803" t="str">
            <v>m²</v>
          </cell>
          <cell r="D803" t="str">
            <v>1,29</v>
          </cell>
          <cell r="E803">
            <v>0</v>
          </cell>
        </row>
        <row r="804">
          <cell r="A804">
            <v>42210</v>
          </cell>
          <cell r="B804" t="str">
            <v>Grama em placas em taludes com estacas de madeira, fornecimento e plantio</v>
          </cell>
          <cell r="C804" t="str">
            <v>m²</v>
          </cell>
          <cell r="D804" t="str">
            <v>18,23</v>
          </cell>
          <cell r="E804" t="str">
            <v>A incluir</v>
          </cell>
        </row>
        <row r="805">
          <cell r="A805">
            <v>42206</v>
          </cell>
          <cell r="B805" t="str">
            <v>Grama em placas, fornecimento e plantio (sem fixação com estacas)</v>
          </cell>
          <cell r="C805" t="str">
            <v>m²</v>
          </cell>
          <cell r="D805" t="str">
            <v>14,19</v>
          </cell>
          <cell r="E805" t="str">
            <v>A incluir</v>
          </cell>
        </row>
        <row r="806">
          <cell r="A806">
            <v>42208</v>
          </cell>
          <cell r="B806" t="str">
            <v>Gramínea em leiva, extração</v>
          </cell>
          <cell r="C806" t="str">
            <v>m²</v>
          </cell>
          <cell r="D806" t="str">
            <v>1,52</v>
          </cell>
          <cell r="E806">
            <v>0</v>
          </cell>
        </row>
        <row r="807">
          <cell r="A807">
            <v>42209</v>
          </cell>
          <cell r="B807" t="str">
            <v>Gramínea em leiva, extração, plantio e transporte</v>
          </cell>
          <cell r="C807" t="str">
            <v>m²</v>
          </cell>
          <cell r="D807" t="str">
            <v>6,75</v>
          </cell>
          <cell r="E807" t="str">
            <v>A incluir</v>
          </cell>
        </row>
        <row r="808">
          <cell r="A808">
            <v>42207</v>
          </cell>
          <cell r="B808" t="str">
            <v>Gramíneas em sementes, fornecimento e plantio a lanço</v>
          </cell>
          <cell r="C808" t="str">
            <v>m²</v>
          </cell>
          <cell r="D808" t="str">
            <v>2,96</v>
          </cell>
          <cell r="E808">
            <v>0</v>
          </cell>
        </row>
        <row r="809">
          <cell r="A809">
            <v>42200</v>
          </cell>
          <cell r="B809" t="str">
            <v>Hidrossemeadura simples em taludes</v>
          </cell>
          <cell r="C809" t="str">
            <v>m²</v>
          </cell>
          <cell r="D809" t="str">
            <v>5,80</v>
          </cell>
          <cell r="E809">
            <v>0</v>
          </cell>
        </row>
        <row r="810">
          <cell r="A810">
            <v>42201</v>
          </cell>
          <cell r="B810" t="str">
            <v>Hidrossemeadura simples em terrenos planos</v>
          </cell>
          <cell r="C810" t="str">
            <v>m²</v>
          </cell>
          <cell r="D810" t="str">
            <v>4,44</v>
          </cell>
          <cell r="E810">
            <v>0</v>
          </cell>
        </row>
        <row r="811">
          <cell r="A811">
            <v>41247</v>
          </cell>
          <cell r="B811" t="str">
            <v>Recomposição de talude de corte com aterro de solo argiloso compactado, exclusive material de aterro</v>
          </cell>
          <cell r="C811" t="str">
            <v>m³</v>
          </cell>
          <cell r="D811" t="str">
            <v>49,76</v>
          </cell>
          <cell r="E811">
            <v>0</v>
          </cell>
        </row>
        <row r="812">
          <cell r="A812">
            <v>42204</v>
          </cell>
          <cell r="B812" t="str">
            <v>Reflorestamento com espécies nativas da mata atlântica, mudas em sacolas ou tubetes</v>
          </cell>
          <cell r="C812" t="str">
            <v>un</v>
          </cell>
          <cell r="D812" t="str">
            <v>31,83</v>
          </cell>
          <cell r="E812" t="str">
            <v>A incluir</v>
          </cell>
        </row>
        <row r="813">
          <cell r="A813">
            <v>42044</v>
          </cell>
          <cell r="B813" t="str">
            <v>Reunião de Comunicação Social inclusive material de consumo</v>
          </cell>
          <cell r="C813" t="str">
            <v>un</v>
          </cell>
          <cell r="D813" t="str">
            <v>4.564,14</v>
          </cell>
          <cell r="E813">
            <v>0</v>
          </cell>
        </row>
        <row r="814">
          <cell r="A814">
            <v>40102</v>
          </cell>
          <cell r="B814" t="str">
            <v>Revestimento vegetal com grama em placas, inclusive transporte de grama</v>
          </cell>
          <cell r="C814" t="str">
            <v>m²</v>
          </cell>
          <cell r="D814" t="str">
            <v>13,53</v>
          </cell>
          <cell r="E814" t="str">
            <v>A incluir</v>
          </cell>
        </row>
        <row r="815">
          <cell r="A815">
            <v>42039</v>
          </cell>
          <cell r="B815" t="str">
            <v>Revestimento vegetal por hidrossemeadura com manta de fibras vegetais</v>
          </cell>
          <cell r="C815" t="str">
            <v>m²</v>
          </cell>
          <cell r="D815" t="str">
            <v>15,58</v>
          </cell>
          <cell r="E815" t="str">
            <v>A incluir</v>
          </cell>
        </row>
        <row r="816">
          <cell r="A816">
            <v>42205</v>
          </cell>
          <cell r="B816" t="str">
            <v>Roçada para manutenção de mudas</v>
          </cell>
          <cell r="C816" t="str">
            <v>m²</v>
          </cell>
          <cell r="D816" t="str">
            <v>1,24</v>
          </cell>
          <cell r="E816">
            <v>0</v>
          </cell>
        </row>
        <row r="817">
          <cell r="A817">
            <v>0</v>
          </cell>
          <cell r="B817">
            <v>0</v>
          </cell>
          <cell r="C817">
            <v>0</v>
          </cell>
          <cell r="D817">
            <v>0</v>
          </cell>
          <cell r="E817" t="e">
            <v>#N/A</v>
          </cell>
        </row>
        <row r="818">
          <cell r="A818" t="str">
            <v>Grupo de Serviço: 10 - SINALIZAÇÃO</v>
          </cell>
          <cell r="B818">
            <v>0</v>
          </cell>
          <cell r="C818">
            <v>0</v>
          </cell>
          <cell r="E818" t="e">
            <v>#N/A</v>
          </cell>
        </row>
        <row r="819">
          <cell r="A819">
            <v>41153</v>
          </cell>
          <cell r="B819" t="str">
            <v>Abraçadeira para fixação de semáforo em braço/coluna de diâmetro 101 ou 114 mm</v>
          </cell>
          <cell r="C819" t="str">
            <v>un</v>
          </cell>
          <cell r="D819" t="str">
            <v>63,29</v>
          </cell>
          <cell r="E819">
            <v>0</v>
          </cell>
        </row>
        <row r="820">
          <cell r="A820">
            <v>41409</v>
          </cell>
          <cell r="B820" t="str">
            <v>Anteparo 3 x 300 mm, fornecimento e instalação</v>
          </cell>
          <cell r="C820" t="str">
            <v>un</v>
          </cell>
          <cell r="D820" t="str">
            <v>310,20</v>
          </cell>
          <cell r="E820">
            <v>0</v>
          </cell>
        </row>
        <row r="821">
          <cell r="A821">
            <v>40928</v>
          </cell>
          <cell r="B821" t="str">
            <v>Balizador de concreto ( fornecimento e assentamento )</v>
          </cell>
          <cell r="C821" t="str">
            <v>un</v>
          </cell>
          <cell r="D821" t="str">
            <v>37,41</v>
          </cell>
          <cell r="E821" t="str">
            <v>A incluir</v>
          </cell>
        </row>
        <row r="822">
          <cell r="A822">
            <v>41408</v>
          </cell>
          <cell r="B822" t="str">
            <v>Botoeira com sinal sonoro, fornecimento e instalação</v>
          </cell>
          <cell r="C822" t="str">
            <v>un</v>
          </cell>
          <cell r="D822" t="str">
            <v>2.819,95</v>
          </cell>
          <cell r="E822">
            <v>0</v>
          </cell>
        </row>
        <row r="823">
          <cell r="A823">
            <v>41147</v>
          </cell>
          <cell r="B823" t="str">
            <v>Cabos para rede de dados (sincronismo) blindado 2 x 20 awg, fornecimento e instalação</v>
          </cell>
          <cell r="C823" t="str">
            <v>m</v>
          </cell>
          <cell r="D823" t="str">
            <v>8,25</v>
          </cell>
          <cell r="E823">
            <v>0</v>
          </cell>
        </row>
        <row r="824">
          <cell r="A824">
            <v>42046</v>
          </cell>
          <cell r="B824" t="str">
            <v>Cones para sinalização, fornecimento e colocação</v>
          </cell>
          <cell r="C824" t="str">
            <v>un</v>
          </cell>
          <cell r="D824" t="str">
            <v>16,48</v>
          </cell>
          <cell r="E824">
            <v>0</v>
          </cell>
        </row>
        <row r="825">
          <cell r="A825">
            <v>41407</v>
          </cell>
          <cell r="B825" t="str">
            <v>Controlador Eletrônico Microprocessado 4 fases, fornecimento e instalação</v>
          </cell>
          <cell r="C825" t="str">
            <v>un</v>
          </cell>
          <cell r="D825" t="str">
            <v>14.820,36</v>
          </cell>
          <cell r="E825">
            <v>0</v>
          </cell>
        </row>
        <row r="826">
          <cell r="A826">
            <v>41146</v>
          </cell>
          <cell r="B826" t="str">
            <v>Controlador Eletrônico Microprocessado 6/6 fases, fornecimento e instalação</v>
          </cell>
          <cell r="C826" t="str">
            <v>un</v>
          </cell>
          <cell r="D826" t="str">
            <v>15.857,26</v>
          </cell>
          <cell r="E826">
            <v>0</v>
          </cell>
        </row>
        <row r="827">
          <cell r="A827">
            <v>41017</v>
          </cell>
          <cell r="B827" t="str">
            <v>Defensa de concreto tipo New Jersey, fornecimento e colocação</v>
          </cell>
          <cell r="C827" t="str">
            <v>m</v>
          </cell>
          <cell r="D827" t="str">
            <v>429,68</v>
          </cell>
          <cell r="E827">
            <v>0</v>
          </cell>
        </row>
        <row r="828">
          <cell r="A828">
            <v>40929</v>
          </cell>
          <cell r="B828" t="str">
            <v>Defensa metálica (1 lâmina com espessura -&gt; 3 mm), fornecimento e colocação</v>
          </cell>
          <cell r="C828" t="str">
            <v>m</v>
          </cell>
          <cell r="D828" t="str">
            <v>246,08</v>
          </cell>
          <cell r="E828" t="str">
            <v>A incluir</v>
          </cell>
        </row>
        <row r="829">
          <cell r="A829">
            <v>41203</v>
          </cell>
          <cell r="B829" t="str">
            <v>Defensa metálica (2 lâminas com espessuras -&gt; 3mm) inclusive acessórios, fornecimento e colocação</v>
          </cell>
          <cell r="C829" t="str">
            <v>m</v>
          </cell>
          <cell r="D829" t="str">
            <v>486,61</v>
          </cell>
          <cell r="E829" t="str">
            <v>A incluir</v>
          </cell>
        </row>
        <row r="830">
          <cell r="A830">
            <v>42047</v>
          </cell>
          <cell r="B830" t="str">
            <v>Elementos de madeira para sinalização - cavaletes</v>
          </cell>
          <cell r="C830" t="str">
            <v>un</v>
          </cell>
          <cell r="D830" t="str">
            <v>43,60</v>
          </cell>
          <cell r="E830">
            <v>0</v>
          </cell>
        </row>
        <row r="831">
          <cell r="A831">
            <v>41145</v>
          </cell>
          <cell r="B831" t="str">
            <v>Grupo focal gradativo (semáforo com informação de tempo), fornecimento e instalação</v>
          </cell>
          <cell r="C831" t="str">
            <v>un</v>
          </cell>
          <cell r="D831" t="str">
            <v>9.436,41</v>
          </cell>
          <cell r="E831">
            <v>0</v>
          </cell>
        </row>
        <row r="832">
          <cell r="A832">
            <v>41141</v>
          </cell>
          <cell r="B832" t="str">
            <v>Grupo focal repetidor 2x200 mm, fornecimento e instalação</v>
          </cell>
          <cell r="C832" t="str">
            <v>un</v>
          </cell>
          <cell r="D832" t="str">
            <v>1.578,03</v>
          </cell>
          <cell r="E832">
            <v>0</v>
          </cell>
        </row>
        <row r="833">
          <cell r="A833">
            <v>41142</v>
          </cell>
          <cell r="B833" t="str">
            <v>Grupo focal repetidor 3x200 mm, fornecimento e instalação</v>
          </cell>
          <cell r="C833" t="str">
            <v>un</v>
          </cell>
          <cell r="D833" t="str">
            <v>2.610,74</v>
          </cell>
          <cell r="E833">
            <v>0</v>
          </cell>
        </row>
        <row r="834">
          <cell r="A834">
            <v>41143</v>
          </cell>
          <cell r="B834" t="str">
            <v>Grupo focal repetidor 3x300 mm, fornecimento e instalação</v>
          </cell>
          <cell r="C834" t="str">
            <v>un</v>
          </cell>
          <cell r="D834" t="str">
            <v>3.568,49</v>
          </cell>
          <cell r="E834">
            <v>0</v>
          </cell>
        </row>
        <row r="835">
          <cell r="A835">
            <v>43162</v>
          </cell>
          <cell r="B835" t="str">
            <v>Ondulação transversal em CBUQ</v>
          </cell>
          <cell r="C835" t="str">
            <v>m</v>
          </cell>
          <cell r="D835" t="str">
            <v>238,54</v>
          </cell>
          <cell r="E835" t="str">
            <v>A incluir</v>
          </cell>
        </row>
        <row r="836">
          <cell r="A836">
            <v>40931</v>
          </cell>
          <cell r="B836" t="str">
            <v>Ondulação transversal em concreto</v>
          </cell>
          <cell r="C836" t="str">
            <v>m²</v>
          </cell>
          <cell r="D836" t="str">
            <v>192,86</v>
          </cell>
          <cell r="E836" t="str">
            <v>A incluir</v>
          </cell>
        </row>
        <row r="837">
          <cell r="A837">
            <v>41526</v>
          </cell>
          <cell r="B837" t="str">
            <v>Pintura acrílica sobre capa asfáltica</v>
          </cell>
          <cell r="C837" t="str">
            <v>m²</v>
          </cell>
          <cell r="D837" t="str">
            <v>9,04</v>
          </cell>
          <cell r="E837" t="str">
            <v>A incluir</v>
          </cell>
        </row>
        <row r="838">
          <cell r="A838">
            <v>42524</v>
          </cell>
          <cell r="B838" t="str">
            <v>Pintura de setas e zebrados em material termoplástico - 5 anos ( por extrusão)</v>
          </cell>
          <cell r="C838" t="str">
            <v>m²</v>
          </cell>
          <cell r="D838" t="str">
            <v>71,36</v>
          </cell>
          <cell r="E838">
            <v>0</v>
          </cell>
        </row>
        <row r="839">
          <cell r="A839">
            <v>0</v>
          </cell>
          <cell r="B839">
            <v>0</v>
          </cell>
          <cell r="C839">
            <v>0</v>
          </cell>
          <cell r="E839" t="e">
            <v>#N/A</v>
          </cell>
        </row>
        <row r="840">
          <cell r="A840">
            <v>40938</v>
          </cell>
          <cell r="B840" t="str">
            <v>Sinalização com chapa em alumínio revestida em película</v>
          </cell>
          <cell r="C840" t="str">
            <v>m²</v>
          </cell>
          <cell r="D840" t="str">
            <v>843,77</v>
          </cell>
          <cell r="E840">
            <v>0</v>
          </cell>
        </row>
        <row r="841">
          <cell r="A841">
            <v>40924</v>
          </cell>
          <cell r="B841" t="str">
            <v>Sinalização horizontal TMD-&gt;200, vida útil 2 a 3 anos, taxa-&gt;0,40 L/m²</v>
          </cell>
          <cell r="C841" t="str">
            <v>m²</v>
          </cell>
          <cell r="D841" t="str">
            <v>12,36</v>
          </cell>
          <cell r="E841" t="str">
            <v>A incluir</v>
          </cell>
        </row>
        <row r="842">
          <cell r="A842">
            <v>40925</v>
          </cell>
          <cell r="B842" t="str">
            <v>Sinalização horizontal TMD-&gt;400, vida útil 2 a 3 anos, taxa-&gt;0,60 L/m²</v>
          </cell>
          <cell r="C842" t="str">
            <v>m²</v>
          </cell>
          <cell r="D842" t="str">
            <v>16,10</v>
          </cell>
          <cell r="E842" t="str">
            <v>A incluir</v>
          </cell>
        </row>
        <row r="843">
          <cell r="A843">
            <v>40926</v>
          </cell>
          <cell r="B843" t="str">
            <v>Sinalização horizontal TMD-&gt;600, vida útil 2 a 3 anos, taxa-&gt;0,80 L/m²</v>
          </cell>
          <cell r="C843" t="str">
            <v>m²</v>
          </cell>
          <cell r="D843" t="str">
            <v>19,84</v>
          </cell>
          <cell r="E843" t="str">
            <v>A incluir</v>
          </cell>
        </row>
        <row r="844">
          <cell r="A844">
            <v>40927</v>
          </cell>
          <cell r="B844" t="str">
            <v>Sinalização horizontal TMD-&gt;600, vida útil 3 anos, taxa-&gt;3,0 kg/m² material termoplástico )</v>
          </cell>
          <cell r="C844" t="str">
            <v>m²</v>
          </cell>
          <cell r="D844" t="str">
            <v>40,13</v>
          </cell>
          <cell r="E844" t="str">
            <v>A incluir</v>
          </cell>
        </row>
        <row r="845">
          <cell r="A845">
            <v>41202</v>
          </cell>
          <cell r="B845" t="str">
            <v>Sinalização noturna ( fio com lâmpada e balde ), fornecimento e instalação</v>
          </cell>
          <cell r="C845" t="str">
            <v>m</v>
          </cell>
          <cell r="D845" t="str">
            <v>22,07</v>
          </cell>
          <cell r="E845">
            <v>0</v>
          </cell>
        </row>
        <row r="846">
          <cell r="A846">
            <v>40937</v>
          </cell>
          <cell r="B846" t="str">
            <v>Sinalização vertical com chapa em esmalte sintético</v>
          </cell>
          <cell r="C846" t="str">
            <v>m²</v>
          </cell>
          <cell r="D846" t="str">
            <v>369,95</v>
          </cell>
          <cell r="E846">
            <v>0</v>
          </cell>
        </row>
        <row r="847">
          <cell r="A847">
            <v>40939</v>
          </cell>
          <cell r="B847" t="str">
            <v>Sinalização vertical com chapa em poliéster (e-&gt;2,3mm) reforçada com fibra de vidro, inclusive suporte de madeira</v>
          </cell>
          <cell r="C847" t="str">
            <v>m²</v>
          </cell>
          <cell r="D847" t="str">
            <v>726,56</v>
          </cell>
          <cell r="E847">
            <v>0</v>
          </cell>
        </row>
        <row r="848">
          <cell r="A848">
            <v>40936</v>
          </cell>
          <cell r="B848" t="str">
            <v>Sinalização vertical com chapa revestida em película, inclusive suporte em madeira</v>
          </cell>
          <cell r="C848" t="str">
            <v>m²</v>
          </cell>
          <cell r="D848" t="str">
            <v>442,51</v>
          </cell>
          <cell r="E848">
            <v>0</v>
          </cell>
        </row>
        <row r="849">
          <cell r="A849">
            <v>40930</v>
          </cell>
          <cell r="B849" t="str">
            <v>Sonorizador</v>
          </cell>
          <cell r="C849" t="str">
            <v>m²</v>
          </cell>
          <cell r="D849" t="str">
            <v>191,33</v>
          </cell>
          <cell r="E849" t="str">
            <v>A incluir</v>
          </cell>
        </row>
        <row r="850">
          <cell r="A850">
            <v>41222</v>
          </cell>
          <cell r="B850" t="str">
            <v>Suporte de placa de sinalização vertical em madeira de 1ª qualidade, pintada, fornecimento e instalação</v>
          </cell>
          <cell r="C850" t="str">
            <v>un</v>
          </cell>
          <cell r="D850" t="str">
            <v>76,13</v>
          </cell>
          <cell r="E850">
            <v>0</v>
          </cell>
        </row>
        <row r="851">
          <cell r="A851">
            <v>40932</v>
          </cell>
          <cell r="B851" t="str">
            <v>Tacha refletiva monodirecional, fornecimento e aplicação</v>
          </cell>
          <cell r="C851" t="str">
            <v>un</v>
          </cell>
          <cell r="D851" t="str">
            <v>18,65</v>
          </cell>
          <cell r="E851">
            <v>0</v>
          </cell>
        </row>
        <row r="852">
          <cell r="A852">
            <v>40934</v>
          </cell>
          <cell r="B852" t="str">
            <v>Tacha refletiva birrefletorizada, fornecimento e aplicação</v>
          </cell>
          <cell r="C852" t="str">
            <v>un</v>
          </cell>
          <cell r="D852" t="str">
            <v>20,49</v>
          </cell>
          <cell r="E852">
            <v>0</v>
          </cell>
        </row>
        <row r="853">
          <cell r="A853">
            <v>40933</v>
          </cell>
          <cell r="B853" t="str">
            <v>Tachão refletivo monodirecional, fornecimento e aplicação</v>
          </cell>
          <cell r="C853" t="str">
            <v>un</v>
          </cell>
          <cell r="D853" t="str">
            <v>47,43</v>
          </cell>
          <cell r="E853">
            <v>0</v>
          </cell>
        </row>
        <row r="854">
          <cell r="A854">
            <v>40935</v>
          </cell>
          <cell r="B854" t="str">
            <v>Tachão refletivo birrefletorizado, fornecimento e aplicação</v>
          </cell>
          <cell r="C854" t="str">
            <v>un</v>
          </cell>
          <cell r="D854" t="str">
            <v>51,81</v>
          </cell>
          <cell r="E854">
            <v>0</v>
          </cell>
        </row>
        <row r="855">
          <cell r="A855">
            <v>41359</v>
          </cell>
          <cell r="B855" t="str">
            <v>Tela de proteção de segurança de PVC cor laranja com suporte para sinalização de obras</v>
          </cell>
          <cell r="C855" t="str">
            <v>m</v>
          </cell>
          <cell r="D855" t="str">
            <v>22,42</v>
          </cell>
          <cell r="E855" t="str">
            <v>A incluir</v>
          </cell>
        </row>
        <row r="856">
          <cell r="A856">
            <v>0</v>
          </cell>
          <cell r="B856">
            <v>0</v>
          </cell>
          <cell r="C856">
            <v>0</v>
          </cell>
          <cell r="D856">
            <v>0</v>
          </cell>
          <cell r="E856" t="e">
            <v>#N/A</v>
          </cell>
        </row>
        <row r="857">
          <cell r="A857" t="str">
            <v>Grupo de Serviço: 12 - SERVIÇOS DIVERSOS</v>
          </cell>
          <cell r="B857">
            <v>0</v>
          </cell>
          <cell r="C857">
            <v>0</v>
          </cell>
          <cell r="E857" t="e">
            <v>#N/A</v>
          </cell>
        </row>
        <row r="858">
          <cell r="A858">
            <v>42878</v>
          </cell>
          <cell r="B858" t="str">
            <v>Aluguel de automóvel VW/ Gol (flex) 1,0 ou equivalente, inclusive combustível, sem motorista</v>
          </cell>
          <cell r="C858" t="str">
            <v>mês</v>
          </cell>
          <cell r="D858" t="str">
            <v>4.102,03</v>
          </cell>
          <cell r="E858">
            <v>0</v>
          </cell>
        </row>
        <row r="859">
          <cell r="A859">
            <v>42888</v>
          </cell>
          <cell r="B859" t="str">
            <v>Aluguel mensal de automóvel utilitário inclusive combustível, exclusive motorista</v>
          </cell>
          <cell r="C859" t="str">
            <v>mês</v>
          </cell>
          <cell r="D859" t="str">
            <v>5.580,57</v>
          </cell>
          <cell r="E859">
            <v>0</v>
          </cell>
        </row>
        <row r="860">
          <cell r="A860">
            <v>0</v>
          </cell>
          <cell r="B860">
            <v>0</v>
          </cell>
          <cell r="C860">
            <v>0</v>
          </cell>
          <cell r="E860" t="e">
            <v>#N/A</v>
          </cell>
        </row>
        <row r="861">
          <cell r="A861" t="str">
            <v>Grupo de Serviço: 15 - CONSERVAÇÃO CORRETIVA ROTINEIRA</v>
          </cell>
          <cell r="B861">
            <v>0</v>
          </cell>
          <cell r="C861">
            <v>0</v>
          </cell>
          <cell r="E861" t="e">
            <v>#N/A</v>
          </cell>
        </row>
        <row r="862">
          <cell r="A862">
            <v>40981</v>
          </cell>
          <cell r="B862" t="str">
            <v>Aplicação de jato de ar comprimido para limpeza de trincas</v>
          </cell>
          <cell r="C862" t="str">
            <v>m²</v>
          </cell>
          <cell r="D862" t="str">
            <v>1,43</v>
          </cell>
          <cell r="E862">
            <v>0</v>
          </cell>
        </row>
        <row r="863">
          <cell r="A863">
            <v>40101</v>
          </cell>
          <cell r="B863" t="str">
            <v>Arborização (mudas de árvores com altura até 1,50 m)</v>
          </cell>
          <cell r="C863" t="str">
            <v>un</v>
          </cell>
          <cell r="D863" t="str">
            <v>131,92</v>
          </cell>
          <cell r="E863">
            <v>0</v>
          </cell>
        </row>
        <row r="864">
          <cell r="A864">
            <v>40110</v>
          </cell>
          <cell r="B864" t="str">
            <v>Base de solo estabilizada granulométricamente sem mistura inclusive escavação e carga</v>
          </cell>
          <cell r="C864" t="str">
            <v>m³</v>
          </cell>
          <cell r="D864" t="str">
            <v>29,07</v>
          </cell>
          <cell r="E864">
            <v>0</v>
          </cell>
        </row>
        <row r="865">
          <cell r="A865">
            <v>40137</v>
          </cell>
          <cell r="B865" t="str">
            <v>Boca de bueiro tubular em concreto ciclópico inclusive escavação, tudo incluído</v>
          </cell>
          <cell r="C865" t="str">
            <v>un</v>
          </cell>
          <cell r="D865" t="str">
            <v>1.449,84</v>
          </cell>
          <cell r="E865" t="str">
            <v>A incluir</v>
          </cell>
        </row>
        <row r="866">
          <cell r="A866">
            <v>40138</v>
          </cell>
          <cell r="B866" t="str">
            <v>Caixa coletora em concreto fck-&gt;10,0 MPa inclusive escavação, tudo incluído</v>
          </cell>
          <cell r="C866" t="str">
            <v>un</v>
          </cell>
          <cell r="D866" t="str">
            <v>2.460,50</v>
          </cell>
          <cell r="E866" t="str">
            <v>A incluir</v>
          </cell>
        </row>
        <row r="867">
          <cell r="A867">
            <v>43336</v>
          </cell>
          <cell r="B867" t="str">
            <v>Capina manual inclusive, limpeza</v>
          </cell>
          <cell r="C867" t="str">
            <v>m²</v>
          </cell>
          <cell r="D867" t="str">
            <v>1,07</v>
          </cell>
          <cell r="E867">
            <v>0</v>
          </cell>
        </row>
        <row r="868">
          <cell r="A868">
            <v>40980</v>
          </cell>
          <cell r="B868" t="str">
            <v>Carga manual de material de limpeza de galerias urbanas</v>
          </cell>
          <cell r="C868" t="str">
            <v>m³</v>
          </cell>
          <cell r="D868" t="str">
            <v>11,44</v>
          </cell>
          <cell r="E868">
            <v>0</v>
          </cell>
        </row>
        <row r="869">
          <cell r="A869">
            <v>40115</v>
          </cell>
          <cell r="B869" t="str">
            <v>CBUQ - Usinagem, aquisição e transporte dos materiais</v>
          </cell>
          <cell r="C869" t="str">
            <v>t</v>
          </cell>
          <cell r="D869" t="str">
            <v>202,32</v>
          </cell>
          <cell r="E869" t="str">
            <v>A incluir</v>
          </cell>
        </row>
        <row r="870">
          <cell r="A870">
            <v>40104</v>
          </cell>
          <cell r="B870" t="str">
            <v>Cerca com mourões de madeira, inclusive escavação e transporte de mourão e arame farpado</v>
          </cell>
          <cell r="C870" t="str">
            <v>m</v>
          </cell>
          <cell r="D870" t="str">
            <v>14,07</v>
          </cell>
          <cell r="E870" t="str">
            <v>A incluir</v>
          </cell>
        </row>
        <row r="871">
          <cell r="A871">
            <v>40143</v>
          </cell>
          <cell r="B871" t="str">
            <v>Colchão drenante de brita 1, inclusive fornecimento, espalhamento, compactação e transporte da brita</v>
          </cell>
          <cell r="C871" t="str">
            <v>m³</v>
          </cell>
          <cell r="D871" t="str">
            <v>96,34</v>
          </cell>
          <cell r="E871" t="str">
            <v>A incluir</v>
          </cell>
        </row>
        <row r="872">
          <cell r="A872">
            <v>40107</v>
          </cell>
          <cell r="B872" t="str">
            <v>Compactação de aterros 100% PN</v>
          </cell>
          <cell r="C872" t="str">
            <v>m³</v>
          </cell>
          <cell r="D872" t="str">
            <v>4,91</v>
          </cell>
          <cell r="E872">
            <v>0</v>
          </cell>
        </row>
        <row r="873">
          <cell r="A873">
            <v>40108</v>
          </cell>
          <cell r="B873" t="str">
            <v>Compactação de subleito</v>
          </cell>
          <cell r="C873" t="str">
            <v>m²</v>
          </cell>
          <cell r="D873" t="str">
            <v>2,37</v>
          </cell>
          <cell r="E873">
            <v>0</v>
          </cell>
        </row>
        <row r="874">
          <cell r="A874">
            <v>40081</v>
          </cell>
          <cell r="B874" t="str">
            <v>Conformação de taludes de corte</v>
          </cell>
          <cell r="C874" t="str">
            <v>m³</v>
          </cell>
          <cell r="D874" t="str">
            <v>7,60</v>
          </cell>
          <cell r="E874">
            <v>0</v>
          </cell>
        </row>
        <row r="875">
          <cell r="A875">
            <v>40136</v>
          </cell>
          <cell r="B875" t="str">
            <v>Corpo e berço de bueiro tubular, inclusive transporte do tubo</v>
          </cell>
          <cell r="C875" t="str">
            <v>m</v>
          </cell>
          <cell r="D875" t="str">
            <v>441,90</v>
          </cell>
          <cell r="E875" t="str">
            <v>A incluir</v>
          </cell>
        </row>
        <row r="876">
          <cell r="A876">
            <v>40096</v>
          </cell>
          <cell r="B876" t="str">
            <v>Defensas metálicas (espessura lâminas -&gt; 3 mm), inclusive fornecimento de materiais, substituição</v>
          </cell>
          <cell r="C876" t="str">
            <v>m</v>
          </cell>
          <cell r="D876" t="str">
            <v>316,24</v>
          </cell>
          <cell r="E876">
            <v>0</v>
          </cell>
        </row>
        <row r="877">
          <cell r="A877">
            <v>40134</v>
          </cell>
          <cell r="B877" t="str">
            <v>Demolição e remoção de estrutura de pavimento inclusive capa asfáltica</v>
          </cell>
          <cell r="C877" t="str">
            <v>m²</v>
          </cell>
          <cell r="D877" t="str">
            <v>4,30</v>
          </cell>
          <cell r="E877">
            <v>0</v>
          </cell>
        </row>
        <row r="878">
          <cell r="A878">
            <v>40105</v>
          </cell>
          <cell r="B878" t="str">
            <v>Desmatamento, destocamento e limpeza</v>
          </cell>
          <cell r="C878" t="str">
            <v>m²</v>
          </cell>
          <cell r="D878" t="str">
            <v>0,57</v>
          </cell>
          <cell r="E878">
            <v>0</v>
          </cell>
        </row>
        <row r="879">
          <cell r="A879">
            <v>40084</v>
          </cell>
          <cell r="B879" t="str">
            <v>Desobstrução manual de valetas</v>
          </cell>
          <cell r="C879" t="str">
            <v>m</v>
          </cell>
          <cell r="D879" t="str">
            <v>1,30</v>
          </cell>
          <cell r="E879">
            <v>0</v>
          </cell>
        </row>
        <row r="880">
          <cell r="A880">
            <v>40144</v>
          </cell>
          <cell r="B880" t="str">
            <v>Dreno profundo D-&gt;0,20 m com enchimento brita e areia, tudo incluído</v>
          </cell>
          <cell r="C880" t="str">
            <v>m</v>
          </cell>
          <cell r="D880" t="str">
            <v>125,97</v>
          </cell>
          <cell r="E880" t="str">
            <v>A incluir</v>
          </cell>
        </row>
        <row r="881">
          <cell r="A881">
            <v>40106</v>
          </cell>
          <cell r="B881" t="str">
            <v>Escavação, carga e transporte de material de 1º categoria</v>
          </cell>
          <cell r="C881" t="str">
            <v>m³</v>
          </cell>
          <cell r="D881" t="str">
            <v>9,22</v>
          </cell>
          <cell r="E881" t="str">
            <v>A incluir</v>
          </cell>
        </row>
        <row r="882">
          <cell r="A882">
            <v>40135</v>
          </cell>
          <cell r="B882" t="str">
            <v>Fresagem de pavimento asfáltico à frio, inclusive transporte do material</v>
          </cell>
          <cell r="C882" t="str">
            <v>m²</v>
          </cell>
          <cell r="D882" t="str">
            <v>10,29</v>
          </cell>
          <cell r="E882">
            <v>0</v>
          </cell>
        </row>
        <row r="883">
          <cell r="A883">
            <v>40111</v>
          </cell>
          <cell r="B883" t="str">
            <v>Imprimação inclusive fornecimento e transporte do CM-30</v>
          </cell>
          <cell r="C883" t="str">
            <v>m²</v>
          </cell>
          <cell r="D883" t="str">
            <v>4,10</v>
          </cell>
          <cell r="E883" t="str">
            <v>A incluir</v>
          </cell>
        </row>
        <row r="884">
          <cell r="A884">
            <v>40126</v>
          </cell>
          <cell r="B884" t="str">
            <v>Lama asfáltica (faixa I - ISSA) (tudo incluído)</v>
          </cell>
          <cell r="C884" t="str">
            <v>m²</v>
          </cell>
          <cell r="D884" t="str">
            <v>2,60</v>
          </cell>
          <cell r="E884" t="str">
            <v>A incluir</v>
          </cell>
        </row>
        <row r="885">
          <cell r="A885">
            <v>40127</v>
          </cell>
          <cell r="B885" t="str">
            <v>Lama asfáltica (faixa II - ISSA) (tudo incluído)</v>
          </cell>
          <cell r="C885" t="str">
            <v>m²</v>
          </cell>
          <cell r="D885" t="str">
            <v>3,47</v>
          </cell>
          <cell r="E885" t="str">
            <v>A incluir</v>
          </cell>
        </row>
        <row r="886">
          <cell r="A886">
            <v>40128</v>
          </cell>
          <cell r="B886" t="str">
            <v>Lama asfáltica (faixa III - ISSA) (tudo incluído)</v>
          </cell>
          <cell r="C886" t="str">
            <v>m²</v>
          </cell>
          <cell r="D886" t="str">
            <v>4,48</v>
          </cell>
          <cell r="E886" t="str">
            <v>A incluir</v>
          </cell>
        </row>
        <row r="887">
          <cell r="A887">
            <v>40129</v>
          </cell>
          <cell r="B887" t="str">
            <v>Lama asfáltica (faixa IV - ISSA) (tudo incluído)</v>
          </cell>
          <cell r="C887" t="str">
            <v>m²</v>
          </cell>
          <cell r="D887" t="str">
            <v>5,91</v>
          </cell>
          <cell r="E887" t="str">
            <v>A incluir</v>
          </cell>
        </row>
        <row r="888">
          <cell r="A888">
            <v>40085</v>
          </cell>
          <cell r="B888" t="str">
            <v>Limpeza de sarjeta e meio-fio</v>
          </cell>
          <cell r="C888" t="str">
            <v>m</v>
          </cell>
          <cell r="D888" t="str">
            <v>0,98</v>
          </cell>
          <cell r="E888">
            <v>0</v>
          </cell>
        </row>
        <row r="889">
          <cell r="A889">
            <v>40086</v>
          </cell>
          <cell r="B889" t="str">
            <v>Limpeza e desobstrução de bueiros</v>
          </cell>
          <cell r="C889" t="str">
            <v>m</v>
          </cell>
          <cell r="D889" t="str">
            <v>22,80</v>
          </cell>
          <cell r="E889">
            <v>0</v>
          </cell>
        </row>
        <row r="890">
          <cell r="A890">
            <v>40087</v>
          </cell>
          <cell r="B890" t="str">
            <v>Limpeza e desobstrução de caixa coletora</v>
          </cell>
          <cell r="C890" t="str">
            <v>un</v>
          </cell>
          <cell r="D890" t="str">
            <v>85,97</v>
          </cell>
          <cell r="E890">
            <v>0</v>
          </cell>
        </row>
        <row r="891">
          <cell r="A891">
            <v>40983</v>
          </cell>
          <cell r="B891" t="str">
            <v>Limpeza e desobstrução de rede de drenagem, utilizando caminhão equipado com conjunto de alta pressão e sucção</v>
          </cell>
          <cell r="C891" t="str">
            <v>m</v>
          </cell>
          <cell r="D891" t="str">
            <v>7,62</v>
          </cell>
          <cell r="E891">
            <v>0</v>
          </cell>
        </row>
        <row r="892">
          <cell r="A892">
            <v>40100</v>
          </cell>
          <cell r="B892" t="str">
            <v>Limpeza e pintura de guarda-corpo</v>
          </cell>
          <cell r="C892" t="str">
            <v>m</v>
          </cell>
          <cell r="D892" t="str">
            <v>71,40</v>
          </cell>
          <cell r="E892">
            <v>0</v>
          </cell>
        </row>
        <row r="893">
          <cell r="A893">
            <v>40141</v>
          </cell>
          <cell r="B893" t="str">
            <v>Meio-fio pré-moldado em concreto, inclusive caiação e transporte do meio-fio</v>
          </cell>
          <cell r="C893" t="str">
            <v>m</v>
          </cell>
          <cell r="D893" t="str">
            <v>45,65</v>
          </cell>
          <cell r="E893" t="str">
            <v>A incluir</v>
          </cell>
        </row>
        <row r="894">
          <cell r="A894">
            <v>40118</v>
          </cell>
          <cell r="B894" t="str">
            <v>Obturação de buracos com CBUQ (tudo incluído)</v>
          </cell>
          <cell r="C894" t="str">
            <v>m²</v>
          </cell>
          <cell r="D894" t="str">
            <v>52,60</v>
          </cell>
          <cell r="E894" t="str">
            <v>A incluir</v>
          </cell>
        </row>
        <row r="895">
          <cell r="A895">
            <v>40116</v>
          </cell>
          <cell r="B895" t="str">
            <v>Obturação de buracos com PMF (tudo incluído)</v>
          </cell>
          <cell r="C895" t="str">
            <v>m²</v>
          </cell>
          <cell r="D895" t="str">
            <v>47,97</v>
          </cell>
          <cell r="E895" t="str">
            <v>A incluir</v>
          </cell>
        </row>
        <row r="896">
          <cell r="A896">
            <v>40117</v>
          </cell>
          <cell r="B896" t="str">
            <v>Obturação de buracos com PMF usinado pelo DER-ES (tudo incluído)</v>
          </cell>
          <cell r="C896" t="str">
            <v>m²</v>
          </cell>
          <cell r="D896" t="str">
            <v>33,34</v>
          </cell>
          <cell r="E896" t="str">
            <v>A incluir</v>
          </cell>
        </row>
        <row r="897">
          <cell r="A897">
            <v>40148</v>
          </cell>
          <cell r="B897" t="str">
            <v>Pintura de dispositivos de drenagem</v>
          </cell>
          <cell r="C897" t="str">
            <v>m</v>
          </cell>
          <cell r="D897" t="str">
            <v>2,54</v>
          </cell>
          <cell r="E897">
            <v>0</v>
          </cell>
        </row>
        <row r="898">
          <cell r="A898">
            <v>40112</v>
          </cell>
          <cell r="B898" t="str">
            <v>Pintura de ligação, inclusive fornecimento e transporte da emulsão</v>
          </cell>
          <cell r="C898" t="str">
            <v>m²</v>
          </cell>
          <cell r="D898" t="str">
            <v>1,62</v>
          </cell>
          <cell r="E898" t="str">
            <v>A incluir</v>
          </cell>
        </row>
        <row r="899">
          <cell r="A899">
            <v>40149</v>
          </cell>
          <cell r="B899" t="str">
            <v>Pintura de pontes a base de cal</v>
          </cell>
          <cell r="C899" t="str">
            <v>m²</v>
          </cell>
          <cell r="D899" t="str">
            <v>5,25</v>
          </cell>
          <cell r="E899">
            <v>0</v>
          </cell>
        </row>
        <row r="900">
          <cell r="A900">
            <v>40094</v>
          </cell>
          <cell r="B900" t="str">
            <v>Placas de sinalização, assentamento</v>
          </cell>
          <cell r="C900" t="str">
            <v>m²</v>
          </cell>
          <cell r="D900" t="str">
            <v>69,61</v>
          </cell>
          <cell r="E900">
            <v>0</v>
          </cell>
        </row>
        <row r="901">
          <cell r="A901">
            <v>40095</v>
          </cell>
          <cell r="B901" t="str">
            <v>Placas de sinalização, inclusive materiais, substituição</v>
          </cell>
          <cell r="C901" t="str">
            <v>m²</v>
          </cell>
          <cell r="D901" t="str">
            <v>476,70</v>
          </cell>
          <cell r="E901" t="str">
            <v>A incluir</v>
          </cell>
        </row>
        <row r="902">
          <cell r="A902">
            <v>40114</v>
          </cell>
          <cell r="B902" t="str">
            <v>PMF - Usinagem, aquisição e transportes dos materiais</v>
          </cell>
          <cell r="C902" t="str">
            <v>t</v>
          </cell>
          <cell r="D902" t="str">
            <v>166,32</v>
          </cell>
          <cell r="E902" t="str">
            <v>A incluir</v>
          </cell>
        </row>
        <row r="903">
          <cell r="A903">
            <v>40130</v>
          </cell>
          <cell r="B903" t="str">
            <v>Recomposição de revestimento c/ CBUQ - Inclusive fornecimento e transporte dos materiais</v>
          </cell>
          <cell r="C903" t="str">
            <v>t</v>
          </cell>
          <cell r="D903" t="str">
            <v>220,87</v>
          </cell>
          <cell r="E903" t="str">
            <v>A incluir</v>
          </cell>
        </row>
        <row r="904">
          <cell r="A904">
            <v>40131</v>
          </cell>
          <cell r="B904" t="str">
            <v>Recomposição de revestimento c/ PMF - Inclusive fornecimento e transporte dos materiais</v>
          </cell>
          <cell r="C904" t="str">
            <v>t</v>
          </cell>
          <cell r="D904" t="str">
            <v>183,02</v>
          </cell>
          <cell r="E904" t="str">
            <v>A incluir</v>
          </cell>
        </row>
        <row r="905">
          <cell r="A905">
            <v>40083</v>
          </cell>
          <cell r="B905" t="str">
            <v>Recomposição de revestimento primário (tudo incluído)</v>
          </cell>
          <cell r="C905" t="str">
            <v>m²</v>
          </cell>
          <cell r="D905" t="str">
            <v>2,30</v>
          </cell>
          <cell r="E905" t="str">
            <v>A incluir</v>
          </cell>
        </row>
        <row r="906">
          <cell r="A906">
            <v>40079</v>
          </cell>
          <cell r="B906" t="str">
            <v>Recomposição mecânica de aterros</v>
          </cell>
          <cell r="C906" t="str">
            <v>m³</v>
          </cell>
          <cell r="D906" t="str">
            <v>20,09</v>
          </cell>
          <cell r="E906" t="str">
            <v>A incluir</v>
          </cell>
        </row>
        <row r="907">
          <cell r="A907">
            <v>40082</v>
          </cell>
          <cell r="B907" t="str">
            <v>Reconformação mecânica de plataforma (patrolamento)</v>
          </cell>
          <cell r="C907" t="str">
            <v>m²</v>
          </cell>
          <cell r="D907" t="str">
            <v>0,09</v>
          </cell>
          <cell r="E907">
            <v>0</v>
          </cell>
        </row>
        <row r="908">
          <cell r="A908">
            <v>40119</v>
          </cell>
          <cell r="B908" t="str">
            <v>Remendo com massa asfáltica fria (tudo incluído)</v>
          </cell>
          <cell r="C908" t="str">
            <v>m²</v>
          </cell>
          <cell r="D908" t="str">
            <v>23,30</v>
          </cell>
          <cell r="E908" t="str">
            <v>A incluir</v>
          </cell>
        </row>
        <row r="909">
          <cell r="A909">
            <v>40122</v>
          </cell>
          <cell r="B909" t="str">
            <v>Remendo com massa asfáltica fria (tudo incluído)</v>
          </cell>
          <cell r="C909" t="str">
            <v>t</v>
          </cell>
          <cell r="D909" t="str">
            <v>263,87</v>
          </cell>
          <cell r="E909" t="str">
            <v>A incluir</v>
          </cell>
        </row>
        <row r="910">
          <cell r="A910">
            <v>40120</v>
          </cell>
          <cell r="B910" t="str">
            <v>Remendo com massa asfáltica fria usinada pelo DER-ES (tudo incluído)</v>
          </cell>
          <cell r="C910" t="str">
            <v>m²</v>
          </cell>
          <cell r="D910" t="str">
            <v>8,67</v>
          </cell>
          <cell r="E910" t="str">
            <v>A incluir</v>
          </cell>
        </row>
        <row r="911">
          <cell r="A911">
            <v>40121</v>
          </cell>
          <cell r="B911" t="str">
            <v>Remendo com massa asfáltica quente (tudo incluído)</v>
          </cell>
          <cell r="C911" t="str">
            <v>m²</v>
          </cell>
          <cell r="D911" t="str">
            <v>27,93</v>
          </cell>
          <cell r="E911" t="str">
            <v>A incluir</v>
          </cell>
        </row>
        <row r="912">
          <cell r="A912">
            <v>40123</v>
          </cell>
          <cell r="B912" t="str">
            <v>Remendo com massa asfáltica quente (tudo incluído)</v>
          </cell>
          <cell r="C912" t="str">
            <v>t</v>
          </cell>
          <cell r="D912" t="str">
            <v>295,54</v>
          </cell>
          <cell r="E912" t="str">
            <v>A incluir</v>
          </cell>
        </row>
        <row r="913">
          <cell r="A913">
            <v>40080</v>
          </cell>
          <cell r="B913" t="str">
            <v>Remoção mecânica de barreiras</v>
          </cell>
          <cell r="C913" t="str">
            <v>m³</v>
          </cell>
          <cell r="D913" t="str">
            <v>1,43</v>
          </cell>
          <cell r="E913" t="str">
            <v>A incluir</v>
          </cell>
        </row>
        <row r="914">
          <cell r="A914">
            <v>40089</v>
          </cell>
          <cell r="B914" t="str">
            <v>Reparo de bueiros celulares (inclusive boca)</v>
          </cell>
          <cell r="C914" t="str">
            <v>un</v>
          </cell>
          <cell r="D914" t="str">
            <v>1.631,35</v>
          </cell>
          <cell r="E914" t="str">
            <v>A incluir</v>
          </cell>
        </row>
        <row r="915">
          <cell r="A915">
            <v>40088</v>
          </cell>
          <cell r="B915" t="str">
            <v>Reparo de bueiros tubulares</v>
          </cell>
          <cell r="C915" t="str">
            <v>un</v>
          </cell>
          <cell r="D915" t="str">
            <v>653,11</v>
          </cell>
          <cell r="E915" t="str">
            <v>A incluir</v>
          </cell>
        </row>
        <row r="916">
          <cell r="A916">
            <v>40092</v>
          </cell>
          <cell r="B916" t="str">
            <v>Reparo de caixa coletora</v>
          </cell>
          <cell r="C916" t="str">
            <v>un</v>
          </cell>
          <cell r="D916" t="str">
            <v>259,58</v>
          </cell>
          <cell r="E916" t="str">
            <v>A incluir</v>
          </cell>
        </row>
        <row r="917">
          <cell r="A917">
            <v>40078</v>
          </cell>
          <cell r="B917" t="str">
            <v>Reparo de cerca ( substituição de mourões, grampo e arame farpado), inclusive transportes de todos os materiais</v>
          </cell>
          <cell r="C917" t="str">
            <v>m</v>
          </cell>
          <cell r="D917" t="str">
            <v>6,39</v>
          </cell>
          <cell r="E917" t="str">
            <v>A incluir</v>
          </cell>
        </row>
        <row r="918">
          <cell r="A918">
            <v>40097</v>
          </cell>
          <cell r="B918" t="str">
            <v>Reparo de guarda-corpo</v>
          </cell>
          <cell r="C918" t="str">
            <v>m</v>
          </cell>
          <cell r="D918" t="str">
            <v>99,72</v>
          </cell>
          <cell r="E918">
            <v>0</v>
          </cell>
        </row>
        <row r="919">
          <cell r="A919">
            <v>40090</v>
          </cell>
          <cell r="B919" t="str">
            <v>Reparo de meio-fio, inclusive caiação</v>
          </cell>
          <cell r="C919" t="str">
            <v>m</v>
          </cell>
          <cell r="D919" t="str">
            <v>26,44</v>
          </cell>
          <cell r="E919" t="str">
            <v>A incluir</v>
          </cell>
        </row>
        <row r="920">
          <cell r="A920">
            <v>40099</v>
          </cell>
          <cell r="B920" t="str">
            <v>Reparo de muros de arrimo</v>
          </cell>
          <cell r="C920" t="str">
            <v>m³</v>
          </cell>
          <cell r="D920" t="str">
            <v>638,80</v>
          </cell>
          <cell r="E920" t="str">
            <v>A incluir</v>
          </cell>
        </row>
        <row r="921">
          <cell r="A921">
            <v>40091</v>
          </cell>
          <cell r="B921" t="str">
            <v>Reparo de sarjeta, inclusive caiação</v>
          </cell>
          <cell r="C921" t="str">
            <v>m</v>
          </cell>
          <cell r="D921" t="str">
            <v>35,73</v>
          </cell>
          <cell r="E921" t="str">
            <v>A incluir</v>
          </cell>
        </row>
        <row r="922">
          <cell r="A922">
            <v>40093</v>
          </cell>
          <cell r="B922" t="str">
            <v>Retirada de placas de sinalização</v>
          </cell>
          <cell r="C922" t="str">
            <v>m²</v>
          </cell>
          <cell r="D922" t="str">
            <v>63,62</v>
          </cell>
          <cell r="E922">
            <v>0</v>
          </cell>
        </row>
        <row r="923">
          <cell r="A923">
            <v>43353</v>
          </cell>
          <cell r="B923" t="str">
            <v>Roçada manual com roçadeira costal, ferramentas manuais, inclusive limpeza e remoção com retroescavadeira (conservação)</v>
          </cell>
          <cell r="C923" t="str">
            <v>m²</v>
          </cell>
          <cell r="D923" t="str">
            <v>0,54</v>
          </cell>
          <cell r="E923">
            <v>0</v>
          </cell>
        </row>
        <row r="924">
          <cell r="A924">
            <v>43337</v>
          </cell>
          <cell r="B924" t="str">
            <v>Roçada manual com roçadeira costal, ferramentas manuais, inclusive limpeza manual (conservação)</v>
          </cell>
          <cell r="C924" t="str">
            <v>m²</v>
          </cell>
          <cell r="D924" t="str">
            <v>0,46</v>
          </cell>
          <cell r="E924">
            <v>0</v>
          </cell>
        </row>
        <row r="925">
          <cell r="A925">
            <v>40077</v>
          </cell>
          <cell r="B925" t="str">
            <v>Roçada mecanizada</v>
          </cell>
          <cell r="C925" t="str">
            <v>m²</v>
          </cell>
          <cell r="D925" t="str">
            <v>0,16</v>
          </cell>
          <cell r="E925">
            <v>0</v>
          </cell>
        </row>
        <row r="926">
          <cell r="A926">
            <v>40142</v>
          </cell>
          <cell r="B926" t="str">
            <v>Sarjeta em concreto fck-&gt;10,0 MPa inclusive caiação, tudo incluído</v>
          </cell>
          <cell r="C926" t="str">
            <v>m</v>
          </cell>
          <cell r="D926" t="str">
            <v>81,84</v>
          </cell>
          <cell r="E926" t="str">
            <v>A incluir</v>
          </cell>
        </row>
        <row r="927">
          <cell r="A927">
            <v>40124</v>
          </cell>
          <cell r="B927" t="str">
            <v>Selagem de trincas, inclusive transporte de areia e emulsão</v>
          </cell>
          <cell r="C927" t="str">
            <v>m²</v>
          </cell>
          <cell r="D927" t="str">
            <v>6,81</v>
          </cell>
          <cell r="E927" t="str">
            <v>A incluir</v>
          </cell>
        </row>
        <row r="928">
          <cell r="A928">
            <v>40146</v>
          </cell>
          <cell r="B928" t="str">
            <v>Sinalização horizontal - taxa 0,6 l/m², tudo incluído</v>
          </cell>
          <cell r="C928" t="str">
            <v>m²</v>
          </cell>
          <cell r="D928" t="str">
            <v>15,46</v>
          </cell>
          <cell r="E928" t="str">
            <v>A incluir</v>
          </cell>
        </row>
        <row r="929">
          <cell r="A929">
            <v>40145</v>
          </cell>
          <cell r="B929" t="str">
            <v>Sinalização vertical, inclusive transporte de placa sinalização e madeira</v>
          </cell>
          <cell r="C929" t="str">
            <v>m²</v>
          </cell>
          <cell r="D929" t="str">
            <v>403,74</v>
          </cell>
          <cell r="E929" t="str">
            <v>A incluir</v>
          </cell>
        </row>
        <row r="930">
          <cell r="A930">
            <v>40109</v>
          </cell>
          <cell r="B930" t="str">
            <v>Sub-base de solo estabilizada granulométricamente sem mistura inclusive escavação e carga</v>
          </cell>
          <cell r="C930" t="str">
            <v>m³</v>
          </cell>
          <cell r="D930" t="str">
            <v>25,58</v>
          </cell>
          <cell r="E930">
            <v>0</v>
          </cell>
        </row>
        <row r="931">
          <cell r="A931">
            <v>40125</v>
          </cell>
          <cell r="B931" t="str">
            <v>Tapa-panela, inclusive transporte de material de 1ª categoria</v>
          </cell>
          <cell r="C931" t="str">
            <v>m²</v>
          </cell>
          <cell r="D931" t="str">
            <v>10,02</v>
          </cell>
          <cell r="E931" t="str">
            <v>A incluir</v>
          </cell>
        </row>
        <row r="932">
          <cell r="A932">
            <v>0</v>
          </cell>
          <cell r="B932">
            <v>0</v>
          </cell>
          <cell r="C932">
            <v>0</v>
          </cell>
          <cell r="D932">
            <v>0</v>
          </cell>
          <cell r="E932" t="e">
            <v>#N/A</v>
          </cell>
        </row>
        <row r="933">
          <cell r="A933">
            <v>40113</v>
          </cell>
          <cell r="B933" t="str">
            <v>TSD - Tratamento superficial duplo incl. transporte dos materiais</v>
          </cell>
          <cell r="C933" t="str">
            <v>m²</v>
          </cell>
          <cell r="D933" t="str">
            <v>10,55</v>
          </cell>
          <cell r="E933" t="str">
            <v>A incluir</v>
          </cell>
        </row>
        <row r="934">
          <cell r="A934">
            <v>0</v>
          </cell>
          <cell r="B934">
            <v>0</v>
          </cell>
          <cell r="C934">
            <v>0</v>
          </cell>
          <cell r="D934">
            <v>0</v>
          </cell>
          <cell r="E934" t="e">
            <v>#N/A</v>
          </cell>
        </row>
        <row r="935">
          <cell r="A935">
            <v>0</v>
          </cell>
          <cell r="B935">
            <v>0</v>
          </cell>
          <cell r="C935">
            <v>0</v>
          </cell>
          <cell r="D935">
            <v>0</v>
          </cell>
          <cell r="E935" t="e">
            <v>#N/A</v>
          </cell>
        </row>
        <row r="936">
          <cell r="A936">
            <v>40140</v>
          </cell>
          <cell r="B936" t="str">
            <v>Valeta em concreto fck-&gt;10,0 MPa, tudo incluído</v>
          </cell>
          <cell r="C936" t="str">
            <v>m</v>
          </cell>
          <cell r="D936" t="str">
            <v>83,48</v>
          </cell>
          <cell r="E936" t="str">
            <v>A incluir</v>
          </cell>
        </row>
        <row r="937">
          <cell r="A937">
            <v>40139</v>
          </cell>
          <cell r="B937" t="str">
            <v>Valeta não revestida</v>
          </cell>
          <cell r="C937" t="str">
            <v>m</v>
          </cell>
          <cell r="D937" t="str">
            <v>8,06</v>
          </cell>
          <cell r="E937">
            <v>0</v>
          </cell>
        </row>
        <row r="938">
          <cell r="A938">
            <v>0</v>
          </cell>
          <cell r="B938">
            <v>0</v>
          </cell>
          <cell r="C938">
            <v>0</v>
          </cell>
          <cell r="D938">
            <v>0</v>
          </cell>
          <cell r="E938" t="e">
            <v>#N/A</v>
          </cell>
        </row>
        <row r="939">
          <cell r="A939" t="str">
            <v>Grupo de Serviço: 18 - ALUGUEL DE EQUIPAMENTOS</v>
          </cell>
          <cell r="B939">
            <v>0</v>
          </cell>
          <cell r="C939">
            <v>0</v>
          </cell>
          <cell r="D939">
            <v>0</v>
          </cell>
          <cell r="E939" t="e">
            <v>#N/A</v>
          </cell>
        </row>
        <row r="940">
          <cell r="A940">
            <v>42186</v>
          </cell>
          <cell r="B940" t="str">
            <v>Aluguel mensal de barco de alumínio 4,20 m com motor 15 HP (equipamentos)</v>
          </cell>
          <cell r="C940" t="str">
            <v>mês</v>
          </cell>
          <cell r="D940" t="str">
            <v>2.356,67</v>
          </cell>
          <cell r="E940">
            <v>0</v>
          </cell>
        </row>
        <row r="941">
          <cell r="A941">
            <v>0</v>
          </cell>
          <cell r="B941">
            <v>0</v>
          </cell>
          <cell r="C941">
            <v>0</v>
          </cell>
          <cell r="D941">
            <v>0</v>
          </cell>
          <cell r="E941">
            <v>0</v>
          </cell>
        </row>
        <row r="942">
          <cell r="A942" t="str">
            <v>Grupo de Serviço: 23 - TRANSPORTE, CARGA E DESCARGA</v>
          </cell>
          <cell r="B942">
            <v>0</v>
          </cell>
          <cell r="C942">
            <v>0</v>
          </cell>
          <cell r="D942">
            <v>0</v>
          </cell>
          <cell r="E942">
            <v>0</v>
          </cell>
        </row>
        <row r="943">
          <cell r="A943">
            <v>0</v>
          </cell>
          <cell r="B943">
            <v>0</v>
          </cell>
          <cell r="C943">
            <v>0</v>
          </cell>
          <cell r="D943">
            <v>0</v>
          </cell>
          <cell r="E943">
            <v>0</v>
          </cell>
        </row>
        <row r="944">
          <cell r="A944">
            <v>0</v>
          </cell>
          <cell r="B944">
            <v>0</v>
          </cell>
          <cell r="C944">
            <v>0</v>
          </cell>
          <cell r="D944">
            <v>0</v>
          </cell>
          <cell r="E944">
            <v>0</v>
          </cell>
        </row>
        <row r="945">
          <cell r="A945">
            <v>0</v>
          </cell>
          <cell r="B945">
            <v>0</v>
          </cell>
          <cell r="C945">
            <v>0</v>
          </cell>
          <cell r="E945">
            <v>0</v>
          </cell>
        </row>
        <row r="946">
          <cell r="A946">
            <v>0</v>
          </cell>
          <cell r="B946">
            <v>0</v>
          </cell>
          <cell r="C946">
            <v>0</v>
          </cell>
          <cell r="E946">
            <v>0</v>
          </cell>
        </row>
        <row r="947">
          <cell r="A947">
            <v>0</v>
          </cell>
          <cell r="B947">
            <v>0</v>
          </cell>
          <cell r="C947">
            <v>0</v>
          </cell>
          <cell r="E947">
            <v>0</v>
          </cell>
        </row>
        <row r="948">
          <cell r="A948">
            <v>0</v>
          </cell>
          <cell r="B948">
            <v>0</v>
          </cell>
          <cell r="C948">
            <v>0</v>
          </cell>
          <cell r="E948">
            <v>0</v>
          </cell>
        </row>
        <row r="949">
          <cell r="A949">
            <v>0</v>
          </cell>
          <cell r="B949">
            <v>0</v>
          </cell>
          <cell r="C949">
            <v>0</v>
          </cell>
          <cell r="E949">
            <v>0</v>
          </cell>
        </row>
        <row r="950">
          <cell r="A950">
            <v>0</v>
          </cell>
          <cell r="B950">
            <v>0</v>
          </cell>
          <cell r="C950">
            <v>0</v>
          </cell>
          <cell r="E950">
            <v>0</v>
          </cell>
        </row>
        <row r="951">
          <cell r="A951">
            <v>0</v>
          </cell>
          <cell r="B951">
            <v>0</v>
          </cell>
          <cell r="C951">
            <v>0</v>
          </cell>
          <cell r="E951">
            <v>0</v>
          </cell>
        </row>
        <row r="952">
          <cell r="A952">
            <v>0</v>
          </cell>
          <cell r="B952">
            <v>0</v>
          </cell>
          <cell r="C952">
            <v>0</v>
          </cell>
          <cell r="D952">
            <v>0</v>
          </cell>
          <cell r="E952">
            <v>0</v>
          </cell>
        </row>
        <row r="953">
          <cell r="A953">
            <v>0</v>
          </cell>
          <cell r="B953">
            <v>0</v>
          </cell>
          <cell r="C953">
            <v>0</v>
          </cell>
          <cell r="D953">
            <v>0</v>
          </cell>
          <cell r="E953">
            <v>0</v>
          </cell>
        </row>
        <row r="954">
          <cell r="A954">
            <v>0</v>
          </cell>
          <cell r="B954">
            <v>0</v>
          </cell>
          <cell r="C954">
            <v>0</v>
          </cell>
          <cell r="D954">
            <v>0</v>
          </cell>
          <cell r="E954">
            <v>0</v>
          </cell>
        </row>
        <row r="955">
          <cell r="A955">
            <v>0</v>
          </cell>
          <cell r="B955">
            <v>0</v>
          </cell>
          <cell r="C955">
            <v>0</v>
          </cell>
          <cell r="D955">
            <v>0</v>
          </cell>
          <cell r="E955">
            <v>0</v>
          </cell>
        </row>
        <row r="956">
          <cell r="A956">
            <v>0</v>
          </cell>
          <cell r="B956">
            <v>0</v>
          </cell>
          <cell r="C956">
            <v>0</v>
          </cell>
          <cell r="D956">
            <v>0</v>
          </cell>
          <cell r="E956">
            <v>0</v>
          </cell>
        </row>
        <row r="957">
          <cell r="A957">
            <v>0</v>
          </cell>
          <cell r="B957">
            <v>0</v>
          </cell>
          <cell r="C957">
            <v>0</v>
          </cell>
          <cell r="D957">
            <v>0</v>
          </cell>
          <cell r="E957">
            <v>0</v>
          </cell>
        </row>
        <row r="958">
          <cell r="A958">
            <v>0</v>
          </cell>
          <cell r="B958">
            <v>0</v>
          </cell>
          <cell r="C958">
            <v>0</v>
          </cell>
          <cell r="D958">
            <v>0</v>
          </cell>
          <cell r="E958">
            <v>0</v>
          </cell>
        </row>
        <row r="959">
          <cell r="A959">
            <v>0</v>
          </cell>
          <cell r="B959">
            <v>0</v>
          </cell>
          <cell r="C959">
            <v>0</v>
          </cell>
          <cell r="D959">
            <v>0</v>
          </cell>
          <cell r="E959">
            <v>0</v>
          </cell>
        </row>
        <row r="960">
          <cell r="A960">
            <v>0</v>
          </cell>
          <cell r="B960">
            <v>0</v>
          </cell>
          <cell r="C960">
            <v>0</v>
          </cell>
          <cell r="D960">
            <v>0</v>
          </cell>
          <cell r="E960">
            <v>0</v>
          </cell>
        </row>
        <row r="961">
          <cell r="A961" t="str">
            <v>Grupo de Serviço: 32 - INFRA E MESO-ESTRUTURA</v>
          </cell>
          <cell r="B961">
            <v>0</v>
          </cell>
          <cell r="C961">
            <v>0</v>
          </cell>
          <cell r="D961">
            <v>0</v>
          </cell>
          <cell r="E961">
            <v>0</v>
          </cell>
        </row>
        <row r="962">
          <cell r="A962">
            <v>41352</v>
          </cell>
          <cell r="B962" t="str">
            <v>Arrasamento estaca concreto D -&gt; 0,80 m com martelete pneumático</v>
          </cell>
          <cell r="C962" t="str">
            <v>un</v>
          </cell>
          <cell r="D962" t="str">
            <v>121,73</v>
          </cell>
          <cell r="E962">
            <v>0</v>
          </cell>
        </row>
        <row r="963">
          <cell r="A963">
            <v>41340</v>
          </cell>
          <cell r="B963" t="str">
            <v>Encamisamento metálico de estacas, diâmetro 380mm em chapa de 6.3mm, preenchido c/ concreto auto adensável (20MPa)</v>
          </cell>
          <cell r="C963" t="str">
            <v>m</v>
          </cell>
          <cell r="D963" t="str">
            <v>623,58</v>
          </cell>
          <cell r="E963">
            <v>0</v>
          </cell>
        </row>
        <row r="964">
          <cell r="A964">
            <v>40331</v>
          </cell>
          <cell r="B964" t="str">
            <v>Escoramento para blocos submersos, inclusive transporte da madeira</v>
          </cell>
          <cell r="C964" t="str">
            <v>m²</v>
          </cell>
          <cell r="D964" t="str">
            <v>74,58</v>
          </cell>
          <cell r="E964" t="str">
            <v>A incluir</v>
          </cell>
        </row>
        <row r="965">
          <cell r="A965">
            <v>40403</v>
          </cell>
          <cell r="B965" t="str">
            <v>Estaca de eucalipto D-&gt; 0,20 m, fornecimento, transporte, cravação e perda</v>
          </cell>
          <cell r="C965" t="str">
            <v>m</v>
          </cell>
          <cell r="D965" t="str">
            <v>150,29</v>
          </cell>
          <cell r="E965" t="str">
            <v>A incluir</v>
          </cell>
        </row>
        <row r="966">
          <cell r="A966">
            <v>40405</v>
          </cell>
          <cell r="B966" t="str">
            <v>Estaca metálica dupla exclusive fornecimento de trilhos</v>
          </cell>
          <cell r="C966" t="str">
            <v>m</v>
          </cell>
          <cell r="D966" t="str">
            <v>204,78</v>
          </cell>
          <cell r="E966">
            <v>0</v>
          </cell>
        </row>
        <row r="967">
          <cell r="A967">
            <v>40408</v>
          </cell>
          <cell r="B967" t="str">
            <v>Estaca metálica, fornecimento, transporte, perdas, solda, emenda, corte e cravação de TR- 68</v>
          </cell>
          <cell r="C967" t="str">
            <v>m</v>
          </cell>
          <cell r="D967" t="str">
            <v>404,76</v>
          </cell>
          <cell r="E967" t="str">
            <v>A incluir</v>
          </cell>
        </row>
        <row r="968">
          <cell r="A968">
            <v>40406</v>
          </cell>
          <cell r="B968" t="str">
            <v>Estaca metálica, fornecimento, transporte, perdas, solda, emenda, corte e cravação de trilho TR- 57</v>
          </cell>
          <cell r="C968" t="str">
            <v>m</v>
          </cell>
          <cell r="D968" t="str">
            <v>367,63</v>
          </cell>
          <cell r="E968" t="str">
            <v>A incluir</v>
          </cell>
        </row>
        <row r="969">
          <cell r="A969">
            <v>40407</v>
          </cell>
          <cell r="B969" t="str">
            <v>Estaca metálica, fornecimento, transporte, perdas, solda, emenda, corte e cravação de 2 TR- 57</v>
          </cell>
          <cell r="C969" t="str">
            <v>m</v>
          </cell>
          <cell r="D969" t="str">
            <v>633,73</v>
          </cell>
          <cell r="E969" t="str">
            <v>A incluir</v>
          </cell>
        </row>
        <row r="970">
          <cell r="A970">
            <v>40409</v>
          </cell>
          <cell r="B970" t="str">
            <v>Estaca metálica, fornecimento, transporte, perdas, solda, emenda, corte e cravação de 2 TR- 68</v>
          </cell>
          <cell r="C970" t="str">
            <v>m</v>
          </cell>
          <cell r="D970" t="str">
            <v>708,00</v>
          </cell>
          <cell r="E970" t="str">
            <v>A incluir</v>
          </cell>
        </row>
        <row r="971">
          <cell r="A971">
            <v>40404</v>
          </cell>
          <cell r="B971" t="str">
            <v>Estaca metálica simples exclusive fornecimento de trilhos</v>
          </cell>
          <cell r="C971" t="str">
            <v>m</v>
          </cell>
          <cell r="D971" t="str">
            <v>140,24</v>
          </cell>
          <cell r="E971">
            <v>0</v>
          </cell>
        </row>
        <row r="972">
          <cell r="A972">
            <v>42051</v>
          </cell>
          <cell r="B972" t="str">
            <v>Estaca raiz perfurada em rocha, diâm. 310mm com injeção de arg. incl. fornecimento de todos materiais</v>
          </cell>
          <cell r="C972" t="str">
            <v>m</v>
          </cell>
          <cell r="D972" t="str">
            <v>857,13</v>
          </cell>
          <cell r="E972" t="str">
            <v>A incluir</v>
          </cell>
        </row>
        <row r="973">
          <cell r="A973">
            <v>42052</v>
          </cell>
          <cell r="B973" t="str">
            <v>Estaca raiz perfurada em solo, diâm. 410mm com injeção de arg. incl. fornecimento de todos materiais</v>
          </cell>
          <cell r="C973" t="str">
            <v>m</v>
          </cell>
          <cell r="D973" t="str">
            <v>482,75</v>
          </cell>
          <cell r="E973" t="str">
            <v>A incluir</v>
          </cell>
        </row>
        <row r="974">
          <cell r="A974">
            <v>40410</v>
          </cell>
          <cell r="B974" t="str">
            <v>Estaca tipo Franki D -&gt; 520 mm</v>
          </cell>
          <cell r="C974" t="str">
            <v>m</v>
          </cell>
          <cell r="D974" t="str">
            <v>347,08</v>
          </cell>
          <cell r="E974" t="str">
            <v>A incluir</v>
          </cell>
        </row>
        <row r="975">
          <cell r="A975">
            <v>40309</v>
          </cell>
          <cell r="B975" t="str">
            <v>Formas planas de madeira sem reaproveitamento (fundações), inclusive fornecimento e transporte das madeiras</v>
          </cell>
          <cell r="C975" t="str">
            <v>m²</v>
          </cell>
          <cell r="D975" t="str">
            <v>162,06</v>
          </cell>
          <cell r="E975" t="str">
            <v>A incluir</v>
          </cell>
        </row>
        <row r="976">
          <cell r="A976">
            <v>41258</v>
          </cell>
          <cell r="B976" t="str">
            <v>Perfuração rotativa inclinada, em solo, com coroa de Widia, diâmetro 150mm</v>
          </cell>
          <cell r="C976" t="str">
            <v>m</v>
          </cell>
          <cell r="D976" t="str">
            <v>177,74</v>
          </cell>
          <cell r="E976">
            <v>0</v>
          </cell>
        </row>
        <row r="977">
          <cell r="A977">
            <v>41034</v>
          </cell>
          <cell r="B977" t="str">
            <v>Perfuração rotativa inclinada, em solo, com coroa de Widia, diâmetro 75mm</v>
          </cell>
          <cell r="C977" t="str">
            <v>m</v>
          </cell>
          <cell r="D977" t="str">
            <v>136,72</v>
          </cell>
          <cell r="E977">
            <v>0</v>
          </cell>
        </row>
        <row r="978">
          <cell r="A978">
            <v>41026</v>
          </cell>
          <cell r="B978" t="str">
            <v>Perfuração rotativa vertical, em solo, com coroa de Widia ou similar, diâmetro H(99mm), inclusive deslocamento e posicionamento em cada furo</v>
          </cell>
          <cell r="C978" t="str">
            <v>m</v>
          </cell>
          <cell r="D978" t="str">
            <v>113,84</v>
          </cell>
          <cell r="E978">
            <v>0</v>
          </cell>
        </row>
        <row r="979">
          <cell r="A979">
            <v>41022</v>
          </cell>
          <cell r="B979" t="str">
            <v>Perfuração rotativa vertical, em solo, com coroa de Widia ou similar, diâmetro N(75mm), inclusive deslocamento e posicionamento em cada furo</v>
          </cell>
          <cell r="C979" t="str">
            <v>m</v>
          </cell>
          <cell r="D979" t="str">
            <v>106,25</v>
          </cell>
          <cell r="E979">
            <v>0</v>
          </cell>
        </row>
        <row r="980">
          <cell r="A980">
            <v>0</v>
          </cell>
          <cell r="B980">
            <v>0</v>
          </cell>
          <cell r="C980">
            <v>0</v>
          </cell>
          <cell r="D980">
            <v>0</v>
          </cell>
          <cell r="E980" t="e">
            <v>#N/A</v>
          </cell>
        </row>
        <row r="981">
          <cell r="A981" t="str">
            <v>Grupo de Serviço: 33 - SUPER-ESTRUTURA</v>
          </cell>
          <cell r="B981">
            <v>0</v>
          </cell>
          <cell r="C981">
            <v>0</v>
          </cell>
          <cell r="E981" t="e">
            <v>#N/A</v>
          </cell>
        </row>
        <row r="982">
          <cell r="A982">
            <v>41403</v>
          </cell>
          <cell r="B982" t="str">
            <v>Passarela metálica p/ pontes rodoviárias com 1,0m de largura, piso em chapa xadez esp 1/4", em perfis laminados, inclusive pintura</v>
          </cell>
          <cell r="C982" t="str">
            <v>m</v>
          </cell>
          <cell r="D982" t="str">
            <v>750,14</v>
          </cell>
          <cell r="E982">
            <v>0</v>
          </cell>
        </row>
        <row r="983">
          <cell r="A983">
            <v>40398</v>
          </cell>
          <cell r="B983" t="str">
            <v>Placas pré-moldadas para forma de tabuleiro de ponte</v>
          </cell>
          <cell r="C983" t="str">
            <v>m²</v>
          </cell>
          <cell r="D983" t="str">
            <v>160,79</v>
          </cell>
          <cell r="E983">
            <v>0</v>
          </cell>
        </row>
        <row r="984">
          <cell r="A984">
            <v>41036</v>
          </cell>
          <cell r="B984" t="str">
            <v>Remoção de superestrutura de pontes com auxilio de guindaste para 40 toneladas</v>
          </cell>
          <cell r="C984" t="str">
            <v>t</v>
          </cell>
          <cell r="D984" t="str">
            <v>97,57</v>
          </cell>
          <cell r="E984">
            <v>0</v>
          </cell>
        </row>
        <row r="985">
          <cell r="A985">
            <v>41194</v>
          </cell>
          <cell r="B985" t="str">
            <v>Sistema de Macaqueamento para super-estrutura de pontes (4 macacos)</v>
          </cell>
          <cell r="C985" t="str">
            <v>un</v>
          </cell>
          <cell r="D985" t="str">
            <v>4.396,82</v>
          </cell>
          <cell r="E985">
            <v>0</v>
          </cell>
        </row>
        <row r="986">
          <cell r="A986">
            <v>41423</v>
          </cell>
          <cell r="B986" t="str">
            <v>Tabuleiro em vigas pré-moldadas CL.45, com ou sem laje entre vigas, vão de 10,00 m, inclusive descarga e assentamento das vigas</v>
          </cell>
          <cell r="C986" t="str">
            <v>m²</v>
          </cell>
          <cell r="D986" t="str">
            <v>2.920,39</v>
          </cell>
          <cell r="E986">
            <v>0</v>
          </cell>
        </row>
        <row r="987">
          <cell r="A987">
            <v>41424</v>
          </cell>
          <cell r="B987" t="str">
            <v>Tabuleiro em vigas pré-moldadas CL.45, com ou sem laje entre vigas, vão de 11,00 m, inclusive descarga e assentamento das vigas</v>
          </cell>
          <cell r="C987" t="str">
            <v>m²</v>
          </cell>
          <cell r="D987" t="str">
            <v>2.866,46</v>
          </cell>
          <cell r="E987">
            <v>0</v>
          </cell>
        </row>
        <row r="988">
          <cell r="A988">
            <v>41425</v>
          </cell>
          <cell r="B988" t="str">
            <v>Tabuleiro em vigas pré-moldadas CL.45, com ou sem laje entre vigas, vão de 12,00 m, inclusive descarga e assentamento das vigas</v>
          </cell>
          <cell r="C988" t="str">
            <v>m²</v>
          </cell>
          <cell r="D988" t="str">
            <v>3.158,68</v>
          </cell>
          <cell r="E988">
            <v>0</v>
          </cell>
        </row>
        <row r="989">
          <cell r="A989">
            <v>41426</v>
          </cell>
          <cell r="B989" t="str">
            <v>Tabuleiro em vigas pré-moldadas CL.45, com ou sem laje entre vigas, vão de 13,00 m, inclusive descarga e assentamento das vigas</v>
          </cell>
          <cell r="C989" t="str">
            <v>m²</v>
          </cell>
          <cell r="D989" t="str">
            <v>3.299,56</v>
          </cell>
          <cell r="E989">
            <v>0</v>
          </cell>
        </row>
        <row r="990">
          <cell r="A990">
            <v>41428</v>
          </cell>
          <cell r="B990" t="str">
            <v>Tabuleiro em vigas pré-moldadas CL.45, com ou sem laje entre vigas, vão de 15,00 m, inclusive descarga e assentamento das vigas</v>
          </cell>
          <cell r="C990" t="str">
            <v>m²</v>
          </cell>
          <cell r="D990" t="str">
            <v>3.418,99</v>
          </cell>
          <cell r="E990">
            <v>0</v>
          </cell>
        </row>
        <row r="991">
          <cell r="A991">
            <v>41417</v>
          </cell>
          <cell r="B991" t="str">
            <v>Tabuleiro em vigas pré-moldadas CL.45, com ou sem laje entre vigas, vão de 4,00 m, inclusive descarga e assentamento das vigas</v>
          </cell>
          <cell r="C991" t="str">
            <v>m²</v>
          </cell>
          <cell r="D991" t="str">
            <v>2.264,55</v>
          </cell>
          <cell r="E991">
            <v>0</v>
          </cell>
        </row>
        <row r="992">
          <cell r="A992">
            <v>41418</v>
          </cell>
          <cell r="B992" t="str">
            <v>Tabuleiro em vigas pré-moldadas CL.45, com ou sem laje entre vigas, vão de 5,00 m, inclusive descarga e assentamento das vigas</v>
          </cell>
          <cell r="C992" t="str">
            <v>m²</v>
          </cell>
          <cell r="D992" t="str">
            <v>2.306,27</v>
          </cell>
          <cell r="E992">
            <v>0</v>
          </cell>
        </row>
        <row r="993">
          <cell r="A993">
            <v>41419</v>
          </cell>
          <cell r="B993" t="str">
            <v>Tabuleiro em vigas pré-moldadas CL.45, com ou sem laje entre vigas, vão de 6,00 m, inclusive descarga e assentamento das vigas</v>
          </cell>
          <cell r="C993" t="str">
            <v>m²</v>
          </cell>
          <cell r="D993" t="str">
            <v>2.367,48</v>
          </cell>
          <cell r="E993">
            <v>0</v>
          </cell>
        </row>
        <row r="994">
          <cell r="A994">
            <v>41420</v>
          </cell>
          <cell r="B994" t="str">
            <v>Tabuleiro em vigas pré-moldadas CL.45, com ou sem laje entre vigas, vão de 7,00 m, inclusive descarga e assentamento das vigas</v>
          </cell>
          <cell r="C994" t="str">
            <v>m²</v>
          </cell>
          <cell r="D994" t="str">
            <v>2.657,25</v>
          </cell>
          <cell r="E994">
            <v>0</v>
          </cell>
        </row>
        <row r="995">
          <cell r="A995">
            <v>41421</v>
          </cell>
          <cell r="B995" t="str">
            <v>Tabuleiro em vigas pré-moldadas CL.45, com ou sem laje entre vigas, vão de 8,00 m, inclusive descarga e assentamento das vigas</v>
          </cell>
          <cell r="C995" t="str">
            <v>m²</v>
          </cell>
          <cell r="D995" t="str">
            <v>2.844,54</v>
          </cell>
          <cell r="E995">
            <v>0</v>
          </cell>
        </row>
        <row r="996">
          <cell r="A996">
            <v>41422</v>
          </cell>
          <cell r="B996" t="str">
            <v>Tabuleiro em vigas pré-moldadas CL.45, com ou sem laje entre vigas, vão de 9,00 m, inclusive descarga e assentamento das vigas</v>
          </cell>
          <cell r="C996" t="str">
            <v>m²</v>
          </cell>
          <cell r="D996" t="str">
            <v>2.934,40</v>
          </cell>
          <cell r="E996">
            <v>0</v>
          </cell>
        </row>
        <row r="997">
          <cell r="A997">
            <v>41427</v>
          </cell>
          <cell r="B997" t="str">
            <v>Tabuleiro em vigas pré-moldadas CL.45, com ou sem laje entre vigas, vão 14,00 m, inclusive descarga e assentamento das vigas</v>
          </cell>
          <cell r="C997" t="str">
            <v>m²</v>
          </cell>
          <cell r="D997" t="str">
            <v>3.383,08</v>
          </cell>
          <cell r="E997">
            <v>0</v>
          </cell>
        </row>
        <row r="998">
          <cell r="A998">
            <v>0</v>
          </cell>
          <cell r="B998">
            <v>0</v>
          </cell>
          <cell r="C998">
            <v>0</v>
          </cell>
          <cell r="D998">
            <v>0</v>
          </cell>
          <cell r="E998" t="e">
            <v>#N/A</v>
          </cell>
        </row>
        <row r="999">
          <cell r="A999" t="str">
            <v>Grupo de Serviço: 37 - OBRAS DE ARTE ESPECIAIS</v>
          </cell>
          <cell r="B999">
            <v>0</v>
          </cell>
          <cell r="C999">
            <v>0</v>
          </cell>
          <cell r="E999" t="e">
            <v>#N/A</v>
          </cell>
        </row>
        <row r="1000">
          <cell r="A1000">
            <v>40381</v>
          </cell>
          <cell r="B1000" t="str">
            <v>Acabamento em concreto fresco (15,0 MPA), para pavimento, inclusive endurecedor químico de superfície</v>
          </cell>
          <cell r="C1000" t="str">
            <v>m²</v>
          </cell>
          <cell r="D1000" t="str">
            <v>18,36</v>
          </cell>
          <cell r="E1000">
            <v>0</v>
          </cell>
        </row>
        <row r="1001">
          <cell r="A1001">
            <v>41260</v>
          </cell>
          <cell r="B1001" t="str">
            <v>Acessório para tirante protendido de aço Rocsolo ou similar diâmetro 29,3 mm</v>
          </cell>
          <cell r="C1001" t="str">
            <v>un</v>
          </cell>
          <cell r="D1001" t="str">
            <v>726,57</v>
          </cell>
          <cell r="E1001" t="str">
            <v>A incluir</v>
          </cell>
        </row>
        <row r="1002">
          <cell r="A1002">
            <v>41045</v>
          </cell>
          <cell r="B1002" t="str">
            <v>Acessório para tirante protendido de aço ST 85/105</v>
          </cell>
          <cell r="C1002" t="str">
            <v>un</v>
          </cell>
          <cell r="D1002" t="str">
            <v>726,57</v>
          </cell>
          <cell r="E1002" t="str">
            <v>A incluir</v>
          </cell>
        </row>
        <row r="1003">
          <cell r="A1003">
            <v>0</v>
          </cell>
          <cell r="B1003">
            <v>0</v>
          </cell>
          <cell r="C1003">
            <v>0</v>
          </cell>
          <cell r="E1003" t="e">
            <v>#N/A</v>
          </cell>
        </row>
        <row r="1004">
          <cell r="A1004">
            <v>40387</v>
          </cell>
          <cell r="B1004" t="str">
            <v>Aparelho de apoio de neoprene fretado, fornecimento e assentamento, inclusive grauteamento e transporte do neoprene</v>
          </cell>
          <cell r="C1004" t="str">
            <v>dm³</v>
          </cell>
          <cell r="D1004" t="str">
            <v>130,16</v>
          </cell>
          <cell r="E1004" t="str">
            <v>A incluir</v>
          </cell>
        </row>
        <row r="1005">
          <cell r="A1005">
            <v>40339</v>
          </cell>
          <cell r="B1005" t="str">
            <v>Cantoneiras (2 1/2" x 2 1/2" x 5/16") para extremidade de laje, fornecimento, montagem e pintura</v>
          </cell>
          <cell r="C1005" t="str">
            <v>m</v>
          </cell>
          <cell r="D1005" t="str">
            <v>62,28</v>
          </cell>
          <cell r="E1005">
            <v>0</v>
          </cell>
        </row>
        <row r="1006">
          <cell r="A1006">
            <v>40379</v>
          </cell>
          <cell r="B1006" t="str">
            <v>Chapas de aço SAC 41 de 1/4" para passarelas, fornecimento, soldagem e montagem</v>
          </cell>
          <cell r="C1006" t="str">
            <v>kg</v>
          </cell>
          <cell r="D1006" t="str">
            <v>7,99</v>
          </cell>
          <cell r="E1006" t="str">
            <v>A incluir</v>
          </cell>
        </row>
        <row r="1007">
          <cell r="A1007">
            <v>42875</v>
          </cell>
          <cell r="B1007" t="str">
            <v>Chumbador de aço de 25 mm, inclusive proteção anticorrosiva, exclusive a injeção e a perfuração</v>
          </cell>
          <cell r="C1007" t="str">
            <v>m</v>
          </cell>
          <cell r="D1007" t="str">
            <v>34,85</v>
          </cell>
          <cell r="E1007">
            <v>0</v>
          </cell>
        </row>
        <row r="1008">
          <cell r="A1008">
            <v>40991</v>
          </cell>
          <cell r="B1008" t="str">
            <v>Colagem das mantas de borracha nos berços de apoio das placas, com Sikadur 32 ou equivalente, fornecimento e aplicação</v>
          </cell>
          <cell r="C1008" t="str">
            <v>kg</v>
          </cell>
          <cell r="D1008" t="str">
            <v>87,92</v>
          </cell>
          <cell r="E1008">
            <v>0</v>
          </cell>
        </row>
        <row r="1009">
          <cell r="A1009">
            <v>40382</v>
          </cell>
          <cell r="B1009" t="str">
            <v>Concreto projetado com cimento especial</v>
          </cell>
          <cell r="C1009" t="str">
            <v>m³</v>
          </cell>
          <cell r="D1009" t="str">
            <v>641,12</v>
          </cell>
          <cell r="E1009">
            <v>0</v>
          </cell>
        </row>
        <row r="1010">
          <cell r="A1010">
            <v>42660</v>
          </cell>
          <cell r="B1010" t="str">
            <v>Concreto projetado com cimento especial, inclusive aditivo de pega Sigunit STM-35 AF</v>
          </cell>
          <cell r="C1010" t="str">
            <v>m³</v>
          </cell>
          <cell r="D1010" t="str">
            <v>661,11</v>
          </cell>
          <cell r="E1010">
            <v>0</v>
          </cell>
        </row>
        <row r="1011">
          <cell r="A1011">
            <v>40401</v>
          </cell>
          <cell r="B1011" t="str">
            <v>Cone de ancoragem de cabo de aço com 12 cordoalhas de 1/2", inclusive protensão dos cabos</v>
          </cell>
          <cell r="C1011" t="str">
            <v>un</v>
          </cell>
          <cell r="D1011" t="str">
            <v>1.756,11</v>
          </cell>
          <cell r="E1011" t="str">
            <v>A incluir</v>
          </cell>
        </row>
        <row r="1012">
          <cell r="A1012">
            <v>41200</v>
          </cell>
          <cell r="B1012" t="str">
            <v>Conectores diâmetro 16mm (h-&gt;10cm), fornecimento e soldagem</v>
          </cell>
          <cell r="C1012" t="str">
            <v>un</v>
          </cell>
          <cell r="D1012" t="str">
            <v>22,14</v>
          </cell>
          <cell r="E1012">
            <v>0</v>
          </cell>
        </row>
        <row r="1013">
          <cell r="A1013">
            <v>42876</v>
          </cell>
          <cell r="B1013" t="str">
            <v>Escoramento contínuo de cavas em estaca prancha de largura até 4000 mm</v>
          </cell>
          <cell r="C1013" t="str">
            <v>m²</v>
          </cell>
          <cell r="D1013" t="str">
            <v>95,34</v>
          </cell>
          <cell r="E1013">
            <v>0</v>
          </cell>
        </row>
        <row r="1014">
          <cell r="A1014">
            <v>42239</v>
          </cell>
          <cell r="B1014" t="str">
            <v>Escoramento de O.A.E. diretamente sobre o solo, inclusive fornecimento e transporte das madeiras</v>
          </cell>
          <cell r="C1014" t="str">
            <v>m³</v>
          </cell>
          <cell r="D1014" t="str">
            <v>127,33</v>
          </cell>
          <cell r="E1014" t="str">
            <v>A incluir</v>
          </cell>
        </row>
        <row r="1015">
          <cell r="A1015">
            <v>40329</v>
          </cell>
          <cell r="B1015" t="str">
            <v>Escoramento e cimbramento (pontes e pontilhões), inclusive fornecimento e transporte das madeiras</v>
          </cell>
          <cell r="C1015" t="str">
            <v>m³</v>
          </cell>
          <cell r="D1015" t="str">
            <v>149,47</v>
          </cell>
          <cell r="E1015" t="str">
            <v>A incluir</v>
          </cell>
        </row>
        <row r="1016">
          <cell r="A1016">
            <v>41195</v>
          </cell>
          <cell r="B1016" t="str">
            <v>Estrutura metálica provisória para macaqueamento de laje de ponte</v>
          </cell>
          <cell r="C1016" t="str">
            <v>kg</v>
          </cell>
          <cell r="D1016" t="str">
            <v>7,85</v>
          </cell>
          <cell r="E1016">
            <v>0</v>
          </cell>
        </row>
        <row r="1017">
          <cell r="A1017">
            <v>40315</v>
          </cell>
          <cell r="B1017" t="str">
            <v>Formas curvas de madeira sem reutilização, inclusive fornecimento e transporte das madeiras</v>
          </cell>
          <cell r="C1017" t="str">
            <v>m²</v>
          </cell>
          <cell r="D1017" t="str">
            <v>254,24</v>
          </cell>
          <cell r="E1017" t="str">
            <v>A incluir</v>
          </cell>
        </row>
        <row r="1018">
          <cell r="A1018">
            <v>40314</v>
          </cell>
          <cell r="B1018" t="str">
            <v>Formas planas de madeira com 05 (cinco) utilizações (guarda-corpo de pontes), inclusive fornecimento e transportes das madeiras</v>
          </cell>
          <cell r="C1018" t="str">
            <v>m²</v>
          </cell>
          <cell r="D1018" t="str">
            <v>99,12</v>
          </cell>
          <cell r="E1018" t="str">
            <v>A incluir</v>
          </cell>
        </row>
        <row r="1019">
          <cell r="A1019">
            <v>40321</v>
          </cell>
          <cell r="B1019" t="str">
            <v>Formas planas de madeirit meso e superestrutura com 1 reaproveitamento esp. -&gt; 14 mm, inclusive fornecimento e transporte das madeiras</v>
          </cell>
          <cell r="C1019" t="str">
            <v>m²</v>
          </cell>
          <cell r="D1019" t="str">
            <v>70,22</v>
          </cell>
          <cell r="E1019" t="str">
            <v>A incluir</v>
          </cell>
        </row>
        <row r="1020">
          <cell r="A1020">
            <v>40323</v>
          </cell>
          <cell r="B1020" t="str">
            <v>Formas planas de madeirit meso e superestrutura com 1 reaproveitamento esp. -&gt; 17 mm, inclusive fornecimento e transporte das madeiras</v>
          </cell>
          <cell r="C1020" t="str">
            <v>m²</v>
          </cell>
          <cell r="D1020" t="str">
            <v>73,88</v>
          </cell>
          <cell r="E1020" t="str">
            <v>A incluir</v>
          </cell>
        </row>
        <row r="1021">
          <cell r="A1021">
            <v>40324</v>
          </cell>
          <cell r="B1021" t="str">
            <v>Formas planas de madeirit meso e superestrutura com 2 reaproveitamentos esp. -&gt; 17 mm, inclusive fornecimento e transporte das madeiras</v>
          </cell>
          <cell r="C1021" t="str">
            <v>m²</v>
          </cell>
          <cell r="D1021" t="str">
            <v>63,79</v>
          </cell>
          <cell r="E1021" t="str">
            <v>A incluir</v>
          </cell>
        </row>
        <row r="1022">
          <cell r="A1022">
            <v>40325</v>
          </cell>
          <cell r="B1022" t="str">
            <v>Formas planas de madeirit meso e superestrutura com 4 reaproveitamentos esp. -&gt; 17 mm, inclusive fornecimento e transporte das madeiras</v>
          </cell>
          <cell r="C1022" t="str">
            <v>m²</v>
          </cell>
          <cell r="D1022" t="str">
            <v>55,06</v>
          </cell>
          <cell r="E1022" t="str">
            <v>A incluir</v>
          </cell>
        </row>
        <row r="1023">
          <cell r="A1023">
            <v>40319</v>
          </cell>
          <cell r="B1023" t="str">
            <v>Formas planas de madeirit meso e superestrutura sem reaproveitamento esp. -&gt; 10 mm, inclusive fornecimento e transporte das madeiras</v>
          </cell>
          <cell r="C1023" t="str">
            <v>m²</v>
          </cell>
          <cell r="D1023" t="str">
            <v>88,69</v>
          </cell>
          <cell r="E1023" t="str">
            <v>A incluir</v>
          </cell>
        </row>
        <row r="1024">
          <cell r="A1024">
            <v>40320</v>
          </cell>
          <cell r="B1024" t="str">
            <v>Formas planas de madeirit meso e superestrutura sem reaproveitamento esp. -&gt; 14 mm, inclusive fornecimento e transporte das madeiras</v>
          </cell>
          <cell r="C1024" t="str">
            <v>m²</v>
          </cell>
          <cell r="D1024" t="str">
            <v>99,63</v>
          </cell>
          <cell r="E1024" t="str">
            <v>A incluir</v>
          </cell>
        </row>
        <row r="1025">
          <cell r="A1025">
            <v>40322</v>
          </cell>
          <cell r="B1025" t="str">
            <v>Formas planas de madeirit meso e superestrutura sem reaproveitamento esp. -&gt; 17 mm, inclusive fornecimento e transporte das madeiras</v>
          </cell>
          <cell r="C1025" t="str">
            <v>m²</v>
          </cell>
          <cell r="D1025" t="str">
            <v>105,82</v>
          </cell>
          <cell r="E1025" t="str">
            <v>A incluir</v>
          </cell>
        </row>
        <row r="1026">
          <cell r="A1026">
            <v>40342</v>
          </cell>
          <cell r="B1026" t="str">
            <v>Furação, fornecimento e fixação de grampos diam.16 mm com resina epoxi (prof. 50 cm)</v>
          </cell>
          <cell r="C1026" t="str">
            <v>un</v>
          </cell>
          <cell r="D1026" t="str">
            <v>32,18</v>
          </cell>
          <cell r="E1026">
            <v>0</v>
          </cell>
        </row>
        <row r="1027">
          <cell r="A1027">
            <v>40338</v>
          </cell>
          <cell r="B1027" t="str">
            <v>Furação, fornecimento e fixação de grampos 10 mm com resina epoxi</v>
          </cell>
          <cell r="C1027" t="str">
            <v>un</v>
          </cell>
          <cell r="D1027" t="str">
            <v>22,95</v>
          </cell>
          <cell r="E1027">
            <v>0</v>
          </cell>
        </row>
        <row r="1028">
          <cell r="A1028">
            <v>40341</v>
          </cell>
          <cell r="B1028" t="str">
            <v>Furação, fornecimento e fixação de grampos 12,5 mm com resina epoxi em vigas pré-moldadas</v>
          </cell>
          <cell r="C1028" t="str">
            <v>un</v>
          </cell>
          <cell r="D1028" t="str">
            <v>6,28</v>
          </cell>
          <cell r="E1028">
            <v>0</v>
          </cell>
        </row>
        <row r="1029">
          <cell r="A1029">
            <v>40416</v>
          </cell>
          <cell r="B1029" t="str">
            <v>Guarda corpo em toras de eucalipto conf. projeto</v>
          </cell>
          <cell r="C1029" t="str">
            <v>m</v>
          </cell>
          <cell r="D1029" t="str">
            <v>246,40</v>
          </cell>
          <cell r="E1029">
            <v>0</v>
          </cell>
        </row>
        <row r="1030">
          <cell r="A1030">
            <v>40389</v>
          </cell>
          <cell r="B1030" t="str">
            <v>Guarda corpo metálico</v>
          </cell>
          <cell r="C1030" t="str">
            <v>m</v>
          </cell>
          <cell r="D1030" t="str">
            <v>62,98</v>
          </cell>
          <cell r="E1030">
            <v>0</v>
          </cell>
        </row>
        <row r="1031">
          <cell r="A1031">
            <v>40388</v>
          </cell>
          <cell r="B1031" t="str">
            <v>Guarda corpo padrão (tipo DNIT)</v>
          </cell>
          <cell r="C1031" t="str">
            <v>m</v>
          </cell>
          <cell r="D1031" t="str">
            <v>234,78</v>
          </cell>
          <cell r="E1031">
            <v>0</v>
          </cell>
        </row>
        <row r="1032">
          <cell r="A1032">
            <v>41232</v>
          </cell>
          <cell r="B1032" t="str">
            <v>Hidrojateamento de superfícies de concreto</v>
          </cell>
          <cell r="C1032" t="str">
            <v>m²</v>
          </cell>
          <cell r="D1032" t="str">
            <v>10,00</v>
          </cell>
          <cell r="E1032">
            <v>0</v>
          </cell>
        </row>
        <row r="1033">
          <cell r="A1033">
            <v>40402</v>
          </cell>
          <cell r="B1033" t="str">
            <v>Hidrojateamento de superfícies metálicas</v>
          </cell>
          <cell r="C1033" t="str">
            <v>m²</v>
          </cell>
          <cell r="D1033" t="str">
            <v>10,57</v>
          </cell>
          <cell r="E1033">
            <v>0</v>
          </cell>
        </row>
        <row r="1034">
          <cell r="A1034">
            <v>41033</v>
          </cell>
          <cell r="B1034" t="str">
            <v>Injeção de calda de cimento para chumbamento de tirantes</v>
          </cell>
          <cell r="C1034" t="str">
            <v>sc</v>
          </cell>
          <cell r="D1034" t="str">
            <v>44,77</v>
          </cell>
          <cell r="E1034">
            <v>0</v>
          </cell>
        </row>
        <row r="1035">
          <cell r="A1035">
            <v>41233</v>
          </cell>
          <cell r="B1035" t="str">
            <v>Injeção de epoxi em fissuras, inclusive preparo e montagem de bicos de injeção</v>
          </cell>
          <cell r="C1035" t="str">
            <v>kg</v>
          </cell>
          <cell r="D1035" t="str">
            <v>565,69</v>
          </cell>
          <cell r="E1035">
            <v>0</v>
          </cell>
        </row>
        <row r="1036">
          <cell r="A1036">
            <v>40386</v>
          </cell>
          <cell r="B1036" t="str">
            <v>Junta de cantoneira L de 4" x 4" x 3/8"</v>
          </cell>
          <cell r="C1036" t="str">
            <v>m</v>
          </cell>
          <cell r="D1036" t="str">
            <v>127,01</v>
          </cell>
          <cell r="E1036" t="str">
            <v>A incluir</v>
          </cell>
        </row>
        <row r="1037">
          <cell r="A1037">
            <v>41199</v>
          </cell>
          <cell r="B1037" t="str">
            <v>Junta de dilatação elástica pré-moldada p/ concreto, tipo fungenband em perfil O-12 de PVC alta densidade, Uniontech ou equival. fornecim./colocação</v>
          </cell>
          <cell r="C1037" t="str">
            <v>m</v>
          </cell>
          <cell r="D1037" t="str">
            <v>38,39</v>
          </cell>
          <cell r="E1037">
            <v>0</v>
          </cell>
        </row>
        <row r="1038">
          <cell r="A1038">
            <v>42529</v>
          </cell>
          <cell r="B1038" t="str">
            <v>Junta perfil elastomérico de vedação p/pontes c/abertura média de 25mm ± 10 mm, inclus. lábios poliméricos-Marca Ref JEENE-JJ2540 VV (constr.)</v>
          </cell>
          <cell r="C1038" t="str">
            <v>m</v>
          </cell>
          <cell r="D1038" t="str">
            <v>713,61</v>
          </cell>
          <cell r="E1038">
            <v>0</v>
          </cell>
        </row>
        <row r="1039">
          <cell r="A1039">
            <v>40384</v>
          </cell>
          <cell r="B1039" t="str">
            <v>Junta perfil elastomérico de vedação p/pontes c/abertura média de 50 mm ± 25 mm, inclus.lábios poliméricos-Marca Ref.JEENE mod.JJ-5070 (constr.)</v>
          </cell>
          <cell r="C1039" t="str">
            <v>m</v>
          </cell>
          <cell r="D1039" t="str">
            <v>1.278,15</v>
          </cell>
          <cell r="E1039">
            <v>0</v>
          </cell>
        </row>
        <row r="1040">
          <cell r="A1040">
            <v>40385</v>
          </cell>
          <cell r="B1040" t="str">
            <v>Junta perfil elastomérico de vedação p/pontes c/abertura média de 50mm ± 25mm,inclus.lábios poliméricos-Marca Ref JEENE mod.JJ-5070 VV(substituição)</v>
          </cell>
          <cell r="C1040" t="str">
            <v>m</v>
          </cell>
          <cell r="D1040" t="str">
            <v>1.311,64</v>
          </cell>
          <cell r="E1040">
            <v>0</v>
          </cell>
        </row>
        <row r="1041">
          <cell r="A1041">
            <v>40393</v>
          </cell>
          <cell r="B1041" t="str">
            <v>Perfuração de concreto</v>
          </cell>
          <cell r="C1041" t="str">
            <v>m</v>
          </cell>
          <cell r="D1041" t="str">
            <v>15,43</v>
          </cell>
          <cell r="E1041">
            <v>0</v>
          </cell>
        </row>
        <row r="1042">
          <cell r="A1042">
            <v>40394</v>
          </cell>
          <cell r="B1042" t="str">
            <v>Perfuração de rocha para fixação de chumbadores</v>
          </cell>
          <cell r="C1042" t="str">
            <v>m</v>
          </cell>
          <cell r="D1042" t="str">
            <v>18,12</v>
          </cell>
          <cell r="E1042">
            <v>0</v>
          </cell>
        </row>
        <row r="1043">
          <cell r="A1043">
            <v>40390</v>
          </cell>
          <cell r="B1043" t="str">
            <v>Pintura a cal em pontes (2 demãos)</v>
          </cell>
          <cell r="C1043" t="str">
            <v>m²</v>
          </cell>
          <cell r="D1043" t="str">
            <v>3,61</v>
          </cell>
          <cell r="E1043">
            <v>0</v>
          </cell>
        </row>
        <row r="1044">
          <cell r="A1044">
            <v>42256</v>
          </cell>
          <cell r="B1044" t="str">
            <v>Ponte provisoria para movimentação de equipamentos de execução de fundação composta de passadiço de madeira sobre estacas de madeira</v>
          </cell>
          <cell r="C1044" t="str">
            <v>m²</v>
          </cell>
          <cell r="D1044" t="str">
            <v>3.267,73</v>
          </cell>
          <cell r="E1044" t="str">
            <v>A incluir</v>
          </cell>
        </row>
        <row r="1045">
          <cell r="A1045">
            <v>40400</v>
          </cell>
          <cell r="B1045" t="str">
            <v>Preparo e colocação de 12 cordoalhas de 1/2" (Aço CP-190 RB) nas formas, inclusive injeção de nata de cimento</v>
          </cell>
          <cell r="C1045" t="str">
            <v>kg</v>
          </cell>
          <cell r="D1045" t="str">
            <v>11,20</v>
          </cell>
          <cell r="E1045" t="str">
            <v>A incluir</v>
          </cell>
        </row>
        <row r="1046">
          <cell r="A1046">
            <v>41201</v>
          </cell>
          <cell r="B1046" t="str">
            <v>Recuperação estrutural com uso de argamassa polimérica (espessura média-&gt;3,5cm)</v>
          </cell>
          <cell r="C1046" t="str">
            <v>m²</v>
          </cell>
          <cell r="D1046" t="str">
            <v>644,15</v>
          </cell>
          <cell r="E1046">
            <v>0</v>
          </cell>
        </row>
        <row r="1047">
          <cell r="A1047">
            <v>41035</v>
          </cell>
          <cell r="B1047" t="str">
            <v>Tirante de Aço CA-50, diâmetro de 25mm (1"), para comprimentos até 6m</v>
          </cell>
          <cell r="C1047" t="str">
            <v>m</v>
          </cell>
          <cell r="D1047" t="str">
            <v>82,62</v>
          </cell>
          <cell r="E1047">
            <v>0</v>
          </cell>
        </row>
        <row r="1048">
          <cell r="A1048">
            <v>41263</v>
          </cell>
          <cell r="B1048" t="str">
            <v>Tirante de aço Rocsolo ou similar, diâmetro 29,3mm, incluindo fornecimento da barra e da bainha proteção anticorrosiva, preparo e colocação no furo</v>
          </cell>
          <cell r="C1048" t="str">
            <v>m</v>
          </cell>
          <cell r="D1048" t="str">
            <v>149,30</v>
          </cell>
          <cell r="E1048">
            <v>0</v>
          </cell>
        </row>
        <row r="1049">
          <cell r="A1049">
            <v>41089</v>
          </cell>
          <cell r="B1049" t="str">
            <v>Tirante de aço ST 50/55, para carga trab. até 22 t, diam.32mm, incluindo fornecimento da bainha proteção anticorrosiva, preparo e colocação no furo.</v>
          </cell>
          <cell r="C1049" t="str">
            <v>m</v>
          </cell>
          <cell r="D1049" t="str">
            <v>148,85</v>
          </cell>
          <cell r="E1049">
            <v>0</v>
          </cell>
        </row>
        <row r="1050">
          <cell r="A1050">
            <v>41039</v>
          </cell>
          <cell r="B1050" t="str">
            <v>Tirante de aço ST 85/105, incluindo fornecimento da barra e da bainha proteção anticorrosiva, preparo e colocação no furo</v>
          </cell>
          <cell r="C1050" t="str">
            <v>m</v>
          </cell>
          <cell r="D1050" t="str">
            <v>157,25</v>
          </cell>
          <cell r="E1050">
            <v>0</v>
          </cell>
        </row>
        <row r="1051">
          <cell r="A1051">
            <v>41030</v>
          </cell>
          <cell r="B1051" t="str">
            <v>Tirante protendido em Aço GEWI 50/55 ou similar, diâmetro de 32mm</v>
          </cell>
          <cell r="C1051" t="str">
            <v>m</v>
          </cell>
          <cell r="D1051" t="str">
            <v>140,05</v>
          </cell>
          <cell r="E1051">
            <v>0</v>
          </cell>
        </row>
        <row r="1052">
          <cell r="A1052">
            <v>0</v>
          </cell>
          <cell r="B1052">
            <v>0</v>
          </cell>
          <cell r="C1052">
            <v>0</v>
          </cell>
          <cell r="E1052" t="e">
            <v>#N/A</v>
          </cell>
        </row>
        <row r="1053">
          <cell r="A1053" t="str">
            <v>Grupo de Serviço: 44 - MATERIAIS</v>
          </cell>
          <cell r="B1053">
            <v>0</v>
          </cell>
          <cell r="C1053">
            <v>0</v>
          </cell>
          <cell r="D1053">
            <v>0</v>
          </cell>
          <cell r="E1053" t="e">
            <v>#N/A</v>
          </cell>
        </row>
        <row r="1054">
          <cell r="A1054">
            <v>42045</v>
          </cell>
          <cell r="B1054" t="str">
            <v>Aquisição de solo de jazida comercial (saibreira)</v>
          </cell>
          <cell r="C1054" t="str">
            <v>m³</v>
          </cell>
          <cell r="D1054" t="str">
            <v>4,19</v>
          </cell>
          <cell r="E1054">
            <v>0</v>
          </cell>
        </row>
        <row r="1055">
          <cell r="A1055">
            <v>42043</v>
          </cell>
          <cell r="B1055" t="str">
            <v>Bonificação de 20,93% sobre aquisição de materiais</v>
          </cell>
          <cell r="C1055" t="str">
            <v>%</v>
          </cell>
          <cell r="D1055" t="str">
            <v>0,00</v>
          </cell>
          <cell r="E1055">
            <v>0</v>
          </cell>
        </row>
        <row r="1056">
          <cell r="A1056">
            <v>0</v>
          </cell>
          <cell r="B1056">
            <v>0</v>
          </cell>
          <cell r="C1056">
            <v>0</v>
          </cell>
          <cell r="E1056" t="e">
            <v>#N/A</v>
          </cell>
        </row>
        <row r="1057">
          <cell r="A1057" t="str">
            <v>Grupo de Serviço: 61 - TERRAPLENAGEM - VIAS URBANAS</v>
          </cell>
          <cell r="B1057">
            <v>0</v>
          </cell>
          <cell r="C1057">
            <v>0</v>
          </cell>
          <cell r="E1057" t="e">
            <v>#N/A</v>
          </cell>
        </row>
        <row r="1058">
          <cell r="A1058">
            <v>42512</v>
          </cell>
          <cell r="B1058" t="str">
            <v>Carga de material de 1ª categoria em Vias Urbanas</v>
          </cell>
          <cell r="C1058" t="str">
            <v>m³</v>
          </cell>
          <cell r="D1058" t="str">
            <v>2,91</v>
          </cell>
          <cell r="E1058">
            <v>0</v>
          </cell>
        </row>
        <row r="1059">
          <cell r="A1059">
            <v>42513</v>
          </cell>
          <cell r="B1059" t="str">
            <v>Carga de material de 2ª categoria (solo, areia, brita, excl. rocha escavada) em Vias Urbanas</v>
          </cell>
          <cell r="C1059" t="str">
            <v>m³</v>
          </cell>
          <cell r="D1059" t="str">
            <v>3,78</v>
          </cell>
          <cell r="E1059">
            <v>0</v>
          </cell>
        </row>
        <row r="1060">
          <cell r="A1060">
            <v>42514</v>
          </cell>
          <cell r="B1060" t="str">
            <v>Carga de material de 3ª categoria (rocha) em Vias Urbanas</v>
          </cell>
          <cell r="C1060" t="str">
            <v>m³</v>
          </cell>
          <cell r="D1060" t="str">
            <v>5,72</v>
          </cell>
          <cell r="E1060">
            <v>0</v>
          </cell>
        </row>
        <row r="1061">
          <cell r="A1061">
            <v>43349</v>
          </cell>
          <cell r="B1061" t="str">
            <v>Compactação de aterros 100% PI em Vias Urbanas</v>
          </cell>
          <cell r="C1061" t="str">
            <v>m³</v>
          </cell>
          <cell r="D1061" t="str">
            <v>6,14</v>
          </cell>
          <cell r="E1061">
            <v>0</v>
          </cell>
        </row>
        <row r="1062">
          <cell r="A1062">
            <v>42515</v>
          </cell>
          <cell r="B1062" t="str">
            <v>Compactação de aterros 100% PN em Vias Urbanas</v>
          </cell>
          <cell r="C1062" t="str">
            <v>m³</v>
          </cell>
          <cell r="D1062" t="str">
            <v>4,74</v>
          </cell>
          <cell r="E1062">
            <v>0</v>
          </cell>
        </row>
        <row r="1063">
          <cell r="A1063">
            <v>42523</v>
          </cell>
          <cell r="B1063" t="str">
            <v>Escalonamento de taludes com escavadeira em Vias Urbanas</v>
          </cell>
          <cell r="C1063" t="str">
            <v>m³</v>
          </cell>
          <cell r="D1063" t="str">
            <v>7,49</v>
          </cell>
          <cell r="E1063">
            <v>0</v>
          </cell>
        </row>
        <row r="1064">
          <cell r="A1064">
            <v>42525</v>
          </cell>
          <cell r="B1064" t="str">
            <v>Escavação a fogo em material de 3ª categoria, rocha viva, a céu aberto, perfuração a ar comprimido em Vias Urbanas</v>
          </cell>
          <cell r="C1064" t="str">
            <v>m³</v>
          </cell>
          <cell r="D1064" t="str">
            <v>59,37</v>
          </cell>
          <cell r="E1064">
            <v>0</v>
          </cell>
        </row>
        <row r="1065">
          <cell r="A1065">
            <v>42576</v>
          </cell>
          <cell r="B1065" t="str">
            <v>Escavação, carga de material de 3ª categoria (fogo controlado) em Vias Urbanas</v>
          </cell>
          <cell r="C1065" t="str">
            <v>m³</v>
          </cell>
          <cell r="D1065" t="str">
            <v>94,74</v>
          </cell>
          <cell r="E1065">
            <v>0</v>
          </cell>
        </row>
        <row r="1066">
          <cell r="A1066">
            <v>42577</v>
          </cell>
          <cell r="B1066" t="str">
            <v>Escavação e carga de material de barreira (remoção) em Vias Urbanas</v>
          </cell>
          <cell r="C1066" t="str">
            <v>m³</v>
          </cell>
          <cell r="D1066" t="str">
            <v>7,44</v>
          </cell>
          <cell r="E1066">
            <v>0</v>
          </cell>
        </row>
        <row r="1067">
          <cell r="A1067">
            <v>42578</v>
          </cell>
          <cell r="B1067" t="str">
            <v>Escavação e carga de material de 1ª categoria com escavadeira em Vias Urbanas</v>
          </cell>
          <cell r="C1067" t="str">
            <v>m³</v>
          </cell>
          <cell r="D1067" t="str">
            <v>3,17</v>
          </cell>
          <cell r="E1067">
            <v>0</v>
          </cell>
        </row>
        <row r="1068">
          <cell r="A1068">
            <v>42580</v>
          </cell>
          <cell r="B1068" t="str">
            <v>Escavação e carga de material de 2ª categoria com escavadeira em Vias Urbanas</v>
          </cell>
          <cell r="C1068" t="str">
            <v>m³</v>
          </cell>
          <cell r="D1068" t="str">
            <v>4,69</v>
          </cell>
          <cell r="E1068">
            <v>0</v>
          </cell>
        </row>
        <row r="1069">
          <cell r="A1069">
            <v>42582</v>
          </cell>
          <cell r="B1069" t="str">
            <v>Escavação e carga de material de 3ª categoria (H bancada &gt;1,0 m) em Vias Urbanas</v>
          </cell>
          <cell r="C1069" t="str">
            <v>m³</v>
          </cell>
          <cell r="D1069" t="str">
            <v>41,61</v>
          </cell>
          <cell r="E1069">
            <v>0</v>
          </cell>
        </row>
        <row r="1070">
          <cell r="A1070">
            <v>42586</v>
          </cell>
          <cell r="B1070" t="str">
            <v>Fragmentação de rocha (fogacheamento) em Vias Urbanas</v>
          </cell>
          <cell r="C1070" t="str">
            <v>m³</v>
          </cell>
          <cell r="D1070" t="str">
            <v>54,54</v>
          </cell>
          <cell r="E1070">
            <v>0</v>
          </cell>
        </row>
        <row r="1071">
          <cell r="A1071">
            <v>42587</v>
          </cell>
          <cell r="B1071" t="str">
            <v>Limpeza de acostamento em Vias Urbanas</v>
          </cell>
          <cell r="C1071" t="str">
            <v>m²</v>
          </cell>
          <cell r="D1071" t="str">
            <v>0,67</v>
          </cell>
          <cell r="E1071">
            <v>0</v>
          </cell>
        </row>
        <row r="1072">
          <cell r="A1072">
            <v>42590</v>
          </cell>
          <cell r="B1072" t="str">
            <v>Limpeza e desmatamento em área alagada (pântano) com ferr. man., incl. moto serra em Vias Urbanas</v>
          </cell>
          <cell r="C1072" t="str">
            <v>m²</v>
          </cell>
          <cell r="D1072" t="str">
            <v>8,06</v>
          </cell>
          <cell r="E1072">
            <v>0</v>
          </cell>
        </row>
        <row r="1073">
          <cell r="A1073">
            <v>42591</v>
          </cell>
          <cell r="B1073" t="str">
            <v>Pré-fissuramento de taludes de rocha em Vias Urbanas</v>
          </cell>
          <cell r="C1073" t="str">
            <v>m²</v>
          </cell>
          <cell r="D1073" t="str">
            <v>31,70</v>
          </cell>
          <cell r="E1073">
            <v>0</v>
          </cell>
        </row>
        <row r="1074">
          <cell r="A1074">
            <v>42592</v>
          </cell>
          <cell r="B1074" t="str">
            <v>Recomposição vegetal de jazidas, empréstimos e bota-fora em Vias Urbanas</v>
          </cell>
          <cell r="C1074" t="str">
            <v>m²</v>
          </cell>
          <cell r="D1074" t="str">
            <v>13,93</v>
          </cell>
          <cell r="E1074" t="str">
            <v>A incluir</v>
          </cell>
        </row>
        <row r="1075">
          <cell r="A1075">
            <v>42593</v>
          </cell>
          <cell r="B1075" t="str">
            <v>Remoção de solos moles, incluindo carregamento mecânico com escavadeira hidráulica em Vias Urbanas</v>
          </cell>
          <cell r="C1075" t="str">
            <v>m³</v>
          </cell>
          <cell r="D1075" t="str">
            <v>24,30</v>
          </cell>
          <cell r="E1075">
            <v>0</v>
          </cell>
        </row>
        <row r="1076">
          <cell r="A1076">
            <v>42596</v>
          </cell>
          <cell r="B1076" t="str">
            <v>Transporte horizontal com trator de lâmina de material de 1ª cat. DMTaté 50m em Vias Urbanas</v>
          </cell>
          <cell r="C1076" t="str">
            <v>m³</v>
          </cell>
          <cell r="D1076" t="str">
            <v>5,27</v>
          </cell>
          <cell r="E1076">
            <v>0</v>
          </cell>
        </row>
        <row r="1077">
          <cell r="A1077">
            <v>0</v>
          </cell>
          <cell r="B1077">
            <v>0</v>
          </cell>
          <cell r="C1077">
            <v>0</v>
          </cell>
          <cell r="E1077" t="e">
            <v>#N/A</v>
          </cell>
        </row>
        <row r="1078">
          <cell r="A1078" t="str">
            <v>Grupo de Serviço: 62 - PAVIMENTAÇÃO - VIAS URBANAS</v>
          </cell>
          <cell r="B1078">
            <v>0</v>
          </cell>
          <cell r="C1078">
            <v>0</v>
          </cell>
          <cell r="E1078" t="e">
            <v>#N/A</v>
          </cell>
        </row>
        <row r="1079">
          <cell r="A1079">
            <v>42483</v>
          </cell>
          <cell r="B1079" t="str">
            <v>Base de brita graduada, inclusive fornecimento, exclusive transporte da brita em Vias Urbanas</v>
          </cell>
          <cell r="C1079" t="str">
            <v>m³</v>
          </cell>
          <cell r="D1079" t="str">
            <v>108,79</v>
          </cell>
          <cell r="E1079">
            <v>0</v>
          </cell>
        </row>
        <row r="1080">
          <cell r="A1080">
            <v>42695</v>
          </cell>
          <cell r="B1080" t="str">
            <v>Base de brita 1, inclusive fornecimento, exclusive transporte da brita em Vias Urbanas</v>
          </cell>
          <cell r="C1080" t="str">
            <v>m³</v>
          </cell>
          <cell r="D1080" t="str">
            <v>105,98</v>
          </cell>
          <cell r="E1080">
            <v>0</v>
          </cell>
        </row>
        <row r="1081">
          <cell r="A1081">
            <v>42481</v>
          </cell>
          <cell r="B1081" t="str">
            <v>Base de solo brita, 50% em peso, inclusive fornecimento, exclusive transporte da brita em Vias Urbanas</v>
          </cell>
          <cell r="C1081" t="str">
            <v>m³</v>
          </cell>
          <cell r="D1081" t="str">
            <v>73,15</v>
          </cell>
          <cell r="E1081">
            <v>0</v>
          </cell>
        </row>
        <row r="1082">
          <cell r="A1082">
            <v>42508</v>
          </cell>
          <cell r="B1082" t="str">
            <v>CBUQ (massa asfáltica) inclusive fornecimento e transporte comercial do CAP, em Vias Urbanas</v>
          </cell>
          <cell r="C1082" t="str">
            <v>t</v>
          </cell>
          <cell r="D1082" t="str">
            <v>212,55</v>
          </cell>
          <cell r="E1082" t="str">
            <v>A incluir</v>
          </cell>
        </row>
        <row r="1083">
          <cell r="A1083">
            <v>42496</v>
          </cell>
          <cell r="B1083" t="str">
            <v>Demolição e remoção de pavimento asfáltico em Vias Urbanas</v>
          </cell>
          <cell r="C1083" t="str">
            <v>m²</v>
          </cell>
          <cell r="D1083" t="str">
            <v>3,15</v>
          </cell>
          <cell r="E1083">
            <v>0</v>
          </cell>
        </row>
        <row r="1084">
          <cell r="A1084">
            <v>41133</v>
          </cell>
          <cell r="B1084" t="str">
            <v>Fresagem de pavimento asfáltico a frio, esp. até 15cm, exclusive transporte de materiais, em Vias Urbanas</v>
          </cell>
          <cell r="C1084" t="str">
            <v>m²</v>
          </cell>
          <cell r="D1084" t="str">
            <v>10,03</v>
          </cell>
          <cell r="E1084">
            <v>0</v>
          </cell>
        </row>
        <row r="1085">
          <cell r="A1085">
            <v>42479</v>
          </cell>
          <cell r="B1085" t="str">
            <v>Fresagem de pavimento asfáltico a frio, esp-&gt;5cm, exclusive transporte de materiais em Vias Urbanas</v>
          </cell>
          <cell r="C1085" t="str">
            <v>m²</v>
          </cell>
          <cell r="D1085" t="str">
            <v>7,03</v>
          </cell>
          <cell r="E1085">
            <v>0</v>
          </cell>
        </row>
        <row r="1086">
          <cell r="A1086">
            <v>43333</v>
          </cell>
          <cell r="B1086" t="str">
            <v>Imprimação exclusive fornecimento e transporte comercial do material betuminoso em Vias Urbanas</v>
          </cell>
          <cell r="C1086" t="str">
            <v>m²</v>
          </cell>
          <cell r="D1086" t="str">
            <v>0,98</v>
          </cell>
          <cell r="E1086">
            <v>0</v>
          </cell>
        </row>
        <row r="1087">
          <cell r="A1087">
            <v>42484</v>
          </cell>
          <cell r="B1087" t="str">
            <v>Imprimação inclusive fornecimento e transporte comercial do material betuminoso em Vias Urbanas</v>
          </cell>
          <cell r="C1087" t="str">
            <v>m²</v>
          </cell>
          <cell r="D1087" t="str">
            <v>4,23</v>
          </cell>
          <cell r="E1087" t="str">
            <v>A incluir</v>
          </cell>
        </row>
        <row r="1088">
          <cell r="A1088">
            <v>42497</v>
          </cell>
          <cell r="B1088" t="str">
            <v>Micro revestimento asfáltico à frio inclusive fornecimento e transporte comercial do material betuminoso, em Vias Urbanas</v>
          </cell>
          <cell r="C1088" t="str">
            <v>m²</v>
          </cell>
          <cell r="D1088" t="str">
            <v>10,91</v>
          </cell>
          <cell r="E1088" t="str">
            <v>A incluir</v>
          </cell>
        </row>
        <row r="1089">
          <cell r="A1089">
            <v>42493</v>
          </cell>
          <cell r="B1089" t="str">
            <v>Obturação de buracos c/ CBUQ inclusive fornecimento e transporte comercial dos materiais betuminosos em Vias Urbanas</v>
          </cell>
          <cell r="C1089" t="str">
            <v>m²</v>
          </cell>
          <cell r="D1089" t="str">
            <v>62,26</v>
          </cell>
          <cell r="E1089" t="str">
            <v>A incluir</v>
          </cell>
        </row>
        <row r="1090">
          <cell r="A1090">
            <v>42494</v>
          </cell>
          <cell r="B1090" t="str">
            <v>Obturação de buracos c/ CBUQ inclusive fornecimento e transporte dos materiais betuminosos em Vias Urbanas</v>
          </cell>
          <cell r="C1090" t="str">
            <v>t</v>
          </cell>
          <cell r="D1090" t="str">
            <v>321,62</v>
          </cell>
          <cell r="E1090" t="str">
            <v>A incluir</v>
          </cell>
        </row>
        <row r="1091">
          <cell r="A1091">
            <v>42498</v>
          </cell>
          <cell r="B1091" t="str">
            <v>Pavimentação com blocos de concreto (35 MPa), esp.-&gt;06cm, sobre colchão areia esp.-&gt;5cm, inclusive fornecim. e transporte blocos e areia, Vias Urbanas</v>
          </cell>
          <cell r="C1091" t="str">
            <v>m²</v>
          </cell>
          <cell r="D1091" t="str">
            <v>69,62</v>
          </cell>
          <cell r="E1091" t="str">
            <v>A incluir</v>
          </cell>
        </row>
        <row r="1092">
          <cell r="A1092">
            <v>42499</v>
          </cell>
          <cell r="B1092" t="str">
            <v>Pavimentação com blocos de concreto (35 MPa), esp.-&gt;08cm, sobre colchão de areia 5cm, inclusive fornecim. e transporte blocos e areia, em Vias Urbanas</v>
          </cell>
          <cell r="C1092" t="str">
            <v>m²</v>
          </cell>
          <cell r="D1092" t="str">
            <v>77,63</v>
          </cell>
          <cell r="E1092" t="str">
            <v>A incluir</v>
          </cell>
        </row>
        <row r="1093">
          <cell r="A1093">
            <v>42500</v>
          </cell>
          <cell r="B1093" t="str">
            <v>Pavimentação com blocos de concreto (35 MPa), esp.-&gt;10cm, sobre colchão de areia esp.-&gt;5cm, inclusive fornecim.e transporte blocos e areia,Vias Urbanas</v>
          </cell>
          <cell r="C1093" t="str">
            <v>m²</v>
          </cell>
          <cell r="D1093" t="str">
            <v>93,94</v>
          </cell>
          <cell r="E1093" t="str">
            <v>A incluir</v>
          </cell>
        </row>
        <row r="1094">
          <cell r="A1094">
            <v>42501</v>
          </cell>
          <cell r="B1094" t="str">
            <v>Pavimentação com paralelepípedo, colchão areia 5cm, inclusive fornecimento e transporte do paralelepípedo e areia, em Vias Urbanas</v>
          </cell>
          <cell r="C1094" t="str">
            <v>m²</v>
          </cell>
          <cell r="D1094" t="str">
            <v>90,81</v>
          </cell>
          <cell r="E1094" t="str">
            <v>A incluir</v>
          </cell>
        </row>
        <row r="1095">
          <cell r="A1095">
            <v>42502</v>
          </cell>
          <cell r="B1095" t="str">
            <v>Pavimentação com paralelepípedo sobre colchão pó de pedra esp.-&gt;5cm, inclusive fornecimento e transporte do paralelepípedo e pó de pedra, Vias Urbanas</v>
          </cell>
          <cell r="C1095" t="str">
            <v>m²</v>
          </cell>
          <cell r="D1095" t="str">
            <v>89,50</v>
          </cell>
          <cell r="E1095" t="str">
            <v>A incluir</v>
          </cell>
        </row>
        <row r="1096">
          <cell r="A1096">
            <v>42503</v>
          </cell>
          <cell r="B1096" t="str">
            <v>Pavimentação com pedra portuguesa, inclusive fornecimento e transporte do cimento, areia e pedra portuguesa em Vias Urbanas</v>
          </cell>
          <cell r="C1096" t="str">
            <v>m²</v>
          </cell>
          <cell r="D1096" t="str">
            <v>113,19</v>
          </cell>
          <cell r="E1096" t="str">
            <v>A incluir</v>
          </cell>
        </row>
        <row r="1097">
          <cell r="A1097">
            <v>43334</v>
          </cell>
          <cell r="B1097" t="str">
            <v>Pintura de ligação exclusive fornecimento e transporte comercial do material betuminoso em Vias Urbanas</v>
          </cell>
          <cell r="C1097" t="str">
            <v>m²</v>
          </cell>
          <cell r="D1097" t="str">
            <v>0,81</v>
          </cell>
          <cell r="E1097">
            <v>0</v>
          </cell>
        </row>
        <row r="1098">
          <cell r="A1098">
            <v>42485</v>
          </cell>
          <cell r="B1098" t="str">
            <v>Pintura de ligação inclusive fornecimento e transporte comercial do material betuminoso em Vias Urbanas</v>
          </cell>
          <cell r="C1098" t="str">
            <v>m²</v>
          </cell>
          <cell r="D1098" t="str">
            <v>1,75</v>
          </cell>
          <cell r="E1098" t="str">
            <v>A incluir</v>
          </cell>
        </row>
        <row r="1099">
          <cell r="A1099">
            <v>42478</v>
          </cell>
          <cell r="B1099" t="str">
            <v>Regularização e compactação do sub-leito (100% P.N.) H-&gt;0,15m em Vias Urbanas</v>
          </cell>
          <cell r="C1099" t="str">
            <v>m²</v>
          </cell>
          <cell r="D1099" t="str">
            <v>2,94</v>
          </cell>
          <cell r="E1099">
            <v>0</v>
          </cell>
        </row>
        <row r="1100">
          <cell r="A1100">
            <v>42477</v>
          </cell>
          <cell r="B1100" t="str">
            <v>Regularização e compactação do sub-leito (100% P.N.) H-&gt;0,20m Vias Urbanas</v>
          </cell>
          <cell r="C1100" t="str">
            <v>m²</v>
          </cell>
          <cell r="D1100" t="str">
            <v>3,88</v>
          </cell>
          <cell r="E1100">
            <v>0</v>
          </cell>
        </row>
        <row r="1101">
          <cell r="A1101">
            <v>42495</v>
          </cell>
          <cell r="B1101" t="str">
            <v>Remoção de capa asfáltica em TSS, TSD, ou TST exclusive transporte em Vias Urbanas</v>
          </cell>
          <cell r="C1101" t="str">
            <v>m²</v>
          </cell>
          <cell r="D1101" t="str">
            <v>0,98</v>
          </cell>
          <cell r="E1101">
            <v>0</v>
          </cell>
        </row>
        <row r="1102">
          <cell r="A1102">
            <v>42507</v>
          </cell>
          <cell r="B1102" t="str">
            <v>Remoção de meio fio em Vias Urbanas</v>
          </cell>
          <cell r="C1102" t="str">
            <v>m</v>
          </cell>
          <cell r="D1102" t="str">
            <v>20,14</v>
          </cell>
          <cell r="E1102">
            <v>0</v>
          </cell>
        </row>
        <row r="1103">
          <cell r="A1103">
            <v>42505</v>
          </cell>
          <cell r="B1103" t="str">
            <v>Remoção de pavimentação poliédrica em Vias Urbanas</v>
          </cell>
          <cell r="C1103" t="str">
            <v>m²</v>
          </cell>
          <cell r="D1103" t="str">
            <v>16,28</v>
          </cell>
          <cell r="E1103">
            <v>0</v>
          </cell>
        </row>
        <row r="1104">
          <cell r="A1104">
            <v>42504</v>
          </cell>
          <cell r="B1104" t="str">
            <v>Remoção e reassentamento de blocos de concreto, inclusive perdas em Vias Urbanas</v>
          </cell>
          <cell r="C1104" t="str">
            <v>m²</v>
          </cell>
          <cell r="D1104" t="str">
            <v>41,39</v>
          </cell>
          <cell r="E1104" t="str">
            <v>A incluir</v>
          </cell>
        </row>
        <row r="1105">
          <cell r="A1105">
            <v>42506</v>
          </cell>
          <cell r="B1105" t="str">
            <v>Remoção e reassentamento de paralelepípedos, inclusive perdas em Vias Urbanas</v>
          </cell>
          <cell r="C1105" t="str">
            <v>m²</v>
          </cell>
          <cell r="D1105" t="str">
            <v>41,07</v>
          </cell>
          <cell r="E1105" t="str">
            <v>A incluir</v>
          </cell>
        </row>
        <row r="1106">
          <cell r="A1106">
            <v>42482</v>
          </cell>
          <cell r="B1106" t="str">
            <v>Sub-base de brita graduada, inclusive fornecimento e transporte da brita em Vias Urbanas</v>
          </cell>
          <cell r="C1106" t="str">
            <v>m³</v>
          </cell>
          <cell r="D1106" t="str">
            <v>104,09</v>
          </cell>
          <cell r="E1106" t="str">
            <v>A incluir</v>
          </cell>
        </row>
        <row r="1107">
          <cell r="A1107">
            <v>42702</v>
          </cell>
          <cell r="B1107" t="str">
            <v>Sub-base de brita 1, inclusive fornecimento, exclusive transporte da brita em Vias Urbanas</v>
          </cell>
          <cell r="C1107" t="str">
            <v>m³</v>
          </cell>
          <cell r="D1107" t="str">
            <v>105,98</v>
          </cell>
          <cell r="E1107">
            <v>0</v>
          </cell>
        </row>
        <row r="1108">
          <cell r="A1108">
            <v>42480</v>
          </cell>
          <cell r="B1108" t="str">
            <v>Sub-base solo brita, 50% em peso, inclusive fornecimento e transporte da brita em Vias Urbanas</v>
          </cell>
          <cell r="C1108" t="str">
            <v>m³</v>
          </cell>
          <cell r="D1108" t="str">
            <v>73,15</v>
          </cell>
          <cell r="E1108" t="str">
            <v>A incluir</v>
          </cell>
        </row>
        <row r="1109">
          <cell r="A1109">
            <v>42489</v>
          </cell>
          <cell r="B1109" t="str">
            <v>T.S.B.D. com capa selante, executado com Multidistribuidor inclusive fornecimento e transporte da emulsão, areia, brita e lavagem da brita -V. Urbanas</v>
          </cell>
          <cell r="C1109" t="str">
            <v>m²</v>
          </cell>
          <cell r="D1109" t="str">
            <v>9,83</v>
          </cell>
          <cell r="E1109" t="str">
            <v>A incluir</v>
          </cell>
        </row>
        <row r="1110">
          <cell r="A1110">
            <v>42487</v>
          </cell>
          <cell r="B1110" t="str">
            <v>T.S.B.D. com capa selante inclusive fornec. areia/brita/emulsão, transporte comerc. emulsão e lavagem brita, exclus. transp. areia e brita - V.Urbana</v>
          </cell>
          <cell r="C1110" t="str">
            <v>m²</v>
          </cell>
          <cell r="D1110" t="str">
            <v>13,41</v>
          </cell>
          <cell r="E1110" t="str">
            <v>A incluir</v>
          </cell>
        </row>
        <row r="1111">
          <cell r="A1111">
            <v>42847</v>
          </cell>
          <cell r="B1111" t="str">
            <v>T.S.B.D. com capa selante inclusive fornec.areia/brita/emulsão, transp.comercial emulsão e lavagem brita, exclus. transp. areia e brita- Vias Urbanas</v>
          </cell>
          <cell r="C1111" t="str">
            <v>m²</v>
          </cell>
          <cell r="D1111" t="str">
            <v>14,42</v>
          </cell>
          <cell r="E1111" t="str">
            <v>A incluir</v>
          </cell>
        </row>
        <row r="1112">
          <cell r="A1112">
            <v>42486</v>
          </cell>
          <cell r="B1112" t="str">
            <v>T.S.B.D. sem capa selante, inclusive fornecimento e transporte comercial do material betuminoso e lavagem da brita em Vias Urbanas</v>
          </cell>
          <cell r="C1112" t="str">
            <v>m²</v>
          </cell>
          <cell r="D1112" t="str">
            <v>9,33</v>
          </cell>
          <cell r="E1112" t="str">
            <v>A incluir</v>
          </cell>
        </row>
        <row r="1113">
          <cell r="A1113">
            <v>42488</v>
          </cell>
          <cell r="B1113" t="str">
            <v>T.S.B.D. sem capa selante executado com Multidistribuidor excl. forn.e transp. com. da emulsão, inclus. fornecim., transp.e lavagem brita, V.Urbanas</v>
          </cell>
          <cell r="C1113" t="str">
            <v>m²</v>
          </cell>
          <cell r="D1113" t="str">
            <v>7,24</v>
          </cell>
          <cell r="E1113" t="str">
            <v>A incluir</v>
          </cell>
        </row>
        <row r="1114">
          <cell r="A1114">
            <v>0</v>
          </cell>
          <cell r="B1114">
            <v>0</v>
          </cell>
          <cell r="C1114">
            <v>0</v>
          </cell>
          <cell r="D1114">
            <v>0</v>
          </cell>
          <cell r="E1114" t="e">
            <v>#N/A</v>
          </cell>
        </row>
        <row r="1115">
          <cell r="A1115" t="str">
            <v>Grupo de Serviço: 63 - OBRAS DE ARTE CORRENTES E DRENAGEM - VIAS URBANAS</v>
          </cell>
          <cell r="B1115">
            <v>0</v>
          </cell>
          <cell r="C1115">
            <v>0</v>
          </cell>
          <cell r="E1115" t="e">
            <v>#N/A</v>
          </cell>
        </row>
        <row r="1116">
          <cell r="A1116">
            <v>42601</v>
          </cell>
          <cell r="B1116" t="str">
            <v>Alvenaria de bloco (39 x 19 x 09) cm espessura 09 cm em Vias Urbanas, inclusive transporte, areia, cimento e bloco</v>
          </cell>
          <cell r="C1116" t="str">
            <v>m²</v>
          </cell>
          <cell r="D1116" t="str">
            <v>49,27</v>
          </cell>
          <cell r="E1116" t="str">
            <v>A incluir</v>
          </cell>
        </row>
        <row r="1117">
          <cell r="A1117">
            <v>43602</v>
          </cell>
          <cell r="B1117" t="str">
            <v>Alvenaria de bloco (39 x 19 x 19) cm espessura 19 cm em Vias Urbanas</v>
          </cell>
          <cell r="C1117" t="str">
            <v>m²</v>
          </cell>
          <cell r="D1117" t="str">
            <v>75,82</v>
          </cell>
          <cell r="E1117" t="str">
            <v>A incluir</v>
          </cell>
        </row>
        <row r="1118">
          <cell r="A1118">
            <v>42602</v>
          </cell>
          <cell r="B1118" t="str">
            <v>Alvenaria de bloco (39 x 19 x 19) cm espessura 19 cm, inclusive transporte de areia, cimento e bloco em Vias Urbanas</v>
          </cell>
          <cell r="C1118" t="str">
            <v>m²</v>
          </cell>
          <cell r="D1118" t="str">
            <v>82,12</v>
          </cell>
          <cell r="E1118" t="str">
            <v>A incluir</v>
          </cell>
        </row>
        <row r="1119">
          <cell r="A1119">
            <v>42603</v>
          </cell>
          <cell r="B1119" t="str">
            <v>Alvenaria de lajota (20 x 20 x 10) cm espessura 10 cm , inclusive transporte de areia, lajota e cimento, em Vias Urbanas</v>
          </cell>
          <cell r="C1119" t="str">
            <v>m²</v>
          </cell>
          <cell r="D1119" t="str">
            <v>57,38</v>
          </cell>
          <cell r="E1119" t="str">
            <v>A incluir</v>
          </cell>
        </row>
        <row r="1120">
          <cell r="A1120">
            <v>42604</v>
          </cell>
          <cell r="B1120" t="str">
            <v>Alvenaria de pedra de mão (junta seca), inclusive transporte da pedra em Vias Urbanas</v>
          </cell>
          <cell r="C1120" t="str">
            <v>m³</v>
          </cell>
          <cell r="D1120" t="str">
            <v>221,42</v>
          </cell>
          <cell r="E1120" t="str">
            <v>A incluir</v>
          </cell>
        </row>
        <row r="1121">
          <cell r="A1121">
            <v>42605</v>
          </cell>
          <cell r="B1121" t="str">
            <v>Alvenaria de pedra de mão argamassada (argamassa cimento areia 1:4) inclusive transporte da pedra de mão, em Vias Urbanas</v>
          </cell>
          <cell r="C1121" t="str">
            <v>m³</v>
          </cell>
          <cell r="D1121" t="str">
            <v>326,36</v>
          </cell>
          <cell r="E1121" t="str">
            <v>A incluir</v>
          </cell>
        </row>
        <row r="1122">
          <cell r="A1122">
            <v>42606</v>
          </cell>
          <cell r="B1122" t="str">
            <v>Andaime de madeira para altura até 7 m, compreendendo montagem e desmontagem em Vias Urbanas</v>
          </cell>
          <cell r="C1122" t="str">
            <v>m³</v>
          </cell>
          <cell r="D1122" t="str">
            <v>19,79</v>
          </cell>
          <cell r="E1122">
            <v>0</v>
          </cell>
        </row>
        <row r="1123">
          <cell r="A1123">
            <v>42607</v>
          </cell>
          <cell r="B1123" t="str">
            <v>Andaime suspenso em madeira, inclusive montagem e desmontagem em Vias Urbanas</v>
          </cell>
          <cell r="C1123" t="str">
            <v>m²</v>
          </cell>
          <cell r="D1123" t="str">
            <v>113,69</v>
          </cell>
          <cell r="E1123">
            <v>0</v>
          </cell>
        </row>
        <row r="1124">
          <cell r="A1124">
            <v>42608</v>
          </cell>
          <cell r="B1124" t="str">
            <v>Apicoamento manual de superfície de concreto em Vias Urbanas</v>
          </cell>
          <cell r="C1124" t="str">
            <v>m²</v>
          </cell>
          <cell r="D1124" t="str">
            <v>20,44</v>
          </cell>
          <cell r="E1124">
            <v>0</v>
          </cell>
        </row>
        <row r="1125">
          <cell r="A1125">
            <v>42609</v>
          </cell>
          <cell r="B1125" t="str">
            <v>Apiloamento manual em Vias Urbanas</v>
          </cell>
          <cell r="C1125" t="str">
            <v>m³</v>
          </cell>
          <cell r="D1125" t="str">
            <v>42,94</v>
          </cell>
          <cell r="E1125">
            <v>0</v>
          </cell>
        </row>
        <row r="1126">
          <cell r="A1126">
            <v>42611</v>
          </cell>
          <cell r="B1126" t="str">
            <v>Argamassa cimento e areia traço 1:4 em Vias Urbanas</v>
          </cell>
          <cell r="C1126" t="str">
            <v>m³</v>
          </cell>
          <cell r="D1126" t="str">
            <v>486,15</v>
          </cell>
          <cell r="E1126" t="str">
            <v>A incluir</v>
          </cell>
        </row>
        <row r="1127">
          <cell r="A1127">
            <v>42612</v>
          </cell>
          <cell r="B1127" t="str">
            <v>Argamassa cimento (nata) em Vias Urbanas</v>
          </cell>
          <cell r="C1127" t="str">
            <v>m³</v>
          </cell>
          <cell r="D1127" t="str">
            <v>978,36</v>
          </cell>
          <cell r="E1127" t="str">
            <v>A incluir</v>
          </cell>
        </row>
        <row r="1128">
          <cell r="A1128">
            <v>42613</v>
          </cell>
          <cell r="B1128" t="str">
            <v>Argamassa de cimento e areia, traço 1:4, consumo de cimento 400 kg/m³ em Vias Urbanas</v>
          </cell>
          <cell r="C1128" t="str">
            <v>m³</v>
          </cell>
          <cell r="D1128" t="str">
            <v>506,37</v>
          </cell>
          <cell r="E1128" t="str">
            <v>A incluir</v>
          </cell>
        </row>
        <row r="1129">
          <cell r="A1129">
            <v>42615</v>
          </cell>
          <cell r="B1129" t="str">
            <v>Berço de concreto ciclópico para BDTC diâmetro 0,60 m em Via Urbanas</v>
          </cell>
          <cell r="C1129" t="str">
            <v>m</v>
          </cell>
          <cell r="D1129" t="str">
            <v>240,45</v>
          </cell>
          <cell r="E1129" t="str">
            <v>A incluir</v>
          </cell>
        </row>
        <row r="1130">
          <cell r="A1130">
            <v>41173</v>
          </cell>
          <cell r="B1130" t="str">
            <v>Berço em brita para BSTC diâm. -&gt; 0,30 m em Vias Urbanas</v>
          </cell>
          <cell r="C1130" t="str">
            <v>m</v>
          </cell>
          <cell r="D1130" t="str">
            <v>14,77</v>
          </cell>
          <cell r="E1130" t="str">
            <v>A incluir</v>
          </cell>
        </row>
        <row r="1131">
          <cell r="A1131">
            <v>41174</v>
          </cell>
          <cell r="B1131" t="str">
            <v>Berço em brita para BSTC diâm. -&gt; 0,40 m em Vias Urbanas</v>
          </cell>
          <cell r="C1131" t="str">
            <v>m</v>
          </cell>
          <cell r="D1131" t="str">
            <v>15,75</v>
          </cell>
          <cell r="E1131" t="str">
            <v>A incluir</v>
          </cell>
        </row>
        <row r="1132">
          <cell r="A1132">
            <v>41175</v>
          </cell>
          <cell r="B1132" t="str">
            <v>Berço em brita para BSTC diâm. -&gt; 0,60 m em Vias Urbanas</v>
          </cell>
          <cell r="C1132" t="str">
            <v>m</v>
          </cell>
          <cell r="D1132" t="str">
            <v>19,62</v>
          </cell>
          <cell r="E1132" t="str">
            <v>A incluir</v>
          </cell>
        </row>
        <row r="1133">
          <cell r="A1133">
            <v>41176</v>
          </cell>
          <cell r="B1133" t="str">
            <v>Berço em brita para BSTC diam. -&gt; 0,80 m em Vias Urbanas</v>
          </cell>
          <cell r="C1133" t="str">
            <v>m</v>
          </cell>
          <cell r="D1133" t="str">
            <v>29,30</v>
          </cell>
          <cell r="E1133" t="str">
            <v>A incluir</v>
          </cell>
        </row>
        <row r="1134">
          <cell r="A1134">
            <v>42635</v>
          </cell>
          <cell r="B1134" t="str">
            <v>Boca de BDCC 2,00 x 1,20m conforme projeto em Vias Urbanas</v>
          </cell>
          <cell r="C1134" t="str">
            <v>un</v>
          </cell>
          <cell r="D1134" t="str">
            <v>12.418,42</v>
          </cell>
          <cell r="E1134">
            <v>0</v>
          </cell>
        </row>
        <row r="1135">
          <cell r="A1135">
            <v>40628</v>
          </cell>
          <cell r="B1135" t="str">
            <v>Boca de BDCC 2,00 x 2,50 m em Vias Urbanas</v>
          </cell>
          <cell r="C1135" t="str">
            <v>un</v>
          </cell>
          <cell r="D1135" t="str">
            <v>25.027,41</v>
          </cell>
          <cell r="E1135">
            <v>0</v>
          </cell>
        </row>
        <row r="1136">
          <cell r="A1136">
            <v>40619</v>
          </cell>
          <cell r="B1136" t="str">
            <v>Boca de BSCC 2,50 x 2,50 m, projeto DNIT em Vias Urbanas</v>
          </cell>
          <cell r="C1136" t="str">
            <v>un</v>
          </cell>
          <cell r="D1136" t="str">
            <v>23.234,41</v>
          </cell>
          <cell r="E1136">
            <v>0</v>
          </cell>
        </row>
        <row r="1137">
          <cell r="A1137">
            <v>41087</v>
          </cell>
          <cell r="B1137" t="str">
            <v>Boca de lobo simples em blocos pré-moldados CR(0,40 x 0,80 m) em Vias Urbanas</v>
          </cell>
          <cell r="C1137" t="str">
            <v>un</v>
          </cell>
          <cell r="D1137" t="str">
            <v>1.203,26</v>
          </cell>
          <cell r="E1137">
            <v>0</v>
          </cell>
        </row>
        <row r="1138">
          <cell r="A1138">
            <v>42676</v>
          </cell>
          <cell r="B1138" t="str">
            <v>Bueiro Metálico BSTM - D-&gt; 3,00 m - T.L. com tratamento epóxi e-&gt;2,7 mm -método não destrutivo em Vias Urbanas</v>
          </cell>
          <cell r="C1138" t="str">
            <v>m</v>
          </cell>
          <cell r="D1138" t="str">
            <v>9.530,74</v>
          </cell>
          <cell r="E1138" t="str">
            <v>A incluir</v>
          </cell>
        </row>
        <row r="1139">
          <cell r="A1139">
            <v>42677</v>
          </cell>
          <cell r="B1139" t="str">
            <v>Bueiro Metálico BSTM - D-&gt;3,05m - MP-152 com tratamento epóxi e-&gt;2,7mm - método destrutivo, inclusive lastro de brita em Vias Urbanas</v>
          </cell>
          <cell r="C1139" t="str">
            <v>m</v>
          </cell>
          <cell r="D1139" t="str">
            <v>6.209,75</v>
          </cell>
          <cell r="E1139" t="str">
            <v>A incluir</v>
          </cell>
        </row>
        <row r="1140">
          <cell r="A1140">
            <v>42678</v>
          </cell>
          <cell r="B1140" t="str">
            <v>Caiação de meio fios, sarjetas, etc. em Vias Urbanas</v>
          </cell>
          <cell r="C1140" t="str">
            <v>m²</v>
          </cell>
          <cell r="D1140" t="str">
            <v>5,78</v>
          </cell>
          <cell r="E1140">
            <v>0</v>
          </cell>
        </row>
        <row r="1141">
          <cell r="A1141">
            <v>41159</v>
          </cell>
          <cell r="B1141" t="str">
            <v>Caixa Boca de Lobo em bloco pré-moldado de concreto para diâm.-&gt;1,00m (1,30 x 1,30m) em Vias Urbanas</v>
          </cell>
          <cell r="C1141" t="str">
            <v>un</v>
          </cell>
          <cell r="D1141" t="str">
            <v>2.798,19</v>
          </cell>
          <cell r="E1141">
            <v>0</v>
          </cell>
        </row>
        <row r="1142">
          <cell r="A1142">
            <v>41144</v>
          </cell>
          <cell r="B1142" t="str">
            <v>Caixa Boca de Lobo em bloco pré-moldado para diâm. -&gt; 0,60m (1,00 x 1,00m) CBL2 (Vias Urbanas)</v>
          </cell>
          <cell r="C1142" t="str">
            <v>un</v>
          </cell>
          <cell r="D1142" t="str">
            <v>2.054,28</v>
          </cell>
          <cell r="E1142">
            <v>0</v>
          </cell>
        </row>
        <row r="1143">
          <cell r="A1143">
            <v>41158</v>
          </cell>
          <cell r="B1143" t="str">
            <v>Caixa Boca de Lobo em bloco pré-moldado para diâm. -&gt; 0,80m (1,20 x 1,20m) (Vias Urbanas)</v>
          </cell>
          <cell r="C1143" t="str">
            <v>un</v>
          </cell>
          <cell r="D1143" t="str">
            <v>2.399,04</v>
          </cell>
          <cell r="E1143">
            <v>0</v>
          </cell>
        </row>
        <row r="1144">
          <cell r="A1144">
            <v>41160</v>
          </cell>
          <cell r="B1144" t="str">
            <v>Caixa Boca de Lobo em bloco pré-moldado para diâm. -&gt; 1,20m(1,50 x 1,50m) (Vias Urbanas)</v>
          </cell>
          <cell r="C1144" t="str">
            <v>un</v>
          </cell>
          <cell r="D1144" t="str">
            <v>3.563,96</v>
          </cell>
          <cell r="E1144">
            <v>0</v>
          </cell>
        </row>
        <row r="1145">
          <cell r="A1145">
            <v>41101</v>
          </cell>
          <cell r="B1145" t="str">
            <v>Caixa Boca de Lobo em bloco pré-moldado para diâm.-&gt; 0,30m e 0,40m (0,80 x 0,80m) (Vias Urbanas)</v>
          </cell>
          <cell r="C1145" t="str">
            <v>un</v>
          </cell>
          <cell r="D1145" t="str">
            <v>1.721,44</v>
          </cell>
          <cell r="E1145">
            <v>0</v>
          </cell>
        </row>
        <row r="1146">
          <cell r="A1146">
            <v>42679</v>
          </cell>
          <cell r="B1146" t="str">
            <v>Caixa Boca de Lobo em bloco pré-moldado 1,20 x 1,20m em Vias Urbanas</v>
          </cell>
          <cell r="C1146" t="str">
            <v>un</v>
          </cell>
          <cell r="D1146" t="str">
            <v>3.855,70</v>
          </cell>
          <cell r="E1146">
            <v>0</v>
          </cell>
        </row>
        <row r="1147">
          <cell r="A1147">
            <v>42680</v>
          </cell>
          <cell r="B1147" t="str">
            <v>Caixa coletora concreto armado H-&gt; 2,00m, inclusive escavação em Vias Urbanas</v>
          </cell>
          <cell r="C1147" t="str">
            <v>un</v>
          </cell>
          <cell r="D1147" t="str">
            <v>4.045,77</v>
          </cell>
          <cell r="E1147">
            <v>0</v>
          </cell>
        </row>
        <row r="1148">
          <cell r="A1148">
            <v>42681</v>
          </cell>
          <cell r="B1148" t="str">
            <v>Caixa coletora concreto armado H-&gt; 2,50m, inclusive escavação em Vias Urbanas</v>
          </cell>
          <cell r="C1148" t="str">
            <v>un</v>
          </cell>
          <cell r="D1148" t="str">
            <v>4.970,50</v>
          </cell>
          <cell r="E1148">
            <v>0</v>
          </cell>
        </row>
        <row r="1149">
          <cell r="A1149">
            <v>42682</v>
          </cell>
          <cell r="B1149" t="str">
            <v>Caixa coletora em bloco pré-moldado para d-&gt;0,60m (1,00 x 1,00m) em Vias Urbanas</v>
          </cell>
          <cell r="C1149" t="str">
            <v>un</v>
          </cell>
          <cell r="D1149" t="str">
            <v>1.943,97</v>
          </cell>
          <cell r="E1149" t="str">
            <v>A incluir</v>
          </cell>
        </row>
        <row r="1150">
          <cell r="A1150">
            <v>41334</v>
          </cell>
          <cell r="B1150" t="str">
            <v>Caixa coletora em bloco pré-moldado para d-&gt;0,80m (1,20 x 1,20m) em Vias Urbanas</v>
          </cell>
          <cell r="C1150" t="str">
            <v>un</v>
          </cell>
          <cell r="D1150" t="str">
            <v>2.452,72</v>
          </cell>
          <cell r="E1150" t="str">
            <v>A incluir</v>
          </cell>
        </row>
        <row r="1151">
          <cell r="A1151">
            <v>42683</v>
          </cell>
          <cell r="B1151" t="str">
            <v>Caixa de concreto para BSTC diâmetro 0,40 m H-&gt;1,60 m em Vias Urbanas</v>
          </cell>
          <cell r="C1151" t="str">
            <v>un</v>
          </cell>
          <cell r="D1151" t="str">
            <v>1.882,69</v>
          </cell>
          <cell r="E1151" t="str">
            <v>A incluir</v>
          </cell>
        </row>
        <row r="1152">
          <cell r="A1152">
            <v>42684</v>
          </cell>
          <cell r="B1152" t="str">
            <v>Caixa de concreto para BSTC diâmetro 0,60m H-&gt;2,00m em Vias Urbanas</v>
          </cell>
          <cell r="C1152" t="str">
            <v>un</v>
          </cell>
          <cell r="D1152" t="str">
            <v>2.926,48</v>
          </cell>
          <cell r="E1152" t="str">
            <v>A incluir</v>
          </cell>
        </row>
        <row r="1153">
          <cell r="A1153">
            <v>42685</v>
          </cell>
          <cell r="B1153" t="str">
            <v>Caixa de concreto para BSTC diâmetro 0,80m H-&gt;2,50m em Vias Urbanas</v>
          </cell>
          <cell r="C1153" t="str">
            <v>un</v>
          </cell>
          <cell r="D1153" t="str">
            <v>3.631,98</v>
          </cell>
          <cell r="E1153" t="str">
            <v>A incluir</v>
          </cell>
        </row>
        <row r="1154">
          <cell r="A1154">
            <v>42686</v>
          </cell>
          <cell r="B1154" t="str">
            <v>Caixa de concreto para BSTC diâmetro 1,00m H-&gt;3,00m em Vias Urbanas</v>
          </cell>
          <cell r="C1154" t="str">
            <v>un</v>
          </cell>
          <cell r="D1154" t="str">
            <v>4.313,03</v>
          </cell>
          <cell r="E1154" t="str">
            <v>A incluir</v>
          </cell>
        </row>
        <row r="1155">
          <cell r="A1155">
            <v>41162</v>
          </cell>
          <cell r="B1155" t="str">
            <v>Caixa de passagem em bloco pré-moldado para d-&gt;0,30 e 0,40m (0,80x0,80m) em Vias Urbanas</v>
          </cell>
          <cell r="C1155" t="str">
            <v>un</v>
          </cell>
          <cell r="D1155" t="str">
            <v>1.809,44</v>
          </cell>
          <cell r="E1155">
            <v>0</v>
          </cell>
        </row>
        <row r="1156">
          <cell r="A1156">
            <v>41163</v>
          </cell>
          <cell r="B1156" t="str">
            <v>Caixa de passagem em bloco pré-moldado para d-&gt;0,60m (1,00x1,00m) em Vias Urbanas</v>
          </cell>
          <cell r="C1156" t="str">
            <v>un</v>
          </cell>
          <cell r="D1156" t="str">
            <v>2.169,74</v>
          </cell>
          <cell r="E1156">
            <v>0</v>
          </cell>
        </row>
        <row r="1157">
          <cell r="A1157">
            <v>41164</v>
          </cell>
          <cell r="B1157" t="str">
            <v>Caixa de passagem em bloco pré-moldado para d-&gt;0,80m (1,20 x 1,20m) em Vias Urbanas</v>
          </cell>
          <cell r="C1157" t="str">
            <v>un</v>
          </cell>
          <cell r="D1157" t="str">
            <v>2.646,33</v>
          </cell>
          <cell r="E1157">
            <v>0</v>
          </cell>
        </row>
        <row r="1158">
          <cell r="A1158">
            <v>41165</v>
          </cell>
          <cell r="B1158" t="str">
            <v>Caixa de passagem em bloco pré-moldado para d-&gt;1,00m (1,30 x 1,30m) em Vias Urbanas</v>
          </cell>
          <cell r="C1158" t="str">
            <v>un</v>
          </cell>
          <cell r="D1158" t="str">
            <v>2.955,09</v>
          </cell>
          <cell r="E1158">
            <v>0</v>
          </cell>
        </row>
        <row r="1159">
          <cell r="A1159">
            <v>41166</v>
          </cell>
          <cell r="B1159" t="str">
            <v>Caixa de passagem em bloco pré-moldado para d-&gt;1,20m (1,50 x 1,50m) em Vias Urbanas</v>
          </cell>
          <cell r="C1159" t="str">
            <v>un</v>
          </cell>
          <cell r="D1159" t="str">
            <v>3.623,66</v>
          </cell>
          <cell r="E1159">
            <v>0</v>
          </cell>
        </row>
        <row r="1160">
          <cell r="A1160">
            <v>42687</v>
          </cell>
          <cell r="B1160" t="str">
            <v>Caixa de passagem para tubos de D-&gt;0,40m H-&gt;1,10m em Vias Urbanas</v>
          </cell>
          <cell r="C1160" t="str">
            <v>un</v>
          </cell>
          <cell r="D1160" t="str">
            <v>1.249,38</v>
          </cell>
          <cell r="E1160">
            <v>0</v>
          </cell>
        </row>
        <row r="1161">
          <cell r="A1161">
            <v>42688</v>
          </cell>
          <cell r="B1161" t="str">
            <v>Caixa de passagem para tubos de D-&gt;0,60m H-&gt;1,30m em Vias Urbanas</v>
          </cell>
          <cell r="C1161" t="str">
            <v>un</v>
          </cell>
          <cell r="D1161" t="str">
            <v>1.576,00</v>
          </cell>
          <cell r="E1161">
            <v>0</v>
          </cell>
        </row>
        <row r="1162">
          <cell r="A1162">
            <v>42689</v>
          </cell>
          <cell r="B1162" t="str">
            <v>Caixa de passagem para tubos de D-&gt;0,80m H-&gt;1,50m em Vias Urbanas</v>
          </cell>
          <cell r="C1162" t="str">
            <v>un</v>
          </cell>
          <cell r="D1162" t="str">
            <v>1.978,52</v>
          </cell>
          <cell r="E1162">
            <v>0</v>
          </cell>
        </row>
        <row r="1163">
          <cell r="A1163">
            <v>42690</v>
          </cell>
          <cell r="B1163" t="str">
            <v>Caixa de passagem para tubos de D-&gt;1,00m H-&gt;1,80m em Vias Urbanas</v>
          </cell>
          <cell r="C1163" t="str">
            <v>un</v>
          </cell>
          <cell r="D1163" t="str">
            <v>3.137,14</v>
          </cell>
          <cell r="E1163">
            <v>0</v>
          </cell>
        </row>
        <row r="1164">
          <cell r="A1164">
            <v>42691</v>
          </cell>
          <cell r="B1164" t="str">
            <v>Caixa de passagem (2,50 x 2,50m) em Vias Urbanas</v>
          </cell>
          <cell r="C1164" t="str">
            <v>un</v>
          </cell>
          <cell r="D1164" t="str">
            <v>6.970,61</v>
          </cell>
          <cell r="E1164" t="str">
            <v>A incluir</v>
          </cell>
        </row>
        <row r="1165">
          <cell r="A1165">
            <v>42693</v>
          </cell>
          <cell r="B1165" t="str">
            <v>Caixa para rede de dutos dimensões 100 x100 x100 cm, em Vias Urbanas</v>
          </cell>
          <cell r="C1165" t="str">
            <v>m</v>
          </cell>
          <cell r="D1165" t="str">
            <v>3.427,76</v>
          </cell>
          <cell r="E1165">
            <v>0</v>
          </cell>
        </row>
        <row r="1166">
          <cell r="A1166">
            <v>42692</v>
          </cell>
          <cell r="B1166" t="str">
            <v>Caixa para rede de dutos dimensões 60 x 60 x 60 cm, em Vias Urbanas</v>
          </cell>
          <cell r="C1166" t="str">
            <v>un</v>
          </cell>
          <cell r="D1166" t="str">
            <v>553,54</v>
          </cell>
          <cell r="E1166">
            <v>0</v>
          </cell>
        </row>
        <row r="1167">
          <cell r="A1167">
            <v>41085</v>
          </cell>
          <cell r="B1167" t="str">
            <v>Caixa ralo com grelha de concreto em blocos pré-moldados - CRG - Vias Urbanas</v>
          </cell>
          <cell r="C1167" t="str">
            <v>un</v>
          </cell>
          <cell r="D1167" t="str">
            <v>1.245,14</v>
          </cell>
          <cell r="E1167">
            <v>0</v>
          </cell>
        </row>
        <row r="1168">
          <cell r="A1168">
            <v>42694</v>
          </cell>
          <cell r="B1168" t="str">
            <v>Caixa ralo de elementos pré-moldados em concreto (tudo incluído) em Vias Urbanas</v>
          </cell>
          <cell r="C1168" t="str">
            <v>un</v>
          </cell>
          <cell r="D1168" t="str">
            <v>684,53</v>
          </cell>
          <cell r="E1168" t="str">
            <v>A incluir</v>
          </cell>
        </row>
        <row r="1169">
          <cell r="A1169">
            <v>41241</v>
          </cell>
          <cell r="B1169" t="str">
            <v>Caixa ralo em blocos pré-moldados e grelha articulada em FFA em Vias Urbanas</v>
          </cell>
          <cell r="C1169" t="str">
            <v>un</v>
          </cell>
          <cell r="D1169" t="str">
            <v>1.203,95</v>
          </cell>
          <cell r="E1169" t="str">
            <v>A incluir</v>
          </cell>
        </row>
        <row r="1170">
          <cell r="A1170">
            <v>42697</v>
          </cell>
          <cell r="B1170" t="str">
            <v>Canaleta com grelha DP-1, inclusive transporte da grelha em Vias Urbanas</v>
          </cell>
          <cell r="C1170" t="str">
            <v>m</v>
          </cell>
          <cell r="D1170" t="str">
            <v>563,57</v>
          </cell>
          <cell r="E1170" t="str">
            <v>A incluir</v>
          </cell>
        </row>
        <row r="1171">
          <cell r="A1171">
            <v>42698</v>
          </cell>
          <cell r="B1171" t="str">
            <v>Canaleta de concreto, com forma retangular inclusive caiação - parede 12 cm em Vias Urbanas</v>
          </cell>
          <cell r="C1171" t="str">
            <v>m</v>
          </cell>
          <cell r="D1171" t="str">
            <v>183,06</v>
          </cell>
          <cell r="E1171" t="str">
            <v>A incluir</v>
          </cell>
        </row>
        <row r="1172">
          <cell r="A1172">
            <v>42699</v>
          </cell>
          <cell r="B1172" t="str">
            <v>Canaleta de concreto retangular (0,130m³/m) inclusive caiação em Vias Urbanas</v>
          </cell>
          <cell r="C1172" t="str">
            <v>m</v>
          </cell>
          <cell r="D1172" t="str">
            <v>232,85</v>
          </cell>
          <cell r="E1172">
            <v>0</v>
          </cell>
        </row>
        <row r="1173">
          <cell r="A1173">
            <v>42700</v>
          </cell>
          <cell r="B1173" t="str">
            <v>Canaleta de concreto (0,130m³/m) forma trapezoidal inclusive caiação em Vias Urbanas</v>
          </cell>
          <cell r="C1173" t="str">
            <v>m</v>
          </cell>
          <cell r="D1173" t="str">
            <v>162,46</v>
          </cell>
          <cell r="E1173" t="str">
            <v>A incluir</v>
          </cell>
        </row>
        <row r="1174">
          <cell r="A1174">
            <v>42701</v>
          </cell>
          <cell r="B1174" t="str">
            <v>Cerca de tela de arame galvanizado h-&gt;1,20m em Vias Urbanas</v>
          </cell>
          <cell r="C1174" t="str">
            <v>m²</v>
          </cell>
          <cell r="D1174" t="str">
            <v>29,77</v>
          </cell>
          <cell r="E1174">
            <v>0</v>
          </cell>
        </row>
        <row r="1175">
          <cell r="A1175">
            <v>42703</v>
          </cell>
          <cell r="B1175" t="str">
            <v>Cerca em tela revestida em PVC com mourões de concreto, fornecimento e execução em Vias Urbanas</v>
          </cell>
          <cell r="C1175" t="str">
            <v>m²</v>
          </cell>
          <cell r="D1175" t="str">
            <v>73,08</v>
          </cell>
          <cell r="E1175">
            <v>0</v>
          </cell>
        </row>
        <row r="1176">
          <cell r="A1176">
            <v>42704</v>
          </cell>
          <cell r="B1176" t="str">
            <v>Chapisco com argamassa de cimento e areia 1:3 em Vias Urbanas</v>
          </cell>
          <cell r="C1176" t="str">
            <v>m²</v>
          </cell>
          <cell r="D1176" t="str">
            <v>5,70</v>
          </cell>
          <cell r="E1176">
            <v>0</v>
          </cell>
        </row>
        <row r="1177">
          <cell r="A1177">
            <v>42705</v>
          </cell>
          <cell r="B1177" t="str">
            <v>Chapisco com argamassa de cimento e pedrisco 1:4 em Vias Urbanas</v>
          </cell>
          <cell r="C1177" t="str">
            <v>m²</v>
          </cell>
          <cell r="D1177" t="str">
            <v>8,98</v>
          </cell>
          <cell r="E1177">
            <v>0</v>
          </cell>
        </row>
        <row r="1178">
          <cell r="A1178">
            <v>42706</v>
          </cell>
          <cell r="B1178" t="str">
            <v>Colchão drenante de areia para fundação de aterros, exclusive o fornecimento de areia em Vias Urbanas</v>
          </cell>
          <cell r="C1178" t="str">
            <v>m³</v>
          </cell>
          <cell r="D1178" t="str">
            <v>4,93</v>
          </cell>
          <cell r="E1178">
            <v>0</v>
          </cell>
        </row>
        <row r="1179">
          <cell r="A1179">
            <v>42707</v>
          </cell>
          <cell r="B1179" t="str">
            <v>Colchão drenante de areia para fundação de aterros, inclusive fornecimento e transporte da areia em Vias Urbanas</v>
          </cell>
          <cell r="C1179" t="str">
            <v>m³</v>
          </cell>
          <cell r="D1179" t="str">
            <v>77,85</v>
          </cell>
          <cell r="E1179" t="str">
            <v>A incluir</v>
          </cell>
        </row>
        <row r="1180">
          <cell r="A1180">
            <v>42708</v>
          </cell>
          <cell r="B1180" t="str">
            <v>Colchão drenante de brita 1 inclusive fornecimento, espalhamento, compactação e transporte da brita em Vias Urbanas</v>
          </cell>
          <cell r="C1180" t="str">
            <v>m³</v>
          </cell>
          <cell r="D1180" t="str">
            <v>95,93</v>
          </cell>
          <cell r="E1180" t="str">
            <v>A incluir</v>
          </cell>
        </row>
        <row r="1181">
          <cell r="A1181">
            <v>42709</v>
          </cell>
          <cell r="B1181" t="str">
            <v>Colchão drenante de brita 2 inclusive fornecimento, espalhamento, compactação e transporte da brita em Vias Urbanas</v>
          </cell>
          <cell r="C1181" t="str">
            <v>m³</v>
          </cell>
          <cell r="D1181" t="str">
            <v>93,21</v>
          </cell>
          <cell r="E1181" t="str">
            <v>A incluir</v>
          </cell>
        </row>
        <row r="1182">
          <cell r="A1182">
            <v>42710</v>
          </cell>
          <cell r="B1182" t="str">
            <v>Colchão drenante de brita 3 inclusive fornecimento, espalhamento, compactação e transporte da brita em Vias Urbanas</v>
          </cell>
          <cell r="C1182" t="str">
            <v>m³</v>
          </cell>
          <cell r="D1182" t="str">
            <v>101,11</v>
          </cell>
          <cell r="E1182" t="str">
            <v>A incluir</v>
          </cell>
        </row>
        <row r="1183">
          <cell r="A1183">
            <v>42711</v>
          </cell>
          <cell r="B1183" t="str">
            <v>Coleta drenante (1,00x1,00) m c/ geotêxtil não tecido RT 16kn/m, inclusive transporte da brita em Vias Urbanas</v>
          </cell>
          <cell r="C1183" t="str">
            <v>m</v>
          </cell>
          <cell r="D1183" t="str">
            <v>348,39</v>
          </cell>
          <cell r="E1183" t="str">
            <v>A incluir</v>
          </cell>
        </row>
        <row r="1184">
          <cell r="A1184">
            <v>42712</v>
          </cell>
          <cell r="B1184" t="str">
            <v>Concreto armado, dosado para resist. 20 Mpa, incluindo 60 kg aço CA-50 A, mão de obra p/ corte, dobragem e montagem, exclusive forma em Vias Urbanas</v>
          </cell>
          <cell r="C1184" t="str">
            <v>m³</v>
          </cell>
          <cell r="D1184" t="str">
            <v>826,90</v>
          </cell>
          <cell r="E1184">
            <v>0</v>
          </cell>
        </row>
        <row r="1185">
          <cell r="A1185">
            <v>42714</v>
          </cell>
          <cell r="B1185" t="str">
            <v>Concreto de regularização em Vias Urbanas</v>
          </cell>
          <cell r="C1185" t="str">
            <v>m³</v>
          </cell>
          <cell r="D1185" t="str">
            <v>437,22</v>
          </cell>
          <cell r="E1185" t="str">
            <v>A incluir</v>
          </cell>
        </row>
        <row r="1186">
          <cell r="A1186">
            <v>42717</v>
          </cell>
          <cell r="B1186" t="str">
            <v>Concreto estrutural fck -&gt; 20,0 MPa com plastificante em Vias Urbanas</v>
          </cell>
          <cell r="C1186" t="str">
            <v>m³</v>
          </cell>
          <cell r="D1186" t="str">
            <v>621,14</v>
          </cell>
          <cell r="E1186" t="str">
            <v>A incluir</v>
          </cell>
        </row>
        <row r="1187">
          <cell r="A1187">
            <v>42716</v>
          </cell>
          <cell r="B1187" t="str">
            <v>Concreto estrutural fck -&gt; 20,0 MPa em Vias Urbanas</v>
          </cell>
          <cell r="C1187" t="str">
            <v>m³</v>
          </cell>
          <cell r="D1187" t="str">
            <v>618,97</v>
          </cell>
          <cell r="E1187" t="str">
            <v>A incluir</v>
          </cell>
        </row>
        <row r="1188">
          <cell r="A1188">
            <v>42719</v>
          </cell>
          <cell r="B1188" t="str">
            <v>Concreto estrutural fck -&gt; 25,0 MPa com plastificante em Vias Urbanas</v>
          </cell>
          <cell r="C1188" t="str">
            <v>m³</v>
          </cell>
          <cell r="D1188" t="str">
            <v>650,75</v>
          </cell>
          <cell r="E1188" t="str">
            <v>A incluir</v>
          </cell>
        </row>
        <row r="1189">
          <cell r="A1189">
            <v>42718</v>
          </cell>
          <cell r="B1189" t="str">
            <v>Concreto estrutural fck -&gt; 25,0 MPa em Vias Urbanas</v>
          </cell>
          <cell r="C1189" t="str">
            <v>m³</v>
          </cell>
          <cell r="D1189" t="str">
            <v>648,31</v>
          </cell>
          <cell r="E1189" t="str">
            <v>A incluir</v>
          </cell>
        </row>
        <row r="1190">
          <cell r="A1190">
            <v>42722</v>
          </cell>
          <cell r="B1190" t="str">
            <v>Concreto estrutural fck -&gt; 30,0 MPa com micro-silica e Sikacrete BR ou equivalente em Vias Urbanas</v>
          </cell>
          <cell r="C1190" t="str">
            <v>m³</v>
          </cell>
          <cell r="D1190" t="str">
            <v>791,14</v>
          </cell>
          <cell r="E1190" t="str">
            <v>A incluir</v>
          </cell>
        </row>
        <row r="1191">
          <cell r="A1191">
            <v>42721</v>
          </cell>
          <cell r="B1191" t="str">
            <v>Concreto estrutural fck -&gt; 30,0 MPa com plastificante em Vias Urbanas</v>
          </cell>
          <cell r="C1191" t="str">
            <v>m³</v>
          </cell>
          <cell r="D1191" t="str">
            <v>678,01</v>
          </cell>
          <cell r="E1191" t="str">
            <v>A incluir</v>
          </cell>
        </row>
        <row r="1192">
          <cell r="A1192">
            <v>42720</v>
          </cell>
          <cell r="B1192" t="str">
            <v>Concreto estrutural fck -&gt; 30,0 MPa em Vias Urbanas</v>
          </cell>
          <cell r="C1192" t="str">
            <v>m³</v>
          </cell>
          <cell r="D1192" t="str">
            <v>675,33</v>
          </cell>
          <cell r="E1192" t="str">
            <v>A incluir</v>
          </cell>
        </row>
        <row r="1193">
          <cell r="A1193">
            <v>42723</v>
          </cell>
          <cell r="B1193" t="str">
            <v>Concreto estrutural fck -&gt; 35,0 MPa com micro-silica e Sikacrete ou equivalente em Vias Urbanas</v>
          </cell>
          <cell r="C1193" t="str">
            <v>m³</v>
          </cell>
          <cell r="D1193" t="str">
            <v>758,29</v>
          </cell>
          <cell r="E1193" t="str">
            <v>A incluir</v>
          </cell>
        </row>
        <row r="1194">
          <cell r="A1194">
            <v>42724</v>
          </cell>
          <cell r="B1194" t="str">
            <v>Concreto submerso fck -&gt; 20,0 MPa em Vias Urbanas</v>
          </cell>
          <cell r="C1194" t="str">
            <v>m³</v>
          </cell>
          <cell r="D1194" t="str">
            <v>1.262,58</v>
          </cell>
          <cell r="E1194" t="str">
            <v>A incluir</v>
          </cell>
        </row>
        <row r="1195">
          <cell r="A1195">
            <v>42725</v>
          </cell>
          <cell r="B1195" t="str">
            <v>Conjunto Moto-bomba submersível de 15CV, fornecimento e assentamento em Vias Urbanas</v>
          </cell>
          <cell r="C1195" t="str">
            <v>un</v>
          </cell>
          <cell r="D1195" t="str">
            <v>32.382,53</v>
          </cell>
          <cell r="E1195">
            <v>0</v>
          </cell>
        </row>
        <row r="1196">
          <cell r="A1196">
            <v>42726</v>
          </cell>
          <cell r="B1196" t="str">
            <v>Corpo BDTC (grota) diâmetro 0,60 m CA-1 MF exclusive escavação e reaterro, inclusive transporte do tubo em Vias Urbanas</v>
          </cell>
          <cell r="C1196" t="str">
            <v>m</v>
          </cell>
          <cell r="D1196" t="str">
            <v>294,00</v>
          </cell>
          <cell r="E1196" t="str">
            <v>A incluir</v>
          </cell>
        </row>
        <row r="1197">
          <cell r="A1197">
            <v>42727</v>
          </cell>
          <cell r="B1197" t="str">
            <v>Corpo BDTC (grota) diâmetro 0,60 m CA-1 PB exclusive escavação e reaterro, inclusive transporte do tubo em Vias Urbanas</v>
          </cell>
          <cell r="C1197" t="str">
            <v>m</v>
          </cell>
          <cell r="D1197" t="str">
            <v>304,44</v>
          </cell>
          <cell r="E1197" t="str">
            <v>A incluir</v>
          </cell>
        </row>
        <row r="1198">
          <cell r="A1198">
            <v>42728</v>
          </cell>
          <cell r="B1198" t="str">
            <v>Corpo BDTC (grota) diâmetro 0,60 m CA-2 MF exclusive escavação e reaterro, inclusive transporte do tubo em Vias Urbanas</v>
          </cell>
          <cell r="C1198" t="str">
            <v>m</v>
          </cell>
          <cell r="D1198" t="str">
            <v>297,88</v>
          </cell>
          <cell r="E1198" t="str">
            <v>A incluir</v>
          </cell>
        </row>
        <row r="1199">
          <cell r="A1199">
            <v>42729</v>
          </cell>
          <cell r="B1199" t="str">
            <v>Corpo BDTC (grota) diâmetro 0,60 m CA-2 PB exclusive escavação e reaterro, inclusive transporte do tubo em Vias Urbanas</v>
          </cell>
          <cell r="C1199" t="str">
            <v>m</v>
          </cell>
          <cell r="D1199" t="str">
            <v>304,57</v>
          </cell>
          <cell r="E1199" t="str">
            <v>A incluir</v>
          </cell>
        </row>
        <row r="1200">
          <cell r="A1200">
            <v>42730</v>
          </cell>
          <cell r="B1200" t="str">
            <v>Corpo BDTC (grota) diâmetro 0,80 m CA-1 MF exclusive escavação e reaterro, inclusive transporte do tubo em Vias Urbanas</v>
          </cell>
          <cell r="C1200" t="str">
            <v>m</v>
          </cell>
          <cell r="D1200" t="str">
            <v>620,62</v>
          </cell>
          <cell r="E1200" t="str">
            <v>A incluir</v>
          </cell>
        </row>
        <row r="1201">
          <cell r="A1201">
            <v>42731</v>
          </cell>
          <cell r="B1201" t="str">
            <v>Corpo BDTC (grota) diâmetro 0,80 m CA-1 PB exclusive escavação e reaterro, inclusive transporte do tubo em Vias Urbanas</v>
          </cell>
          <cell r="C1201" t="str">
            <v>m</v>
          </cell>
          <cell r="D1201" t="str">
            <v>634,18</v>
          </cell>
          <cell r="E1201" t="str">
            <v>A incluir</v>
          </cell>
        </row>
        <row r="1202">
          <cell r="A1202">
            <v>42732</v>
          </cell>
          <cell r="B1202" t="str">
            <v>Corpo BDTC (grota) diâmetro 0,80 m CA-2 MF exclusive escavação e reaterro, inclusive transporte do tubo em Vias Urbanas</v>
          </cell>
          <cell r="C1202" t="str">
            <v>m</v>
          </cell>
          <cell r="D1202" t="str">
            <v>640,07</v>
          </cell>
          <cell r="E1202" t="str">
            <v>A incluir</v>
          </cell>
        </row>
        <row r="1203">
          <cell r="A1203">
            <v>42733</v>
          </cell>
          <cell r="B1203" t="str">
            <v>Corpo BDTC (grota) diâmetro 0,80 m CA-2 PB exclusive escavação e reaterro, inclusive transporte do tubo em Vias Urbanas</v>
          </cell>
          <cell r="C1203" t="str">
            <v>m</v>
          </cell>
          <cell r="D1203" t="str">
            <v>668,02</v>
          </cell>
          <cell r="E1203" t="str">
            <v>A incluir</v>
          </cell>
        </row>
        <row r="1204">
          <cell r="A1204">
            <v>42734</v>
          </cell>
          <cell r="B1204" t="str">
            <v>Corpo BDTC (grota) diâmetro 1,00 m CA-1 MF exclusive escavação e reaterro, inclusive transporte do tubo em Vias Urbanas</v>
          </cell>
          <cell r="C1204" t="str">
            <v>m</v>
          </cell>
          <cell r="D1204" t="str">
            <v>786,32</v>
          </cell>
          <cell r="E1204" t="str">
            <v>A incluir</v>
          </cell>
        </row>
        <row r="1205">
          <cell r="A1205">
            <v>42735</v>
          </cell>
          <cell r="B1205" t="str">
            <v>Corpo BDTC (grota) diâmetro 1,00 m CA-1 PB exclusive escavação e reaterro, inclusive transporte do tubo em Vias Urbanas</v>
          </cell>
          <cell r="C1205" t="str">
            <v>m</v>
          </cell>
          <cell r="D1205" t="str">
            <v>748,35</v>
          </cell>
          <cell r="E1205" t="str">
            <v>A incluir</v>
          </cell>
        </row>
        <row r="1206">
          <cell r="A1206">
            <v>42736</v>
          </cell>
          <cell r="B1206" t="str">
            <v>Corpo BDTC (grota) diâmetro 1,00 m CA-2 MF exclusive escavação e reaterro, inclusive transporte do tubo em Vias Urbanas</v>
          </cell>
          <cell r="C1206" t="str">
            <v>m</v>
          </cell>
          <cell r="D1206" t="str">
            <v>812,24</v>
          </cell>
          <cell r="E1206" t="str">
            <v>A incluir</v>
          </cell>
        </row>
        <row r="1207">
          <cell r="A1207">
            <v>42737</v>
          </cell>
          <cell r="B1207" t="str">
            <v>Corpo BDTC (grota) diâmetro 1,00 m CA-2 PB exclusive escavação e reaterro, inclusive transporte do tubo em Vias Urbanas</v>
          </cell>
          <cell r="C1207" t="str">
            <v>m</v>
          </cell>
          <cell r="D1207" t="str">
            <v>843,35</v>
          </cell>
          <cell r="E1207" t="str">
            <v>A incluir</v>
          </cell>
        </row>
        <row r="1208">
          <cell r="A1208">
            <v>42738</v>
          </cell>
          <cell r="B1208" t="str">
            <v>Corpo BDTC (grota) diâmetro 1,00 m CA-3 MF exclusive escavação e reaterro, inclusive transporte do tubo em Vias Urbanas</v>
          </cell>
          <cell r="C1208" t="str">
            <v>m</v>
          </cell>
          <cell r="D1208" t="str">
            <v>883,54</v>
          </cell>
          <cell r="E1208" t="str">
            <v>A incluir</v>
          </cell>
        </row>
        <row r="1209">
          <cell r="A1209">
            <v>42739</v>
          </cell>
          <cell r="B1209" t="str">
            <v>Corpo BDTC (grota) diâmetro 1,20 m CA-1 MF exclusive escavação e reaterro, inclusive transporte do tubo em Vias Urbanas</v>
          </cell>
          <cell r="C1209" t="str">
            <v>m</v>
          </cell>
          <cell r="D1209" t="str">
            <v>1.186,37</v>
          </cell>
          <cell r="E1209" t="str">
            <v>A incluir</v>
          </cell>
        </row>
        <row r="1210">
          <cell r="A1210">
            <v>42740</v>
          </cell>
          <cell r="B1210" t="str">
            <v>Corpo BDTC (grota) diâmetro 1,20 m CA-2 MF exclusive escavação e reaterro, inclusive transporte do tubo em Vias Urbanas</v>
          </cell>
          <cell r="C1210" t="str">
            <v>m</v>
          </cell>
          <cell r="D1210" t="str">
            <v>1.193,29</v>
          </cell>
          <cell r="E1210" t="str">
            <v>A incluir</v>
          </cell>
        </row>
        <row r="1211">
          <cell r="A1211">
            <v>42741</v>
          </cell>
          <cell r="B1211" t="str">
            <v>Corpo BDTC (grota) diâmetro 1,20 m CA-2 PB exclusive escavação e reaterro, inclusive transporte do tubo em Vias Urbanas</v>
          </cell>
          <cell r="C1211" t="str">
            <v>m</v>
          </cell>
          <cell r="D1211" t="str">
            <v>1.259,40</v>
          </cell>
          <cell r="E1211" t="str">
            <v>A incluir</v>
          </cell>
        </row>
        <row r="1212">
          <cell r="A1212">
            <v>42742</v>
          </cell>
          <cell r="B1212" t="str">
            <v>Corpo BDTC (grota) diâmetro 1,20 m CA-3 MF exclusive escavação e reaterro, inclusive transporte do tubo em Vias Urbanas</v>
          </cell>
          <cell r="C1212" t="str">
            <v>m</v>
          </cell>
          <cell r="D1212" t="str">
            <v>1.225,70</v>
          </cell>
          <cell r="E1212" t="str">
            <v>A incluir</v>
          </cell>
        </row>
        <row r="1213">
          <cell r="A1213">
            <v>42743</v>
          </cell>
          <cell r="B1213" t="str">
            <v>Corpo BDTC (grota) diâmetro 1,50 m CA-1 MF exclusive escavação e reaterro, inclusive transporte do tubo em Vias Urbanas</v>
          </cell>
          <cell r="C1213" t="str">
            <v>m</v>
          </cell>
          <cell r="D1213" t="str">
            <v>1.899,46</v>
          </cell>
          <cell r="E1213" t="str">
            <v>A incluir</v>
          </cell>
        </row>
        <row r="1214">
          <cell r="A1214">
            <v>42744</v>
          </cell>
          <cell r="B1214" t="str">
            <v>Corpo BDTC (grota) diâmetro 1,50 m CA-1 PB exclusive escavação e reaterro, inclusive transporte do tubo em Vias Urbanas</v>
          </cell>
          <cell r="C1214" t="str">
            <v>m</v>
          </cell>
          <cell r="D1214" t="str">
            <v>1.672,14</v>
          </cell>
          <cell r="E1214" t="str">
            <v>A incluir</v>
          </cell>
        </row>
        <row r="1215">
          <cell r="A1215">
            <v>42745</v>
          </cell>
          <cell r="B1215" t="str">
            <v>Corpo BDTC (grota) diâmetro 1,50 m CA-2 MF exclusive escavação e reaterro, inclusive transporte do tubo em Vias Urbanas</v>
          </cell>
          <cell r="C1215" t="str">
            <v>m</v>
          </cell>
          <cell r="D1215" t="str">
            <v>1.977,24</v>
          </cell>
          <cell r="E1215" t="str">
            <v>A incluir</v>
          </cell>
        </row>
        <row r="1216">
          <cell r="A1216">
            <v>42746</v>
          </cell>
          <cell r="B1216" t="str">
            <v>Corpo BDTC (grota) diâmetro 1,50 m CA-2 PB exclusive escavação e reaterro, inclusive transporte do tubo em Vias Urbanas</v>
          </cell>
          <cell r="C1216" t="str">
            <v>m</v>
          </cell>
          <cell r="D1216" t="str">
            <v>1.771,34</v>
          </cell>
          <cell r="E1216" t="str">
            <v>A incluir</v>
          </cell>
        </row>
        <row r="1217">
          <cell r="A1217">
            <v>42747</v>
          </cell>
          <cell r="B1217" t="str">
            <v>Corpo BDTC (grota) diâmetro 1,50 m CA-3 MF exclusive escavação e reaterro, inclusive transporte do tubo em Vias Urbanas</v>
          </cell>
          <cell r="C1217" t="str">
            <v>m</v>
          </cell>
          <cell r="D1217" t="str">
            <v>1.536,50</v>
          </cell>
          <cell r="E1217" t="str">
            <v>A incluir</v>
          </cell>
        </row>
        <row r="1218">
          <cell r="A1218">
            <v>42748</v>
          </cell>
          <cell r="B1218" t="str">
            <v>Corpo BSTC diâmetro 0,20 m C.S. MF inclusive escavação, reaterro e transporte do tubo em Vias Urbanas</v>
          </cell>
          <cell r="C1218" t="str">
            <v>m</v>
          </cell>
          <cell r="D1218" t="str">
            <v>83,81</v>
          </cell>
          <cell r="E1218" t="str">
            <v>A incluir</v>
          </cell>
        </row>
        <row r="1219">
          <cell r="A1219">
            <v>42749</v>
          </cell>
          <cell r="B1219" t="str">
            <v>Corpo BSTC diâmetro 0,20 m C.S. PB inclusive escavação, reaterro e transporte do tubo em Vias Urbanas</v>
          </cell>
          <cell r="C1219" t="str">
            <v>m</v>
          </cell>
          <cell r="D1219" t="str">
            <v>83,81</v>
          </cell>
          <cell r="E1219" t="str">
            <v>A incluir</v>
          </cell>
        </row>
        <row r="1220">
          <cell r="A1220">
            <v>42750</v>
          </cell>
          <cell r="B1220" t="str">
            <v>Corpo BSTC diâmetro 0,30 m C.S. MF inclusive escavação, reaterro e transporte do tubo em Vias Urbanas</v>
          </cell>
          <cell r="C1220" t="str">
            <v>m</v>
          </cell>
          <cell r="D1220" t="str">
            <v>105,89</v>
          </cell>
          <cell r="E1220" t="str">
            <v>A incluir</v>
          </cell>
        </row>
        <row r="1221">
          <cell r="A1221">
            <v>42751</v>
          </cell>
          <cell r="B1221" t="str">
            <v>Corpo BSTC diâmetro 0,30 m C.S. PB inclusive escavação, reaterro e transporte do tubo em Vias Urbanas</v>
          </cell>
          <cell r="C1221" t="str">
            <v>m</v>
          </cell>
          <cell r="D1221" t="str">
            <v>109,26</v>
          </cell>
          <cell r="E1221" t="str">
            <v>A incluir</v>
          </cell>
        </row>
        <row r="1222">
          <cell r="A1222">
            <v>42752</v>
          </cell>
          <cell r="B1222" t="str">
            <v>Corpo BSTC diâmetro 0,40 m C.S. MF inclusive escavação, reaterro e transporte do tubo em Vias Urbanas</v>
          </cell>
          <cell r="C1222" t="str">
            <v>m</v>
          </cell>
          <cell r="D1222" t="str">
            <v>141,29</v>
          </cell>
          <cell r="E1222" t="str">
            <v>A incluir</v>
          </cell>
        </row>
        <row r="1223">
          <cell r="A1223">
            <v>42753</v>
          </cell>
          <cell r="B1223" t="str">
            <v>Corpo BSTC diâmetro 0,40 m C.S. PB inclusive escavação, reaterro e transporte do tubo em Vias Urbanas</v>
          </cell>
          <cell r="C1223" t="str">
            <v>m</v>
          </cell>
          <cell r="D1223" t="str">
            <v>144,44</v>
          </cell>
          <cell r="E1223" t="str">
            <v>A incluir</v>
          </cell>
        </row>
        <row r="1224">
          <cell r="A1224">
            <v>42754</v>
          </cell>
          <cell r="B1224" t="str">
            <v>Corpo BSTC diâmetro 0,60 m C.S. MF inclusive escavação, reaterro e transporte do tubo em Vias Urbanas</v>
          </cell>
          <cell r="C1224" t="str">
            <v>m</v>
          </cell>
          <cell r="D1224" t="str">
            <v>228,92</v>
          </cell>
          <cell r="E1224" t="str">
            <v>A incluir</v>
          </cell>
        </row>
        <row r="1225">
          <cell r="A1225">
            <v>42755</v>
          </cell>
          <cell r="B1225" t="str">
            <v>Corpo BSTC diâmetro 0,60 m C.S. PB inclusive escavação, reaterro e transporte do tubo em Vias Urbanas</v>
          </cell>
          <cell r="C1225" t="str">
            <v>m</v>
          </cell>
          <cell r="D1225" t="str">
            <v>233,93</v>
          </cell>
          <cell r="E1225" t="str">
            <v>A incluir</v>
          </cell>
        </row>
        <row r="1226">
          <cell r="A1226">
            <v>42756</v>
          </cell>
          <cell r="B1226" t="str">
            <v>Corpo BSTC (greide) diâmetro 0,30 m CA-1 MF inclusive escavação, reaterro e transporte do tubo em Vias Urbanas</v>
          </cell>
          <cell r="C1226" t="str">
            <v>m</v>
          </cell>
          <cell r="D1226" t="str">
            <v>108,48</v>
          </cell>
          <cell r="E1226" t="str">
            <v>A incluir</v>
          </cell>
        </row>
        <row r="1227">
          <cell r="A1227">
            <v>42757</v>
          </cell>
          <cell r="B1227" t="str">
            <v>Corpo BSTC (greide) diâmetro 0,40 m CA-1 MF inclusive escavação, reaterro e transporte do tubo em Vias Urbanas</v>
          </cell>
          <cell r="C1227" t="str">
            <v>m</v>
          </cell>
          <cell r="D1227" t="str">
            <v>150,37</v>
          </cell>
          <cell r="E1227" t="str">
            <v>A incluir</v>
          </cell>
        </row>
        <row r="1228">
          <cell r="A1228">
            <v>42759</v>
          </cell>
          <cell r="B1228" t="str">
            <v>Corpo BSTC (greide) diâmetro 0,40 m CA-2 MF inclusive escavação, reaterro e transporte do tubo em Vias Urbanas</v>
          </cell>
          <cell r="C1228" t="str">
            <v>m</v>
          </cell>
          <cell r="D1228" t="str">
            <v>155,55</v>
          </cell>
          <cell r="E1228" t="str">
            <v>A incluir</v>
          </cell>
        </row>
        <row r="1229">
          <cell r="A1229">
            <v>42760</v>
          </cell>
          <cell r="B1229" t="str">
            <v>Corpo BSTC (greide) diâmetro 0,60 m CA-1 MF inclusive escavação, reaterro e transporte do tubo em Vias Urbanas</v>
          </cell>
          <cell r="C1229" t="str">
            <v>m</v>
          </cell>
          <cell r="D1229" t="str">
            <v>233,46</v>
          </cell>
          <cell r="E1229" t="str">
            <v>A incluir</v>
          </cell>
        </row>
        <row r="1230">
          <cell r="A1230">
            <v>42761</v>
          </cell>
          <cell r="B1230" t="str">
            <v>Corpo BSTC (greide) diâmetro 0,60 m CA-1 PB inclusive escavação, reaterro e transporte do tubo em Vias Urbanas</v>
          </cell>
          <cell r="C1230" t="str">
            <v>m</v>
          </cell>
          <cell r="D1230" t="str">
            <v>238,68</v>
          </cell>
          <cell r="E1230" t="str">
            <v>A incluir</v>
          </cell>
        </row>
        <row r="1231">
          <cell r="A1231">
            <v>42762</v>
          </cell>
          <cell r="B1231" t="str">
            <v>Corpo BSTC (greide) diâmetro 0,60 m CA-2 MF inclusive escavação, reaterro e transporte do tubo em Vias Urbanas</v>
          </cell>
          <cell r="C1231" t="str">
            <v>m</v>
          </cell>
          <cell r="D1231" t="str">
            <v>235,40</v>
          </cell>
          <cell r="E1231" t="str">
            <v>A incluir</v>
          </cell>
        </row>
        <row r="1232">
          <cell r="A1232">
            <v>42763</v>
          </cell>
          <cell r="B1232" t="str">
            <v>Corpo BSTC (greide) diâmetro 0,60 m CA-2 PB inclusive escavação, reaterro e transporte do tubo em Vias Urbanas</v>
          </cell>
          <cell r="C1232" t="str">
            <v>m</v>
          </cell>
          <cell r="D1232" t="str">
            <v>238,75</v>
          </cell>
          <cell r="E1232" t="str">
            <v>A incluir</v>
          </cell>
        </row>
        <row r="1233">
          <cell r="A1233">
            <v>42764</v>
          </cell>
          <cell r="B1233" t="str">
            <v>Corpo BSTC (greide) diâmetro 0,80 m CA-1 MF inclusive escavação, reaterro e transporte do tubo em Vias Urbanas</v>
          </cell>
          <cell r="C1233" t="str">
            <v>m</v>
          </cell>
          <cell r="D1233" t="str">
            <v>471,78</v>
          </cell>
          <cell r="E1233" t="str">
            <v>A incluir</v>
          </cell>
        </row>
        <row r="1234">
          <cell r="A1234">
            <v>42765</v>
          </cell>
          <cell r="B1234" t="str">
            <v>Corpo BSTC (greide) diâmetro 0,80 m CA-1 PB inclusive escavação, reaterro e transporte do tubo em Vias Urbanas</v>
          </cell>
          <cell r="C1234" t="str">
            <v>m</v>
          </cell>
          <cell r="D1234" t="str">
            <v>478,56</v>
          </cell>
          <cell r="E1234" t="str">
            <v>A incluir</v>
          </cell>
        </row>
        <row r="1235">
          <cell r="A1235">
            <v>42766</v>
          </cell>
          <cell r="B1235" t="str">
            <v>Corpo BSTC (greide) diâmetro 0,80 m CA-2 MF inclusive escavação, reaterro e transporte do tubo em Vias Urbanas</v>
          </cell>
          <cell r="C1235" t="str">
            <v>m</v>
          </cell>
          <cell r="D1235" t="str">
            <v>481,51</v>
          </cell>
          <cell r="E1235" t="str">
            <v>A incluir</v>
          </cell>
        </row>
        <row r="1236">
          <cell r="A1236">
            <v>42767</v>
          </cell>
          <cell r="B1236" t="str">
            <v>Corpo BSTC (greide) diâmetro 0,80 m CA-2 PB inclusive escavação, reaterro e transporte do tubo em Vias Urbanas</v>
          </cell>
          <cell r="C1236" t="str">
            <v>m</v>
          </cell>
          <cell r="D1236" t="str">
            <v>495,48</v>
          </cell>
          <cell r="E1236" t="str">
            <v>A incluir</v>
          </cell>
        </row>
        <row r="1237">
          <cell r="A1237">
            <v>42768</v>
          </cell>
          <cell r="B1237" t="str">
            <v>Corpo BSTC (greide) diâmetro 1,00 m CA-1 MF inclusive escavação, reaterro e transporte do tubo em Vias Urbanas</v>
          </cell>
          <cell r="C1237" t="str">
            <v>m</v>
          </cell>
          <cell r="D1237" t="str">
            <v>627,27</v>
          </cell>
          <cell r="E1237" t="str">
            <v>A incluir</v>
          </cell>
        </row>
        <row r="1238">
          <cell r="A1238">
            <v>42769</v>
          </cell>
          <cell r="B1238" t="str">
            <v>Corpo BSTC (greide) diâmetro 1,00 m CA-1 PB inclusive escavação, reaterro e transporte do tubo em Vias Urbanas</v>
          </cell>
          <cell r="C1238" t="str">
            <v>m</v>
          </cell>
          <cell r="D1238" t="str">
            <v>635,73</v>
          </cell>
          <cell r="E1238" t="str">
            <v>A incluir</v>
          </cell>
        </row>
        <row r="1239">
          <cell r="A1239">
            <v>42770</v>
          </cell>
          <cell r="B1239" t="str">
            <v>Corpo BSTC (greide) diâmetro 1,00 m CA-2 MF inclusive escavação, reaterro e transporte do tubo em Vias Urbanas</v>
          </cell>
          <cell r="C1239" t="str">
            <v>m</v>
          </cell>
          <cell r="D1239" t="str">
            <v>640,24</v>
          </cell>
          <cell r="E1239" t="str">
            <v>A incluir</v>
          </cell>
        </row>
        <row r="1240">
          <cell r="A1240">
            <v>42771</v>
          </cell>
          <cell r="B1240" t="str">
            <v>Corpo BSTC (greide) diâmetro 1,00 m CA-2 PB inclusive escavação, reaterro e transporte do tubo em Vias Urbanas</v>
          </cell>
          <cell r="C1240" t="str">
            <v>m</v>
          </cell>
          <cell r="D1240" t="str">
            <v>655,79</v>
          </cell>
          <cell r="E1240" t="str">
            <v>A incluir</v>
          </cell>
        </row>
        <row r="1241">
          <cell r="A1241">
            <v>42772</v>
          </cell>
          <cell r="B1241" t="str">
            <v>Corpo BSTC (greide) diâmetro 1,20 m CA-1 MF inclusive escavação, reaterro e transporte do tubo em Vias Urbanas</v>
          </cell>
          <cell r="C1241" t="str">
            <v>m</v>
          </cell>
          <cell r="D1241" t="str">
            <v>882,79</v>
          </cell>
          <cell r="E1241" t="str">
            <v>A incluir</v>
          </cell>
        </row>
        <row r="1242">
          <cell r="A1242">
            <v>42773</v>
          </cell>
          <cell r="B1242" t="str">
            <v>Corpo BSTC (greide) diâmetro 1,20 m CA-1 PB inclusive escavação, reaterro e transporte do tubo em Vias Urbanas</v>
          </cell>
          <cell r="C1242" t="str">
            <v>m</v>
          </cell>
          <cell r="D1242" t="str">
            <v>898,77</v>
          </cell>
          <cell r="E1242" t="str">
            <v>A incluir</v>
          </cell>
        </row>
        <row r="1243">
          <cell r="A1243">
            <v>42774</v>
          </cell>
          <cell r="B1243" t="str">
            <v>Corpo BSTC (greide) diâmetro 1,20 m CA-2 MF inclusive escavação, reaterro e transporte do tubo, em Vias Urbanas</v>
          </cell>
          <cell r="C1243" t="str">
            <v>m</v>
          </cell>
          <cell r="D1243" t="str">
            <v>902,23</v>
          </cell>
          <cell r="E1243" t="str">
            <v>A incluir</v>
          </cell>
        </row>
        <row r="1244">
          <cell r="A1244">
            <v>42775</v>
          </cell>
          <cell r="B1244" t="str">
            <v>Corpo BSTC (greide) diâmetro 1,20 m CA-2 PB inclusive escavação, reaterro e transporte do tubo em Vias Urbanas</v>
          </cell>
          <cell r="C1244" t="str">
            <v>m</v>
          </cell>
          <cell r="D1244" t="str">
            <v>935,29</v>
          </cell>
          <cell r="E1244" t="str">
            <v>A incluir</v>
          </cell>
        </row>
        <row r="1245">
          <cell r="A1245">
            <v>42776</v>
          </cell>
          <cell r="B1245" t="str">
            <v>Corpo BSTC (grota) diâmetro 0,60 m CA-1 MF exclusive escavação e reaterro, inclusive transporte do tubo em Vias Urbanas</v>
          </cell>
          <cell r="C1245" t="str">
            <v>m</v>
          </cell>
          <cell r="D1245" t="str">
            <v>148,55</v>
          </cell>
          <cell r="E1245" t="str">
            <v>A incluir</v>
          </cell>
        </row>
        <row r="1246">
          <cell r="A1246">
            <v>42777</v>
          </cell>
          <cell r="B1246" t="str">
            <v>Corpo BSTC (grota) diâmetro 0,60 m CA-1 PB exclusive escavação e reaterro, inclusive transporte do tubo em Vias Urbanas</v>
          </cell>
          <cell r="C1246" t="str">
            <v>m</v>
          </cell>
          <cell r="D1246" t="str">
            <v>153,78</v>
          </cell>
          <cell r="E1246" t="str">
            <v>A incluir</v>
          </cell>
        </row>
        <row r="1247">
          <cell r="A1247">
            <v>42778</v>
          </cell>
          <cell r="B1247" t="str">
            <v>Corpo BSTC (grota) diâmetro 0,60 m CA-2 MF exclusive escavação e reaterro, inclusive transporte do tubo em Vias Urbanas</v>
          </cell>
          <cell r="C1247" t="str">
            <v>m</v>
          </cell>
          <cell r="D1247" t="str">
            <v>150,50</v>
          </cell>
          <cell r="E1247" t="str">
            <v>A incluir</v>
          </cell>
        </row>
        <row r="1248">
          <cell r="A1248">
            <v>42779</v>
          </cell>
          <cell r="B1248" t="str">
            <v>Corpo BSTC (grota) diâmetro 0,60 m CA-2 PB exclusive escavação e reaterro, inclusive transporte do tubo em Vias Urbanas</v>
          </cell>
          <cell r="C1248" t="str">
            <v>m</v>
          </cell>
          <cell r="D1248" t="str">
            <v>153,84</v>
          </cell>
          <cell r="E1248" t="str">
            <v>A incluir</v>
          </cell>
        </row>
        <row r="1249">
          <cell r="A1249">
            <v>42780</v>
          </cell>
          <cell r="B1249" t="str">
            <v>Corpo BSTC (grota) diâmetro 0,80 m CA-1 MF exclusive escavação e reaterro, inclusive transporte do tubo em Vias Urbanas</v>
          </cell>
          <cell r="C1249" t="str">
            <v>m</v>
          </cell>
          <cell r="D1249" t="str">
            <v>351,91</v>
          </cell>
          <cell r="E1249" t="str">
            <v>A incluir</v>
          </cell>
        </row>
        <row r="1250">
          <cell r="A1250">
            <v>42781</v>
          </cell>
          <cell r="B1250" t="str">
            <v>Corpo BSTC (grota) diâmetro 0,80 m CA-1 PB exclusive escavação e reaterro, inclusive transporte do tubo em Vias Urbanas</v>
          </cell>
          <cell r="C1250" t="str">
            <v>m</v>
          </cell>
          <cell r="D1250" t="str">
            <v>358,69</v>
          </cell>
          <cell r="E1250" t="str">
            <v>A incluir</v>
          </cell>
        </row>
        <row r="1251">
          <cell r="A1251">
            <v>42782</v>
          </cell>
          <cell r="B1251" t="str">
            <v>Corpo BSTC (grota) diâmetro 0,80 m CA-2 MF exclusive escavação e reaterro, inclusive transporte do tubo em Vias Urbanas</v>
          </cell>
          <cell r="C1251" t="str">
            <v>m</v>
          </cell>
          <cell r="D1251" t="str">
            <v>361,64</v>
          </cell>
          <cell r="E1251" t="str">
            <v>A incluir</v>
          </cell>
        </row>
        <row r="1252">
          <cell r="A1252">
            <v>42783</v>
          </cell>
          <cell r="B1252" t="str">
            <v>Corpo BSTC (grota) diâmetro 0,80 m CA-2 PB exclusive escavação e reaterro, inclusive transporte do tubo em Vias Urbanas</v>
          </cell>
          <cell r="C1252" t="str">
            <v>m</v>
          </cell>
          <cell r="D1252" t="str">
            <v>375,61</v>
          </cell>
          <cell r="E1252" t="str">
            <v>A incluir</v>
          </cell>
        </row>
        <row r="1253">
          <cell r="A1253">
            <v>42784</v>
          </cell>
          <cell r="B1253" t="str">
            <v>Corpo BSTC (grota) diâmetro 1,00 m CA-1 MF exclusive escavação e reaterro, inclusive transporte do tubo em Vias Urbanas</v>
          </cell>
          <cell r="C1253" t="str">
            <v>m</v>
          </cell>
          <cell r="D1253" t="str">
            <v>433,91</v>
          </cell>
          <cell r="E1253" t="str">
            <v>A incluir</v>
          </cell>
        </row>
        <row r="1254">
          <cell r="A1254">
            <v>42785</v>
          </cell>
          <cell r="B1254" t="str">
            <v>Corpo BSTC (grota) diâmetro 1,00 m CA-1 PB exclusive escavação e reaterro, inclusive transporte do tubo em Vias Urbanas</v>
          </cell>
          <cell r="C1254" t="str">
            <v>m</v>
          </cell>
          <cell r="D1254" t="str">
            <v>442,36</v>
          </cell>
          <cell r="E1254" t="str">
            <v>A incluir</v>
          </cell>
        </row>
        <row r="1255">
          <cell r="A1255">
            <v>42786</v>
          </cell>
          <cell r="B1255" t="str">
            <v>Corpo BSTC (grota) diâmetro 1,00 m CA-2 MF exclusive escavação e reaterro, inclusive transporte do tubo em Vias Urbanas</v>
          </cell>
          <cell r="C1255" t="str">
            <v>m</v>
          </cell>
          <cell r="D1255" t="str">
            <v>446,87</v>
          </cell>
          <cell r="E1255" t="str">
            <v>A incluir</v>
          </cell>
        </row>
        <row r="1256">
          <cell r="A1256">
            <v>42787</v>
          </cell>
          <cell r="B1256" t="str">
            <v>Corpo BSTC (grota) diâmetro 1,00 m CA-2 PB exclusive escavação e reaterro, inclusive transporte do tubo em Vias Urbanas</v>
          </cell>
          <cell r="C1256" t="str">
            <v>m</v>
          </cell>
          <cell r="D1256" t="str">
            <v>462,42</v>
          </cell>
          <cell r="E1256" t="str">
            <v>A incluir</v>
          </cell>
        </row>
        <row r="1257">
          <cell r="A1257">
            <v>42788</v>
          </cell>
          <cell r="B1257" t="str">
            <v>Corpo BSTC (grota) diâmetro 1,00 m CA-3 MF exclusive escavação e reaterro, inclusive transporte do tubo em Vias Urbanas</v>
          </cell>
          <cell r="C1257" t="str">
            <v>m</v>
          </cell>
          <cell r="D1257" t="str">
            <v>482,52</v>
          </cell>
          <cell r="E1257" t="str">
            <v>A incluir</v>
          </cell>
        </row>
        <row r="1258">
          <cell r="A1258">
            <v>42789</v>
          </cell>
          <cell r="B1258" t="str">
            <v>Corpo BSTC (grota) diâmetro 1,20 m CA-1 MF exclusive escavação e reaterro, inclusive transporte do tubo em Vias Urbanas</v>
          </cell>
          <cell r="C1258" t="str">
            <v>m</v>
          </cell>
          <cell r="D1258" t="str">
            <v>621,04</v>
          </cell>
          <cell r="E1258" t="str">
            <v>A incluir</v>
          </cell>
        </row>
        <row r="1259">
          <cell r="A1259">
            <v>42790</v>
          </cell>
          <cell r="B1259" t="str">
            <v>Corpo BSTC (grota) diâmetro 1,20 m CA-1 PB exclusive escavação e reaterro, inclusive transporte do tubo em Vias Urbanas</v>
          </cell>
          <cell r="C1259" t="str">
            <v>m</v>
          </cell>
          <cell r="D1259" t="str">
            <v>637,02</v>
          </cell>
          <cell r="E1259" t="str">
            <v>A incluir</v>
          </cell>
        </row>
        <row r="1260">
          <cell r="A1260">
            <v>42791</v>
          </cell>
          <cell r="B1260" t="str">
            <v>Corpo BSTC (grota) diâmetro 1,20 m CA-2 MF exclusive escavação e reaterro, inclusive transporte do tubo em Vias Urbanas</v>
          </cell>
          <cell r="C1260" t="str">
            <v>m</v>
          </cell>
          <cell r="D1260" t="str">
            <v>640,48</v>
          </cell>
          <cell r="E1260" t="str">
            <v>A incluir</v>
          </cell>
        </row>
        <row r="1261">
          <cell r="A1261">
            <v>42792</v>
          </cell>
          <cell r="B1261" t="str">
            <v>Corpo BSTC (grota) diâmetro 1,20 m CA-2 PB exclusive escavação e reaterro, inclusive transporte do tubo em Vias Urbanas</v>
          </cell>
          <cell r="C1261" t="str">
            <v>m</v>
          </cell>
          <cell r="D1261" t="str">
            <v>673,54</v>
          </cell>
          <cell r="E1261" t="str">
            <v>A incluir</v>
          </cell>
        </row>
        <row r="1262">
          <cell r="A1262">
            <v>42793</v>
          </cell>
          <cell r="B1262" t="str">
            <v>Corpo BSTC (grota) diâmetro 1,20 m CA-3 MF exclusive escavação e reaterro, inclusive transporte do tubo em Vias Urbanas</v>
          </cell>
          <cell r="C1262" t="str">
            <v>m</v>
          </cell>
          <cell r="D1262" t="str">
            <v>656,69</v>
          </cell>
          <cell r="E1262" t="str">
            <v>A incluir</v>
          </cell>
        </row>
        <row r="1263">
          <cell r="A1263">
            <v>42794</v>
          </cell>
          <cell r="B1263" t="str">
            <v>Corpo BSTC (grota) diâmetro 1,50 m CA-1 MF exclusive escavação e reaterro, inclusive transporte do tubo em Vias Urbanas</v>
          </cell>
          <cell r="C1263" t="str">
            <v>m</v>
          </cell>
          <cell r="D1263" t="str">
            <v>990,46</v>
          </cell>
          <cell r="E1263" t="str">
            <v>A incluir</v>
          </cell>
        </row>
        <row r="1264">
          <cell r="A1264">
            <v>42758</v>
          </cell>
          <cell r="B1264" t="str">
            <v>Corpo BSTC (grota) diâmetro 1,50 m CA-1 PB exclusive escavação e reaterro, inclusive transporte do tubo em Vias Urbanas</v>
          </cell>
          <cell r="C1264" t="str">
            <v>m</v>
          </cell>
          <cell r="D1264" t="str">
            <v>876,80</v>
          </cell>
          <cell r="E1264" t="str">
            <v>A incluir</v>
          </cell>
        </row>
        <row r="1265">
          <cell r="A1265">
            <v>42795</v>
          </cell>
          <cell r="B1265" t="str">
            <v>Corpo BSTC (grota) diâmetro 1,50 m CA-2 MF exclusive escavação e reaterro, inclusive transporte do tubo em Vias Urbanas</v>
          </cell>
          <cell r="C1265" t="str">
            <v>m</v>
          </cell>
          <cell r="D1265" t="str">
            <v>1.029,35</v>
          </cell>
          <cell r="E1265" t="str">
            <v>A incluir</v>
          </cell>
        </row>
        <row r="1266">
          <cell r="A1266">
            <v>42796</v>
          </cell>
          <cell r="B1266" t="str">
            <v>Corpo BSTC (grota) diâmetro 1,50 m CA-2 PB exclusive escavação e reaterro, inclusive transporte do tubo em Vias Urbanas</v>
          </cell>
          <cell r="C1266" t="str">
            <v>m</v>
          </cell>
          <cell r="D1266" t="str">
            <v>926,40</v>
          </cell>
          <cell r="E1266" t="str">
            <v>A incluir</v>
          </cell>
        </row>
        <row r="1267">
          <cell r="A1267">
            <v>42797</v>
          </cell>
          <cell r="B1267" t="str">
            <v>Corpo BSTC (grota) diâmetro 1,50 m CA-3 MF exclusive escavação e reaterro, inclusive transporte do tubo em Vias Urbanas</v>
          </cell>
          <cell r="C1267" t="str">
            <v>m</v>
          </cell>
          <cell r="D1267" t="str">
            <v>808,98</v>
          </cell>
          <cell r="E1267" t="str">
            <v>A incluir</v>
          </cell>
        </row>
        <row r="1268">
          <cell r="A1268">
            <v>42798</v>
          </cell>
          <cell r="B1268" t="str">
            <v>Corpo BTTC (grota) diâmetro 0,60 m CA-1 MF exclusive escavação e reaterro, inclusive transporte do tubo em Vias Urbanas</v>
          </cell>
          <cell r="C1268" t="str">
            <v>m</v>
          </cell>
          <cell r="D1268" t="str">
            <v>442,58</v>
          </cell>
          <cell r="E1268" t="str">
            <v>A incluir</v>
          </cell>
        </row>
        <row r="1269">
          <cell r="A1269">
            <v>42799</v>
          </cell>
          <cell r="B1269" t="str">
            <v>Corpo BTTC (grota) diâmetro 0,60 m CA-1 PB exclusive escavação e reaterro, inclusive transporte do tubo em Vias Urbanas</v>
          </cell>
          <cell r="C1269" t="str">
            <v>m</v>
          </cell>
          <cell r="D1269" t="str">
            <v>458,25</v>
          </cell>
          <cell r="E1269" t="str">
            <v>A incluir</v>
          </cell>
        </row>
        <row r="1270">
          <cell r="A1270">
            <v>42800</v>
          </cell>
          <cell r="B1270" t="str">
            <v>Corpo BTTC (grota) diâmetro 0,60 m CA-2 MF exclusive escavação e reaterro, inclusive transporte do tubo em Vias Urbanas</v>
          </cell>
          <cell r="C1270" t="str">
            <v>m</v>
          </cell>
          <cell r="D1270" t="str">
            <v>448,41</v>
          </cell>
          <cell r="E1270" t="str">
            <v>A incluir</v>
          </cell>
        </row>
        <row r="1271">
          <cell r="A1271">
            <v>42801</v>
          </cell>
          <cell r="B1271" t="str">
            <v>Corpo BTTC (grota) diâmetro 0,60 m CA-2 PB exclusive escavação e reaterro, inclusive transporte do tubo em Vias Urbanas</v>
          </cell>
          <cell r="C1271" t="str">
            <v>m</v>
          </cell>
          <cell r="D1271" t="str">
            <v>458,44</v>
          </cell>
          <cell r="E1271" t="str">
            <v>A incluir</v>
          </cell>
        </row>
        <row r="1272">
          <cell r="A1272">
            <v>42802</v>
          </cell>
          <cell r="B1272" t="str">
            <v>Corpo BTTC (grota) diâmetro 0,80 m CA-1 MF exclusive escavação e reaterro, inclusive transporte do tubo em Vias Urbanas</v>
          </cell>
          <cell r="C1272" t="str">
            <v>m</v>
          </cell>
          <cell r="D1272" t="str">
            <v>892,77</v>
          </cell>
          <cell r="E1272" t="str">
            <v>A incluir</v>
          </cell>
        </row>
        <row r="1273">
          <cell r="A1273">
            <v>42803</v>
          </cell>
          <cell r="B1273" t="str">
            <v>Corpo BTTC (grota) diâmetro 0,80 m CA-1 PB exclusive escavação e reaterro, inclusive transporte do tubo em Vias Urbanas</v>
          </cell>
          <cell r="C1273" t="str">
            <v>m</v>
          </cell>
          <cell r="D1273" t="str">
            <v>913,11</v>
          </cell>
          <cell r="E1273" t="str">
            <v>A incluir</v>
          </cell>
        </row>
        <row r="1274">
          <cell r="A1274">
            <v>42804</v>
          </cell>
          <cell r="B1274" t="str">
            <v>Corpo BTTC (grota) diâmetro 0,80 m CA-2 MF exclusive escavação e reaterro, inclusive transporte do tubo em Vias Urbanas</v>
          </cell>
          <cell r="C1274" t="str">
            <v>m</v>
          </cell>
          <cell r="D1274" t="str">
            <v>921,94</v>
          </cell>
          <cell r="E1274" t="str">
            <v>A incluir</v>
          </cell>
        </row>
        <row r="1275">
          <cell r="A1275">
            <v>42805</v>
          </cell>
          <cell r="B1275" t="str">
            <v>Corpo BTTC (grota) diâmetro 0,80 m CA-2 PB exclusive escavação e reaterro, inclusive transporte do tubo em Vias Urbanas</v>
          </cell>
          <cell r="C1275" t="str">
            <v>m</v>
          </cell>
          <cell r="D1275" t="str">
            <v>963,86</v>
          </cell>
          <cell r="E1275" t="str">
            <v>A incluir</v>
          </cell>
        </row>
        <row r="1276">
          <cell r="A1276">
            <v>42806</v>
          </cell>
          <cell r="B1276" t="str">
            <v>Corpo BTTC (grota) diâmetro 1,00 m CA-1 MF exclusive escavação e reaterro, inclusive transporte do tubo em Vias Urbanas</v>
          </cell>
          <cell r="C1276" t="str">
            <v>m</v>
          </cell>
          <cell r="D1276" t="str">
            <v>1.138,73</v>
          </cell>
          <cell r="E1276" t="str">
            <v>A incluir</v>
          </cell>
        </row>
        <row r="1277">
          <cell r="A1277">
            <v>42807</v>
          </cell>
          <cell r="B1277" t="str">
            <v>Corpo BTTC (grota) diâmetro 1,00 m CA-1 PB exclusive escavação e reaterro, inclusive transporte do tubo em Vias Urbanas</v>
          </cell>
          <cell r="C1277" t="str">
            <v>m</v>
          </cell>
          <cell r="D1277" t="str">
            <v>1.164,09</v>
          </cell>
          <cell r="E1277" t="str">
            <v>A incluir</v>
          </cell>
        </row>
        <row r="1278">
          <cell r="A1278">
            <v>42808</v>
          </cell>
          <cell r="B1278" t="str">
            <v>Corpo BTTC (grota) diâmetro 1,00 m CA-2 MF exclusive escavação e reaterro, inclusive transporte do tubo em Vias Urbanas</v>
          </cell>
          <cell r="C1278" t="str">
            <v>m</v>
          </cell>
          <cell r="D1278" t="str">
            <v>1.177,62</v>
          </cell>
          <cell r="E1278" t="str">
            <v>A incluir</v>
          </cell>
        </row>
        <row r="1279">
          <cell r="A1279">
            <v>42809</v>
          </cell>
          <cell r="B1279" t="str">
            <v>Corpo BTTC (grota) diâmetro 1,00 m CA-2 PB exclusive escavação e reaterro, inclusive transporte do tubo em Vias Urbanas</v>
          </cell>
          <cell r="C1279" t="str">
            <v>m</v>
          </cell>
          <cell r="D1279" t="str">
            <v>1.224,29</v>
          </cell>
          <cell r="E1279" t="str">
            <v>A incluir</v>
          </cell>
        </row>
        <row r="1280">
          <cell r="A1280">
            <v>42810</v>
          </cell>
          <cell r="B1280" t="str">
            <v>Corpo BTTC (grota) diâmetro 1,00 m CA-3 MF exclusive escavação e reaterro, inclusive transporte do tubo em Vias Urbanas</v>
          </cell>
          <cell r="C1280" t="str">
            <v>m</v>
          </cell>
          <cell r="D1280" t="str">
            <v>1.284,56</v>
          </cell>
          <cell r="E1280" t="str">
            <v>A incluir</v>
          </cell>
        </row>
        <row r="1281">
          <cell r="A1281">
            <v>42811</v>
          </cell>
          <cell r="B1281" t="str">
            <v>Corpo BTTC (grota) diâmetro 1,20 m CA-1 MF exclusive escavação e reaterro, inclusive transporte do tubo em Vias Urbanas</v>
          </cell>
          <cell r="C1281" t="str">
            <v>m</v>
          </cell>
          <cell r="D1281" t="str">
            <v>1.700,18</v>
          </cell>
          <cell r="E1281" t="str">
            <v>A incluir</v>
          </cell>
        </row>
        <row r="1282">
          <cell r="A1282">
            <v>42812</v>
          </cell>
          <cell r="B1282" t="str">
            <v>Corpo BTTC (grota) diâmetro 1,20 m CA-1 PB exclusive escavação e reaterro, inclusive transporte do tubo em Vias Urbanas</v>
          </cell>
          <cell r="C1282" t="str">
            <v>m</v>
          </cell>
          <cell r="D1282" t="str">
            <v>1.748,13</v>
          </cell>
          <cell r="E1282" t="str">
            <v>A incluir</v>
          </cell>
        </row>
        <row r="1283">
          <cell r="A1283">
            <v>42813</v>
          </cell>
          <cell r="B1283" t="str">
            <v>Corpo BTTC (grota) diâmetro 1,20 m CA-2 MF exclusive escavação e reaterro, inclusive transporte do tubo em Vias Urbanas</v>
          </cell>
          <cell r="C1283" t="str">
            <v>m</v>
          </cell>
          <cell r="D1283" t="str">
            <v>1.758,52</v>
          </cell>
          <cell r="E1283" t="str">
            <v>A incluir</v>
          </cell>
        </row>
        <row r="1284">
          <cell r="A1284">
            <v>42814</v>
          </cell>
          <cell r="B1284" t="str">
            <v>Corpo BTTC (grota) diâmetro 1,20 m CA-2 PB exclusive escavação e reaterro, inclusive transporte do tubo em Vias Urbanas</v>
          </cell>
          <cell r="C1284" t="str">
            <v>m</v>
          </cell>
          <cell r="D1284" t="str">
            <v>1.857,68</v>
          </cell>
          <cell r="E1284" t="str">
            <v>A incluir</v>
          </cell>
        </row>
        <row r="1285">
          <cell r="A1285">
            <v>42815</v>
          </cell>
          <cell r="B1285" t="str">
            <v>Corpo BTTC (grota) diâmetro 1,20 m CA-3 MF exclusive escavação e reaterro, inclusive transporte do tubo em Vias Urbanas</v>
          </cell>
          <cell r="C1285" t="str">
            <v>m</v>
          </cell>
          <cell r="D1285" t="str">
            <v>1.807,13</v>
          </cell>
          <cell r="E1285" t="str">
            <v>A incluir</v>
          </cell>
        </row>
        <row r="1286">
          <cell r="A1286">
            <v>42816</v>
          </cell>
          <cell r="B1286" t="str">
            <v>Corpo BTTC (grota) diâmetro 1,50 m CA-1 MF exclusive escavação e reaterro, inclusive transporte do tubo em Vias Urbanas</v>
          </cell>
          <cell r="C1286" t="str">
            <v>m</v>
          </cell>
          <cell r="D1286" t="str">
            <v>2.808,47</v>
          </cell>
          <cell r="E1286" t="str">
            <v>A incluir</v>
          </cell>
        </row>
        <row r="1287">
          <cell r="A1287">
            <v>42817</v>
          </cell>
          <cell r="B1287" t="str">
            <v>Corpo BTTC (grota) diâmetro 1,50 m CA-1 PB exclusive escavação e reaterro, inclusive transporte do tubo em Vias Urbanas</v>
          </cell>
          <cell r="C1287" t="str">
            <v>m</v>
          </cell>
          <cell r="D1287" t="str">
            <v>2.467,49</v>
          </cell>
          <cell r="E1287" t="str">
            <v>A incluir</v>
          </cell>
        </row>
        <row r="1288">
          <cell r="A1288">
            <v>42818</v>
          </cell>
          <cell r="B1288" t="str">
            <v>Corpo BTTC (grota) diâmetro 1,50 m CA-2 MF exclusive escavação e reaterro, inclusive transporte do tubo em Vias Urbanas</v>
          </cell>
          <cell r="C1288" t="str">
            <v>m</v>
          </cell>
          <cell r="D1288" t="str">
            <v>2.925,13</v>
          </cell>
          <cell r="E1288" t="str">
            <v>A incluir</v>
          </cell>
        </row>
        <row r="1289">
          <cell r="A1289">
            <v>42819</v>
          </cell>
          <cell r="B1289" t="str">
            <v>Corpo BTTC (grota) diâmetro 1,50 m CA-2 PB exclusive escavação e reaterro, inclusive transporte do tubo em Vias Urbanas</v>
          </cell>
          <cell r="C1289" t="str">
            <v>m</v>
          </cell>
          <cell r="D1289" t="str">
            <v>2.616,28</v>
          </cell>
          <cell r="E1289" t="str">
            <v>A incluir</v>
          </cell>
        </row>
        <row r="1290">
          <cell r="A1290">
            <v>42820</v>
          </cell>
          <cell r="B1290" t="str">
            <v>Corpo BTTC (grota) diâmetro 1,50 m CA-3 MF exclusive escavação e reaterro, inclusive transporte do tubo em Vias Urbanas</v>
          </cell>
          <cell r="C1290" t="str">
            <v>m</v>
          </cell>
          <cell r="D1290" t="str">
            <v>2.264,02</v>
          </cell>
          <cell r="E1290" t="str">
            <v>A incluir</v>
          </cell>
        </row>
        <row r="1291">
          <cell r="A1291">
            <v>41321</v>
          </cell>
          <cell r="B1291" t="str">
            <v>Corpo de BDCC 1,00 x 1,00 m em Vias Urbanas</v>
          </cell>
          <cell r="C1291" t="str">
            <v>m</v>
          </cell>
          <cell r="D1291" t="str">
            <v>4.995,62</v>
          </cell>
          <cell r="E1291">
            <v>0</v>
          </cell>
        </row>
        <row r="1292">
          <cell r="A1292">
            <v>42821</v>
          </cell>
          <cell r="B1292" t="str">
            <v>Corpo de BDCC 1,50 x 1,50 m projeto DNIT para H &lt; -&gt; 2,50 m em Vias Urbanas</v>
          </cell>
          <cell r="C1292" t="str">
            <v>m</v>
          </cell>
          <cell r="D1292" t="str">
            <v>3.732,72</v>
          </cell>
          <cell r="E1292">
            <v>0</v>
          </cell>
        </row>
        <row r="1293">
          <cell r="A1293">
            <v>42822</v>
          </cell>
          <cell r="B1293" t="str">
            <v>Corpo de BDCC 1,50 x 1,50 m projeto DNIT para 2,50 &lt; H &lt; 5,00 m em Vias Urbanas</v>
          </cell>
          <cell r="C1293" t="str">
            <v>m</v>
          </cell>
          <cell r="D1293" t="str">
            <v>3.895,53</v>
          </cell>
          <cell r="E1293">
            <v>0</v>
          </cell>
        </row>
        <row r="1294">
          <cell r="A1294">
            <v>42823</v>
          </cell>
          <cell r="B1294" t="str">
            <v>Corpo de BDCC 2,00 x 1,20 m -tudo incluido conforme projeto em Vias Urbanas</v>
          </cell>
          <cell r="C1294" t="str">
            <v>m</v>
          </cell>
          <cell r="D1294" t="str">
            <v>5.418,37</v>
          </cell>
          <cell r="E1294">
            <v>0</v>
          </cell>
        </row>
        <row r="1295">
          <cell r="A1295">
            <v>42824</v>
          </cell>
          <cell r="B1295" t="str">
            <v>Corpo de BDCC 2,00 x 2,00 m projeto DNIT para H &lt; -&gt; 2,50 m em Vias Urbanas</v>
          </cell>
          <cell r="C1295" t="str">
            <v>m</v>
          </cell>
          <cell r="D1295" t="str">
            <v>5.354,15</v>
          </cell>
          <cell r="E1295">
            <v>0</v>
          </cell>
        </row>
        <row r="1296">
          <cell r="A1296">
            <v>42825</v>
          </cell>
          <cell r="B1296" t="str">
            <v>Corpo de BDCC 2,00 x 2,00 m projeto DNIT para 2,50 &lt; H &lt; 5,00 m em Vias Urbanas</v>
          </cell>
          <cell r="C1296" t="str">
            <v>m</v>
          </cell>
          <cell r="D1296" t="str">
            <v>5.940,78</v>
          </cell>
          <cell r="E1296">
            <v>0</v>
          </cell>
        </row>
        <row r="1297">
          <cell r="A1297">
            <v>40600</v>
          </cell>
          <cell r="B1297" t="str">
            <v>Corpo de BDCC 2,00 x 2,50 m em Vias Urbanas</v>
          </cell>
          <cell r="C1297" t="str">
            <v>m</v>
          </cell>
          <cell r="D1297" t="str">
            <v>7.969,44</v>
          </cell>
          <cell r="E1297">
            <v>0</v>
          </cell>
        </row>
        <row r="1298">
          <cell r="A1298">
            <v>42827</v>
          </cell>
          <cell r="B1298" t="str">
            <v>Corpo de BDCC 2,00 x 3,00 m projeto DNIT p/ 2,50 &lt; H &lt; 5,00 m em Vias Urbanas</v>
          </cell>
          <cell r="C1298" t="str">
            <v>m</v>
          </cell>
          <cell r="D1298" t="str">
            <v>8.901,23</v>
          </cell>
          <cell r="E1298">
            <v>0</v>
          </cell>
        </row>
        <row r="1299">
          <cell r="A1299">
            <v>42826</v>
          </cell>
          <cell r="B1299" t="str">
            <v>Corpo de BDCC 2,00 x 3,00 m projeto DNIT para H &lt; -&gt; 2,50 m em Vias Urbanas</v>
          </cell>
          <cell r="C1299" t="str">
            <v>m</v>
          </cell>
          <cell r="D1299" t="str">
            <v>7.639,84</v>
          </cell>
          <cell r="E1299">
            <v>0</v>
          </cell>
        </row>
        <row r="1300">
          <cell r="A1300">
            <v>42828</v>
          </cell>
          <cell r="B1300" t="str">
            <v>Corpo de BDCC 2,50 x 2,00m - tudo incluído conforme projeto em Vias Urbanas</v>
          </cell>
          <cell r="C1300" t="str">
            <v>m</v>
          </cell>
          <cell r="D1300" t="str">
            <v>7.807,79</v>
          </cell>
          <cell r="E1300">
            <v>0</v>
          </cell>
        </row>
        <row r="1301">
          <cell r="A1301">
            <v>42830</v>
          </cell>
          <cell r="B1301" t="str">
            <v>Corpo de BDCC 2,50 x 2,50 m projeto DNIT p/ 2,50&lt; H &lt;5,00 m em Vias Urbanas</v>
          </cell>
          <cell r="C1301" t="str">
            <v>m</v>
          </cell>
          <cell r="D1301" t="str">
            <v>8.048,29</v>
          </cell>
          <cell r="E1301">
            <v>0</v>
          </cell>
        </row>
        <row r="1302">
          <cell r="A1302">
            <v>42829</v>
          </cell>
          <cell r="B1302" t="str">
            <v>Corpo de BDCC 2,50 x 2,50 m projeto DNIT para H&lt;-&gt;2,50m em Vias Urbanas</v>
          </cell>
          <cell r="C1302" t="str">
            <v>m</v>
          </cell>
          <cell r="D1302" t="str">
            <v>7.206,23</v>
          </cell>
          <cell r="E1302">
            <v>0</v>
          </cell>
        </row>
        <row r="1303">
          <cell r="A1303">
            <v>42831</v>
          </cell>
          <cell r="B1303" t="str">
            <v>Corpo de BDCC 2,50 x 3,00 m projeto DNIT p/ H &lt;-&gt; 2,50 m em Vias Urbanas</v>
          </cell>
          <cell r="C1303" t="str">
            <v>m</v>
          </cell>
          <cell r="D1303" t="str">
            <v>8.724,37</v>
          </cell>
          <cell r="E1303">
            <v>0</v>
          </cell>
        </row>
        <row r="1304">
          <cell r="A1304">
            <v>42832</v>
          </cell>
          <cell r="B1304" t="str">
            <v>Corpo de BDCC 2,50 x 3,00 m projeto DNIT p/ 2,50 &lt; H &lt; 5,00 m em Vias Urbanas</v>
          </cell>
          <cell r="C1304" t="str">
            <v>m</v>
          </cell>
          <cell r="D1304" t="str">
            <v>9.656,24</v>
          </cell>
          <cell r="E1304">
            <v>0</v>
          </cell>
        </row>
        <row r="1305">
          <cell r="A1305">
            <v>42834</v>
          </cell>
          <cell r="B1305" t="str">
            <v>Corpo de BDCC 3,00 x 3,00 m projeto DNIT p/ 2,50 &lt; H &lt; 5,00 m em Vias Urbanas</v>
          </cell>
          <cell r="C1305" t="str">
            <v>m</v>
          </cell>
          <cell r="D1305" t="str">
            <v>10.325,71</v>
          </cell>
          <cell r="E1305">
            <v>0</v>
          </cell>
        </row>
        <row r="1306">
          <cell r="A1306">
            <v>42833</v>
          </cell>
          <cell r="B1306" t="str">
            <v>Corpo de BDCC 3,00 x 3,00 m projeto DNIT para H &lt;-&gt; 2,50 m em Vias Urbanas</v>
          </cell>
          <cell r="C1306" t="str">
            <v>m</v>
          </cell>
          <cell r="D1306" t="str">
            <v>9.568,72</v>
          </cell>
          <cell r="E1306">
            <v>0</v>
          </cell>
        </row>
        <row r="1307">
          <cell r="A1307">
            <v>42835</v>
          </cell>
          <cell r="B1307" t="str">
            <v>Corpo de BSCC 1,50 x 1,50 m projeto DNIT p/ H &lt;-&gt; 2,50 m em Vias Urbanas</v>
          </cell>
          <cell r="C1307" t="str">
            <v>m</v>
          </cell>
          <cell r="D1307" t="str">
            <v>2.268,70</v>
          </cell>
          <cell r="E1307">
            <v>0</v>
          </cell>
        </row>
        <row r="1308">
          <cell r="A1308">
            <v>42836</v>
          </cell>
          <cell r="B1308" t="str">
            <v>Corpo de BSCC 1,50x1,50m projeto DNIT p/ 2,50&lt; H &lt;5,00m em Vias Urbanas</v>
          </cell>
          <cell r="C1308" t="str">
            <v>m</v>
          </cell>
          <cell r="D1308" t="str">
            <v>2.390,81</v>
          </cell>
          <cell r="E1308">
            <v>0</v>
          </cell>
        </row>
        <row r="1309">
          <cell r="A1309">
            <v>42837</v>
          </cell>
          <cell r="B1309" t="str">
            <v>Corpo de BSCC 2,00 x 2,00m projeto DNIT para 5,00 &lt; H &lt; 7,50 m em Vias Urbanas</v>
          </cell>
          <cell r="C1309" t="str">
            <v>m</v>
          </cell>
          <cell r="D1309" t="str">
            <v>3.896,26</v>
          </cell>
          <cell r="E1309">
            <v>0</v>
          </cell>
        </row>
        <row r="1310">
          <cell r="A1310">
            <v>42838</v>
          </cell>
          <cell r="B1310" t="str">
            <v>Corpo de BSCC 2,00x2,00m projeto DNIT p/ H&lt;-&gt;2,50m em Vias Urbanas</v>
          </cell>
          <cell r="C1310" t="str">
            <v>m</v>
          </cell>
          <cell r="D1310" t="str">
            <v>3.209,97</v>
          </cell>
          <cell r="E1310">
            <v>0</v>
          </cell>
        </row>
        <row r="1311">
          <cell r="A1311">
            <v>42839</v>
          </cell>
          <cell r="B1311" t="str">
            <v>Corpo de BSCC 2,00x2,00m projeto DNIT p/ 2,50&lt; H &lt;5,00m em Vias Urbanas</v>
          </cell>
          <cell r="C1311" t="str">
            <v>m</v>
          </cell>
          <cell r="D1311" t="str">
            <v>3.611,33</v>
          </cell>
          <cell r="E1311">
            <v>0</v>
          </cell>
        </row>
        <row r="1312">
          <cell r="A1312">
            <v>42840</v>
          </cell>
          <cell r="B1312" t="str">
            <v>Corpo de BSCC 2,00x3,00m projeto DNIT p/ H&lt;-&gt;2,50m em Vias Urbanas</v>
          </cell>
          <cell r="C1312" t="str">
            <v>m</v>
          </cell>
          <cell r="D1312" t="str">
            <v>4.643,68</v>
          </cell>
          <cell r="E1312">
            <v>0</v>
          </cell>
        </row>
        <row r="1313">
          <cell r="A1313">
            <v>42841</v>
          </cell>
          <cell r="B1313" t="str">
            <v>Corpo de BSCC 2,00x3,00m projeto DNIT p/ 2,50&lt; H &lt;5,00m em Vias Urbanas</v>
          </cell>
          <cell r="C1313" t="str">
            <v>m</v>
          </cell>
          <cell r="D1313" t="str">
            <v>5.843,02</v>
          </cell>
          <cell r="E1313">
            <v>0</v>
          </cell>
        </row>
        <row r="1314">
          <cell r="A1314">
            <v>40585</v>
          </cell>
          <cell r="B1314" t="str">
            <v>Corpo de BSCC 2,50 x 2,50 m, para H &lt; -&gt; 2,50 m em Vias Urbanas</v>
          </cell>
          <cell r="C1314" t="str">
            <v>m</v>
          </cell>
          <cell r="D1314" t="str">
            <v>4.988,39</v>
          </cell>
          <cell r="E1314">
            <v>0</v>
          </cell>
        </row>
        <row r="1315">
          <cell r="A1315">
            <v>42843</v>
          </cell>
          <cell r="B1315" t="str">
            <v>Corpo de BSCC 2,50x2,50m projeto DNIT para 2,50&lt; H &lt;5,00m em Vias Urbanas</v>
          </cell>
          <cell r="C1315" t="str">
            <v>m</v>
          </cell>
          <cell r="D1315" t="str">
            <v>4.982,53</v>
          </cell>
          <cell r="E1315">
            <v>0</v>
          </cell>
        </row>
        <row r="1316">
          <cell r="A1316">
            <v>42844</v>
          </cell>
          <cell r="B1316" t="str">
            <v>Corpo de BSCC 2,50x3,00m projeto DNIT para H&lt;-&gt;2,50m em Vias Urbanas</v>
          </cell>
          <cell r="C1316" t="str">
            <v>m</v>
          </cell>
          <cell r="D1316" t="str">
            <v>5.736,32</v>
          </cell>
          <cell r="E1316">
            <v>0</v>
          </cell>
        </row>
        <row r="1317">
          <cell r="A1317">
            <v>42845</v>
          </cell>
          <cell r="B1317" t="str">
            <v>Corpo de BSCC 2,50x3,00m projeto DNIT para 2,50&lt; H &lt;5,00m em Vias Urbanas</v>
          </cell>
          <cell r="C1317" t="str">
            <v>m</v>
          </cell>
          <cell r="D1317" t="str">
            <v>6.826,96</v>
          </cell>
          <cell r="E1317">
            <v>0</v>
          </cell>
        </row>
        <row r="1318">
          <cell r="A1318">
            <v>41179</v>
          </cell>
          <cell r="B1318" t="str">
            <v>Corpo de BSCC 3,00x1,50 para 2,50m&lt; H &lt; 5,00m , em Vias Urbanas</v>
          </cell>
          <cell r="C1318" t="str">
            <v>m</v>
          </cell>
          <cell r="D1318" t="str">
            <v>5.939,28</v>
          </cell>
          <cell r="E1318">
            <v>0</v>
          </cell>
        </row>
        <row r="1319">
          <cell r="A1319">
            <v>42842</v>
          </cell>
          <cell r="B1319" t="str">
            <v>Corpo de BSCC 3,00x3,00m projeto DNIT para H&lt;-&gt;2,50m em Vias Urbanas</v>
          </cell>
          <cell r="C1319" t="str">
            <v>m</v>
          </cell>
          <cell r="D1319" t="str">
            <v>6.242,98</v>
          </cell>
          <cell r="E1319">
            <v>0</v>
          </cell>
        </row>
        <row r="1320">
          <cell r="A1320">
            <v>42848</v>
          </cell>
          <cell r="B1320" t="str">
            <v>Corpo de BSCC 3,00x3,00m projeto DNIT para 2,50&lt; H &lt;5,00m em Vias Urbanas</v>
          </cell>
          <cell r="C1320" t="str">
            <v>m</v>
          </cell>
          <cell r="D1320" t="str">
            <v>7.130,73</v>
          </cell>
          <cell r="E1320">
            <v>0</v>
          </cell>
        </row>
        <row r="1321">
          <cell r="A1321">
            <v>42849</v>
          </cell>
          <cell r="B1321" t="str">
            <v>Corpo de BTCC 1,50 x 1,50 m projeto DNIT para H &lt;-&gt; 2,50 m em Vias Urbanas</v>
          </cell>
          <cell r="C1321" t="str">
            <v>m</v>
          </cell>
          <cell r="D1321" t="str">
            <v>5.226,56</v>
          </cell>
          <cell r="E1321">
            <v>0</v>
          </cell>
        </row>
        <row r="1322">
          <cell r="A1322">
            <v>42850</v>
          </cell>
          <cell r="B1322" t="str">
            <v>Corpo de BTCC 1,50 x 1,50 m projeto DNIT para 2,50 &lt; H &lt; 5,00 m em Vias Urbanas</v>
          </cell>
          <cell r="C1322" t="str">
            <v>m</v>
          </cell>
          <cell r="D1322" t="str">
            <v>5.527,77</v>
          </cell>
          <cell r="E1322">
            <v>0</v>
          </cell>
        </row>
        <row r="1323">
          <cell r="A1323">
            <v>42851</v>
          </cell>
          <cell r="B1323" t="str">
            <v>Corpo de BTCC 2,00 x 2,00 m projeto DNIT para H &lt;-&gt; 2,50 m em Vias Urbanas</v>
          </cell>
          <cell r="C1323" t="str">
            <v>m</v>
          </cell>
          <cell r="D1323" t="str">
            <v>7.619,48</v>
          </cell>
          <cell r="E1323">
            <v>0</v>
          </cell>
        </row>
        <row r="1324">
          <cell r="A1324">
            <v>42852</v>
          </cell>
          <cell r="B1324" t="str">
            <v>Corpo de BTCC 2,00 x 2,00 m projeto DNIT para 2,50 &lt; H &lt; 5,00 m em Vias Urbanas</v>
          </cell>
          <cell r="C1324" t="str">
            <v>m</v>
          </cell>
          <cell r="D1324" t="str">
            <v>8.107,43</v>
          </cell>
          <cell r="E1324">
            <v>0</v>
          </cell>
        </row>
        <row r="1325">
          <cell r="A1325">
            <v>42853</v>
          </cell>
          <cell r="B1325" t="str">
            <v>Corpo de BTCC 2,00 x 3,00 m projeto DNIT para H &lt; -&gt; 2,50 m em Vias Urbanas</v>
          </cell>
          <cell r="C1325" t="str">
            <v>m</v>
          </cell>
          <cell r="D1325" t="str">
            <v>11.056,54</v>
          </cell>
          <cell r="E1325">
            <v>0</v>
          </cell>
        </row>
        <row r="1326">
          <cell r="A1326">
            <v>42854</v>
          </cell>
          <cell r="B1326" t="str">
            <v>Corpo de BTCC 2,00 x 3,00 m projeto DNIT para 2,50 &lt; H &lt; 5,00 m em Vias Urbanas</v>
          </cell>
          <cell r="C1326" t="str">
            <v>m</v>
          </cell>
          <cell r="D1326" t="str">
            <v>12.511,51</v>
          </cell>
          <cell r="E1326">
            <v>0</v>
          </cell>
        </row>
        <row r="1327">
          <cell r="A1327">
            <v>42855</v>
          </cell>
          <cell r="B1327" t="str">
            <v>Corpo de BTCC 2,50 x 2,50 m projeto DNIT para H &lt; -&gt; 2,50 m em Vias Urbanas</v>
          </cell>
          <cell r="C1327" t="str">
            <v>m</v>
          </cell>
          <cell r="D1327" t="str">
            <v>9.962,71</v>
          </cell>
          <cell r="E1327">
            <v>0</v>
          </cell>
        </row>
        <row r="1328">
          <cell r="A1328">
            <v>42856</v>
          </cell>
          <cell r="B1328" t="str">
            <v>Corpo de BTCC 2,50 x 2,50 m projeto DNIT para 2,50 &lt; H &lt; 5,00 m em Vias Urbanas</v>
          </cell>
          <cell r="C1328" t="str">
            <v>m</v>
          </cell>
          <cell r="D1328" t="str">
            <v>11.162,45</v>
          </cell>
          <cell r="E1328">
            <v>0</v>
          </cell>
        </row>
        <row r="1329">
          <cell r="A1329">
            <v>42858</v>
          </cell>
          <cell r="B1329" t="str">
            <v>Corpo de BTCC 2,50 x 3,00 m projeto DNIT para H &lt; -&gt; 2,50 m em Vias Urbanas</v>
          </cell>
          <cell r="C1329" t="str">
            <v>m</v>
          </cell>
          <cell r="D1329" t="str">
            <v>12.361,78</v>
          </cell>
          <cell r="E1329">
            <v>0</v>
          </cell>
        </row>
        <row r="1330">
          <cell r="A1330">
            <v>42857</v>
          </cell>
          <cell r="B1330" t="str">
            <v>Corpo de BTCC 2,50 x 3,00 m projeto DNIT para H &lt; -&gt; 2,50 m em vias Urbanas</v>
          </cell>
          <cell r="C1330" t="str">
            <v>m</v>
          </cell>
          <cell r="D1330" t="str">
            <v>12.361,78</v>
          </cell>
          <cell r="E1330">
            <v>0</v>
          </cell>
        </row>
        <row r="1331">
          <cell r="A1331">
            <v>42859</v>
          </cell>
          <cell r="B1331" t="str">
            <v>Corpo de BTCC 2,50 x 3,00 m projeto DNIT para 2,50 &lt; H &lt; 5,00 m em Vias Urbanas</v>
          </cell>
          <cell r="C1331" t="str">
            <v>m</v>
          </cell>
          <cell r="D1331" t="str">
            <v>13.987,88</v>
          </cell>
          <cell r="E1331">
            <v>0</v>
          </cell>
        </row>
        <row r="1332">
          <cell r="A1332">
            <v>42860</v>
          </cell>
          <cell r="B1332" t="str">
            <v>Corpo de BTCC 3,00 x 3,00 m projeto DNIT para H &lt; -&gt; 2,50 m em Vias Urbanas</v>
          </cell>
          <cell r="C1332" t="str">
            <v>m</v>
          </cell>
          <cell r="D1332" t="str">
            <v>13.290,91</v>
          </cell>
          <cell r="E1332">
            <v>0</v>
          </cell>
        </row>
        <row r="1333">
          <cell r="A1333">
            <v>42861</v>
          </cell>
          <cell r="B1333" t="str">
            <v>Corpo de BTCC 3,00 x 3,00 m projeto DNIT para 2,50 &lt; H &lt; 5,00 m em Vias Urbanas</v>
          </cell>
          <cell r="C1333" t="str">
            <v>m</v>
          </cell>
          <cell r="D1333" t="str">
            <v>14.876,64</v>
          </cell>
          <cell r="E1333">
            <v>0</v>
          </cell>
        </row>
        <row r="1334">
          <cell r="A1334">
            <v>42862</v>
          </cell>
          <cell r="B1334" t="str">
            <v>Corta-rio (escavação mecânica em material de 1ª cat.) H-&gt;1,50 a 3,00 m em Vias Urbanas</v>
          </cell>
          <cell r="C1334" t="str">
            <v>m³</v>
          </cell>
          <cell r="D1334" t="str">
            <v>13,45</v>
          </cell>
          <cell r="E1334">
            <v>0</v>
          </cell>
        </row>
        <row r="1335">
          <cell r="A1335">
            <v>42863</v>
          </cell>
          <cell r="B1335" t="str">
            <v>Corta-rio (escavação mecânica em material de 2ª cat.) H-&gt;1,50 a 3,00m em Vias Urbanas</v>
          </cell>
          <cell r="C1335" t="str">
            <v>m³</v>
          </cell>
          <cell r="D1335" t="str">
            <v>26,91</v>
          </cell>
          <cell r="E1335">
            <v>0</v>
          </cell>
        </row>
        <row r="1336">
          <cell r="A1336">
            <v>42864</v>
          </cell>
          <cell r="B1336" t="str">
            <v>Corta-rio (escavação mecânica em material de 3º cat.) H-&gt;0,00 a 1,50m em Vias Urbanas</v>
          </cell>
          <cell r="C1336" t="str">
            <v>m³</v>
          </cell>
          <cell r="D1336" t="str">
            <v>113,98</v>
          </cell>
          <cell r="E1336">
            <v>0</v>
          </cell>
        </row>
        <row r="1337">
          <cell r="A1337">
            <v>42865</v>
          </cell>
          <cell r="B1337" t="str">
            <v>Corte e esmerilhamento de pontas de tubo de ferro fundido DN 500 a 200mm em Vias Urbanas</v>
          </cell>
          <cell r="C1337" t="str">
            <v>m</v>
          </cell>
          <cell r="D1337" t="str">
            <v>18,90</v>
          </cell>
          <cell r="E1337">
            <v>0</v>
          </cell>
        </row>
        <row r="1338">
          <cell r="A1338">
            <v>42866</v>
          </cell>
          <cell r="B1338" t="str">
            <v>Curva 90° de PVC, junta elástica PBA, D-&gt;75mm, fornecimento e assentamento em Vias Urbanas</v>
          </cell>
          <cell r="C1338" t="str">
            <v>un</v>
          </cell>
          <cell r="D1338" t="str">
            <v>53,07</v>
          </cell>
          <cell r="E1338">
            <v>0</v>
          </cell>
        </row>
        <row r="1339">
          <cell r="A1339">
            <v>42867</v>
          </cell>
          <cell r="B1339" t="str">
            <v>Demolição manual alvenaria tijolo furado assentado com argamassa em Vias Urbanas</v>
          </cell>
          <cell r="C1339" t="str">
            <v>m³</v>
          </cell>
          <cell r="D1339" t="str">
            <v>168,36</v>
          </cell>
          <cell r="E1339">
            <v>0</v>
          </cell>
        </row>
        <row r="1340">
          <cell r="A1340">
            <v>42868</v>
          </cell>
          <cell r="B1340" t="str">
            <v>Demolição manual de concreto armado em Vias Urbanas</v>
          </cell>
          <cell r="C1340" t="str">
            <v>m³</v>
          </cell>
          <cell r="D1340" t="str">
            <v>248,42</v>
          </cell>
          <cell r="E1340">
            <v>0</v>
          </cell>
        </row>
        <row r="1341">
          <cell r="A1341">
            <v>42869</v>
          </cell>
          <cell r="B1341" t="str">
            <v>Demolição manual de concreto simples ou ciclópico em Vias Urbanas</v>
          </cell>
          <cell r="C1341" t="str">
            <v>m³</v>
          </cell>
          <cell r="D1341" t="str">
            <v>219,19</v>
          </cell>
          <cell r="E1341">
            <v>0</v>
          </cell>
        </row>
        <row r="1342">
          <cell r="A1342">
            <v>42870</v>
          </cell>
          <cell r="B1342" t="str">
            <v>Demolição mecânica de concreto em Vias Urbanas</v>
          </cell>
          <cell r="C1342" t="str">
            <v>m³</v>
          </cell>
          <cell r="D1342" t="str">
            <v>158,26</v>
          </cell>
          <cell r="E1342">
            <v>0</v>
          </cell>
        </row>
        <row r="1343">
          <cell r="A1343">
            <v>42880</v>
          </cell>
          <cell r="B1343" t="str">
            <v>Descida d'água concreto simples (degraus) c/ caiação (DSA-03) apoio em Vias Urbanas</v>
          </cell>
          <cell r="C1343" t="str">
            <v>un</v>
          </cell>
          <cell r="D1343" t="str">
            <v>664,78</v>
          </cell>
          <cell r="E1343">
            <v>0</v>
          </cell>
        </row>
        <row r="1344">
          <cell r="A1344">
            <v>42883</v>
          </cell>
          <cell r="B1344" t="str">
            <v>Deslocamento de cerca de tela galvanizada fio 12 malha 3" x 3", em Vias Urbanas</v>
          </cell>
          <cell r="C1344" t="str">
            <v>m</v>
          </cell>
          <cell r="D1344" t="str">
            <v>34,81</v>
          </cell>
          <cell r="E1344" t="str">
            <v>A incluir</v>
          </cell>
        </row>
        <row r="1345">
          <cell r="A1345">
            <v>42899</v>
          </cell>
          <cell r="B1345" t="str">
            <v>Dreno de alívio de pavimento (DP - DAP - 01), com tubo PVC d-&gt;50mm, geotêxtil não tecido RT 07 kN/m inclusive transporte da brita em Vias Urbanas</v>
          </cell>
          <cell r="C1345" t="str">
            <v>m</v>
          </cell>
          <cell r="D1345" t="str">
            <v>49,02</v>
          </cell>
          <cell r="E1345" t="str">
            <v>A incluir</v>
          </cell>
        </row>
        <row r="1346">
          <cell r="A1346">
            <v>42901</v>
          </cell>
          <cell r="B1346" t="str">
            <v>Dreno de PVC D -&gt; 100 mm em Vias Urbanas</v>
          </cell>
          <cell r="C1346" t="str">
            <v>m</v>
          </cell>
          <cell r="D1346" t="str">
            <v>29,67</v>
          </cell>
          <cell r="E1346">
            <v>0</v>
          </cell>
        </row>
        <row r="1347">
          <cell r="A1347">
            <v>42900</v>
          </cell>
          <cell r="B1347" t="str">
            <v>Dreno de PVC D -&gt; 50 mm em Vias Urbanas</v>
          </cell>
          <cell r="C1347" t="str">
            <v>m</v>
          </cell>
          <cell r="D1347" t="str">
            <v>17,82</v>
          </cell>
          <cell r="E1347">
            <v>0</v>
          </cell>
        </row>
        <row r="1348">
          <cell r="A1348">
            <v>41185</v>
          </cell>
          <cell r="B1348" t="str">
            <v>Dreno em PVC perfurado diâm. -&gt; 100 mm, em Vias Urbanas</v>
          </cell>
          <cell r="C1348" t="str">
            <v>m</v>
          </cell>
          <cell r="D1348" t="str">
            <v>11,61</v>
          </cell>
          <cell r="E1348" t="str">
            <v>A incluir</v>
          </cell>
        </row>
        <row r="1349">
          <cell r="A1349">
            <v>42903</v>
          </cell>
          <cell r="B1349" t="str">
            <v>Dreno Longitudinal tipo Trincheira Drenante, H -&gt; 0,90 m com tubo poroso tipo PEAD d -&gt;110 mm, incluindo esc. mat. 3ª cat. em Vias Urbanas</v>
          </cell>
          <cell r="C1349" t="str">
            <v>m</v>
          </cell>
          <cell r="D1349" t="str">
            <v>102,93</v>
          </cell>
          <cell r="E1349" t="str">
            <v>A incluir</v>
          </cell>
        </row>
        <row r="1350">
          <cell r="A1350">
            <v>42904</v>
          </cell>
          <cell r="B1350" t="str">
            <v>Dreno Longitudinal tipo Trincheira Drenante, H -&gt; 0,90 m com tubo poroso tipo PEAD d-&gt;110 mm, inclusive esc. em mat. 1ª cat. em Vias Urbanas</v>
          </cell>
          <cell r="C1350" t="str">
            <v>m</v>
          </cell>
          <cell r="D1350" t="str">
            <v>81,90</v>
          </cell>
          <cell r="E1350" t="str">
            <v>A incluir</v>
          </cell>
        </row>
        <row r="1351">
          <cell r="A1351">
            <v>42902</v>
          </cell>
          <cell r="B1351" t="str">
            <v>Dreno Longitudinal tipo Trincheira Drenante, H-&gt;0,40m c/tubo poroso PEAD d -&gt; 65 mm, incl. esc. mat. 1ª cat., geotêxtil não tecido RT 07kN/m, V. Urbanas</v>
          </cell>
          <cell r="C1351" t="str">
            <v>m</v>
          </cell>
          <cell r="D1351" t="str">
            <v>82,44</v>
          </cell>
          <cell r="E1351">
            <v>0</v>
          </cell>
        </row>
        <row r="1352">
          <cell r="A1352">
            <v>42905</v>
          </cell>
          <cell r="B1352" t="str">
            <v>Dreno ou Barbacã em tubo PVC, diâmetro de 2" em Vias Urbanas</v>
          </cell>
          <cell r="C1352" t="str">
            <v>m</v>
          </cell>
          <cell r="D1352" t="str">
            <v>15,60</v>
          </cell>
          <cell r="E1352">
            <v>0</v>
          </cell>
        </row>
        <row r="1353">
          <cell r="A1353">
            <v>43120</v>
          </cell>
          <cell r="B1353" t="str">
            <v>Dreno profundo com enchimento de areia, escavação em material 1ª categoria, inclusive transporte da areia, em vias Urbanas</v>
          </cell>
          <cell r="C1353" t="str">
            <v>m</v>
          </cell>
          <cell r="D1353" t="str">
            <v>92,07</v>
          </cell>
          <cell r="E1353" t="str">
            <v>A incluir</v>
          </cell>
        </row>
        <row r="1354">
          <cell r="A1354">
            <v>42906</v>
          </cell>
          <cell r="B1354" t="str">
            <v>Dreno profundo com enchimento de brita e areia (1:1) escavação em material 1ª categoria, inclusive transporte da areia e da brita em Vias Urbanas</v>
          </cell>
          <cell r="C1354" t="str">
            <v>m</v>
          </cell>
          <cell r="D1354" t="str">
            <v>96,91</v>
          </cell>
          <cell r="E1354" t="str">
            <v>A incluir</v>
          </cell>
        </row>
        <row r="1355">
          <cell r="A1355">
            <v>42907</v>
          </cell>
          <cell r="B1355" t="str">
            <v>Dreno profundo com enchimento de brita e areia (1:1) escavação em material 2ª categoria, inclusive transporte da areia e da brita em Vias Urbanas</v>
          </cell>
          <cell r="C1355" t="str">
            <v>m</v>
          </cell>
          <cell r="D1355" t="str">
            <v>103,25</v>
          </cell>
          <cell r="E1355" t="str">
            <v>A incluir</v>
          </cell>
        </row>
        <row r="1356">
          <cell r="A1356">
            <v>42908</v>
          </cell>
          <cell r="B1356" t="str">
            <v>Dreno profundo com enchimento de brita, escavação em material 1ª categoria, inclusive transporte da brita em Vias Urbanas</v>
          </cell>
          <cell r="C1356" t="str">
            <v>m</v>
          </cell>
          <cell r="D1356" t="str">
            <v>94,79</v>
          </cell>
          <cell r="E1356" t="str">
            <v>A incluir</v>
          </cell>
        </row>
        <row r="1357">
          <cell r="A1357">
            <v>43122</v>
          </cell>
          <cell r="B1357" t="str">
            <v>Dreno profundo com tubo poroso, D-&gt;0,20 m com enchim. de brita, escav. material 3ª categoria (DPR-01), inclus. transporte brita e tubo, Vias Urbanas</v>
          </cell>
          <cell r="C1357" t="str">
            <v>m</v>
          </cell>
          <cell r="D1357" t="str">
            <v>92,33</v>
          </cell>
          <cell r="E1357" t="str">
            <v>A incluir</v>
          </cell>
        </row>
        <row r="1358">
          <cell r="A1358">
            <v>42913</v>
          </cell>
          <cell r="B1358" t="str">
            <v>Dreno profundo com tubo poroso, D-&gt;0,20m com enchim. de brita e areia, escav. material 2ª categoria, inclusi. transp. areia,brita e tubo Vias Urbanas</v>
          </cell>
          <cell r="C1358" t="str">
            <v>m</v>
          </cell>
          <cell r="D1358" t="str">
            <v>121,04</v>
          </cell>
          <cell r="E1358" t="str">
            <v>A incluir</v>
          </cell>
        </row>
        <row r="1359">
          <cell r="A1359">
            <v>42910</v>
          </cell>
          <cell r="B1359" t="str">
            <v>Dreno profundo D-&gt;0,10m c/ enchim.brita, areia (1:1) escav. em mat. 3ª categoria, incl.geotêxtil não tecido RT 16kn/m, e transp. brita, areia V.Urbanas</v>
          </cell>
          <cell r="C1359" t="str">
            <v>m</v>
          </cell>
          <cell r="D1359" t="str">
            <v>189,59</v>
          </cell>
          <cell r="E1359" t="str">
            <v>A incluir</v>
          </cell>
        </row>
        <row r="1360">
          <cell r="A1360">
            <v>42909</v>
          </cell>
          <cell r="B1360" t="str">
            <v>Dreno profundo D-&gt;0,10m c/ enchim.brita,areia (1:1) escav.mat. 1ª categoria, incl. geotêxtil não tecido RT16 kn/m e transp. areia,brita- Vias Urbanas</v>
          </cell>
          <cell r="C1360" t="str">
            <v>m</v>
          </cell>
          <cell r="D1360" t="str">
            <v>124,31</v>
          </cell>
          <cell r="E1360" t="str">
            <v>A incluir</v>
          </cell>
        </row>
        <row r="1361">
          <cell r="A1361">
            <v>42911</v>
          </cell>
          <cell r="B1361" t="str">
            <v>Dreno profundo D-&gt;0,20m com enchimento de areia, escavação em material 1ª categoria (DPS-01), inclusive transporte da areia e do tubo em Vias Urbanas</v>
          </cell>
          <cell r="C1361" t="str">
            <v>m</v>
          </cell>
          <cell r="D1361" t="str">
            <v>116,43</v>
          </cell>
          <cell r="E1361" t="str">
            <v>A incluir</v>
          </cell>
        </row>
        <row r="1362">
          <cell r="A1362">
            <v>42912</v>
          </cell>
          <cell r="B1362" t="str">
            <v>Dreno profundo D-&gt;0,20m com enchimento de brita e areia, escavação em material 1ª categoria, inclusive transporte da brita e da areia, em Vias Urbanas</v>
          </cell>
          <cell r="C1362" t="str">
            <v>m</v>
          </cell>
          <cell r="D1362" t="str">
            <v>114,70</v>
          </cell>
          <cell r="E1362" t="str">
            <v>A incluir</v>
          </cell>
        </row>
        <row r="1363">
          <cell r="A1363">
            <v>42915</v>
          </cell>
          <cell r="B1363" t="str">
            <v>Dreno profundo para corte em solo, com enchimento em brita revestido com geotêxtil não tecido RT-16, inclusive transporte da brita em Vias Urbanas</v>
          </cell>
          <cell r="C1363" t="str">
            <v>m</v>
          </cell>
          <cell r="D1363" t="str">
            <v>117,35</v>
          </cell>
          <cell r="E1363" t="str">
            <v>A incluir</v>
          </cell>
        </row>
        <row r="1364">
          <cell r="A1364">
            <v>42914</v>
          </cell>
          <cell r="B1364" t="str">
            <v>Dreno profundo solo c/tubo PVC perfur. D-&gt;0,10 m envolto geotêxtil não tecidoRT16kn/mpreench.c/brita, inclus.transp.dreno exclus transp.brita V Urbanas</v>
          </cell>
          <cell r="C1364" t="str">
            <v>m</v>
          </cell>
          <cell r="D1364" t="str">
            <v>82,13</v>
          </cell>
          <cell r="E1364" t="str">
            <v>A incluir</v>
          </cell>
        </row>
        <row r="1365">
          <cell r="A1365">
            <v>42917</v>
          </cell>
          <cell r="B1365" t="str">
            <v>Dreno sub-horizontal D -&gt; 50 mm em PVC inclus. escavação em alteração de rocha, geotêxtil não tecido RT-16 exclusive transp. em Vias Urbanas</v>
          </cell>
          <cell r="C1365" t="str">
            <v>m</v>
          </cell>
          <cell r="D1365" t="str">
            <v>605,65</v>
          </cell>
          <cell r="E1365">
            <v>0</v>
          </cell>
        </row>
        <row r="1366">
          <cell r="A1366">
            <v>42918</v>
          </cell>
          <cell r="B1366" t="str">
            <v>Dreno sub-horizontal D -&gt; 50 mm em PVC inclus.escavação em rocha sã, geotêxtil não tecido RT-16, exclusive transportes em Vias Urbanas</v>
          </cell>
          <cell r="C1366" t="str">
            <v>m</v>
          </cell>
          <cell r="D1366" t="str">
            <v>775,34</v>
          </cell>
          <cell r="E1366">
            <v>0</v>
          </cell>
        </row>
        <row r="1367">
          <cell r="A1367">
            <v>42916</v>
          </cell>
          <cell r="B1367" t="str">
            <v>Dreno sub-horizontal D-&gt;50 mm inclusive geotêxtil não tecido RT 16 kn/m, em PVC, exclusive transportes em Vias Urbanas</v>
          </cell>
          <cell r="C1367" t="str">
            <v>m</v>
          </cell>
          <cell r="D1367" t="str">
            <v>442,21</v>
          </cell>
          <cell r="E1367">
            <v>0</v>
          </cell>
        </row>
        <row r="1368">
          <cell r="A1368">
            <v>42919</v>
          </cell>
          <cell r="B1368" t="str">
            <v>Dreno sub-superficial rocha (h-&gt;0,55m) c/tubo PVC perfur.d-&gt;0,10m, env. geotêxtil RT-16, preenc.c/ brita, incl. transp. dreno, excl. transp brita-V. Urb</v>
          </cell>
          <cell r="C1368" t="str">
            <v>m</v>
          </cell>
          <cell r="D1368" t="str">
            <v>66,05</v>
          </cell>
          <cell r="E1368" t="str">
            <v>A incluir</v>
          </cell>
        </row>
        <row r="1369">
          <cell r="A1369">
            <v>42920</v>
          </cell>
          <cell r="B1369" t="str">
            <v>Dreno vertical D -&gt; 75 mm em PVC, inclusive geotêxtil não tecido RT-16, exclusive transportes, em Vias Urbanas</v>
          </cell>
          <cell r="C1369" t="str">
            <v>m</v>
          </cell>
          <cell r="D1369" t="str">
            <v>448,00</v>
          </cell>
          <cell r="E1369">
            <v>0</v>
          </cell>
        </row>
        <row r="1370">
          <cell r="A1370">
            <v>42921</v>
          </cell>
          <cell r="B1370" t="str">
            <v>Eletroduto de ferro galvanizado DN 4" , inclusive conexões, exclusive escavação e reaterro, fornecimento e assentamento, em Vias Urbanas</v>
          </cell>
          <cell r="C1370" t="str">
            <v>m</v>
          </cell>
          <cell r="D1370" t="str">
            <v>93,42</v>
          </cell>
          <cell r="E1370">
            <v>0</v>
          </cell>
        </row>
        <row r="1371">
          <cell r="A1371">
            <v>42922</v>
          </cell>
          <cell r="B1371" t="str">
            <v>Eletroduto para rede de lógica, inclusive conexões, em Vias Urbanas</v>
          </cell>
          <cell r="C1371" t="str">
            <v>m</v>
          </cell>
          <cell r="D1371" t="str">
            <v>18,78</v>
          </cell>
          <cell r="E1371">
            <v>0</v>
          </cell>
        </row>
        <row r="1372">
          <cell r="A1372">
            <v>42923</v>
          </cell>
          <cell r="B1372" t="str">
            <v>Eletroduto PVC diâmetro 75mm, fornecimento e assentamento em Vias Urbanas</v>
          </cell>
          <cell r="C1372" t="str">
            <v>m</v>
          </cell>
          <cell r="D1372" t="str">
            <v>21,75</v>
          </cell>
          <cell r="E1372">
            <v>0</v>
          </cell>
        </row>
        <row r="1373">
          <cell r="A1373">
            <v>42924</v>
          </cell>
          <cell r="B1373" t="str">
            <v>Eletroduto PVC rígido roscável diâm. 50 mm, fornecimento e assentamento em Vias Urbanas</v>
          </cell>
          <cell r="C1373" t="str">
            <v>m</v>
          </cell>
          <cell r="D1373" t="str">
            <v>11,36</v>
          </cell>
          <cell r="E1373">
            <v>0</v>
          </cell>
        </row>
        <row r="1374">
          <cell r="A1374">
            <v>42925</v>
          </cell>
          <cell r="B1374" t="str">
            <v>Eletroduto tipo Kanaflex diâmetro 1 1/4", fornecimento e assentamento em Vias Urbanas</v>
          </cell>
          <cell r="C1374" t="str">
            <v>m</v>
          </cell>
          <cell r="D1374" t="str">
            <v>11,56</v>
          </cell>
          <cell r="E1374">
            <v>0</v>
          </cell>
        </row>
        <row r="1375">
          <cell r="A1375">
            <v>42926</v>
          </cell>
          <cell r="B1375" t="str">
            <v>Eletroduto tipo Kanaflex diâmetro 1 1/2", fornecimento e assentamento em Vias Urbanas</v>
          </cell>
          <cell r="C1375" t="str">
            <v>m</v>
          </cell>
          <cell r="D1375" t="str">
            <v>14,33</v>
          </cell>
          <cell r="E1375">
            <v>0</v>
          </cell>
        </row>
        <row r="1376">
          <cell r="A1376">
            <v>42927</v>
          </cell>
          <cell r="B1376" t="str">
            <v>Eletroduto tipo Kanaflex diâmetro 2", fornecimento e assentamento em Vias Urbanas</v>
          </cell>
          <cell r="C1376" t="str">
            <v>m</v>
          </cell>
          <cell r="D1376" t="str">
            <v>17,75</v>
          </cell>
          <cell r="E1376">
            <v>0</v>
          </cell>
        </row>
        <row r="1377">
          <cell r="A1377">
            <v>42928</v>
          </cell>
          <cell r="B1377" t="str">
            <v>Eletroduto tipo Kanaflex diâmetro 4", fornecimento e assentamento em Vias Urbanas</v>
          </cell>
          <cell r="C1377" t="str">
            <v>m</v>
          </cell>
          <cell r="D1377" t="str">
            <v>30,45</v>
          </cell>
          <cell r="E1377">
            <v>0</v>
          </cell>
        </row>
        <row r="1378">
          <cell r="A1378">
            <v>42942</v>
          </cell>
          <cell r="B1378" t="str">
            <v>Escada de madeira executada sobre terreno inclinado, com 80 cm de largura mínima em Vias Urbanas</v>
          </cell>
          <cell r="C1378" t="str">
            <v>m</v>
          </cell>
          <cell r="D1378" t="str">
            <v>59,55</v>
          </cell>
          <cell r="E1378">
            <v>0</v>
          </cell>
        </row>
        <row r="1379">
          <cell r="A1379">
            <v>42944</v>
          </cell>
          <cell r="B1379" t="str">
            <v>Escavação manual em mat. 1ª cat. H-&gt; 0,00 a 1,50 m c/ esgotamento em Vias Urbanas</v>
          </cell>
          <cell r="C1379" t="str">
            <v>m³</v>
          </cell>
          <cell r="D1379" t="str">
            <v>55,70</v>
          </cell>
          <cell r="E1379">
            <v>0</v>
          </cell>
        </row>
        <row r="1380">
          <cell r="A1380">
            <v>42943</v>
          </cell>
          <cell r="B1380" t="str">
            <v>Escavação manual em mat. 1ª cat. H-&gt; 0,00 a 1,50 m em Vias Urbanas</v>
          </cell>
          <cell r="C1380" t="str">
            <v>m³</v>
          </cell>
          <cell r="D1380" t="str">
            <v>52,56</v>
          </cell>
          <cell r="E1380">
            <v>0</v>
          </cell>
        </row>
        <row r="1381">
          <cell r="A1381">
            <v>42946</v>
          </cell>
          <cell r="B1381" t="str">
            <v>Escavação manual em mat. 1ª cat. H-&gt; 1,50 a 3,00 m c/ esgotamento em Vias Urbanas</v>
          </cell>
          <cell r="C1381" t="str">
            <v>m³</v>
          </cell>
          <cell r="D1381" t="str">
            <v>78,59</v>
          </cell>
          <cell r="E1381">
            <v>0</v>
          </cell>
        </row>
        <row r="1382">
          <cell r="A1382">
            <v>42945</v>
          </cell>
          <cell r="B1382" t="str">
            <v>Escavação manual em mat. 1ª cat. H-&gt; 1,50 a 3,00 m em Vias Urbanas</v>
          </cell>
          <cell r="C1382" t="str">
            <v>m³</v>
          </cell>
          <cell r="D1382" t="str">
            <v>77,45</v>
          </cell>
          <cell r="E1382">
            <v>0</v>
          </cell>
        </row>
        <row r="1383">
          <cell r="A1383">
            <v>42948</v>
          </cell>
          <cell r="B1383" t="str">
            <v>Escavação manual em mat. 1ª cat. H-&gt; 3,00 a 4,50 m c/ esgotamento, em Vias Urbanas</v>
          </cell>
          <cell r="C1383" t="str">
            <v>m³</v>
          </cell>
          <cell r="D1383" t="str">
            <v>112,93</v>
          </cell>
          <cell r="E1383">
            <v>0</v>
          </cell>
        </row>
        <row r="1384">
          <cell r="A1384">
            <v>42947</v>
          </cell>
          <cell r="B1384" t="str">
            <v>Escavação manual em mat. 1ª cat. H-&gt; 3,00 a 4,50 m, em Vias Urbanas</v>
          </cell>
          <cell r="C1384" t="str">
            <v>m³</v>
          </cell>
          <cell r="D1384" t="str">
            <v>114,77</v>
          </cell>
          <cell r="E1384">
            <v>0</v>
          </cell>
        </row>
        <row r="1385">
          <cell r="A1385">
            <v>42949</v>
          </cell>
          <cell r="B1385" t="str">
            <v>Escavação manual em mat. 2ª cat. H-&gt; 0,00 a 1,50 m c/ esgotamento, em Vias Urbanas</v>
          </cell>
          <cell r="C1385" t="str">
            <v>m³</v>
          </cell>
          <cell r="D1385" t="str">
            <v>117,98</v>
          </cell>
          <cell r="E1385">
            <v>0</v>
          </cell>
        </row>
        <row r="1386">
          <cell r="A1386">
            <v>42950</v>
          </cell>
          <cell r="B1386" t="str">
            <v>Escavação manual em mat. 2ª cat. H-&gt; 0,00 a 1,50 m s/ detonação, em Vias Urbanas</v>
          </cell>
          <cell r="C1386" t="str">
            <v>m³</v>
          </cell>
          <cell r="D1386" t="str">
            <v>120,27</v>
          </cell>
          <cell r="E1386">
            <v>0</v>
          </cell>
        </row>
        <row r="1387">
          <cell r="A1387">
            <v>42951</v>
          </cell>
          <cell r="B1387" t="str">
            <v>Escavação manual em mat. 2ª cat. H-&gt; 1,50 a 3,00 m c/ esgotamento, em Vias Urbanas</v>
          </cell>
          <cell r="C1387" t="str">
            <v>m³</v>
          </cell>
          <cell r="D1387" t="str">
            <v>144,92</v>
          </cell>
          <cell r="E1387">
            <v>0</v>
          </cell>
        </row>
        <row r="1388">
          <cell r="A1388">
            <v>42952</v>
          </cell>
          <cell r="B1388" t="str">
            <v>Escavação manual em mat. 2ª cat. H-&gt; 1,50 a 3,00 m s/ detonação, em Vias Urbanas</v>
          </cell>
          <cell r="C1388" t="str">
            <v>m³</v>
          </cell>
          <cell r="D1388" t="str">
            <v>149,54</v>
          </cell>
          <cell r="E1388">
            <v>0</v>
          </cell>
        </row>
        <row r="1389">
          <cell r="A1389">
            <v>42953</v>
          </cell>
          <cell r="B1389" t="str">
            <v>Escavação manual em mat. 2ª cat. H-&gt; 3,00 a 4,50 m c/ esgotamento, em Vias Urbanas</v>
          </cell>
          <cell r="C1389" t="str">
            <v>m³</v>
          </cell>
          <cell r="D1389" t="str">
            <v>251,54</v>
          </cell>
          <cell r="E1389">
            <v>0</v>
          </cell>
        </row>
        <row r="1390">
          <cell r="A1390">
            <v>42954</v>
          </cell>
          <cell r="B1390" t="str">
            <v>Escavação manual em mat. 2ª cat. H-&gt; 3,00 a 4,50 m s/ detonação, em Vias Urbanas</v>
          </cell>
          <cell r="C1390" t="str">
            <v>m³</v>
          </cell>
          <cell r="D1390" t="str">
            <v>265,44</v>
          </cell>
          <cell r="E1390">
            <v>0</v>
          </cell>
        </row>
        <row r="1391">
          <cell r="A1391">
            <v>42955</v>
          </cell>
          <cell r="B1391" t="str">
            <v>Escavação manual em mat. 3ª cat. H-&gt; 0,00 a 1,50 m, a fogo, em Vias Urbanas</v>
          </cell>
          <cell r="C1391" t="str">
            <v>m³</v>
          </cell>
          <cell r="D1391" t="str">
            <v>335,26</v>
          </cell>
          <cell r="E1391">
            <v>0</v>
          </cell>
        </row>
        <row r="1392">
          <cell r="A1392">
            <v>42956</v>
          </cell>
          <cell r="B1392" t="str">
            <v>Escavação manual furos, valetas mat. 1ª cat. H-&gt; 0,00 a 1,50 m (dim. reduz.), em Vias Urbanas</v>
          </cell>
          <cell r="C1392" t="str">
            <v>m³</v>
          </cell>
          <cell r="D1392" t="str">
            <v>77,45</v>
          </cell>
          <cell r="E1392">
            <v>0</v>
          </cell>
        </row>
        <row r="1393">
          <cell r="A1393">
            <v>42957</v>
          </cell>
          <cell r="B1393" t="str">
            <v>Escavação manual furos, valetas mat. 2ª cat. H-&gt; 0,00 a 1,50 m s/detonação (dim. reduz.), em Vias Urbanas</v>
          </cell>
          <cell r="C1393" t="str">
            <v>m³</v>
          </cell>
          <cell r="D1393" t="str">
            <v>179,00</v>
          </cell>
          <cell r="E1393">
            <v>0</v>
          </cell>
        </row>
        <row r="1394">
          <cell r="A1394">
            <v>42958</v>
          </cell>
          <cell r="B1394" t="str">
            <v>Escavação mecânica de valas em material de 1ª categoria, 3,00 a 4,50 m, c/ esgotamento, carga do material, transp. material p/ bota-fora -Vias Urbanas</v>
          </cell>
          <cell r="C1394" t="str">
            <v>m³</v>
          </cell>
          <cell r="D1394" t="str">
            <v>203,20</v>
          </cell>
          <cell r="E1394" t="str">
            <v>A incluir</v>
          </cell>
        </row>
        <row r="1395">
          <cell r="A1395">
            <v>42959</v>
          </cell>
          <cell r="B1395" t="str">
            <v>Escavação mecânica de valas em 1ª categoria, profundidade de 4,50 a 6,00 m com esgotamento, transp. DMT-&gt;20km, descarga e espalhamento, em Vias Urbanas</v>
          </cell>
          <cell r="C1395" t="str">
            <v>m³</v>
          </cell>
          <cell r="D1395" t="str">
            <v>205,04</v>
          </cell>
          <cell r="E1395" t="str">
            <v>A incluir</v>
          </cell>
        </row>
        <row r="1396">
          <cell r="A1396">
            <v>42961</v>
          </cell>
          <cell r="B1396" t="str">
            <v>Escavação mecânica em material de 1ª cat. H-&gt; 0,00 a 1,50 m c/ esgotamento, em Vias Urbanas</v>
          </cell>
          <cell r="C1396" t="str">
            <v>m³</v>
          </cell>
          <cell r="D1396" t="str">
            <v>17,48</v>
          </cell>
          <cell r="E1396">
            <v>0</v>
          </cell>
        </row>
        <row r="1397">
          <cell r="A1397">
            <v>42962</v>
          </cell>
          <cell r="B1397" t="str">
            <v>Escavação mecânica em material de 1ª cat. H-&gt; 0,00 a 1,50 m c/ esgotamento, em Vias Urbanas</v>
          </cell>
          <cell r="C1397" t="str">
            <v>m³</v>
          </cell>
          <cell r="D1397" t="str">
            <v>17,48</v>
          </cell>
          <cell r="E1397">
            <v>0</v>
          </cell>
        </row>
        <row r="1398">
          <cell r="A1398">
            <v>42960</v>
          </cell>
          <cell r="B1398" t="str">
            <v>Escavação mecânica em material de 1ª cat. H-&gt; 0,00 a 1,50 m, em Vias Urbanas</v>
          </cell>
          <cell r="C1398" t="str">
            <v>m³</v>
          </cell>
          <cell r="D1398" t="str">
            <v>11,16</v>
          </cell>
          <cell r="E1398">
            <v>0</v>
          </cell>
        </row>
        <row r="1399">
          <cell r="A1399">
            <v>42964</v>
          </cell>
          <cell r="B1399" t="str">
            <v>Escavação mecânica em material de 1ª cat. H-&gt; 1,50 a 3,00 m c/ esgotamento, em Vias Urbanas</v>
          </cell>
          <cell r="C1399" t="str">
            <v>m³</v>
          </cell>
          <cell r="D1399" t="str">
            <v>18,49</v>
          </cell>
          <cell r="E1399">
            <v>0</v>
          </cell>
        </row>
        <row r="1400">
          <cell r="A1400">
            <v>42963</v>
          </cell>
          <cell r="B1400" t="str">
            <v>Escavação mecânica em material de 1ª cat. H-&gt; 1,50 a 3,00 m, em Vias Urbanas</v>
          </cell>
          <cell r="C1400" t="str">
            <v>m³</v>
          </cell>
          <cell r="D1400" t="str">
            <v>12,13</v>
          </cell>
          <cell r="E1400">
            <v>0</v>
          </cell>
        </row>
        <row r="1401">
          <cell r="A1401">
            <v>42966</v>
          </cell>
          <cell r="B1401" t="str">
            <v>Escavação mecânica em material de 1º cat. H-&gt; 3,00 a 4,50 m c/ esgotamento, em Vias Urbanas</v>
          </cell>
          <cell r="C1401" t="str">
            <v>m³</v>
          </cell>
          <cell r="D1401" t="str">
            <v>20,46</v>
          </cell>
          <cell r="E1401">
            <v>0</v>
          </cell>
        </row>
        <row r="1402">
          <cell r="A1402">
            <v>42965</v>
          </cell>
          <cell r="B1402" t="str">
            <v>Escavação mecânica em material de 1ª cat. H-&gt; 3,00 a 4,50 m, em Vias Urbanas</v>
          </cell>
          <cell r="C1402" t="str">
            <v>m³</v>
          </cell>
          <cell r="D1402" t="str">
            <v>14,09</v>
          </cell>
          <cell r="E1402">
            <v>0</v>
          </cell>
        </row>
        <row r="1403">
          <cell r="A1403">
            <v>42968</v>
          </cell>
          <cell r="B1403" t="str">
            <v>Escavação mecânica em material de 2ª cat. H-&gt; 0,00 a 1,50 m c/ esgotamento, em Vias Urbanas</v>
          </cell>
          <cell r="C1403" t="str">
            <v>m³</v>
          </cell>
          <cell r="D1403" t="str">
            <v>25,93</v>
          </cell>
          <cell r="E1403">
            <v>0</v>
          </cell>
        </row>
        <row r="1404">
          <cell r="A1404">
            <v>42967</v>
          </cell>
          <cell r="B1404" t="str">
            <v>Escavação mecânica em material de 2ª cat. H-&gt; 0,00 a 1,50 m, em Vias Urbanas</v>
          </cell>
          <cell r="C1404" t="str">
            <v>m³</v>
          </cell>
          <cell r="D1404" t="str">
            <v>20,30</v>
          </cell>
          <cell r="E1404">
            <v>0</v>
          </cell>
        </row>
        <row r="1405">
          <cell r="A1405">
            <v>42970</v>
          </cell>
          <cell r="B1405" t="str">
            <v>Escavação mecânica em material de 2ª cat. H-&gt; 1,50 a 3,00 m c/ esgotamento, em Vias Urbanas</v>
          </cell>
          <cell r="C1405" t="str">
            <v>m³</v>
          </cell>
          <cell r="D1405" t="str">
            <v>29,67</v>
          </cell>
          <cell r="E1405">
            <v>0</v>
          </cell>
        </row>
        <row r="1406">
          <cell r="A1406">
            <v>42969</v>
          </cell>
          <cell r="B1406" t="str">
            <v>Escavação mecânica em material de 2ª cat. H-&gt; 1,50 a 3,00 m, em Vias Urbanas</v>
          </cell>
          <cell r="C1406" t="str">
            <v>m³</v>
          </cell>
          <cell r="D1406" t="str">
            <v>24,26</v>
          </cell>
          <cell r="E1406">
            <v>0</v>
          </cell>
        </row>
        <row r="1407">
          <cell r="A1407">
            <v>42973</v>
          </cell>
          <cell r="B1407" t="str">
            <v>Escavação mecânica em material de 2ª cat. H-&gt; 3,00 a 4,50 m c/ esgotamento, em Vias Urbanas</v>
          </cell>
          <cell r="C1407" t="str">
            <v>m³</v>
          </cell>
          <cell r="D1407" t="str">
            <v>35,24</v>
          </cell>
          <cell r="E1407">
            <v>0</v>
          </cell>
        </row>
        <row r="1408">
          <cell r="A1408">
            <v>42979</v>
          </cell>
          <cell r="B1408" t="str">
            <v>Escavação mecânica em material de 2º cat. H-&gt; 3,00 a 4,50 m c/ esgotamento em Vias Urbanas</v>
          </cell>
          <cell r="C1408" t="str">
            <v>m³</v>
          </cell>
          <cell r="D1408" t="str">
            <v>35,24</v>
          </cell>
          <cell r="E1408">
            <v>0</v>
          </cell>
        </row>
        <row r="1409">
          <cell r="A1409">
            <v>42971</v>
          </cell>
          <cell r="B1409" t="str">
            <v>Escavação mecânica em material de 2ª cat. H-&gt; 3,00 a 4,50 m, em Vias Urbanas</v>
          </cell>
          <cell r="C1409" t="str">
            <v>m³</v>
          </cell>
          <cell r="D1409" t="str">
            <v>30,38</v>
          </cell>
          <cell r="E1409">
            <v>0</v>
          </cell>
        </row>
        <row r="1410">
          <cell r="A1410">
            <v>42981</v>
          </cell>
          <cell r="B1410" t="str">
            <v>Escoramento de cavas e valas, inclusive fornecimento e transporte das madeiras, em Vias Urbanas</v>
          </cell>
          <cell r="C1410" t="str">
            <v>m²</v>
          </cell>
          <cell r="D1410" t="str">
            <v>180,22</v>
          </cell>
          <cell r="E1410" t="str">
            <v>A incluir</v>
          </cell>
        </row>
        <row r="1411">
          <cell r="A1411">
            <v>42982</v>
          </cell>
          <cell r="B1411" t="str">
            <v>Escoramento e cimbramento (bueiro celular), inclusive fornecimento e transporte das madeiras, em Vias Urbanas</v>
          </cell>
          <cell r="C1411" t="str">
            <v>m³</v>
          </cell>
          <cell r="D1411" t="str">
            <v>121,38</v>
          </cell>
          <cell r="E1411" t="str">
            <v>A incluir</v>
          </cell>
        </row>
        <row r="1412">
          <cell r="A1412">
            <v>0</v>
          </cell>
          <cell r="B1412">
            <v>0</v>
          </cell>
          <cell r="C1412">
            <v>0</v>
          </cell>
          <cell r="E1412" t="e">
            <v>#N/A</v>
          </cell>
        </row>
        <row r="1413">
          <cell r="A1413">
            <v>42987</v>
          </cell>
          <cell r="B1413" t="str">
            <v>Forma especial de madeira para meio fio, inclusive fornecimento e transporte das madeiras em Vias Urbanas</v>
          </cell>
          <cell r="C1413" t="str">
            <v>m²</v>
          </cell>
          <cell r="D1413" t="str">
            <v>71,11</v>
          </cell>
          <cell r="E1413" t="str">
            <v>A incluir</v>
          </cell>
        </row>
        <row r="1414">
          <cell r="A1414">
            <v>42988</v>
          </cell>
          <cell r="B1414" t="str">
            <v>Forma especial de madeira para sarjeta (gabarito), inclusive fornecimento e transporte das madeiras, em Vias Urbanas</v>
          </cell>
          <cell r="C1414" t="str">
            <v>m²</v>
          </cell>
          <cell r="D1414" t="str">
            <v>60,80</v>
          </cell>
          <cell r="E1414" t="str">
            <v>A incluir</v>
          </cell>
        </row>
        <row r="1415">
          <cell r="A1415">
            <v>42989</v>
          </cell>
          <cell r="B1415" t="str">
            <v>Forma metálica para meio fio, em Vias Urbanas</v>
          </cell>
          <cell r="C1415" t="str">
            <v>m²</v>
          </cell>
          <cell r="D1415" t="str">
            <v>6,96</v>
          </cell>
          <cell r="E1415">
            <v>0</v>
          </cell>
        </row>
        <row r="1416">
          <cell r="A1416">
            <v>42991</v>
          </cell>
          <cell r="B1416" t="str">
            <v>Formas planas de madeira com 01 (um) reaproveitamento, inclusive fornecimento e transporte das madeiras, em Vias Urbanas</v>
          </cell>
          <cell r="C1416" t="str">
            <v>m²</v>
          </cell>
          <cell r="D1416" t="str">
            <v>104,18</v>
          </cell>
          <cell r="E1416" t="str">
            <v>A incluir</v>
          </cell>
        </row>
        <row r="1417">
          <cell r="A1417">
            <v>42992</v>
          </cell>
          <cell r="B1417" t="str">
            <v>Formas planas de madeira com 02 (dois) reaproveitamentos, inclusive fornecimento e transporte das madeiras, em Vias Urbanas</v>
          </cell>
          <cell r="C1417" t="str">
            <v>m²</v>
          </cell>
          <cell r="D1417" t="str">
            <v>86,95</v>
          </cell>
          <cell r="E1417" t="str">
            <v>A incluir</v>
          </cell>
        </row>
        <row r="1418">
          <cell r="A1418">
            <v>42993</v>
          </cell>
          <cell r="B1418" t="str">
            <v>Formas planas de madeira com 04 (quatro) reaproveitamentos, inclusive fornecimento e transporte das madeiras, em Vias Urbanas</v>
          </cell>
          <cell r="C1418" t="str">
            <v>m²</v>
          </cell>
          <cell r="D1418" t="str">
            <v>72,56</v>
          </cell>
          <cell r="E1418" t="str">
            <v>A incluir</v>
          </cell>
        </row>
        <row r="1419">
          <cell r="A1419">
            <v>42994</v>
          </cell>
          <cell r="B1419" t="str">
            <v>Formas planas de madeira sem reaproveitamento (forma perdida), inclusive fornecimento e transporte das madeiras em Vias Urbanas</v>
          </cell>
          <cell r="C1419" t="str">
            <v>m²</v>
          </cell>
          <cell r="D1419" t="str">
            <v>153,40</v>
          </cell>
          <cell r="E1419" t="str">
            <v>A incluir</v>
          </cell>
        </row>
        <row r="1420">
          <cell r="A1420">
            <v>43070</v>
          </cell>
          <cell r="B1420" t="str">
            <v>Gabião manta/colchão, p/ revest. canal em malha hex 6x8mm Zn-Al/PVC, e-&gt;2,8mm,h-&gt;0,23m, inclus.aquis./assentam. pedra mão, exclus. transp., Vias Urbanas</v>
          </cell>
          <cell r="C1420" t="str">
            <v>m²</v>
          </cell>
          <cell r="D1420" t="str">
            <v>162,73</v>
          </cell>
          <cell r="E1420">
            <v>0</v>
          </cell>
        </row>
        <row r="1421">
          <cell r="A1421">
            <v>42995</v>
          </cell>
          <cell r="B1421" t="str">
            <v>Gabiões com caixas e sacos galvanizados, com geotêxtil não tecido RT 07 kN/m, em Vias Urbanas</v>
          </cell>
          <cell r="C1421" t="str">
            <v>m³</v>
          </cell>
          <cell r="D1421" t="str">
            <v>325,46</v>
          </cell>
          <cell r="E1421" t="str">
            <v>A incluir</v>
          </cell>
        </row>
        <row r="1422">
          <cell r="A1422">
            <v>42996</v>
          </cell>
          <cell r="B1422" t="str">
            <v>Gabiões com caixas galvanizadas, sem manta, em Vias Urbanas</v>
          </cell>
          <cell r="C1422" t="str">
            <v>m³</v>
          </cell>
          <cell r="D1422" t="str">
            <v>306,87</v>
          </cell>
          <cell r="E1422" t="str">
            <v>A incluir</v>
          </cell>
        </row>
        <row r="1423">
          <cell r="A1423">
            <v>43012</v>
          </cell>
          <cell r="B1423" t="str">
            <v>Geotêxtil não tecido RT-16 kn/m, fornecimento e aplicação em Vias Urbanas</v>
          </cell>
          <cell r="C1423" t="str">
            <v>m²</v>
          </cell>
          <cell r="D1423" t="str">
            <v>8,62</v>
          </cell>
          <cell r="E1423">
            <v>0</v>
          </cell>
        </row>
        <row r="1424">
          <cell r="A1424">
            <v>43011</v>
          </cell>
          <cell r="B1424" t="str">
            <v>Geotêxtil não-tecido com resistência longitudinal a tração 10kN/m, fornecimento e aplicação em Vias Urbanas</v>
          </cell>
          <cell r="C1424" t="str">
            <v>m²</v>
          </cell>
          <cell r="D1424" t="str">
            <v>6,11</v>
          </cell>
          <cell r="E1424">
            <v>0</v>
          </cell>
        </row>
        <row r="1425">
          <cell r="A1425">
            <v>43003</v>
          </cell>
          <cell r="B1425" t="str">
            <v>Lastro de brita, inclusive transporte da brita em Vias Urbanas</v>
          </cell>
          <cell r="C1425" t="str">
            <v>m³</v>
          </cell>
          <cell r="D1425" t="str">
            <v>103,93</v>
          </cell>
          <cell r="E1425" t="str">
            <v>A incluir</v>
          </cell>
        </row>
        <row r="1426">
          <cell r="A1426">
            <v>43004</v>
          </cell>
          <cell r="B1426" t="str">
            <v>Limpeza e apicoamento manual de superfície de rocha em Vias Urbanas</v>
          </cell>
          <cell r="C1426" t="str">
            <v>m²</v>
          </cell>
          <cell r="D1426" t="str">
            <v>32,29</v>
          </cell>
          <cell r="E1426">
            <v>0</v>
          </cell>
        </row>
        <row r="1427">
          <cell r="A1427">
            <v>43005</v>
          </cell>
          <cell r="B1427" t="str">
            <v>Limpeza e desobstrução de BDTC e BDCC em Vias Urbanas</v>
          </cell>
          <cell r="C1427" t="str">
            <v>m</v>
          </cell>
          <cell r="D1427" t="str">
            <v>29,11</v>
          </cell>
          <cell r="E1427">
            <v>0</v>
          </cell>
        </row>
        <row r="1428">
          <cell r="A1428">
            <v>43006</v>
          </cell>
          <cell r="B1428" t="str">
            <v>Limpeza e desobstrução de BQTC em Vias Urbanas</v>
          </cell>
          <cell r="C1428" t="str">
            <v>m</v>
          </cell>
          <cell r="D1428" t="str">
            <v>47,06</v>
          </cell>
          <cell r="E1428">
            <v>0</v>
          </cell>
        </row>
        <row r="1429">
          <cell r="A1429">
            <v>43007</v>
          </cell>
          <cell r="B1429" t="str">
            <v>Limpeza e desobstrução de BSTC e BSCC em Vias Urbanas</v>
          </cell>
          <cell r="C1429" t="str">
            <v>m</v>
          </cell>
          <cell r="D1429" t="str">
            <v>15,33</v>
          </cell>
          <cell r="E1429">
            <v>0</v>
          </cell>
        </row>
        <row r="1430">
          <cell r="A1430">
            <v>43008</v>
          </cell>
          <cell r="B1430" t="str">
            <v>Limpeza e desobstrução de BTTC e BTCC em Vias Urbanas</v>
          </cell>
          <cell r="C1430" t="str">
            <v>m</v>
          </cell>
          <cell r="D1430" t="str">
            <v>42,90</v>
          </cell>
          <cell r="E1430">
            <v>0</v>
          </cell>
        </row>
        <row r="1431">
          <cell r="A1431">
            <v>43009</v>
          </cell>
          <cell r="B1431" t="str">
            <v>Limpeza e preparo de superfície de aço em Vias Urbanas</v>
          </cell>
          <cell r="C1431" t="str">
            <v>m²</v>
          </cell>
          <cell r="D1431" t="str">
            <v>84,49</v>
          </cell>
          <cell r="E1431">
            <v>0</v>
          </cell>
        </row>
        <row r="1432">
          <cell r="A1432">
            <v>43018</v>
          </cell>
          <cell r="B1432" t="str">
            <v>Meio fio de concreto pré-moldado (12 x 30 x 15) cm, inclusive caiação e transporte do meio fio em Vias Urbanas</v>
          </cell>
          <cell r="C1432" t="str">
            <v>m</v>
          </cell>
          <cell r="D1432" t="str">
            <v>49,97</v>
          </cell>
          <cell r="E1432" t="str">
            <v>A incluir</v>
          </cell>
        </row>
        <row r="1433">
          <cell r="A1433">
            <v>43016</v>
          </cell>
          <cell r="B1433" t="str">
            <v>Meio fio de concreto pré-moldado (1,20 m x 0,12 m x 0,15 m x 0,30 m),exclusive transporte, em Vias Urbanas</v>
          </cell>
          <cell r="C1433" t="str">
            <v>m</v>
          </cell>
          <cell r="D1433" t="str">
            <v>50,34</v>
          </cell>
          <cell r="E1433">
            <v>0</v>
          </cell>
        </row>
        <row r="1434">
          <cell r="A1434">
            <v>43019</v>
          </cell>
          <cell r="B1434" t="str">
            <v>Meio fio de pedra (fornecimento e assentamento), inclusive caiação e transporte do meio fio em Vias Urbanas</v>
          </cell>
          <cell r="C1434" t="str">
            <v>m</v>
          </cell>
          <cell r="D1434" t="str">
            <v>52,87</v>
          </cell>
          <cell r="E1434" t="str">
            <v>A incluir</v>
          </cell>
        </row>
        <row r="1435">
          <cell r="A1435">
            <v>43026</v>
          </cell>
          <cell r="B1435" t="str">
            <v>Montagem e desmontagem de escoramento tubular normal, em obras de arte na densidade de 5m de tubo por m³ de escoramento em Vias Urbanas</v>
          </cell>
          <cell r="C1435" t="str">
            <v>m</v>
          </cell>
          <cell r="D1435" t="str">
            <v>18,92</v>
          </cell>
          <cell r="E1435">
            <v>0</v>
          </cell>
        </row>
        <row r="1436">
          <cell r="A1436">
            <v>0</v>
          </cell>
          <cell r="B1436">
            <v>0</v>
          </cell>
          <cell r="C1436">
            <v>0</v>
          </cell>
          <cell r="E1436" t="e">
            <v>#N/A</v>
          </cell>
        </row>
        <row r="1437">
          <cell r="A1437">
            <v>43033</v>
          </cell>
          <cell r="B1437" t="str">
            <v>Muro de testa em concreto para saída de dreno profundo em rocha, inclusive transporte do tubo em Vias Urbanas</v>
          </cell>
          <cell r="C1437" t="str">
            <v>un</v>
          </cell>
          <cell r="D1437" t="str">
            <v>987,39</v>
          </cell>
          <cell r="E1437" t="str">
            <v>A incluir</v>
          </cell>
        </row>
        <row r="1438">
          <cell r="A1438">
            <v>43037</v>
          </cell>
          <cell r="B1438" t="str">
            <v>Pedra de mão p/ (concreto ciclópico ou alvenaria) rocha paga em medição em Vias Urbanas</v>
          </cell>
          <cell r="C1438" t="str">
            <v>m³</v>
          </cell>
          <cell r="D1438" t="str">
            <v>46,00</v>
          </cell>
          <cell r="E1438">
            <v>0</v>
          </cell>
        </row>
        <row r="1439">
          <cell r="A1439">
            <v>43038</v>
          </cell>
          <cell r="B1439" t="str">
            <v>Pescoço de poço de visita H-&gt;0,30m, diâm. -&gt; 0,60 m, fornecimento, assentamento e transporte em Vias Urbanas</v>
          </cell>
          <cell r="C1439" t="str">
            <v>un</v>
          </cell>
          <cell r="D1439" t="str">
            <v>130,97</v>
          </cell>
          <cell r="E1439" t="str">
            <v>A incluir</v>
          </cell>
        </row>
        <row r="1440">
          <cell r="A1440">
            <v>43039</v>
          </cell>
          <cell r="B1440" t="str">
            <v>Pintura com nata de cimento em Vias Urbanas</v>
          </cell>
          <cell r="C1440" t="str">
            <v>m²</v>
          </cell>
          <cell r="D1440" t="str">
            <v>5,21</v>
          </cell>
          <cell r="E1440">
            <v>0</v>
          </cell>
        </row>
        <row r="1441">
          <cell r="A1441">
            <v>43040</v>
          </cell>
          <cell r="B1441" t="str">
            <v>Pintura interna ou externa sobre ferro, com tinta a base de resina de borracha clorada em Vias Urbanas</v>
          </cell>
          <cell r="C1441" t="str">
            <v>m²</v>
          </cell>
          <cell r="D1441" t="str">
            <v>43,58</v>
          </cell>
          <cell r="E1441">
            <v>0</v>
          </cell>
        </row>
        <row r="1442">
          <cell r="A1442">
            <v>43042</v>
          </cell>
          <cell r="B1442" t="str">
            <v>Plataforma ou passarela de pinho de 1ª ou similar, 1" x 12", em Vias Urbanas</v>
          </cell>
          <cell r="C1442" t="str">
            <v>m²</v>
          </cell>
          <cell r="D1442" t="str">
            <v>2,60</v>
          </cell>
          <cell r="E1442">
            <v>0</v>
          </cell>
        </row>
        <row r="1443">
          <cell r="A1443">
            <v>43043</v>
          </cell>
          <cell r="B1443" t="str">
            <v>Poço de visita em bloco pré-moldado para d-&gt;0,30 e 0,40 m (0,80 x 0,8 0m), em Vias Urbanas</v>
          </cell>
          <cell r="C1443" t="str">
            <v>un</v>
          </cell>
          <cell r="D1443" t="str">
            <v>2.104,82</v>
          </cell>
          <cell r="E1443">
            <v>0</v>
          </cell>
        </row>
        <row r="1444">
          <cell r="A1444">
            <v>43044</v>
          </cell>
          <cell r="B1444" t="str">
            <v>Poço de visita em bloco pré-moldado para d-&gt;0,60 m (1,00 x 1,00 m), em Vias Urbanas</v>
          </cell>
          <cell r="C1444" t="str">
            <v>un</v>
          </cell>
          <cell r="D1444" t="str">
            <v>2.465,13</v>
          </cell>
          <cell r="E1444">
            <v>0</v>
          </cell>
        </row>
        <row r="1445">
          <cell r="A1445">
            <v>41169</v>
          </cell>
          <cell r="B1445" t="str">
            <v>Poço de visita em bloco pré-moldado para d-&gt;0,80m (1,20x1,20m), em Vias Urbanas</v>
          </cell>
          <cell r="C1445" t="str">
            <v>un</v>
          </cell>
          <cell r="D1445" t="str">
            <v>2.941,71</v>
          </cell>
          <cell r="E1445">
            <v>0</v>
          </cell>
        </row>
        <row r="1446">
          <cell r="A1446">
            <v>41170</v>
          </cell>
          <cell r="B1446" t="str">
            <v>Poço de visita em bloco pré-moldado para d-&gt;1,00m (1,30x1,30m) (Vias Urbanas)</v>
          </cell>
          <cell r="C1446" t="str">
            <v>un</v>
          </cell>
          <cell r="D1446" t="str">
            <v>3.250,48</v>
          </cell>
          <cell r="E1446">
            <v>0</v>
          </cell>
        </row>
        <row r="1447">
          <cell r="A1447">
            <v>41171</v>
          </cell>
          <cell r="B1447" t="str">
            <v>Poço de visita em bloco pré-moldado para d-&gt;1,20m (1,50x1,50m), em Vias Urbanas</v>
          </cell>
          <cell r="C1447" t="str">
            <v>un</v>
          </cell>
          <cell r="D1447" t="str">
            <v>3.910,60</v>
          </cell>
          <cell r="E1447">
            <v>0</v>
          </cell>
        </row>
        <row r="1448">
          <cell r="A1448">
            <v>43046</v>
          </cell>
          <cell r="B1448" t="str">
            <v>Poço de Visita para BSTC diâm. 0,40 m em blocos de concreto, em Vias Urbanas</v>
          </cell>
          <cell r="C1448" t="str">
            <v>un</v>
          </cell>
          <cell r="D1448" t="str">
            <v>1.180,92</v>
          </cell>
          <cell r="E1448">
            <v>0</v>
          </cell>
        </row>
        <row r="1449">
          <cell r="A1449">
            <v>43047</v>
          </cell>
          <cell r="B1449" t="str">
            <v>Poço de visita para BSTC diâm. 0,60 m em blocos de concreto, em Vias Urbanas</v>
          </cell>
          <cell r="C1449" t="str">
            <v>un</v>
          </cell>
          <cell r="D1449" t="str">
            <v>1.569,11</v>
          </cell>
          <cell r="E1449">
            <v>0</v>
          </cell>
        </row>
        <row r="1450">
          <cell r="A1450">
            <v>43048</v>
          </cell>
          <cell r="B1450" t="str">
            <v>Poço de visita para BSTC diâm. 0,80 m em blocos de concreto, em Vias Urbanas</v>
          </cell>
          <cell r="C1450" t="str">
            <v>un</v>
          </cell>
          <cell r="D1450" t="str">
            <v>1.946,78</v>
          </cell>
          <cell r="E1450">
            <v>0</v>
          </cell>
        </row>
        <row r="1451">
          <cell r="A1451">
            <v>43050</v>
          </cell>
          <cell r="B1451" t="str">
            <v>Poço de visita (tubo D-&gt;0,40 m) H-&gt;1,50 m com tampão F.F.A.P., inclusive escavação e transporte do tampão, em Vias Urbanas</v>
          </cell>
          <cell r="C1451" t="str">
            <v>un</v>
          </cell>
          <cell r="D1451" t="str">
            <v>3.298,68</v>
          </cell>
          <cell r="E1451" t="str">
            <v>A incluir</v>
          </cell>
        </row>
        <row r="1452">
          <cell r="A1452">
            <v>43051</v>
          </cell>
          <cell r="B1452" t="str">
            <v>Poço de visita (tubo D-&gt;0,60 m) H-&gt;1,70 m com tampão F.F.A.P., inclusive escavação e transporte do tampão, em Vias Urbanas</v>
          </cell>
          <cell r="C1452" t="str">
            <v>un</v>
          </cell>
          <cell r="D1452" t="str">
            <v>3.668,12</v>
          </cell>
          <cell r="E1452" t="str">
            <v>A incluir</v>
          </cell>
        </row>
        <row r="1453">
          <cell r="A1453">
            <v>43052</v>
          </cell>
          <cell r="B1453" t="str">
            <v>Poço de visita (tubo D-&gt;0,80 m) H-&gt;1,90 m com tampão F.F.A.P., inclusive escavação e transporte do tampão, em Vias Urbanas</v>
          </cell>
          <cell r="C1453" t="str">
            <v>un</v>
          </cell>
          <cell r="D1453" t="str">
            <v>4.037,54</v>
          </cell>
          <cell r="E1453" t="str">
            <v>A incluir</v>
          </cell>
        </row>
        <row r="1454">
          <cell r="A1454">
            <v>43053</v>
          </cell>
          <cell r="B1454" t="str">
            <v>Poço de visita (tubo D-&gt;1,00 m) H-&gt;2,10 m com tampão F.F.A.P., inclusive escavação e transporte do tampão, em Vias Urbanas</v>
          </cell>
          <cell r="C1454" t="str">
            <v>un</v>
          </cell>
          <cell r="D1454" t="str">
            <v>4.406,94</v>
          </cell>
          <cell r="E1454" t="str">
            <v>A incluir</v>
          </cell>
        </row>
        <row r="1455">
          <cell r="A1455">
            <v>43054</v>
          </cell>
          <cell r="B1455" t="str">
            <v>Preparo manual de talude, compreendendo acerto, raspagem eventual de até 0,30 m de prof. e afastamento lateral, em Vias Urbanas</v>
          </cell>
          <cell r="C1455" t="str">
            <v>m²</v>
          </cell>
          <cell r="D1455" t="str">
            <v>8,84</v>
          </cell>
          <cell r="E1455">
            <v>0</v>
          </cell>
        </row>
        <row r="1456">
          <cell r="A1456">
            <v>43055</v>
          </cell>
          <cell r="B1456" t="str">
            <v>Preparo manual de terreno, compreendendo acerto raspagem até 25 cm de profundidade e afastamento lateral do material excedente, em Vias Urbanas</v>
          </cell>
          <cell r="C1456" t="str">
            <v>m²</v>
          </cell>
          <cell r="D1456" t="str">
            <v>7,09</v>
          </cell>
          <cell r="E1456">
            <v>0</v>
          </cell>
        </row>
        <row r="1457">
          <cell r="A1457">
            <v>43056</v>
          </cell>
          <cell r="B1457" t="str">
            <v>Reaterro com areia, tudo incluído, em Vias Urbanas</v>
          </cell>
          <cell r="C1457" t="str">
            <v>m³</v>
          </cell>
          <cell r="D1457" t="str">
            <v>66,39</v>
          </cell>
          <cell r="E1457" t="str">
            <v>A incluir</v>
          </cell>
        </row>
        <row r="1458">
          <cell r="A1458">
            <v>43058</v>
          </cell>
          <cell r="B1458" t="str">
            <v>Reaterro de cavas c/ compactação manual (apiloamento) (dim. reduz.), em Vias Urbanas</v>
          </cell>
          <cell r="C1458" t="str">
            <v>m³</v>
          </cell>
          <cell r="D1458" t="str">
            <v>80,26</v>
          </cell>
          <cell r="E1458">
            <v>0</v>
          </cell>
        </row>
        <row r="1459">
          <cell r="A1459">
            <v>43057</v>
          </cell>
          <cell r="B1459" t="str">
            <v>Reaterro de cavas c/ compactação manual (apiloamento) em Vias Urbanas</v>
          </cell>
          <cell r="C1459" t="str">
            <v>m³</v>
          </cell>
          <cell r="D1459" t="str">
            <v>55,37</v>
          </cell>
          <cell r="E1459">
            <v>0</v>
          </cell>
        </row>
        <row r="1460">
          <cell r="A1460">
            <v>43059</v>
          </cell>
          <cell r="B1460" t="str">
            <v>Reaterro de cavas c/ compactação mecânica (compactador manual), em Vias Urbanas</v>
          </cell>
          <cell r="C1460" t="str">
            <v>m³</v>
          </cell>
          <cell r="D1460" t="str">
            <v>35,51</v>
          </cell>
          <cell r="E1460">
            <v>0</v>
          </cell>
        </row>
        <row r="1461">
          <cell r="A1461">
            <v>43060</v>
          </cell>
          <cell r="B1461" t="str">
            <v>Recuperação de poço de visita inclusive fornecimento tampão F.F.A.P., em Vias Urbanas</v>
          </cell>
          <cell r="C1461" t="str">
            <v>un</v>
          </cell>
          <cell r="D1461" t="str">
            <v>530,25</v>
          </cell>
          <cell r="E1461" t="str">
            <v>A incluir</v>
          </cell>
        </row>
        <row r="1462">
          <cell r="A1462">
            <v>41183</v>
          </cell>
          <cell r="B1462" t="str">
            <v>Rede de dutos - Vias Urbanas</v>
          </cell>
          <cell r="C1462" t="str">
            <v>m</v>
          </cell>
          <cell r="D1462" t="str">
            <v>69,36</v>
          </cell>
          <cell r="E1462">
            <v>0</v>
          </cell>
        </row>
        <row r="1463">
          <cell r="A1463">
            <v>43061</v>
          </cell>
          <cell r="B1463" t="str">
            <v>Rede de dutos 65mm (duplo), envelopada com brita 3, em Vias Urbanas</v>
          </cell>
          <cell r="C1463" t="str">
            <v>m</v>
          </cell>
          <cell r="D1463" t="str">
            <v>76,27</v>
          </cell>
          <cell r="E1463">
            <v>0</v>
          </cell>
        </row>
        <row r="1464">
          <cell r="A1464">
            <v>43062</v>
          </cell>
          <cell r="B1464" t="str">
            <v>Rede em PVC Vinilfort ou similar DN -&gt; 200 mm, em Vias Urbanas</v>
          </cell>
          <cell r="C1464" t="str">
            <v>m</v>
          </cell>
          <cell r="D1464" t="str">
            <v>208,04</v>
          </cell>
          <cell r="E1464">
            <v>0</v>
          </cell>
        </row>
        <row r="1465">
          <cell r="A1465">
            <v>43064</v>
          </cell>
          <cell r="B1465" t="str">
            <v>Religação de rede de água em PVC DN 20 mm, inclusive conexões, em Vias Urbanas</v>
          </cell>
          <cell r="C1465" t="str">
            <v>m</v>
          </cell>
          <cell r="D1465" t="str">
            <v>16,29</v>
          </cell>
          <cell r="E1465">
            <v>0</v>
          </cell>
        </row>
        <row r="1466">
          <cell r="A1466">
            <v>43065</v>
          </cell>
          <cell r="B1466" t="str">
            <v>Religação de rede de água em PVC DN 25 mm, inclusive conexões, em Vias Urbanas</v>
          </cell>
          <cell r="C1466" t="str">
            <v>m</v>
          </cell>
          <cell r="D1466" t="str">
            <v>19,66</v>
          </cell>
          <cell r="E1466">
            <v>0</v>
          </cell>
        </row>
        <row r="1467">
          <cell r="A1467">
            <v>43066</v>
          </cell>
          <cell r="B1467" t="str">
            <v>Religação de rede de água em PVC DN 32 mm, inclusive conexões, em Vias Urbanas</v>
          </cell>
          <cell r="C1467" t="str">
            <v>m</v>
          </cell>
          <cell r="D1467" t="str">
            <v>25,08</v>
          </cell>
          <cell r="E1467">
            <v>0</v>
          </cell>
        </row>
        <row r="1468">
          <cell r="A1468">
            <v>43067</v>
          </cell>
          <cell r="B1468" t="str">
            <v>Religação de rede de água em PVC DN 75 mm, inclusive conexões, em Vias Urbanas</v>
          </cell>
          <cell r="C1468" t="str">
            <v>m</v>
          </cell>
          <cell r="D1468" t="str">
            <v>52,21</v>
          </cell>
          <cell r="E1468">
            <v>0</v>
          </cell>
        </row>
        <row r="1469">
          <cell r="A1469">
            <v>43063</v>
          </cell>
          <cell r="B1469" t="str">
            <v>Religação de rede de água em PVC PBA CL 15 DN 100 mm, inclusive conexões, em Vias Urbanas</v>
          </cell>
          <cell r="C1469" t="str">
            <v>m</v>
          </cell>
          <cell r="D1469" t="str">
            <v>79,89</v>
          </cell>
          <cell r="E1469">
            <v>0</v>
          </cell>
        </row>
        <row r="1470">
          <cell r="A1470">
            <v>43068</v>
          </cell>
          <cell r="B1470" t="str">
            <v>Remanejamento de ligação e religação de redes de esgoto, em Vias Urbanas</v>
          </cell>
          <cell r="C1470" t="str">
            <v>m</v>
          </cell>
          <cell r="D1470" t="str">
            <v>65,20</v>
          </cell>
          <cell r="E1470">
            <v>0</v>
          </cell>
        </row>
        <row r="1471">
          <cell r="A1471">
            <v>43069</v>
          </cell>
          <cell r="B1471" t="str">
            <v>Remoção de bueiros existentes, em Vias Urbanas</v>
          </cell>
          <cell r="C1471" t="str">
            <v>m</v>
          </cell>
          <cell r="D1471" t="str">
            <v>119,59</v>
          </cell>
          <cell r="E1471" t="str">
            <v>A incluir</v>
          </cell>
        </row>
        <row r="1472">
          <cell r="A1472">
            <v>43071</v>
          </cell>
          <cell r="B1472" t="str">
            <v>Rip-rap c/ argamassa cimento areia 1:6, inclusive aquisição e transporte dos materiais, em Vias Urbanas</v>
          </cell>
          <cell r="C1472" t="str">
            <v>m³</v>
          </cell>
          <cell r="D1472" t="str">
            <v>324,47</v>
          </cell>
          <cell r="E1472" t="str">
            <v>A incluir</v>
          </cell>
        </row>
        <row r="1473">
          <cell r="A1473">
            <v>43078</v>
          </cell>
          <cell r="B1473" t="str">
            <v>Sarjeta de concreto DP-1 (0,081 m³/m) calha triangular, inclusive caiação, em Vias Urbanas</v>
          </cell>
          <cell r="C1473" t="str">
            <v>m</v>
          </cell>
          <cell r="D1473" t="str">
            <v>79,74</v>
          </cell>
          <cell r="E1473">
            <v>0</v>
          </cell>
        </row>
        <row r="1474">
          <cell r="A1474">
            <v>43079</v>
          </cell>
          <cell r="B1474" t="str">
            <v>Sarjeta de concreto DP-2 (0,085 m³/m) calha triangular, inclusive caiação, em Vias Urbanas</v>
          </cell>
          <cell r="C1474" t="str">
            <v>m</v>
          </cell>
          <cell r="D1474" t="str">
            <v>83,18</v>
          </cell>
          <cell r="E1474">
            <v>0</v>
          </cell>
        </row>
        <row r="1475">
          <cell r="A1475">
            <v>43080</v>
          </cell>
          <cell r="B1475" t="str">
            <v>Sarjeta de concreto SCA 40/10 - em Vias Urbanas</v>
          </cell>
          <cell r="C1475" t="str">
            <v>m</v>
          </cell>
          <cell r="D1475" t="str">
            <v>69,77</v>
          </cell>
          <cell r="E1475" t="str">
            <v>A incluir</v>
          </cell>
        </row>
        <row r="1476">
          <cell r="A1476">
            <v>43081</v>
          </cell>
          <cell r="B1476" t="str">
            <v>Sarjeta de concreto (SCA 70/15) calha triangular, inclusive caiação, em Vias Urbanas</v>
          </cell>
          <cell r="C1476" t="str">
            <v>m</v>
          </cell>
          <cell r="D1476" t="str">
            <v>92,93</v>
          </cell>
          <cell r="E1476">
            <v>0</v>
          </cell>
        </row>
        <row r="1477">
          <cell r="A1477">
            <v>43085</v>
          </cell>
          <cell r="B1477" t="str">
            <v>Sarjeta de concreto (SCA 90/10) calha triangular, inclusive caiação, em Vias Urbanas</v>
          </cell>
          <cell r="C1477" t="str">
            <v>m</v>
          </cell>
          <cell r="D1477" t="str">
            <v>164,88</v>
          </cell>
          <cell r="E1477">
            <v>0</v>
          </cell>
        </row>
        <row r="1478">
          <cell r="A1478">
            <v>43083</v>
          </cell>
          <cell r="B1478" t="str">
            <v>Sarjeta de concreto (STC - 02) calha triangular em corte/aterro, inclusive caiação, em Vias Urbanas</v>
          </cell>
          <cell r="C1478" t="str">
            <v>m</v>
          </cell>
          <cell r="D1478" t="str">
            <v>77,76</v>
          </cell>
          <cell r="E1478">
            <v>0</v>
          </cell>
        </row>
        <row r="1479">
          <cell r="A1479">
            <v>43084</v>
          </cell>
          <cell r="B1479" t="str">
            <v>Sarjeta de concreto (STC - 04) calha triangular de bancada em corte, inclusive caiação, em Vias Urbanas</v>
          </cell>
          <cell r="C1479" t="str">
            <v>m</v>
          </cell>
          <cell r="D1479" t="str">
            <v>58,16</v>
          </cell>
          <cell r="E1479">
            <v>0</v>
          </cell>
        </row>
        <row r="1480">
          <cell r="A1480">
            <v>43086</v>
          </cell>
          <cell r="B1480" t="str">
            <v>Tampa de concreto em grelha, fornecimento, assentamento e transporte, em Vias Urbanas</v>
          </cell>
          <cell r="C1480" t="str">
            <v>un</v>
          </cell>
          <cell r="D1480" t="str">
            <v>180,00</v>
          </cell>
          <cell r="E1480" t="str">
            <v>A incluir</v>
          </cell>
        </row>
        <row r="1481">
          <cell r="A1481">
            <v>43087</v>
          </cell>
          <cell r="B1481" t="str">
            <v>Tampão F.F.A.P. com 100 kg, fornecimento, assentamento e transporte em Vias Urbanas</v>
          </cell>
          <cell r="C1481" t="str">
            <v>un</v>
          </cell>
          <cell r="D1481" t="str">
            <v>292,87</v>
          </cell>
          <cell r="E1481" t="str">
            <v>A incluir</v>
          </cell>
        </row>
        <row r="1482">
          <cell r="A1482">
            <v>43089</v>
          </cell>
          <cell r="B1482" t="str">
            <v>Tapume de vedação e proteção, executado com chapas de compensado resinado com 6 mm de espessura, exclusive pintura, em Vias Urbanas</v>
          </cell>
          <cell r="C1482" t="str">
            <v>m²</v>
          </cell>
          <cell r="D1482" t="str">
            <v>36,15</v>
          </cell>
          <cell r="E1482">
            <v>0</v>
          </cell>
        </row>
        <row r="1483">
          <cell r="A1483">
            <v>43090</v>
          </cell>
          <cell r="B1483" t="str">
            <v>Tela de aço soldada Telcon Q-138 ou similar, fornecimento e assentamento em Vias Urbanas</v>
          </cell>
          <cell r="C1483" t="str">
            <v>m²</v>
          </cell>
          <cell r="D1483" t="str">
            <v>28,00</v>
          </cell>
          <cell r="E1483">
            <v>0</v>
          </cell>
        </row>
        <row r="1484">
          <cell r="A1484">
            <v>43088</v>
          </cell>
          <cell r="B1484" t="str">
            <v>Tapume com tela em PVC, na cor laranja para proteção de segurança em Vias Urbanas</v>
          </cell>
          <cell r="C1484" t="str">
            <v>m</v>
          </cell>
          <cell r="D1484" t="str">
            <v>22,80</v>
          </cell>
          <cell r="E1484" t="str">
            <v>A incluir</v>
          </cell>
        </row>
        <row r="1485">
          <cell r="A1485">
            <v>43091</v>
          </cell>
          <cell r="B1485" t="str">
            <v>Terminal de dreno de alívio de pavimento (DP - TDA - 01) em Vias Urbanas</v>
          </cell>
          <cell r="C1485" t="str">
            <v>un</v>
          </cell>
          <cell r="D1485" t="str">
            <v>324,02</v>
          </cell>
          <cell r="E1485" t="str">
            <v>A incluir</v>
          </cell>
        </row>
        <row r="1486">
          <cell r="A1486">
            <v>43092</v>
          </cell>
          <cell r="B1486" t="str">
            <v>Transporte de materiais encosta abaixo, serviço manual, inclusive carga e descarga em Vias Urbanas</v>
          </cell>
          <cell r="C1486" t="str">
            <v>t dam</v>
          </cell>
          <cell r="D1486" t="str">
            <v>20,13</v>
          </cell>
          <cell r="E1486">
            <v>0</v>
          </cell>
        </row>
        <row r="1487">
          <cell r="A1487">
            <v>43093</v>
          </cell>
          <cell r="B1487" t="str">
            <v>Transporte de materiais encosta acima, serviço manual, inclusive carga e descarga em Vias Urbanas</v>
          </cell>
          <cell r="C1487" t="str">
            <v>t dam</v>
          </cell>
          <cell r="D1487" t="str">
            <v>27,24</v>
          </cell>
          <cell r="E1487">
            <v>0</v>
          </cell>
        </row>
        <row r="1488">
          <cell r="A1488">
            <v>43094</v>
          </cell>
          <cell r="B1488" t="str">
            <v>Transposição de segmento de sarjeta - TSS 01, inclusive transporte do tubo de concreto em Vias Urbanas</v>
          </cell>
          <cell r="C1488" t="str">
            <v>m</v>
          </cell>
          <cell r="D1488" t="str">
            <v>274,81</v>
          </cell>
          <cell r="E1488" t="str">
            <v>A incluir</v>
          </cell>
        </row>
        <row r="1489">
          <cell r="A1489">
            <v>43095</v>
          </cell>
          <cell r="B1489" t="str">
            <v>Trincheira drenante cega (0,50 x 1,70) m, com utilização de geotêxtil não tecido Rt-16 kn/m, inclusive transporte da brita em Vias Urbanas</v>
          </cell>
          <cell r="C1489" t="str">
            <v>m</v>
          </cell>
          <cell r="D1489" t="str">
            <v>369,58</v>
          </cell>
          <cell r="E1489" t="str">
            <v>A incluir</v>
          </cell>
        </row>
        <row r="1490">
          <cell r="A1490">
            <v>43096</v>
          </cell>
          <cell r="B1490" t="str">
            <v>Trincheira drenante em madeira em Vias Urbanas</v>
          </cell>
          <cell r="C1490" t="str">
            <v>m</v>
          </cell>
          <cell r="D1490" t="str">
            <v>479,61</v>
          </cell>
          <cell r="E1490">
            <v>0</v>
          </cell>
        </row>
        <row r="1491">
          <cell r="A1491">
            <v>43098</v>
          </cell>
          <cell r="B1491" t="str">
            <v>Tubo de PVC NBR 5648 diâmetro 50 mm, fornecimento e assentamento em Vias Urbanas</v>
          </cell>
          <cell r="C1491" t="str">
            <v>m</v>
          </cell>
          <cell r="D1491" t="str">
            <v>15,97</v>
          </cell>
          <cell r="E1491">
            <v>0</v>
          </cell>
        </row>
        <row r="1492">
          <cell r="A1492">
            <v>43097</v>
          </cell>
          <cell r="B1492" t="str">
            <v>Tubo de PVC NBR 5648 diâmetro 75 mm, fornecimento e assentamento em Vias Urbanas</v>
          </cell>
          <cell r="C1492" t="str">
            <v>m</v>
          </cell>
          <cell r="D1492" t="str">
            <v>23,07</v>
          </cell>
          <cell r="E1492">
            <v>0</v>
          </cell>
        </row>
        <row r="1493">
          <cell r="A1493">
            <v>43099</v>
          </cell>
          <cell r="B1493" t="str">
            <v>Tubo de PVC PBA diâmetro 300 mm, fornecimento e assentamento em Vias Urbanas</v>
          </cell>
          <cell r="C1493" t="str">
            <v>m</v>
          </cell>
          <cell r="D1493" t="str">
            <v>178,53</v>
          </cell>
          <cell r="E1493">
            <v>0</v>
          </cell>
        </row>
        <row r="1494">
          <cell r="A1494">
            <v>43100</v>
          </cell>
          <cell r="B1494" t="str">
            <v>Tubo de PVC rígido série R diâmetro 100 mm, fornecimento e assentamento em Vias Urbanas</v>
          </cell>
          <cell r="C1494" t="str">
            <v>m</v>
          </cell>
          <cell r="D1494" t="str">
            <v>21,33</v>
          </cell>
          <cell r="E1494">
            <v>0</v>
          </cell>
        </row>
        <row r="1495">
          <cell r="A1495">
            <v>43101</v>
          </cell>
          <cell r="B1495" t="str">
            <v>Tubo irrifort agropecuário diâmetro 32 mm, fornecimento e assentamento em Vias Urbanas</v>
          </cell>
          <cell r="C1495" t="str">
            <v>m</v>
          </cell>
          <cell r="D1495" t="str">
            <v>6,36</v>
          </cell>
          <cell r="E1495">
            <v>0</v>
          </cell>
        </row>
        <row r="1496">
          <cell r="A1496">
            <v>43102</v>
          </cell>
          <cell r="B1496" t="str">
            <v>Tubo para irrigação linha fixa PN40 50 mm, fornecimento e assentamento em Vias Urbanas</v>
          </cell>
          <cell r="C1496" t="str">
            <v>m</v>
          </cell>
          <cell r="D1496" t="str">
            <v>7,97</v>
          </cell>
          <cell r="E1496">
            <v>0</v>
          </cell>
        </row>
        <row r="1497">
          <cell r="A1497">
            <v>43103</v>
          </cell>
          <cell r="B1497" t="str">
            <v>Tubo PVC PBA diâmetro 150 mm, fornecimento e assentamento em Vias Urbanas</v>
          </cell>
          <cell r="C1497" t="str">
            <v>m</v>
          </cell>
          <cell r="D1497" t="str">
            <v>33,34</v>
          </cell>
          <cell r="E1497">
            <v>0</v>
          </cell>
        </row>
        <row r="1498">
          <cell r="A1498">
            <v>42614</v>
          </cell>
          <cell r="B1498" t="str">
            <v>Tubos de ferro fundido diâmetro 0,90 m, assentamento em Vias Urbanas</v>
          </cell>
          <cell r="C1498" t="str">
            <v>m</v>
          </cell>
          <cell r="D1498" t="str">
            <v>217,23</v>
          </cell>
          <cell r="E1498" t="str">
            <v>A incluir</v>
          </cell>
        </row>
        <row r="1499">
          <cell r="A1499">
            <v>43104</v>
          </cell>
          <cell r="B1499" t="str">
            <v>Tubos para irrigação Linha fixa PN40, diâmetro 75 mm, fornecimento e assentamento em Vias Urbanas</v>
          </cell>
          <cell r="C1499" t="str">
            <v>m</v>
          </cell>
          <cell r="D1499" t="str">
            <v>11,31</v>
          </cell>
          <cell r="E1499">
            <v>0</v>
          </cell>
        </row>
        <row r="1500">
          <cell r="A1500">
            <v>43105</v>
          </cell>
          <cell r="B1500" t="str">
            <v>Valeta de pedra argamassada VPAR em Vias Urbanas</v>
          </cell>
          <cell r="C1500" t="str">
            <v>m³</v>
          </cell>
          <cell r="D1500" t="str">
            <v>304,64</v>
          </cell>
          <cell r="E1500" t="str">
            <v>A incluir</v>
          </cell>
        </row>
        <row r="1501">
          <cell r="A1501">
            <v>43106</v>
          </cell>
          <cell r="B1501" t="str">
            <v>Valeta de pedra jogada VPJ, inclusive transporte da pedra em Vias Urbanas</v>
          </cell>
          <cell r="C1501" t="str">
            <v>m³</v>
          </cell>
          <cell r="D1501" t="str">
            <v>144,34</v>
          </cell>
          <cell r="E1501" t="str">
            <v>A incluir</v>
          </cell>
        </row>
        <row r="1502">
          <cell r="A1502">
            <v>43111</v>
          </cell>
          <cell r="B1502" t="str">
            <v>Valeta de proteção de corte - desobstrução e limpeza em Vias Urbanas</v>
          </cell>
          <cell r="C1502" t="str">
            <v>m</v>
          </cell>
          <cell r="D1502" t="str">
            <v>3,04</v>
          </cell>
          <cell r="E1502">
            <v>0</v>
          </cell>
        </row>
        <row r="1503">
          <cell r="A1503">
            <v>0</v>
          </cell>
          <cell r="B1503">
            <v>0</v>
          </cell>
          <cell r="C1503">
            <v>0</v>
          </cell>
          <cell r="D1503">
            <v>0</v>
          </cell>
          <cell r="E1503" t="e">
            <v>#N/A</v>
          </cell>
        </row>
        <row r="1504">
          <cell r="A1504" t="str">
            <v>Grupo de Serviço: 139 - INSTALAÇÃO DE CANTEIRO, MOBILIZAÇÃO E DESMOBILIZAÇÃO</v>
          </cell>
          <cell r="B1504">
            <v>0</v>
          </cell>
          <cell r="C1504">
            <v>0</v>
          </cell>
          <cell r="E1504" t="e">
            <v>#N/A</v>
          </cell>
        </row>
        <row r="1505">
          <cell r="A1505">
            <v>41578</v>
          </cell>
          <cell r="B1505" t="str">
            <v>Aluguel de container p/ escritório c/ ar condicionado e banheiro, isolam.térmico e acústico, 2 luminárias, janela de vidro, tomada p/ comput. e telef.</v>
          </cell>
          <cell r="C1505" t="str">
            <v>mês</v>
          </cell>
          <cell r="D1505" t="str">
            <v>1.065,13</v>
          </cell>
          <cell r="E1505">
            <v>0</v>
          </cell>
        </row>
        <row r="1506">
          <cell r="A1506">
            <v>42511</v>
          </cell>
          <cell r="B1506" t="str">
            <v>Aluguel de container p/ escritório com ar condicionado, isolamento term/acust., 2 luminárias, janela de vidro, tomadas computador e telefone</v>
          </cell>
          <cell r="C1506" t="str">
            <v>mês</v>
          </cell>
          <cell r="D1506" t="str">
            <v>893,57</v>
          </cell>
          <cell r="E1506">
            <v>0</v>
          </cell>
        </row>
        <row r="1507">
          <cell r="A1507">
            <v>41579</v>
          </cell>
          <cell r="B1507" t="str">
            <v>Aluguel de container para almoxarifado</v>
          </cell>
          <cell r="C1507" t="str">
            <v>mês</v>
          </cell>
          <cell r="D1507" t="str">
            <v>582,46</v>
          </cell>
          <cell r="E1507">
            <v>0</v>
          </cell>
        </row>
        <row r="1508">
          <cell r="A1508">
            <v>41494</v>
          </cell>
          <cell r="B1508" t="str">
            <v>Aluguel de container tipo cozinha com isolamento térmico e acústico, 2 luminárias, piso especial e janela</v>
          </cell>
          <cell r="C1508" t="str">
            <v>mês</v>
          </cell>
          <cell r="D1508" t="str">
            <v>799,38</v>
          </cell>
          <cell r="E1508">
            <v>0</v>
          </cell>
        </row>
        <row r="1509">
          <cell r="A1509">
            <v>41678</v>
          </cell>
          <cell r="B1509" t="str">
            <v>Aluguel de container tipo refeitório simples, c/ 1 aparelho de ar condicionado, 2 luminárias e 2 janelas de vidro</v>
          </cell>
          <cell r="C1509" t="str">
            <v>mês</v>
          </cell>
          <cell r="D1509" t="str">
            <v>963,57</v>
          </cell>
          <cell r="E1509">
            <v>0</v>
          </cell>
        </row>
        <row r="1510">
          <cell r="A1510">
            <v>41455</v>
          </cell>
          <cell r="B1510" t="str">
            <v>Aluguel de container tipo refeitório (2 unidades acopladas), c/ 2 aparelhos de ar condicionado, 4 lumináriase 4 janelas de vidro</v>
          </cell>
          <cell r="C1510" t="str">
            <v>mês</v>
          </cell>
          <cell r="D1510" t="str">
            <v>1.989,82</v>
          </cell>
          <cell r="E1510">
            <v>0</v>
          </cell>
        </row>
        <row r="1511">
          <cell r="A1511">
            <v>41456</v>
          </cell>
          <cell r="B1511" t="str">
            <v>Aluguel de container tipo refeitório (3 unidades acopladas), c/ 3 aparelhos de ar condiocionado, 6 luminárias e 6 janelas de vidro</v>
          </cell>
          <cell r="C1511" t="str">
            <v>mês</v>
          </cell>
          <cell r="D1511" t="str">
            <v>4.601,86</v>
          </cell>
          <cell r="E1511">
            <v>0</v>
          </cell>
        </row>
        <row r="1512">
          <cell r="A1512">
            <v>41580</v>
          </cell>
          <cell r="B1512" t="str">
            <v>Aluguel de container tipo sanitário com 3 vasos sanitários, lavatório, mictório, 5 chuveiros, 2 venezianas e piso especial</v>
          </cell>
          <cell r="C1512" t="str">
            <v>mês</v>
          </cell>
          <cell r="D1512" t="str">
            <v>768,27</v>
          </cell>
          <cell r="E1512">
            <v>0</v>
          </cell>
        </row>
        <row r="1513">
          <cell r="A1513">
            <v>41454</v>
          </cell>
          <cell r="B1513" t="str">
            <v>Aluguel de container tipo vestiário, 2 luminárias, piso especial e janela</v>
          </cell>
          <cell r="C1513" t="str">
            <v>mês</v>
          </cell>
          <cell r="D1513" t="str">
            <v>574,68</v>
          </cell>
          <cell r="E1513">
            <v>0</v>
          </cell>
        </row>
        <row r="1514">
          <cell r="A1514">
            <v>41498</v>
          </cell>
          <cell r="B1514" t="str">
            <v>Barracão com sanitário, em chapa compensada 12 mm e pont. 8x8cm, piso cimentado e cobertura em telha de fibroc. 6mm, incl. ponto de luz e cx. inspeção</v>
          </cell>
          <cell r="C1514" t="str">
            <v>m²</v>
          </cell>
          <cell r="D1514" t="str">
            <v>664,74</v>
          </cell>
          <cell r="E1514">
            <v>0</v>
          </cell>
        </row>
        <row r="1515">
          <cell r="A1515">
            <v>41531</v>
          </cell>
          <cell r="B1515" t="str">
            <v>Barracão em chapa compensada 12mm e pont. 8x8cm, piso cimentado e cobertura de telhas fibrocimento 6mm, incl. ponto de luz</v>
          </cell>
          <cell r="C1515" t="str">
            <v>m²</v>
          </cell>
          <cell r="D1515" t="str">
            <v>516,34</v>
          </cell>
          <cell r="E1515">
            <v>0</v>
          </cell>
        </row>
        <row r="1516">
          <cell r="A1516">
            <v>41557</v>
          </cell>
          <cell r="B1516" t="str">
            <v>Canaleta de concreto retangular com grelha em barra de aço</v>
          </cell>
          <cell r="C1516" t="str">
            <v>m</v>
          </cell>
          <cell r="D1516" t="str">
            <v>153,81</v>
          </cell>
          <cell r="E1516">
            <v>0</v>
          </cell>
        </row>
        <row r="1517">
          <cell r="A1517">
            <v>41506</v>
          </cell>
          <cell r="B1517" t="str">
            <v>Cobertura nova de telhas onduladas de fibrocimento 6,0mm, inclusive cumeeiras e acessórios de fixação</v>
          </cell>
          <cell r="C1517" t="str">
            <v>m²</v>
          </cell>
          <cell r="D1517" t="str">
            <v>43,63</v>
          </cell>
          <cell r="E1517">
            <v>0</v>
          </cell>
        </row>
        <row r="1518">
          <cell r="A1518">
            <v>41505</v>
          </cell>
          <cell r="B1518" t="str">
            <v>Estrutura de madeira lei para telhado de telha ondulada de fibroc. esp. 6mm, c/ pontaletes e caibros, incl. com cupinicida, excl. telhas</v>
          </cell>
          <cell r="C1518" t="str">
            <v>m²</v>
          </cell>
          <cell r="D1518" t="str">
            <v>72,82</v>
          </cell>
          <cell r="E1518">
            <v>0</v>
          </cell>
        </row>
        <row r="1519">
          <cell r="A1519">
            <v>41528</v>
          </cell>
          <cell r="B1519" t="str">
            <v>Galpão em peças de madeira 8x8cm e contravent. de 5x7cm, cobertura de telhas de fibroc. de 6mm, incl. ponto e cabo de alimentação da máquina</v>
          </cell>
          <cell r="C1519" t="str">
            <v>m²</v>
          </cell>
          <cell r="D1519" t="str">
            <v>237,20</v>
          </cell>
          <cell r="E1519">
            <v>0</v>
          </cell>
        </row>
        <row r="1520">
          <cell r="A1520">
            <v>41546</v>
          </cell>
          <cell r="B1520" t="str">
            <v>Mobilização e desmobilização de caminhão basculante (máximo)</v>
          </cell>
          <cell r="C1520" t="str">
            <v>h</v>
          </cell>
          <cell r="D1520" t="str">
            <v>190,78</v>
          </cell>
          <cell r="E1520">
            <v>0</v>
          </cell>
        </row>
        <row r="1521">
          <cell r="A1521">
            <v>41545</v>
          </cell>
          <cell r="B1521" t="str">
            <v>Mobilização e desmobilização de caminhão carroceria (máximo)</v>
          </cell>
          <cell r="C1521" t="str">
            <v>h</v>
          </cell>
          <cell r="D1521" t="str">
            <v>160,40</v>
          </cell>
          <cell r="E1521">
            <v>0</v>
          </cell>
        </row>
        <row r="1522">
          <cell r="A1522">
            <v>41547</v>
          </cell>
          <cell r="B1522" t="str">
            <v>Mobilização e desmobilização de caminhão tanque (6.000 L) (máximo)</v>
          </cell>
          <cell r="C1522" t="str">
            <v>h</v>
          </cell>
          <cell r="D1522" t="str">
            <v>159,21</v>
          </cell>
          <cell r="E1522">
            <v>0</v>
          </cell>
        </row>
        <row r="1523">
          <cell r="A1523">
            <v>41497</v>
          </cell>
          <cell r="B1523" t="str">
            <v>Mobilização e desmobilização de container acima de 150 km</v>
          </cell>
          <cell r="C1523" t="str">
            <v>un</v>
          </cell>
          <cell r="D1523" t="str">
            <v>2.155,83</v>
          </cell>
          <cell r="E1523">
            <v>0</v>
          </cell>
        </row>
        <row r="1524">
          <cell r="A1524">
            <v>41495</v>
          </cell>
          <cell r="B1524" t="str">
            <v>Mobilização e desmobilização de container até 50 km</v>
          </cell>
          <cell r="C1524" t="str">
            <v>un</v>
          </cell>
          <cell r="D1524" t="str">
            <v>1.101,84</v>
          </cell>
          <cell r="E1524">
            <v>0</v>
          </cell>
        </row>
        <row r="1525">
          <cell r="A1525">
            <v>41496</v>
          </cell>
          <cell r="B1525" t="str">
            <v>Mobilização e desmobilização de container de 51 km até 150 km</v>
          </cell>
          <cell r="C1525" t="str">
            <v>un</v>
          </cell>
          <cell r="D1525" t="str">
            <v>1.245,58</v>
          </cell>
          <cell r="E1525">
            <v>0</v>
          </cell>
        </row>
        <row r="1526">
          <cell r="A1526">
            <v>41544</v>
          </cell>
          <cell r="B1526" t="str">
            <v>Mobilização e desmobilização de equipamentos com carreta prancha (máximo)</v>
          </cell>
          <cell r="C1526" t="str">
            <v>h</v>
          </cell>
          <cell r="D1526" t="str">
            <v>304,25</v>
          </cell>
          <cell r="E1526">
            <v>0</v>
          </cell>
        </row>
        <row r="1527">
          <cell r="A1527">
            <v>41500</v>
          </cell>
          <cell r="B1527" t="str">
            <v>Placa de obra nas dimensões de 3,0 x 6,0 m, padrão DER-ES</v>
          </cell>
          <cell r="C1527" t="str">
            <v>m²</v>
          </cell>
          <cell r="D1527" t="str">
            <v>278,47</v>
          </cell>
          <cell r="E1527">
            <v>0</v>
          </cell>
        </row>
        <row r="1528">
          <cell r="A1528">
            <v>41501</v>
          </cell>
          <cell r="B1528" t="str">
            <v>Rede de água c/ padrão de entrada d'água diâm. 3/4" conf. CESAN, incl. tubos e conexões p/ aliment., distrib., extravas. e limp., cons. o padrão a 25m</v>
          </cell>
          <cell r="C1528" t="str">
            <v>m</v>
          </cell>
          <cell r="D1528" t="str">
            <v>30,52</v>
          </cell>
          <cell r="E1528">
            <v>0</v>
          </cell>
        </row>
        <row r="1529">
          <cell r="A1529">
            <v>41499</v>
          </cell>
          <cell r="B1529" t="str">
            <v>Rede de esgoto, contendo fossa e filtro, incl. tubos e conexões de ligação entre caixas, considerando distância de 25m</v>
          </cell>
          <cell r="C1529" t="str">
            <v>m</v>
          </cell>
          <cell r="D1529" t="str">
            <v>280,28</v>
          </cell>
          <cell r="E1529">
            <v>0</v>
          </cell>
        </row>
        <row r="1530">
          <cell r="A1530">
            <v>41503</v>
          </cell>
          <cell r="B1530" t="str">
            <v>Rede de luz, incl. padrão entr. energia trifás. cabo ligação até barracões, quadro distrib., disj. e chave de força, cons. 20m entre padrão entr.e QDG</v>
          </cell>
          <cell r="C1530" t="str">
            <v>m</v>
          </cell>
          <cell r="D1530" t="str">
            <v>364,40</v>
          </cell>
          <cell r="E1530">
            <v>0</v>
          </cell>
        </row>
        <row r="1531">
          <cell r="A1531">
            <v>41530</v>
          </cell>
          <cell r="B1531" t="str">
            <v>Refeitório c/ paredes chapa de comp. 12mm e pont. 8x8cm, piso ciment. e cob. telhas fibroc. 6mm, incl. ponto de luz e cx. de insp. (1,21m²/func/turno)</v>
          </cell>
          <cell r="C1531" t="str">
            <v>m²</v>
          </cell>
          <cell r="D1531" t="str">
            <v>445,73</v>
          </cell>
          <cell r="E1531">
            <v>0</v>
          </cell>
        </row>
        <row r="1532">
          <cell r="A1532">
            <v>41527</v>
          </cell>
          <cell r="B1532" t="str">
            <v>Reservatório de fibra de vidro de 1000 L, incl. suporte em madeira de 7x12cm, elevado de 4m</v>
          </cell>
          <cell r="C1532" t="str">
            <v>un</v>
          </cell>
          <cell r="D1532" t="str">
            <v>1.459,20</v>
          </cell>
          <cell r="E1532">
            <v>0</v>
          </cell>
        </row>
        <row r="1533">
          <cell r="A1533">
            <v>41529</v>
          </cell>
          <cell r="B1533" t="str">
            <v>Sanitário e vestiário de 40/60 func., c/ 33,90m², paredes chapa compens. 12mm e pont. 8x8cm, piso ciment., cobert. telha fibroc., incl. luz e cx. insp</v>
          </cell>
          <cell r="C1533" t="str">
            <v>un</v>
          </cell>
          <cell r="D1533" t="str">
            <v>23.077,34</v>
          </cell>
          <cell r="E1533">
            <v>0</v>
          </cell>
        </row>
        <row r="1534">
          <cell r="A1534">
            <v>41555</v>
          </cell>
          <cell r="B1534" t="str">
            <v>Sistema separador de água e óleo</v>
          </cell>
          <cell r="C1534" t="str">
            <v>un</v>
          </cell>
          <cell r="D1534" t="str">
            <v>5.174,95</v>
          </cell>
          <cell r="E1534">
            <v>0</v>
          </cell>
        </row>
        <row r="1535">
          <cell r="A1535">
            <v>41502</v>
          </cell>
          <cell r="B1535" t="str">
            <v>Tapume de chapa de compensado resinado esp. 6mm, 2,20 x 1,10m dispondo de abertura e portão. com 2,20m de altura, incl. pintura</v>
          </cell>
          <cell r="C1535" t="str">
            <v>m</v>
          </cell>
          <cell r="D1535" t="str">
            <v>221,83</v>
          </cell>
          <cell r="E1535">
            <v>0</v>
          </cell>
        </row>
        <row r="1537">
          <cell r="A1537">
            <v>0</v>
          </cell>
          <cell r="B1537">
            <v>0</v>
          </cell>
          <cell r="C1537">
            <v>0</v>
          </cell>
          <cell r="D1537">
            <v>0</v>
          </cell>
          <cell r="E1537">
            <v>0</v>
          </cell>
        </row>
        <row r="1538">
          <cell r="A1538">
            <v>0</v>
          </cell>
          <cell r="B1538">
            <v>0</v>
          </cell>
          <cell r="C1538">
            <v>0</v>
          </cell>
          <cell r="D1538">
            <v>0</v>
          </cell>
          <cell r="E1538">
            <v>0</v>
          </cell>
        </row>
        <row r="1539">
          <cell r="A1539">
            <v>0</v>
          </cell>
          <cell r="B1539">
            <v>16</v>
          </cell>
          <cell r="C1539">
            <v>0</v>
          </cell>
          <cell r="D1539">
            <v>0</v>
          </cell>
          <cell r="E1539">
            <v>0</v>
          </cell>
        </row>
        <row r="1540">
          <cell r="A1540">
            <v>0</v>
          </cell>
          <cell r="B1540">
            <v>3.53125</v>
          </cell>
          <cell r="C1540">
            <v>0</v>
          </cell>
          <cell r="D1540">
            <v>0</v>
          </cell>
          <cell r="E1540">
            <v>0</v>
          </cell>
        </row>
        <row r="1541">
          <cell r="A1541">
            <v>0</v>
          </cell>
          <cell r="B1541">
            <v>0</v>
          </cell>
          <cell r="C1541">
            <v>0</v>
          </cell>
          <cell r="D1541">
            <v>0</v>
          </cell>
          <cell r="E1541">
            <v>0</v>
          </cell>
        </row>
        <row r="1542">
          <cell r="A1542">
            <v>0</v>
          </cell>
          <cell r="B1542">
            <v>0</v>
          </cell>
          <cell r="C1542">
            <v>0</v>
          </cell>
          <cell r="D1542">
            <v>0</v>
          </cell>
          <cell r="E1542">
            <v>0</v>
          </cell>
        </row>
        <row r="1543">
          <cell r="A1543">
            <v>0</v>
          </cell>
          <cell r="B1543">
            <v>0</v>
          </cell>
          <cell r="C1543">
            <v>0</v>
          </cell>
          <cell r="D1543">
            <v>0</v>
          </cell>
          <cell r="E1543">
            <v>0</v>
          </cell>
        </row>
        <row r="1549">
          <cell r="A1549">
            <v>0</v>
          </cell>
          <cell r="B1549">
            <v>0</v>
          </cell>
          <cell r="C1549">
            <v>0</v>
          </cell>
          <cell r="D1549">
            <v>0</v>
          </cell>
          <cell r="E1549">
            <v>0</v>
          </cell>
        </row>
        <row r="1550">
          <cell r="A1550">
            <v>0</v>
          </cell>
          <cell r="B1550">
            <v>0</v>
          </cell>
          <cell r="C1550">
            <v>0</v>
          </cell>
          <cell r="D1550">
            <v>0</v>
          </cell>
          <cell r="E1550">
            <v>0</v>
          </cell>
        </row>
        <row r="1551">
          <cell r="A1551">
            <v>0</v>
          </cell>
          <cell r="B1551">
            <v>0</v>
          </cell>
          <cell r="C1551">
            <v>0</v>
          </cell>
          <cell r="D1551">
            <v>0</v>
          </cell>
          <cell r="E1551">
            <v>0</v>
          </cell>
        </row>
        <row r="1552">
          <cell r="A1552">
            <v>0</v>
          </cell>
          <cell r="B1552">
            <v>0</v>
          </cell>
          <cell r="C1552">
            <v>0</v>
          </cell>
          <cell r="D1552">
            <v>0</v>
          </cell>
          <cell r="E1552">
            <v>0</v>
          </cell>
        </row>
        <row r="1553">
          <cell r="A1553">
            <v>0</v>
          </cell>
          <cell r="B1553">
            <v>0</v>
          </cell>
          <cell r="C1553">
            <v>0</v>
          </cell>
          <cell r="D1553">
            <v>0</v>
          </cell>
          <cell r="E1553">
            <v>0</v>
          </cell>
        </row>
        <row r="1554">
          <cell r="A1554">
            <v>0</v>
          </cell>
          <cell r="B1554">
            <v>0</v>
          </cell>
          <cell r="C1554">
            <v>0</v>
          </cell>
          <cell r="D1554">
            <v>0</v>
          </cell>
          <cell r="E1554">
            <v>0</v>
          </cell>
        </row>
        <row r="1555">
          <cell r="A1555">
            <v>0</v>
          </cell>
          <cell r="B1555">
            <v>0</v>
          </cell>
          <cell r="C1555">
            <v>0</v>
          </cell>
          <cell r="D1555">
            <v>0</v>
          </cell>
          <cell r="E1555">
            <v>0</v>
          </cell>
        </row>
        <row r="1556">
          <cell r="A1556">
            <v>0</v>
          </cell>
          <cell r="B1556">
            <v>0</v>
          </cell>
          <cell r="C1556">
            <v>0</v>
          </cell>
          <cell r="D1556">
            <v>0</v>
          </cell>
          <cell r="E1556">
            <v>0</v>
          </cell>
        </row>
        <row r="1557">
          <cell r="A1557">
            <v>0</v>
          </cell>
          <cell r="B1557">
            <v>0</v>
          </cell>
          <cell r="C1557">
            <v>0</v>
          </cell>
          <cell r="D1557">
            <v>0</v>
          </cell>
          <cell r="E1557">
            <v>0</v>
          </cell>
        </row>
        <row r="1558">
          <cell r="A1558">
            <v>0</v>
          </cell>
          <cell r="B1558">
            <v>0</v>
          </cell>
          <cell r="C1558">
            <v>0</v>
          </cell>
          <cell r="D1558">
            <v>0</v>
          </cell>
          <cell r="E1558">
            <v>0</v>
          </cell>
        </row>
        <row r="1559">
          <cell r="A1559">
            <v>0</v>
          </cell>
          <cell r="B1559">
            <v>0</v>
          </cell>
          <cell r="C1559">
            <v>0</v>
          </cell>
          <cell r="D1559">
            <v>0</v>
          </cell>
          <cell r="E1559">
            <v>0</v>
          </cell>
        </row>
        <row r="1560">
          <cell r="A1560">
            <v>0</v>
          </cell>
          <cell r="B1560">
            <v>0</v>
          </cell>
          <cell r="C1560">
            <v>0</v>
          </cell>
          <cell r="D1560">
            <v>0</v>
          </cell>
          <cell r="E1560">
            <v>0</v>
          </cell>
        </row>
        <row r="1561">
          <cell r="A1561">
            <v>0</v>
          </cell>
          <cell r="B1561">
            <v>0</v>
          </cell>
          <cell r="C1561">
            <v>0</v>
          </cell>
          <cell r="D1561">
            <v>0</v>
          </cell>
          <cell r="E1561">
            <v>0</v>
          </cell>
        </row>
        <row r="1562">
          <cell r="A1562">
            <v>0</v>
          </cell>
          <cell r="B1562">
            <v>0</v>
          </cell>
          <cell r="C1562">
            <v>0</v>
          </cell>
          <cell r="D1562">
            <v>0</v>
          </cell>
          <cell r="E1562">
            <v>0</v>
          </cell>
        </row>
        <row r="1563">
          <cell r="A1563">
            <v>0</v>
          </cell>
          <cell r="B1563">
            <v>0</v>
          </cell>
          <cell r="C1563">
            <v>0</v>
          </cell>
          <cell r="D1563">
            <v>0</v>
          </cell>
          <cell r="E1563">
            <v>0</v>
          </cell>
        </row>
        <row r="1565">
          <cell r="A1565">
            <v>0</v>
          </cell>
          <cell r="B1565">
            <v>0</v>
          </cell>
          <cell r="C1565">
            <v>0</v>
          </cell>
          <cell r="D1565">
            <v>0</v>
          </cell>
          <cell r="E1565">
            <v>0</v>
          </cell>
        </row>
        <row r="1566">
          <cell r="A1566">
            <v>0</v>
          </cell>
          <cell r="B1566">
            <v>0</v>
          </cell>
          <cell r="C1566">
            <v>0</v>
          </cell>
          <cell r="D1566">
            <v>0</v>
          </cell>
          <cell r="E1566">
            <v>0</v>
          </cell>
        </row>
        <row r="1567">
          <cell r="A1567">
            <v>0</v>
          </cell>
          <cell r="B1567">
            <v>0</v>
          </cell>
          <cell r="C1567">
            <v>0</v>
          </cell>
          <cell r="D1567">
            <v>0</v>
          </cell>
          <cell r="E1567">
            <v>0</v>
          </cell>
        </row>
        <row r="1568">
          <cell r="A1568">
            <v>0</v>
          </cell>
          <cell r="B1568">
            <v>0</v>
          </cell>
          <cell r="C1568">
            <v>0</v>
          </cell>
          <cell r="D1568">
            <v>0</v>
          </cell>
          <cell r="E1568">
            <v>0</v>
          </cell>
        </row>
        <row r="1569">
          <cell r="A1569">
            <v>0</v>
          </cell>
          <cell r="B1569">
            <v>0</v>
          </cell>
          <cell r="C1569">
            <v>0</v>
          </cell>
          <cell r="D1569">
            <v>0</v>
          </cell>
          <cell r="E1569">
            <v>0</v>
          </cell>
        </row>
        <row r="1570">
          <cell r="A1570">
            <v>0</v>
          </cell>
          <cell r="B1570">
            <v>0</v>
          </cell>
          <cell r="C1570">
            <v>0</v>
          </cell>
          <cell r="D1570">
            <v>0</v>
          </cell>
          <cell r="E1570">
            <v>0</v>
          </cell>
        </row>
        <row r="1571">
          <cell r="A1571">
            <v>0</v>
          </cell>
          <cell r="B1571">
            <v>0</v>
          </cell>
          <cell r="C1571">
            <v>0</v>
          </cell>
          <cell r="D1571">
            <v>0</v>
          </cell>
          <cell r="E1571">
            <v>0</v>
          </cell>
        </row>
        <row r="1572">
          <cell r="A1572">
            <v>0</v>
          </cell>
          <cell r="B1572">
            <v>0</v>
          </cell>
          <cell r="C1572">
            <v>0</v>
          </cell>
          <cell r="D1572">
            <v>0</v>
          </cell>
          <cell r="E1572">
            <v>0</v>
          </cell>
        </row>
        <row r="1573">
          <cell r="A1573">
            <v>0</v>
          </cell>
          <cell r="B1573">
            <v>0</v>
          </cell>
          <cell r="C1573">
            <v>0</v>
          </cell>
          <cell r="D1573">
            <v>0</v>
          </cell>
          <cell r="E1573">
            <v>0</v>
          </cell>
        </row>
        <row r="1574">
          <cell r="A1574">
            <v>0</v>
          </cell>
          <cell r="B1574">
            <v>0</v>
          </cell>
          <cell r="C1574">
            <v>0</v>
          </cell>
          <cell r="D1574">
            <v>0</v>
          </cell>
          <cell r="E1574">
            <v>0</v>
          </cell>
        </row>
        <row r="1575">
          <cell r="A1575">
            <v>0</v>
          </cell>
          <cell r="B1575">
            <v>0</v>
          </cell>
          <cell r="C1575">
            <v>0</v>
          </cell>
          <cell r="D1575">
            <v>0</v>
          </cell>
          <cell r="E1575">
            <v>0</v>
          </cell>
        </row>
        <row r="1576">
          <cell r="A1576">
            <v>0</v>
          </cell>
          <cell r="B1576">
            <v>0</v>
          </cell>
          <cell r="C1576">
            <v>0</v>
          </cell>
          <cell r="D1576">
            <v>0</v>
          </cell>
          <cell r="E1576">
            <v>0</v>
          </cell>
        </row>
        <row r="1577">
          <cell r="A1577">
            <v>0</v>
          </cell>
          <cell r="B1577">
            <v>0</v>
          </cell>
          <cell r="C1577">
            <v>0</v>
          </cell>
          <cell r="D1577">
            <v>0</v>
          </cell>
          <cell r="E1577">
            <v>0</v>
          </cell>
        </row>
        <row r="1578">
          <cell r="A1578">
            <v>0</v>
          </cell>
          <cell r="B1578">
            <v>0</v>
          </cell>
          <cell r="C1578">
            <v>0</v>
          </cell>
          <cell r="D1578">
            <v>0</v>
          </cell>
          <cell r="E1578">
            <v>0</v>
          </cell>
        </row>
        <row r="1579">
          <cell r="A1579">
            <v>0</v>
          </cell>
          <cell r="B1579">
            <v>0</v>
          </cell>
          <cell r="C1579">
            <v>0</v>
          </cell>
          <cell r="D1579">
            <v>0</v>
          </cell>
          <cell r="E1579">
            <v>0</v>
          </cell>
        </row>
        <row r="1580">
          <cell r="A1580">
            <v>0</v>
          </cell>
          <cell r="B1580">
            <v>0</v>
          </cell>
          <cell r="C1580">
            <v>0</v>
          </cell>
          <cell r="D1580">
            <v>0</v>
          </cell>
          <cell r="E1580">
            <v>0</v>
          </cell>
        </row>
        <row r="1581">
          <cell r="A1581">
            <v>0</v>
          </cell>
          <cell r="B1581">
            <v>0</v>
          </cell>
          <cell r="C1581">
            <v>0</v>
          </cell>
          <cell r="D1581">
            <v>0</v>
          </cell>
          <cell r="E1581">
            <v>0</v>
          </cell>
        </row>
        <row r="1582">
          <cell r="A1582">
            <v>0</v>
          </cell>
          <cell r="B1582">
            <v>0</v>
          </cell>
          <cell r="C1582">
            <v>0</v>
          </cell>
          <cell r="D1582">
            <v>0</v>
          </cell>
          <cell r="E1582">
            <v>0</v>
          </cell>
        </row>
        <row r="1583">
          <cell r="A1583">
            <v>0</v>
          </cell>
          <cell r="B1583">
            <v>0</v>
          </cell>
          <cell r="C1583">
            <v>0</v>
          </cell>
          <cell r="D1583">
            <v>0</v>
          </cell>
          <cell r="E1583">
            <v>0</v>
          </cell>
        </row>
        <row r="1584">
          <cell r="A1584">
            <v>0</v>
          </cell>
          <cell r="B1584">
            <v>0</v>
          </cell>
          <cell r="C1584">
            <v>0</v>
          </cell>
          <cell r="D1584">
            <v>0</v>
          </cell>
          <cell r="E1584">
            <v>0</v>
          </cell>
        </row>
        <row r="1585">
          <cell r="A1585">
            <v>0</v>
          </cell>
          <cell r="B1585">
            <v>0</v>
          </cell>
          <cell r="C1585">
            <v>0</v>
          </cell>
          <cell r="D1585">
            <v>0</v>
          </cell>
          <cell r="E1585">
            <v>0</v>
          </cell>
        </row>
        <row r="1586">
          <cell r="A1586">
            <v>0</v>
          </cell>
          <cell r="B1586">
            <v>0</v>
          </cell>
          <cell r="C1586">
            <v>0</v>
          </cell>
          <cell r="D1586">
            <v>0</v>
          </cell>
          <cell r="E1586">
            <v>0</v>
          </cell>
        </row>
        <row r="1587">
          <cell r="A1587">
            <v>0</v>
          </cell>
          <cell r="B1587">
            <v>0</v>
          </cell>
          <cell r="C1587">
            <v>0</v>
          </cell>
          <cell r="D1587">
            <v>0</v>
          </cell>
          <cell r="E1587">
            <v>0</v>
          </cell>
        </row>
        <row r="1588">
          <cell r="A1588">
            <v>0</v>
          </cell>
          <cell r="B1588">
            <v>0</v>
          </cell>
          <cell r="C1588">
            <v>0</v>
          </cell>
          <cell r="D1588">
            <v>0</v>
          </cell>
          <cell r="E1588">
            <v>0</v>
          </cell>
        </row>
        <row r="1589">
          <cell r="A1589">
            <v>0</v>
          </cell>
          <cell r="B1589">
            <v>0</v>
          </cell>
          <cell r="C1589">
            <v>0</v>
          </cell>
          <cell r="D1589">
            <v>0</v>
          </cell>
          <cell r="E1589">
            <v>0</v>
          </cell>
        </row>
        <row r="1590">
          <cell r="A1590">
            <v>0</v>
          </cell>
          <cell r="B1590">
            <v>0</v>
          </cell>
          <cell r="C1590">
            <v>0</v>
          </cell>
          <cell r="D1590">
            <v>0</v>
          </cell>
          <cell r="E1590">
            <v>0</v>
          </cell>
        </row>
        <row r="1591">
          <cell r="A1591">
            <v>0</v>
          </cell>
          <cell r="B1591">
            <v>0</v>
          </cell>
          <cell r="C1591">
            <v>0</v>
          </cell>
          <cell r="D1591">
            <v>0</v>
          </cell>
          <cell r="E1591">
            <v>0</v>
          </cell>
        </row>
        <row r="1592">
          <cell r="A1592">
            <v>0</v>
          </cell>
          <cell r="B1592">
            <v>0</v>
          </cell>
          <cell r="C1592">
            <v>0</v>
          </cell>
          <cell r="D1592">
            <v>0</v>
          </cell>
          <cell r="E1592">
            <v>0</v>
          </cell>
        </row>
        <row r="1593">
          <cell r="A1593">
            <v>0</v>
          </cell>
          <cell r="B1593">
            <v>0</v>
          </cell>
          <cell r="C1593">
            <v>0</v>
          </cell>
          <cell r="D1593">
            <v>0</v>
          </cell>
          <cell r="E1593">
            <v>0</v>
          </cell>
        </row>
        <row r="1594">
          <cell r="A1594">
            <v>0</v>
          </cell>
          <cell r="B1594">
            <v>0</v>
          </cell>
          <cell r="C1594">
            <v>0</v>
          </cell>
          <cell r="D1594">
            <v>0</v>
          </cell>
          <cell r="E1594">
            <v>0</v>
          </cell>
        </row>
        <row r="1595">
          <cell r="A1595">
            <v>0</v>
          </cell>
          <cell r="B1595">
            <v>0</v>
          </cell>
          <cell r="C1595">
            <v>0</v>
          </cell>
          <cell r="D1595">
            <v>0</v>
          </cell>
          <cell r="E1595">
            <v>0</v>
          </cell>
        </row>
        <row r="1596">
          <cell r="A1596">
            <v>0</v>
          </cell>
          <cell r="B1596">
            <v>0</v>
          </cell>
          <cell r="C1596">
            <v>0</v>
          </cell>
          <cell r="D1596">
            <v>0</v>
          </cell>
          <cell r="E1596">
            <v>0</v>
          </cell>
        </row>
        <row r="1597">
          <cell r="A1597">
            <v>0</v>
          </cell>
          <cell r="B1597">
            <v>0</v>
          </cell>
          <cell r="C1597">
            <v>0</v>
          </cell>
          <cell r="D1597">
            <v>0</v>
          </cell>
          <cell r="E1597">
            <v>0</v>
          </cell>
        </row>
        <row r="1598">
          <cell r="A1598">
            <v>0</v>
          </cell>
          <cell r="B1598">
            <v>0</v>
          </cell>
          <cell r="C1598">
            <v>0</v>
          </cell>
          <cell r="D1598">
            <v>0</v>
          </cell>
          <cell r="E1598">
            <v>0</v>
          </cell>
        </row>
        <row r="1599">
          <cell r="A1599">
            <v>0</v>
          </cell>
          <cell r="B1599">
            <v>0</v>
          </cell>
          <cell r="C1599">
            <v>0</v>
          </cell>
          <cell r="D1599">
            <v>0</v>
          </cell>
          <cell r="E1599">
            <v>0</v>
          </cell>
        </row>
        <row r="1600">
          <cell r="A1600">
            <v>0</v>
          </cell>
          <cell r="B1600">
            <v>0</v>
          </cell>
          <cell r="C1600">
            <v>0</v>
          </cell>
          <cell r="D1600">
            <v>0</v>
          </cell>
          <cell r="E1600">
            <v>0</v>
          </cell>
        </row>
        <row r="1601">
          <cell r="A1601">
            <v>0</v>
          </cell>
          <cell r="B1601">
            <v>0</v>
          </cell>
          <cell r="C1601">
            <v>0</v>
          </cell>
          <cell r="D1601">
            <v>0</v>
          </cell>
          <cell r="E1601">
            <v>0</v>
          </cell>
        </row>
        <row r="1602">
          <cell r="A1602">
            <v>0</v>
          </cell>
          <cell r="B1602">
            <v>0</v>
          </cell>
          <cell r="C1602">
            <v>0</v>
          </cell>
          <cell r="D1602">
            <v>0</v>
          </cell>
          <cell r="E1602">
            <v>0</v>
          </cell>
        </row>
        <row r="1603">
          <cell r="A1603">
            <v>0</v>
          </cell>
          <cell r="B1603">
            <v>0</v>
          </cell>
          <cell r="C1603">
            <v>0</v>
          </cell>
          <cell r="D1603">
            <v>0</v>
          </cell>
          <cell r="E1603">
            <v>0</v>
          </cell>
        </row>
        <row r="1604">
          <cell r="A1604">
            <v>0</v>
          </cell>
          <cell r="B1604">
            <v>0</v>
          </cell>
          <cell r="C1604">
            <v>0</v>
          </cell>
          <cell r="D1604">
            <v>0</v>
          </cell>
          <cell r="E1604">
            <v>0</v>
          </cell>
        </row>
        <row r="1605">
          <cell r="A1605">
            <v>0</v>
          </cell>
          <cell r="B1605">
            <v>0</v>
          </cell>
          <cell r="C1605">
            <v>0</v>
          </cell>
          <cell r="D1605">
            <v>0</v>
          </cell>
          <cell r="E1605">
            <v>0</v>
          </cell>
        </row>
        <row r="1606">
          <cell r="A1606">
            <v>0</v>
          </cell>
          <cell r="B1606">
            <v>0</v>
          </cell>
          <cell r="C1606">
            <v>0</v>
          </cell>
          <cell r="D1606">
            <v>0</v>
          </cell>
          <cell r="E1606">
            <v>0</v>
          </cell>
        </row>
        <row r="1607">
          <cell r="A1607">
            <v>0</v>
          </cell>
          <cell r="B1607">
            <v>0</v>
          </cell>
          <cell r="C1607">
            <v>0</v>
          </cell>
          <cell r="D1607">
            <v>0</v>
          </cell>
          <cell r="E1607">
            <v>0</v>
          </cell>
        </row>
        <row r="1608">
          <cell r="A1608">
            <v>0</v>
          </cell>
          <cell r="B1608">
            <v>0</v>
          </cell>
          <cell r="C1608">
            <v>0</v>
          </cell>
          <cell r="D1608">
            <v>0</v>
          </cell>
          <cell r="E1608">
            <v>0</v>
          </cell>
        </row>
        <row r="1609">
          <cell r="A1609">
            <v>0</v>
          </cell>
          <cell r="B1609">
            <v>0</v>
          </cell>
          <cell r="C1609">
            <v>0</v>
          </cell>
          <cell r="D1609">
            <v>0</v>
          </cell>
          <cell r="E1609">
            <v>0</v>
          </cell>
        </row>
        <row r="1610">
          <cell r="A1610">
            <v>0</v>
          </cell>
          <cell r="B1610">
            <v>0</v>
          </cell>
          <cell r="C1610">
            <v>0</v>
          </cell>
          <cell r="D1610">
            <v>0</v>
          </cell>
          <cell r="E1610">
            <v>0</v>
          </cell>
        </row>
        <row r="1611">
          <cell r="A1611">
            <v>0</v>
          </cell>
          <cell r="B1611">
            <v>0</v>
          </cell>
          <cell r="C1611">
            <v>0</v>
          </cell>
          <cell r="D1611">
            <v>0</v>
          </cell>
          <cell r="E1611">
            <v>0</v>
          </cell>
        </row>
        <row r="1612">
          <cell r="A1612">
            <v>0</v>
          </cell>
          <cell r="B1612">
            <v>0</v>
          </cell>
          <cell r="C1612">
            <v>0</v>
          </cell>
          <cell r="D1612">
            <v>0</v>
          </cell>
          <cell r="E1612">
            <v>0</v>
          </cell>
        </row>
        <row r="1613">
          <cell r="A1613">
            <v>0</v>
          </cell>
          <cell r="B1613">
            <v>0</v>
          </cell>
          <cell r="C1613">
            <v>0</v>
          </cell>
          <cell r="D1613">
            <v>0</v>
          </cell>
          <cell r="E1613">
            <v>0</v>
          </cell>
        </row>
        <row r="1614">
          <cell r="A1614">
            <v>0</v>
          </cell>
          <cell r="B1614">
            <v>0</v>
          </cell>
          <cell r="C1614">
            <v>0</v>
          </cell>
          <cell r="D1614">
            <v>0</v>
          </cell>
          <cell r="E1614">
            <v>0</v>
          </cell>
        </row>
        <row r="1615">
          <cell r="A1615">
            <v>0</v>
          </cell>
          <cell r="B1615">
            <v>0</v>
          </cell>
          <cell r="C1615">
            <v>0</v>
          </cell>
          <cell r="D1615">
            <v>0</v>
          </cell>
          <cell r="E1615">
            <v>0</v>
          </cell>
        </row>
        <row r="1616">
          <cell r="A1616">
            <v>0</v>
          </cell>
          <cell r="B1616">
            <v>0</v>
          </cell>
          <cell r="C1616">
            <v>0</v>
          </cell>
          <cell r="D1616">
            <v>0</v>
          </cell>
          <cell r="E1616">
            <v>0</v>
          </cell>
        </row>
        <row r="1617">
          <cell r="A1617">
            <v>0</v>
          </cell>
          <cell r="B1617">
            <v>0</v>
          </cell>
          <cell r="C1617">
            <v>0</v>
          </cell>
          <cell r="D1617">
            <v>0</v>
          </cell>
          <cell r="E1617">
            <v>0</v>
          </cell>
        </row>
        <row r="1618">
          <cell r="A1618">
            <v>0</v>
          </cell>
          <cell r="B1618">
            <v>0</v>
          </cell>
          <cell r="C1618">
            <v>0</v>
          </cell>
          <cell r="D1618">
            <v>0</v>
          </cell>
          <cell r="E1618">
            <v>0</v>
          </cell>
        </row>
        <row r="1619">
          <cell r="A1619">
            <v>0</v>
          </cell>
          <cell r="B1619">
            <v>0</v>
          </cell>
          <cell r="C1619">
            <v>0</v>
          </cell>
          <cell r="D1619">
            <v>0</v>
          </cell>
          <cell r="E1619">
            <v>0</v>
          </cell>
        </row>
        <row r="1620">
          <cell r="A1620">
            <v>0</v>
          </cell>
          <cell r="B1620">
            <v>0</v>
          </cell>
          <cell r="C1620">
            <v>0</v>
          </cell>
          <cell r="D1620">
            <v>0</v>
          </cell>
          <cell r="E1620">
            <v>0</v>
          </cell>
        </row>
        <row r="1621">
          <cell r="A1621">
            <v>0</v>
          </cell>
          <cell r="B1621">
            <v>0</v>
          </cell>
          <cell r="C1621">
            <v>0</v>
          </cell>
          <cell r="D1621">
            <v>0</v>
          </cell>
          <cell r="E1621">
            <v>0</v>
          </cell>
        </row>
        <row r="1622">
          <cell r="A1622">
            <v>0</v>
          </cell>
          <cell r="B1622">
            <v>0</v>
          </cell>
          <cell r="C1622">
            <v>0</v>
          </cell>
          <cell r="D1622">
            <v>0</v>
          </cell>
          <cell r="E1622">
            <v>0</v>
          </cell>
        </row>
        <row r="1623">
          <cell r="A1623">
            <v>0</v>
          </cell>
          <cell r="B1623">
            <v>0</v>
          </cell>
          <cell r="C1623">
            <v>0</v>
          </cell>
          <cell r="D1623">
            <v>0</v>
          </cell>
          <cell r="E1623">
            <v>0</v>
          </cell>
        </row>
        <row r="1624">
          <cell r="A1624">
            <v>0</v>
          </cell>
          <cell r="B1624">
            <v>0</v>
          </cell>
          <cell r="C1624">
            <v>0</v>
          </cell>
          <cell r="D1624">
            <v>0</v>
          </cell>
          <cell r="E1624">
            <v>0</v>
          </cell>
        </row>
        <row r="1625">
          <cell r="A1625">
            <v>0</v>
          </cell>
          <cell r="B1625">
            <v>0</v>
          </cell>
          <cell r="C1625">
            <v>0</v>
          </cell>
          <cell r="D1625">
            <v>0</v>
          </cell>
          <cell r="E1625">
            <v>0</v>
          </cell>
        </row>
        <row r="1626">
          <cell r="A1626">
            <v>0</v>
          </cell>
          <cell r="B1626">
            <v>0</v>
          </cell>
          <cell r="C1626">
            <v>0</v>
          </cell>
          <cell r="D1626">
            <v>0</v>
          </cell>
          <cell r="E1626">
            <v>0</v>
          </cell>
        </row>
        <row r="1627">
          <cell r="A1627">
            <v>0</v>
          </cell>
          <cell r="B1627">
            <v>0</v>
          </cell>
          <cell r="C1627">
            <v>0</v>
          </cell>
          <cell r="D1627">
            <v>0</v>
          </cell>
          <cell r="E1627">
            <v>0</v>
          </cell>
        </row>
        <row r="1628">
          <cell r="A1628">
            <v>0</v>
          </cell>
          <cell r="B1628">
            <v>0</v>
          </cell>
          <cell r="C1628">
            <v>0</v>
          </cell>
          <cell r="D1628">
            <v>0</v>
          </cell>
          <cell r="E1628">
            <v>0</v>
          </cell>
        </row>
        <row r="1629">
          <cell r="A1629">
            <v>0</v>
          </cell>
          <cell r="B1629">
            <v>0</v>
          </cell>
          <cell r="C1629">
            <v>0</v>
          </cell>
          <cell r="D1629">
            <v>0</v>
          </cell>
          <cell r="E1629">
            <v>0</v>
          </cell>
        </row>
        <row r="1630">
          <cell r="A1630">
            <v>0</v>
          </cell>
          <cell r="B1630">
            <v>0</v>
          </cell>
          <cell r="C1630">
            <v>0</v>
          </cell>
          <cell r="D1630">
            <v>0</v>
          </cell>
          <cell r="E1630">
            <v>0</v>
          </cell>
        </row>
        <row r="1631">
          <cell r="A1631">
            <v>0</v>
          </cell>
          <cell r="B1631">
            <v>0</v>
          </cell>
          <cell r="C1631">
            <v>0</v>
          </cell>
          <cell r="D1631">
            <v>0</v>
          </cell>
          <cell r="E1631">
            <v>0</v>
          </cell>
        </row>
        <row r="1632">
          <cell r="A1632">
            <v>0</v>
          </cell>
          <cell r="B1632">
            <v>0</v>
          </cell>
          <cell r="C1632">
            <v>0</v>
          </cell>
          <cell r="D1632">
            <v>0</v>
          </cell>
          <cell r="E1632">
            <v>0</v>
          </cell>
        </row>
        <row r="1633">
          <cell r="A1633">
            <v>0</v>
          </cell>
          <cell r="B1633">
            <v>0</v>
          </cell>
          <cell r="C1633">
            <v>0</v>
          </cell>
          <cell r="D1633">
            <v>0</v>
          </cell>
          <cell r="E1633">
            <v>0</v>
          </cell>
        </row>
        <row r="1634">
          <cell r="A1634">
            <v>0</v>
          </cell>
          <cell r="B1634">
            <v>0</v>
          </cell>
          <cell r="C1634">
            <v>0</v>
          </cell>
          <cell r="D1634">
            <v>0</v>
          </cell>
          <cell r="E1634">
            <v>0</v>
          </cell>
        </row>
        <row r="1635">
          <cell r="A1635">
            <v>0</v>
          </cell>
          <cell r="B1635">
            <v>0</v>
          </cell>
          <cell r="C1635">
            <v>0</v>
          </cell>
          <cell r="D1635">
            <v>0</v>
          </cell>
          <cell r="E1635">
            <v>0</v>
          </cell>
        </row>
        <row r="1636">
          <cell r="A1636">
            <v>0</v>
          </cell>
          <cell r="B1636">
            <v>0</v>
          </cell>
          <cell r="C1636">
            <v>0</v>
          </cell>
          <cell r="D1636">
            <v>0</v>
          </cell>
          <cell r="E1636">
            <v>0</v>
          </cell>
        </row>
        <row r="1637">
          <cell r="A1637">
            <v>0</v>
          </cell>
          <cell r="B1637">
            <v>0</v>
          </cell>
          <cell r="C1637">
            <v>0</v>
          </cell>
          <cell r="D1637">
            <v>0</v>
          </cell>
          <cell r="E1637">
            <v>0</v>
          </cell>
        </row>
        <row r="1638">
          <cell r="A1638">
            <v>0</v>
          </cell>
          <cell r="B1638">
            <v>0</v>
          </cell>
          <cell r="C1638">
            <v>0</v>
          </cell>
          <cell r="D1638">
            <v>0</v>
          </cell>
          <cell r="E1638">
            <v>0</v>
          </cell>
        </row>
        <row r="1639">
          <cell r="A1639">
            <v>0</v>
          </cell>
          <cell r="B1639">
            <v>0</v>
          </cell>
          <cell r="C1639">
            <v>0</v>
          </cell>
          <cell r="D1639">
            <v>0</v>
          </cell>
          <cell r="E1639">
            <v>0</v>
          </cell>
        </row>
        <row r="1640">
          <cell r="A1640">
            <v>0</v>
          </cell>
          <cell r="B1640">
            <v>0</v>
          </cell>
          <cell r="C1640">
            <v>0</v>
          </cell>
          <cell r="D1640">
            <v>0</v>
          </cell>
          <cell r="E1640">
            <v>0</v>
          </cell>
        </row>
        <row r="1641">
          <cell r="A1641">
            <v>0</v>
          </cell>
          <cell r="B1641">
            <v>0</v>
          </cell>
          <cell r="C1641">
            <v>0</v>
          </cell>
          <cell r="D1641">
            <v>0</v>
          </cell>
          <cell r="E1641">
            <v>0</v>
          </cell>
        </row>
        <row r="1642">
          <cell r="A1642">
            <v>0</v>
          </cell>
          <cell r="B1642">
            <v>0</v>
          </cell>
          <cell r="C1642">
            <v>0</v>
          </cell>
          <cell r="D1642">
            <v>0</v>
          </cell>
          <cell r="E1642">
            <v>0</v>
          </cell>
        </row>
        <row r="1643">
          <cell r="A1643">
            <v>0</v>
          </cell>
          <cell r="B1643">
            <v>0</v>
          </cell>
          <cell r="C1643">
            <v>0</v>
          </cell>
          <cell r="D1643">
            <v>0</v>
          </cell>
          <cell r="E1643">
            <v>0</v>
          </cell>
        </row>
        <row r="1644">
          <cell r="A1644">
            <v>0</v>
          </cell>
          <cell r="B1644">
            <v>0</v>
          </cell>
          <cell r="C1644">
            <v>0</v>
          </cell>
          <cell r="D1644">
            <v>0</v>
          </cell>
          <cell r="E1644">
            <v>0</v>
          </cell>
        </row>
        <row r="1645">
          <cell r="A1645">
            <v>0</v>
          </cell>
          <cell r="B1645">
            <v>0</v>
          </cell>
          <cell r="C1645">
            <v>0</v>
          </cell>
          <cell r="D1645">
            <v>0</v>
          </cell>
          <cell r="E1645">
            <v>0</v>
          </cell>
        </row>
        <row r="1647">
          <cell r="A1647">
            <v>0</v>
          </cell>
          <cell r="B1647">
            <v>0</v>
          </cell>
          <cell r="C1647">
            <v>0</v>
          </cell>
          <cell r="D1647">
            <v>0</v>
          </cell>
          <cell r="E1647">
            <v>0</v>
          </cell>
        </row>
        <row r="1648">
          <cell r="A1648">
            <v>0</v>
          </cell>
          <cell r="B1648">
            <v>0</v>
          </cell>
          <cell r="C1648">
            <v>0</v>
          </cell>
          <cell r="D1648">
            <v>0</v>
          </cell>
          <cell r="E1648">
            <v>0</v>
          </cell>
        </row>
        <row r="1649">
          <cell r="A1649">
            <v>0</v>
          </cell>
          <cell r="B1649">
            <v>0</v>
          </cell>
          <cell r="C1649">
            <v>0</v>
          </cell>
          <cell r="D1649">
            <v>0</v>
          </cell>
          <cell r="E1649">
            <v>0</v>
          </cell>
        </row>
        <row r="1650">
          <cell r="A1650">
            <v>0</v>
          </cell>
          <cell r="B1650">
            <v>0</v>
          </cell>
          <cell r="C1650">
            <v>0</v>
          </cell>
          <cell r="D1650">
            <v>0</v>
          </cell>
          <cell r="E1650">
            <v>0</v>
          </cell>
        </row>
        <row r="1651">
          <cell r="A1651">
            <v>0</v>
          </cell>
          <cell r="B1651">
            <v>0</v>
          </cell>
          <cell r="C1651">
            <v>0</v>
          </cell>
          <cell r="D1651">
            <v>0</v>
          </cell>
          <cell r="E1651">
            <v>0</v>
          </cell>
        </row>
        <row r="1652">
          <cell r="A1652">
            <v>0</v>
          </cell>
          <cell r="B1652">
            <v>0</v>
          </cell>
          <cell r="C1652">
            <v>0</v>
          </cell>
          <cell r="D1652">
            <v>0</v>
          </cell>
          <cell r="E1652">
            <v>0</v>
          </cell>
        </row>
        <row r="1653">
          <cell r="A1653">
            <v>0</v>
          </cell>
          <cell r="B1653">
            <v>0</v>
          </cell>
          <cell r="C1653">
            <v>0</v>
          </cell>
          <cell r="D1653">
            <v>0</v>
          </cell>
          <cell r="E1653">
            <v>0</v>
          </cell>
        </row>
        <row r="1654">
          <cell r="A1654">
            <v>0</v>
          </cell>
          <cell r="B1654">
            <v>0</v>
          </cell>
          <cell r="C1654">
            <v>0</v>
          </cell>
          <cell r="D1654">
            <v>0</v>
          </cell>
          <cell r="E1654">
            <v>0</v>
          </cell>
        </row>
        <row r="1655">
          <cell r="A1655">
            <v>0</v>
          </cell>
          <cell r="B1655">
            <v>0</v>
          </cell>
          <cell r="C1655">
            <v>0</v>
          </cell>
          <cell r="D1655">
            <v>0</v>
          </cell>
          <cell r="E1655">
            <v>0</v>
          </cell>
        </row>
        <row r="1656">
          <cell r="A1656">
            <v>0</v>
          </cell>
          <cell r="B1656">
            <v>0</v>
          </cell>
          <cell r="C1656">
            <v>0</v>
          </cell>
          <cell r="D1656">
            <v>0</v>
          </cell>
          <cell r="E1656">
            <v>0</v>
          </cell>
        </row>
        <row r="1657">
          <cell r="A1657">
            <v>0</v>
          </cell>
          <cell r="B1657">
            <v>0</v>
          </cell>
          <cell r="C1657">
            <v>0</v>
          </cell>
          <cell r="D1657">
            <v>0</v>
          </cell>
          <cell r="E1657">
            <v>0</v>
          </cell>
        </row>
        <row r="1658">
          <cell r="A1658">
            <v>0</v>
          </cell>
          <cell r="B1658">
            <v>0</v>
          </cell>
          <cell r="C1658">
            <v>0</v>
          </cell>
          <cell r="D1658">
            <v>0</v>
          </cell>
          <cell r="E1658">
            <v>0</v>
          </cell>
        </row>
        <row r="1659">
          <cell r="A1659">
            <v>0</v>
          </cell>
          <cell r="B1659">
            <v>0</v>
          </cell>
          <cell r="C1659">
            <v>0</v>
          </cell>
          <cell r="D1659">
            <v>0</v>
          </cell>
          <cell r="E1659">
            <v>0</v>
          </cell>
        </row>
        <row r="1660">
          <cell r="A1660">
            <v>0</v>
          </cell>
          <cell r="B1660">
            <v>0</v>
          </cell>
          <cell r="C1660">
            <v>0</v>
          </cell>
          <cell r="D1660">
            <v>0</v>
          </cell>
          <cell r="E1660">
            <v>0</v>
          </cell>
        </row>
        <row r="1661">
          <cell r="A1661">
            <v>0</v>
          </cell>
          <cell r="B1661">
            <v>0</v>
          </cell>
          <cell r="C1661">
            <v>0</v>
          </cell>
          <cell r="D1661">
            <v>0</v>
          </cell>
          <cell r="E1661">
            <v>0</v>
          </cell>
        </row>
        <row r="1663">
          <cell r="A1663">
            <v>0</v>
          </cell>
          <cell r="B1663">
            <v>0</v>
          </cell>
          <cell r="C1663">
            <v>0</v>
          </cell>
          <cell r="D1663">
            <v>0</v>
          </cell>
          <cell r="E1663">
            <v>0</v>
          </cell>
        </row>
        <row r="1664">
          <cell r="A1664">
            <v>0</v>
          </cell>
          <cell r="B1664">
            <v>0</v>
          </cell>
          <cell r="C1664">
            <v>0</v>
          </cell>
          <cell r="D1664">
            <v>0</v>
          </cell>
          <cell r="E1664">
            <v>0</v>
          </cell>
        </row>
        <row r="1665">
          <cell r="A1665">
            <v>0</v>
          </cell>
          <cell r="B1665">
            <v>0</v>
          </cell>
          <cell r="C1665">
            <v>0</v>
          </cell>
          <cell r="D1665">
            <v>0</v>
          </cell>
          <cell r="E1665">
            <v>0</v>
          </cell>
        </row>
        <row r="1666">
          <cell r="A1666">
            <v>0</v>
          </cell>
          <cell r="B1666">
            <v>0</v>
          </cell>
          <cell r="C1666">
            <v>0</v>
          </cell>
          <cell r="D1666">
            <v>0</v>
          </cell>
          <cell r="E1666">
            <v>0</v>
          </cell>
        </row>
        <row r="1667">
          <cell r="A1667">
            <v>0</v>
          </cell>
          <cell r="B1667">
            <v>0</v>
          </cell>
          <cell r="C1667">
            <v>0</v>
          </cell>
          <cell r="D1667">
            <v>0</v>
          </cell>
          <cell r="E1667">
            <v>0</v>
          </cell>
        </row>
        <row r="1668">
          <cell r="A1668">
            <v>0</v>
          </cell>
          <cell r="B1668">
            <v>0</v>
          </cell>
          <cell r="C1668">
            <v>0</v>
          </cell>
          <cell r="D1668">
            <v>0</v>
          </cell>
          <cell r="E1668">
            <v>0</v>
          </cell>
        </row>
        <row r="1669">
          <cell r="A1669">
            <v>0</v>
          </cell>
          <cell r="B1669">
            <v>0</v>
          </cell>
          <cell r="C1669">
            <v>0</v>
          </cell>
          <cell r="D1669">
            <v>0</v>
          </cell>
          <cell r="E1669">
            <v>0</v>
          </cell>
        </row>
        <row r="1670">
          <cell r="A1670">
            <v>0</v>
          </cell>
          <cell r="B1670">
            <v>0</v>
          </cell>
          <cell r="C1670">
            <v>0</v>
          </cell>
          <cell r="D1670">
            <v>0</v>
          </cell>
          <cell r="E1670">
            <v>0</v>
          </cell>
        </row>
        <row r="1671">
          <cell r="A1671">
            <v>0</v>
          </cell>
          <cell r="B1671">
            <v>0</v>
          </cell>
          <cell r="C1671">
            <v>0</v>
          </cell>
          <cell r="D1671">
            <v>0</v>
          </cell>
          <cell r="E1671">
            <v>0</v>
          </cell>
        </row>
        <row r="1672">
          <cell r="A1672">
            <v>0</v>
          </cell>
          <cell r="B1672">
            <v>0</v>
          </cell>
          <cell r="C1672">
            <v>0</v>
          </cell>
          <cell r="D1672">
            <v>0</v>
          </cell>
          <cell r="E1672">
            <v>0</v>
          </cell>
        </row>
        <row r="1673">
          <cell r="A1673">
            <v>0</v>
          </cell>
          <cell r="B1673">
            <v>0</v>
          </cell>
          <cell r="C1673">
            <v>0</v>
          </cell>
          <cell r="D1673">
            <v>0</v>
          </cell>
          <cell r="E1673">
            <v>0</v>
          </cell>
        </row>
        <row r="1674">
          <cell r="A1674">
            <v>0</v>
          </cell>
          <cell r="B1674">
            <v>0</v>
          </cell>
          <cell r="C1674">
            <v>0</v>
          </cell>
          <cell r="D1674">
            <v>0</v>
          </cell>
          <cell r="E1674">
            <v>0</v>
          </cell>
        </row>
        <row r="1675">
          <cell r="A1675">
            <v>0</v>
          </cell>
          <cell r="B1675">
            <v>0</v>
          </cell>
          <cell r="C1675">
            <v>0</v>
          </cell>
          <cell r="D1675">
            <v>0</v>
          </cell>
          <cell r="E1675">
            <v>0</v>
          </cell>
        </row>
        <row r="1676">
          <cell r="A1676">
            <v>0</v>
          </cell>
          <cell r="B1676">
            <v>0</v>
          </cell>
          <cell r="C1676">
            <v>0</v>
          </cell>
          <cell r="D1676">
            <v>0</v>
          </cell>
          <cell r="E1676">
            <v>0</v>
          </cell>
        </row>
        <row r="1677">
          <cell r="A1677">
            <v>0</v>
          </cell>
          <cell r="B1677">
            <v>0</v>
          </cell>
          <cell r="C1677">
            <v>0</v>
          </cell>
          <cell r="D1677">
            <v>0</v>
          </cell>
          <cell r="E1677">
            <v>0</v>
          </cell>
        </row>
        <row r="1678">
          <cell r="A1678">
            <v>0</v>
          </cell>
          <cell r="B1678">
            <v>0</v>
          </cell>
          <cell r="C1678">
            <v>0</v>
          </cell>
          <cell r="D1678">
            <v>0</v>
          </cell>
          <cell r="E1678">
            <v>0</v>
          </cell>
        </row>
        <row r="1679">
          <cell r="A1679">
            <v>0</v>
          </cell>
          <cell r="B1679">
            <v>0</v>
          </cell>
          <cell r="C1679">
            <v>0</v>
          </cell>
          <cell r="D1679">
            <v>0</v>
          </cell>
          <cell r="E1679">
            <v>0</v>
          </cell>
        </row>
        <row r="1680">
          <cell r="A1680">
            <v>0</v>
          </cell>
          <cell r="B1680">
            <v>0</v>
          </cell>
          <cell r="C1680">
            <v>0</v>
          </cell>
          <cell r="D1680">
            <v>0</v>
          </cell>
          <cell r="E1680">
            <v>0</v>
          </cell>
        </row>
        <row r="1681">
          <cell r="A1681">
            <v>0</v>
          </cell>
          <cell r="B1681">
            <v>0</v>
          </cell>
          <cell r="C1681">
            <v>0</v>
          </cell>
          <cell r="D1681">
            <v>0</v>
          </cell>
          <cell r="E1681">
            <v>0</v>
          </cell>
        </row>
        <row r="1682">
          <cell r="A1682">
            <v>0</v>
          </cell>
          <cell r="B1682">
            <v>0</v>
          </cell>
          <cell r="C1682">
            <v>0</v>
          </cell>
          <cell r="D1682">
            <v>0</v>
          </cell>
          <cell r="E1682">
            <v>0</v>
          </cell>
        </row>
        <row r="1683">
          <cell r="A1683">
            <v>0</v>
          </cell>
          <cell r="B1683">
            <v>0</v>
          </cell>
          <cell r="C1683">
            <v>0</v>
          </cell>
          <cell r="D1683">
            <v>0</v>
          </cell>
          <cell r="E1683">
            <v>0</v>
          </cell>
        </row>
        <row r="1684">
          <cell r="A1684">
            <v>0</v>
          </cell>
          <cell r="B1684">
            <v>0</v>
          </cell>
          <cell r="C1684">
            <v>0</v>
          </cell>
          <cell r="D1684">
            <v>0</v>
          </cell>
          <cell r="E1684">
            <v>0</v>
          </cell>
        </row>
        <row r="1685">
          <cell r="A1685">
            <v>0</v>
          </cell>
          <cell r="B1685">
            <v>0</v>
          </cell>
          <cell r="C1685">
            <v>0</v>
          </cell>
          <cell r="D1685">
            <v>0</v>
          </cell>
          <cell r="E1685">
            <v>0</v>
          </cell>
        </row>
        <row r="1686">
          <cell r="A1686">
            <v>0</v>
          </cell>
          <cell r="B1686">
            <v>0</v>
          </cell>
          <cell r="C1686">
            <v>0</v>
          </cell>
          <cell r="D1686">
            <v>0</v>
          </cell>
          <cell r="E1686">
            <v>0</v>
          </cell>
        </row>
        <row r="1687">
          <cell r="A1687">
            <v>0</v>
          </cell>
          <cell r="B1687">
            <v>0</v>
          </cell>
          <cell r="C1687">
            <v>0</v>
          </cell>
          <cell r="D1687">
            <v>0</v>
          </cell>
          <cell r="E1687">
            <v>0</v>
          </cell>
        </row>
        <row r="1688">
          <cell r="A1688">
            <v>0</v>
          </cell>
          <cell r="B1688">
            <v>0</v>
          </cell>
          <cell r="C1688">
            <v>0</v>
          </cell>
          <cell r="D1688">
            <v>0</v>
          </cell>
          <cell r="E1688">
            <v>0</v>
          </cell>
        </row>
        <row r="1689">
          <cell r="A1689">
            <v>0</v>
          </cell>
          <cell r="B1689">
            <v>0</v>
          </cell>
          <cell r="C1689">
            <v>0</v>
          </cell>
          <cell r="D1689">
            <v>0</v>
          </cell>
          <cell r="E1689">
            <v>0</v>
          </cell>
        </row>
        <row r="1690">
          <cell r="A1690">
            <v>0</v>
          </cell>
          <cell r="B1690">
            <v>0</v>
          </cell>
          <cell r="C1690">
            <v>0</v>
          </cell>
          <cell r="D1690">
            <v>0</v>
          </cell>
          <cell r="E1690">
            <v>0</v>
          </cell>
        </row>
        <row r="1691">
          <cell r="A1691">
            <v>0</v>
          </cell>
          <cell r="B1691">
            <v>0</v>
          </cell>
          <cell r="C1691">
            <v>0</v>
          </cell>
          <cell r="D1691">
            <v>0</v>
          </cell>
          <cell r="E1691">
            <v>0</v>
          </cell>
        </row>
        <row r="1692">
          <cell r="A1692">
            <v>0</v>
          </cell>
          <cell r="B1692">
            <v>0</v>
          </cell>
          <cell r="C1692">
            <v>0</v>
          </cell>
          <cell r="D1692">
            <v>0</v>
          </cell>
          <cell r="E1692">
            <v>0</v>
          </cell>
        </row>
        <row r="1693">
          <cell r="A1693">
            <v>0</v>
          </cell>
          <cell r="B1693">
            <v>0</v>
          </cell>
          <cell r="C1693">
            <v>0</v>
          </cell>
          <cell r="D1693">
            <v>0</v>
          </cell>
          <cell r="E1693">
            <v>0</v>
          </cell>
        </row>
        <row r="1694">
          <cell r="A1694">
            <v>0</v>
          </cell>
          <cell r="B1694">
            <v>0</v>
          </cell>
          <cell r="C1694">
            <v>0</v>
          </cell>
          <cell r="D1694">
            <v>0</v>
          </cell>
          <cell r="E1694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ntidades"/>
      <sheetName val="Cronograma Físico"/>
      <sheetName val="Resumo"/>
      <sheetName val="Planilha"/>
      <sheetName val="Memória"/>
      <sheetName val="DER 06-16"/>
      <sheetName val="equip."/>
      <sheetName val="m.o."/>
      <sheetName val="mat."/>
      <sheetName val="tranp."/>
      <sheetName val="Ocor."/>
      <sheetName val="43069"/>
      <sheetName val="42981"/>
      <sheetName val="42714"/>
      <sheetName val="ST01"/>
      <sheetName val="ST02"/>
      <sheetName val="42779"/>
      <sheetName val="42783"/>
      <sheetName val="40514"/>
      <sheetName val="40515"/>
      <sheetName val="003"/>
      <sheetName val="005"/>
      <sheetName val="006"/>
      <sheetName val="Mapa"/>
      <sheetName val="CX"/>
      <sheetName val="42611"/>
      <sheetName val="40313"/>
      <sheetName val="40351"/>
      <sheetName val="40358"/>
      <sheetName val="Dist"/>
      <sheetName val="Compos DER"/>
      <sheetName val="Compos lug"/>
      <sheetName val="Plan1"/>
      <sheetName val="P - COMPARATIVO"/>
      <sheetName val="Quantidades a3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ntidades"/>
      <sheetName val="Cronograma Físico"/>
      <sheetName val="Resumo"/>
      <sheetName val="Planilha"/>
      <sheetName val="Memória"/>
      <sheetName val="DER 10-14"/>
      <sheetName val="equip."/>
      <sheetName val="m.o."/>
      <sheetName val="mat."/>
      <sheetName val="tranp."/>
      <sheetName val="Ocor."/>
      <sheetName val="43069"/>
      <sheetName val="42981"/>
      <sheetName val="42714"/>
      <sheetName val="ST01"/>
      <sheetName val="ST02"/>
      <sheetName val="42779"/>
      <sheetName val="42783"/>
      <sheetName val="40514"/>
      <sheetName val="40515"/>
      <sheetName val="003"/>
      <sheetName val="005"/>
      <sheetName val="006"/>
      <sheetName val="Mapa"/>
      <sheetName val="CX"/>
      <sheetName val="42611"/>
      <sheetName val="40313"/>
      <sheetName val="40351"/>
      <sheetName val="40358"/>
      <sheetName val="Compos DER"/>
      <sheetName val="Compos lug"/>
      <sheetName val="Plan1"/>
      <sheetName val="P - COMPARATIVO"/>
      <sheetName val="Quantidades 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ntidades"/>
      <sheetName val="Cronograma Físico"/>
      <sheetName val="Resumo"/>
      <sheetName val="Planilha"/>
      <sheetName val="Memória"/>
      <sheetName val="DER 06-15"/>
      <sheetName val="equip."/>
      <sheetName val="m.o."/>
      <sheetName val="mat."/>
      <sheetName val="tranp."/>
      <sheetName val="Ocor."/>
      <sheetName val="43069"/>
      <sheetName val="42981"/>
      <sheetName val="42714"/>
      <sheetName val="ST01"/>
      <sheetName val="ST02"/>
      <sheetName val="42779"/>
      <sheetName val="42783"/>
      <sheetName val="40514"/>
      <sheetName val="40515"/>
      <sheetName val="003"/>
      <sheetName val="005"/>
      <sheetName val="006"/>
      <sheetName val="Mapa"/>
      <sheetName val="CX"/>
      <sheetName val="42611"/>
      <sheetName val="40313"/>
      <sheetName val="40351"/>
      <sheetName val="40358"/>
      <sheetName val="Compos DER"/>
      <sheetName val="Compos lug"/>
      <sheetName val="Plan1"/>
      <sheetName val="P - COMPARATIVO"/>
      <sheetName val="Quantidades a3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199 - Tabela Referencial Junho 2015 com desoneração</v>
          </cell>
        </row>
      </sheetData>
      <sheetData sheetId="6"/>
      <sheetData sheetId="7">
        <row r="1">
          <cell r="A1" t="str">
            <v>199 - Tabela Referencial Junho 2015 com desoneração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 Clássico2">
      <a:maj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4"/>
  <sheetViews>
    <sheetView view="pageBreakPreview" zoomScaleNormal="100" zoomScaleSheetLayoutView="100" workbookViewId="0">
      <selection activeCell="B181" sqref="B181"/>
    </sheetView>
  </sheetViews>
  <sheetFormatPr defaultColWidth="9" defaultRowHeight="15" x14ac:dyDescent="0.2"/>
  <cols>
    <col min="1" max="1" width="6.75" style="491" customWidth="1"/>
    <col min="2" max="2" width="8.625" style="297" customWidth="1"/>
    <col min="3" max="3" width="67.625" style="321" customWidth="1"/>
    <col min="4" max="4" width="6.25" style="297" bestFit="1" customWidth="1"/>
    <col min="5" max="5" width="10.5" style="303" customWidth="1"/>
    <col min="6" max="16384" width="9" style="297"/>
  </cols>
  <sheetData>
    <row r="1" spans="1:5" ht="18.75" x14ac:dyDescent="0.2">
      <c r="A1" s="907" t="s">
        <v>307</v>
      </c>
      <c r="B1" s="907"/>
      <c r="C1" s="907"/>
      <c r="D1" s="907"/>
      <c r="E1" s="907"/>
    </row>
    <row r="2" spans="1:5" ht="15.75" x14ac:dyDescent="0.2">
      <c r="A2" s="908" t="str">
        <f>+Memória!A2</f>
        <v>Trecho 06 - São Paulo - Água Pretinha</v>
      </c>
      <c r="B2" s="909"/>
      <c r="C2" s="909"/>
      <c r="D2" s="909"/>
      <c r="E2" s="909"/>
    </row>
    <row r="3" spans="1:5" s="298" customFormat="1" ht="12.75" x14ac:dyDescent="0.2">
      <c r="A3" s="910" t="s">
        <v>5</v>
      </c>
      <c r="B3" s="910"/>
      <c r="C3" s="911" t="s">
        <v>12</v>
      </c>
      <c r="D3" s="911" t="s">
        <v>13</v>
      </c>
      <c r="E3" s="913" t="s">
        <v>6</v>
      </c>
    </row>
    <row r="4" spans="1:5" s="298" customFormat="1" ht="12.75" x14ac:dyDescent="0.2">
      <c r="A4" s="590" t="s">
        <v>258</v>
      </c>
      <c r="B4" s="312" t="s">
        <v>11</v>
      </c>
      <c r="C4" s="912"/>
      <c r="D4" s="912"/>
      <c r="E4" s="914"/>
    </row>
    <row r="5" spans="1:5" x14ac:dyDescent="0.2">
      <c r="A5" s="497">
        <v>1</v>
      </c>
      <c r="B5" s="539"/>
      <c r="C5" s="314" t="str">
        <f>VLOOKUP(A5,Memória!A:S,3,FALSE)</f>
        <v>ADMINISTRAÇÃO LOCAL E SERVIÇOS AUXILIARES</v>
      </c>
      <c r="D5" s="537"/>
      <c r="E5" s="320"/>
    </row>
    <row r="6" spans="1:5" x14ac:dyDescent="0.2">
      <c r="A6" s="498" t="s">
        <v>223</v>
      </c>
      <c r="B6" s="317"/>
      <c r="C6" s="316" t="str">
        <f>VLOOKUP(A6,Memória!A:S,3,FALSE)</f>
        <v>Administração Local</v>
      </c>
      <c r="D6" s="319"/>
      <c r="E6" s="320"/>
    </row>
    <row r="7" spans="1:5" x14ac:dyDescent="0.2">
      <c r="A7" s="501" t="s">
        <v>283</v>
      </c>
      <c r="B7" s="317" t="str">
        <f>VLOOKUP(A7,Memória!A:S,2,FALSE)</f>
        <v>PR-001</v>
      </c>
      <c r="C7" s="318" t="str">
        <f>VLOOKUP(A7,Memória!A:S,3,FALSE)</f>
        <v>Administração local</v>
      </c>
      <c r="D7" s="319" t="str">
        <f>VLOOKUP(A7,Memória!A:T,20,FALSE)</f>
        <v>vb</v>
      </c>
      <c r="E7" s="320">
        <f>VLOOKUP(A7,Memória!A:S,19,FALSE)</f>
        <v>18</v>
      </c>
    </row>
    <row r="8" spans="1:5" x14ac:dyDescent="0.2">
      <c r="A8" s="527" t="s">
        <v>441</v>
      </c>
      <c r="B8" s="317"/>
      <c r="C8" s="316" t="str">
        <f>VLOOKUP(A8,Memória!A:S,3,FALSE)</f>
        <v>Controle Tecnológico dos Serviços</v>
      </c>
      <c r="D8" s="319"/>
      <c r="E8" s="320"/>
    </row>
    <row r="9" spans="1:5" x14ac:dyDescent="0.2">
      <c r="A9" s="501" t="s">
        <v>442</v>
      </c>
      <c r="B9" s="317" t="str">
        <f>VLOOKUP(A9,Memória!A:S,2,FALSE)</f>
        <v>PR-002</v>
      </c>
      <c r="C9" s="318" t="str">
        <f>VLOOKUP(A9,Memória!A:S,3,FALSE)</f>
        <v>Equipe de Topografia</v>
      </c>
      <c r="D9" s="319" t="str">
        <f>VLOOKUP(A9,Memória!A:T,20,FALSE)</f>
        <v>mês</v>
      </c>
      <c r="E9" s="320">
        <f>VLOOKUP(A9,Memória!A:S,19,FALSE)</f>
        <v>10</v>
      </c>
    </row>
    <row r="10" spans="1:5" x14ac:dyDescent="0.2">
      <c r="A10" s="501" t="s">
        <v>443</v>
      </c>
      <c r="B10" s="317" t="str">
        <f>VLOOKUP(A10,Memória!A:S,2,FALSE)</f>
        <v>PR-003</v>
      </c>
      <c r="C10" s="318" t="str">
        <f>VLOOKUP(A10,Memória!A:S,3,FALSE)</f>
        <v>Equipe de Laboratório</v>
      </c>
      <c r="D10" s="319" t="str">
        <f>VLOOKUP(A10,Memória!A:T,20,FALSE)</f>
        <v>mês</v>
      </c>
      <c r="E10" s="320">
        <f>VLOOKUP(A10,Memória!A:S,19,FALSE)</f>
        <v>10</v>
      </c>
    </row>
    <row r="11" spans="1:5" s="299" customFormat="1" ht="14.25" x14ac:dyDescent="0.2">
      <c r="A11" s="497">
        <v>2</v>
      </c>
      <c r="B11" s="313"/>
      <c r="C11" s="314" t="str">
        <f>VLOOKUP(A11,Memória!A:S,3,FALSE)</f>
        <v>INSTALAÇÃO DE CANTEIRO. MOBILIZAÇÃO E DESMOBILIZAÇÃO</v>
      </c>
      <c r="D11" s="304"/>
      <c r="E11" s="315"/>
    </row>
    <row r="12" spans="1:5" s="300" customFormat="1" x14ac:dyDescent="0.2">
      <c r="A12" s="499" t="s">
        <v>124</v>
      </c>
      <c r="B12" s="317">
        <f>VLOOKUP(A12,Memória!A:S,2,FALSE)</f>
        <v>40077</v>
      </c>
      <c r="C12" s="318" t="str">
        <f>VLOOKUP(A12,Memória!A:S,3,FALSE)</f>
        <v>Roçada mecanizada</v>
      </c>
      <c r="D12" s="319" t="str">
        <f>VLOOKUP(A12,Memória!A:T,20,FALSE)</f>
        <v>M2</v>
      </c>
      <c r="E12" s="320">
        <f>VLOOKUP(A12,Memória!A:S,19,FALSE)</f>
        <v>1000</v>
      </c>
    </row>
    <row r="13" spans="1:5" s="300" customFormat="1" x14ac:dyDescent="0.2">
      <c r="A13" s="499" t="s">
        <v>125</v>
      </c>
      <c r="B13" s="317" t="str">
        <f>VLOOKUP(A13,Memória!A:S,2,FALSE)</f>
        <v>PR-004</v>
      </c>
      <c r="C13" s="318" t="str">
        <f>VLOOKUP(A13,Memória!A:S,3,FALSE)</f>
        <v>Brita 0, fornecimento e espalhamento</v>
      </c>
      <c r="D13" s="319" t="str">
        <f>VLOOKUP(A13,Memória!A:T,20,FALSE)</f>
        <v>M3</v>
      </c>
      <c r="E13" s="320">
        <f>VLOOKUP(A13,Memória!A:S,19,FALSE)</f>
        <v>70</v>
      </c>
    </row>
    <row r="14" spans="1:5" s="300" customFormat="1" ht="30" x14ac:dyDescent="0.2">
      <c r="A14" s="499" t="s">
        <v>224</v>
      </c>
      <c r="B14" s="317">
        <f>VLOOKUP(A14,Memória!A:S,2,FALSE)</f>
        <v>100882</v>
      </c>
      <c r="C14" s="318" t="str">
        <f>VLOOKUP(A14,Memória!A:S,3,FALSE)</f>
        <v>Tapume Telha Metálica Ondulada 0,50mm Branca h=2,20m, incl. montagem estr. mad. 8"x8", incl. faixas pint. esmalte sintético c/ h=40cm (Reaproveitamento 2x)</v>
      </c>
      <c r="D14" s="319" t="str">
        <f>VLOOKUP(A14,Memória!A:T,20,FALSE)</f>
        <v>M</v>
      </c>
      <c r="E14" s="320">
        <f>VLOOKUP(A14,Memória!A:S,19,FALSE)</f>
        <v>50</v>
      </c>
    </row>
    <row r="15" spans="1:5" s="300" customFormat="1" ht="30" x14ac:dyDescent="0.2">
      <c r="A15" s="499" t="s">
        <v>225</v>
      </c>
      <c r="B15" s="317">
        <f>VLOOKUP(A15,Memória!A:S,2,FALSE)</f>
        <v>40901</v>
      </c>
      <c r="C15" s="318" t="str">
        <f>VLOOKUP(A15,Memória!A:S,3,FALSE)</f>
        <v>Cerca de arame liso 4 fios com mourões cada 2,0 m, esticadores de madeira, a cada 20,0 m, inclusive transporte de mourão e arame liso</v>
      </c>
      <c r="D15" s="319" t="str">
        <f>VLOOKUP(A15,Memória!A:T,20,FALSE)</f>
        <v>M</v>
      </c>
      <c r="E15" s="320">
        <f>VLOOKUP(A15,Memória!A:S,19,FALSE)</f>
        <v>65</v>
      </c>
    </row>
    <row r="16" spans="1:5" s="300" customFormat="1" x14ac:dyDescent="0.2">
      <c r="A16" s="499" t="s">
        <v>226</v>
      </c>
      <c r="B16" s="317">
        <f>VLOOKUP(A16,Memória!A:S,2,FALSE)</f>
        <v>41500</v>
      </c>
      <c r="C16" s="318" t="str">
        <f>VLOOKUP(A16,Memória!A:S,3,FALSE)</f>
        <v>Placa de obra nas dimensões de 3,0 x 6,0 m, padrão DER-ES</v>
      </c>
      <c r="D16" s="319" t="str">
        <f>VLOOKUP(A16,Memória!A:T,20,FALSE)</f>
        <v>M2</v>
      </c>
      <c r="E16" s="320">
        <f>VLOOKUP(A16,Memória!A:S,19,FALSE)</f>
        <v>36</v>
      </c>
    </row>
    <row r="17" spans="1:5" s="300" customFormat="1" ht="30" x14ac:dyDescent="0.2">
      <c r="A17" s="499" t="s">
        <v>227</v>
      </c>
      <c r="B17" s="317">
        <f>VLOOKUP(A17,Memória!A:S,2,FALSE)</f>
        <v>41498</v>
      </c>
      <c r="C17" s="318" t="str">
        <f>VLOOKUP(A17,Memória!A:S,3,FALSE)</f>
        <v>Barracão com sanitário, em chapa compensada 12 mm e pont. 8x8cm, piso cimentado e cobertura em telha de fibroc. 6mm, incl. ponto de luz e cx. inspeção - (Guarita)</v>
      </c>
      <c r="D17" s="319" t="str">
        <f>VLOOKUP(A17,Memória!A:T,20,FALSE)</f>
        <v>M2</v>
      </c>
      <c r="E17" s="320">
        <f>VLOOKUP(A17,Memória!A:S,19,FALSE)</f>
        <v>6</v>
      </c>
    </row>
    <row r="18" spans="1:5" s="300" customFormat="1" ht="45" x14ac:dyDescent="0.2">
      <c r="A18" s="499" t="s">
        <v>228</v>
      </c>
      <c r="B18" s="317">
        <f>VLOOKUP(A18,Memória!A:S,2,FALSE)</f>
        <v>41498</v>
      </c>
      <c r="C18" s="318" t="str">
        <f>VLOOKUP(A18,Memória!A:S,3,FALSE)</f>
        <v>Barracão com sanitário, em chapa compensada 12 mm e pont. 8x8cm, piso cimentado e cobertura em telha de fibroc. 6mm, incl. ponto de luz e cx. inspeção - (Segurança do Trabalho)</v>
      </c>
      <c r="D18" s="319" t="str">
        <f>VLOOKUP(A18,Memória!A:T,20,FALSE)</f>
        <v>M2</v>
      </c>
      <c r="E18" s="320">
        <f>VLOOKUP(A18,Memória!A:S,19,FALSE)</f>
        <v>8</v>
      </c>
    </row>
    <row r="19" spans="1:5" s="300" customFormat="1" ht="30" x14ac:dyDescent="0.2">
      <c r="A19" s="499" t="s">
        <v>229</v>
      </c>
      <c r="B19" s="317">
        <f>VLOOKUP(A19,Memória!A:S,2,FALSE)</f>
        <v>41498</v>
      </c>
      <c r="C19" s="318" t="str">
        <f>VLOOKUP(A19,Memória!A:S,3,FALSE)</f>
        <v>Barracão com sanitário, em chapa compensada 12 mm e pont. 8x8cm, piso cimentado e cobertura em telha de fibroc. 6mm, incl. ponto de luz e cx. inspeção - (Administração)</v>
      </c>
      <c r="D19" s="319" t="str">
        <f>VLOOKUP(A19,Memória!A:T,20,FALSE)</f>
        <v>M2</v>
      </c>
      <c r="E19" s="320">
        <f>VLOOKUP(A19,Memória!A:S,19,FALSE)</f>
        <v>16</v>
      </c>
    </row>
    <row r="20" spans="1:5" s="300" customFormat="1" ht="30" x14ac:dyDescent="0.2">
      <c r="A20" s="499" t="s">
        <v>230</v>
      </c>
      <c r="B20" s="317">
        <f>VLOOKUP(A20,Memória!A:S,2,FALSE)</f>
        <v>41498</v>
      </c>
      <c r="C20" s="318" t="str">
        <f>VLOOKUP(A20,Memória!A:S,3,FALSE)</f>
        <v>Barracão com sanitário, em chapa compensada 12 mm e pont. 8x8cm, piso cimentado e cobertura em telha de fibroc. 6mm, incl. ponto de luz e cx. inspeção - (Almoxarifado)</v>
      </c>
      <c r="D20" s="536" t="str">
        <f>VLOOKUP(A20,Memória!A:T,20,FALSE)</f>
        <v>M2</v>
      </c>
      <c r="E20" s="320">
        <f>VLOOKUP(A20,Memória!A:S,19,FALSE)</f>
        <v>16</v>
      </c>
    </row>
    <row r="21" spans="1:5" s="300" customFormat="1" ht="30" x14ac:dyDescent="0.2">
      <c r="A21" s="499" t="s">
        <v>231</v>
      </c>
      <c r="B21" s="317">
        <f>VLOOKUP(A21,Memória!A:S,2,FALSE)</f>
        <v>41498</v>
      </c>
      <c r="C21" s="318" t="str">
        <f>VLOOKUP(A21,Memória!A:S,3,FALSE)</f>
        <v>Barracão com sanitário, em chapa compensada 12 mm e pont. 8x8cm, piso cimentado e cobertura em telha de fibroc. 6mm, incl. ponto de luz e cx. inspeção - (Sala Técnica)</v>
      </c>
      <c r="D21" s="319" t="str">
        <f>VLOOKUP(A21,Memória!A:T,20,FALSE)</f>
        <v>M2</v>
      </c>
      <c r="E21" s="320">
        <f>VLOOKUP(A21,Memória!A:S,19,FALSE)</f>
        <v>12</v>
      </c>
    </row>
    <row r="22" spans="1:5" s="300" customFormat="1" ht="30" x14ac:dyDescent="0.2">
      <c r="A22" s="499" t="s">
        <v>232</v>
      </c>
      <c r="B22" s="317">
        <f>VLOOKUP(A22,Memória!A:S,2,FALSE)</f>
        <v>41498</v>
      </c>
      <c r="C22" s="318" t="str">
        <f>VLOOKUP(A22,Memória!A:S,3,FALSE)</f>
        <v>Barracão com sanitário, em chapa compensada 12 mm e pont. 8x8cm, piso cimentado e cobertura em telha de fibroc. 6mm, incl. ponto de luz e cx. inspeção - (Laboratório)</v>
      </c>
      <c r="D22" s="319" t="str">
        <f>VLOOKUP(A22,Memória!A:T,20,FALSE)</f>
        <v>M2</v>
      </c>
      <c r="E22" s="320">
        <f>VLOOKUP(A22,Memória!A:S,19,FALSE)</f>
        <v>12</v>
      </c>
    </row>
    <row r="23" spans="1:5" s="300" customFormat="1" ht="30" x14ac:dyDescent="0.2">
      <c r="A23" s="499" t="s">
        <v>233</v>
      </c>
      <c r="B23" s="317">
        <f>VLOOKUP(A23,Memória!A:S,2,FALSE)</f>
        <v>41530</v>
      </c>
      <c r="C23" s="318" t="str">
        <f>VLOOKUP(A23,Memória!A:S,3,FALSE)</f>
        <v>Refeitório c/ paredes chapa de comp. 12mm e pont. 8x8cm, piso ciment. e cob. telhas fibroc. 6mm, incl. ponto de luz e cx. de insp. (1,21m²/func/turno)</v>
      </c>
      <c r="D23" s="319" t="str">
        <f>VLOOKUP(A23,Memória!A:T,20,FALSE)</f>
        <v>M2</v>
      </c>
      <c r="E23" s="320">
        <f>VLOOKUP(A23,Memória!A:S,19,FALSE)</f>
        <v>16</v>
      </c>
    </row>
    <row r="24" spans="1:5" s="300" customFormat="1" ht="30" x14ac:dyDescent="0.2">
      <c r="A24" s="499" t="s">
        <v>234</v>
      </c>
      <c r="B24" s="317">
        <f>VLOOKUP(A24,Memória!A:S,2,FALSE)</f>
        <v>41501</v>
      </c>
      <c r="C24" s="318" t="str">
        <f>VLOOKUP(A24,Memória!A:S,3,FALSE)</f>
        <v>Rede de água c/ padrão de entrada d'água diâm. 3/4" conf. CESAN, incl. tubos e conexões p/ aliment., distrib., extravas. e limp., cons. o padrão a 25m</v>
      </c>
      <c r="D24" s="319" t="str">
        <f>VLOOKUP(A24,Memória!A:T,20,FALSE)</f>
        <v>M</v>
      </c>
      <c r="E24" s="320">
        <f>VLOOKUP(A24,Memória!A:S,19,FALSE)</f>
        <v>100</v>
      </c>
    </row>
    <row r="25" spans="1:5" s="300" customFormat="1" ht="30" x14ac:dyDescent="0.2">
      <c r="A25" s="499" t="s">
        <v>235</v>
      </c>
      <c r="B25" s="317">
        <f>VLOOKUP(A25,Memória!A:S,2,FALSE)</f>
        <v>41499</v>
      </c>
      <c r="C25" s="318" t="str">
        <f>VLOOKUP(A25,Memória!A:S,3,FALSE)</f>
        <v>Rede de esgoto, contendo fossa e filtro, incl. tubos e conexões de ligação entre caixas, considerando distância de 25m</v>
      </c>
      <c r="D25" s="319" t="str">
        <f>VLOOKUP(A25,Memória!A:T,20,FALSE)</f>
        <v>M</v>
      </c>
      <c r="E25" s="320">
        <f>VLOOKUP(A25,Memória!A:S,19,FALSE)</f>
        <v>30</v>
      </c>
    </row>
    <row r="26" spans="1:5" s="300" customFormat="1" ht="30" x14ac:dyDescent="0.2">
      <c r="A26" s="499" t="s">
        <v>236</v>
      </c>
      <c r="B26" s="317">
        <f>VLOOKUP(A26,Memória!A:S,2,FALSE)</f>
        <v>41503</v>
      </c>
      <c r="C26" s="318" t="str">
        <f>VLOOKUP(A26,Memória!A:S,3,FALSE)</f>
        <v>Rede de luz, incl. padrão entr. energia trifás. cabo ligação até barracões, quadro distrib., disj. e chave de força, cons. 20m entre padrão entr.e QDG</v>
      </c>
      <c r="D26" s="536" t="str">
        <f>VLOOKUP(A26,Memória!A:T,20,FALSE)</f>
        <v>M</v>
      </c>
      <c r="E26" s="320">
        <f>VLOOKUP(A26,Memória!A:S,19,FALSE)</f>
        <v>40</v>
      </c>
    </row>
    <row r="27" spans="1:5" s="300" customFormat="1" ht="30" x14ac:dyDescent="0.2">
      <c r="A27" s="499" t="s">
        <v>237</v>
      </c>
      <c r="B27" s="317">
        <f>VLOOKUP(A27,Memória!A:S,2,FALSE)</f>
        <v>41527</v>
      </c>
      <c r="C27" s="318" t="str">
        <f>VLOOKUP(A27,Memória!A:S,3,FALSE)</f>
        <v>Reservatório de fibra de vidro de 1000 L, incl. suporte em madeira de 7x12cm, elevado de 4m</v>
      </c>
      <c r="D27" s="319" t="str">
        <f>VLOOKUP(A27,Memória!A:T,20,FALSE)</f>
        <v>Ud</v>
      </c>
      <c r="E27" s="320">
        <f>VLOOKUP(A27,Memória!A:S,19,FALSE)</f>
        <v>1</v>
      </c>
    </row>
    <row r="28" spans="1:5" s="300" customFormat="1" ht="30" x14ac:dyDescent="0.2">
      <c r="A28" s="499" t="s">
        <v>238</v>
      </c>
      <c r="B28" s="317">
        <f>VLOOKUP(A28,Memória!A:S,2,FALSE)</f>
        <v>41528</v>
      </c>
      <c r="C28" s="318" t="str">
        <f>VLOOKUP(A28,Memória!A:S,3,FALSE)</f>
        <v>Galpão em peças de madeira 8x8cm e contravent. de 5x7cm, cobertura de telhas de fibroc. de 6mm, incl. ponto e cabo de alimentação da máquina - (Oficina Mecânica)</v>
      </c>
      <c r="D28" s="536" t="str">
        <f>VLOOKUP(A28,Memória!A:T,20,FALSE)</f>
        <v>M2</v>
      </c>
      <c r="E28" s="320">
        <f>VLOOKUP(A28,Memória!A:S,19,FALSE)</f>
        <v>40</v>
      </c>
    </row>
    <row r="29" spans="1:5" s="300" customFormat="1" x14ac:dyDescent="0.2">
      <c r="A29" s="499" t="s">
        <v>239</v>
      </c>
      <c r="B29" s="317">
        <f>VLOOKUP(A29,Memória!A:S,2,FALSE)</f>
        <v>40911</v>
      </c>
      <c r="C29" s="318" t="str">
        <f>VLOOKUP(A29,Memória!A:S,3,FALSE)</f>
        <v>Calçada de concreto</v>
      </c>
      <c r="D29" s="319" t="str">
        <f>VLOOKUP(A29,Memória!A:T,20,FALSE)</f>
        <v>M2</v>
      </c>
      <c r="E29" s="320">
        <f>VLOOKUP(A29,Memória!A:S,19,FALSE)</f>
        <v>50</v>
      </c>
    </row>
    <row r="30" spans="1:5" s="300" customFormat="1" x14ac:dyDescent="0.2">
      <c r="A30" s="499" t="s">
        <v>240</v>
      </c>
      <c r="B30" s="317">
        <f>VLOOKUP(A30,Memória!A:S,2,FALSE)</f>
        <v>41555</v>
      </c>
      <c r="C30" s="318" t="str">
        <f>VLOOKUP(A30,Memória!A:S,3,FALSE)</f>
        <v>Sistema separador de água e óleo</v>
      </c>
      <c r="D30" s="319" t="str">
        <f>VLOOKUP(A30,Memória!A:T,20,FALSE)</f>
        <v>Ud</v>
      </c>
      <c r="E30" s="320">
        <f>VLOOKUP(A30,Memória!A:S,19,FALSE)</f>
        <v>1</v>
      </c>
    </row>
    <row r="31" spans="1:5" s="300" customFormat="1" x14ac:dyDescent="0.2">
      <c r="A31" s="499" t="s">
        <v>241</v>
      </c>
      <c r="B31" s="317">
        <f>VLOOKUP(A31,Memória!A:S,2,FALSE)</f>
        <v>41557</v>
      </c>
      <c r="C31" s="318" t="str">
        <f>VLOOKUP(A31,Memória!A:S,3,FALSE)</f>
        <v>Canaleta de concreto retangular com grelha em barra de aço</v>
      </c>
      <c r="D31" s="319" t="str">
        <f>VLOOKUP(A31,Memória!A:T,20,FALSE)</f>
        <v>M</v>
      </c>
      <c r="E31" s="320">
        <f>VLOOKUP(A31,Memória!A:S,19,FALSE)</f>
        <v>10</v>
      </c>
    </row>
    <row r="32" spans="1:5" s="300" customFormat="1" x14ac:dyDescent="0.2">
      <c r="A32" s="499"/>
      <c r="B32" s="317"/>
      <c r="C32" s="764" t="s">
        <v>454</v>
      </c>
      <c r="D32" s="319"/>
      <c r="E32" s="320"/>
    </row>
    <row r="33" spans="1:8" s="300" customFormat="1" x14ac:dyDescent="0.2">
      <c r="A33" s="499" t="s">
        <v>242</v>
      </c>
      <c r="B33" s="317">
        <f>VLOOKUP(A33,Memória!A:S,2,FALSE)</f>
        <v>40360</v>
      </c>
      <c r="C33" s="318" t="str">
        <f>VLOOKUP(A33,Memória!A:S,3,FALSE)</f>
        <v>Concreto estrutural fck = 20,0 MPa, tudo incluído</v>
      </c>
      <c r="D33" s="319" t="str">
        <f>VLOOKUP(A33,Memória!A:T,20,FALSE)</f>
        <v>M3</v>
      </c>
      <c r="E33" s="320">
        <f>VLOOKUP(A33,Memória!A:S,19,FALSE)</f>
        <v>20</v>
      </c>
    </row>
    <row r="34" spans="1:8" s="300" customFormat="1" ht="30" x14ac:dyDescent="0.2">
      <c r="A34" s="499" t="s">
        <v>243</v>
      </c>
      <c r="B34" s="317">
        <f>VLOOKUP(A34,Memória!A:S,2,FALSE)</f>
        <v>40313</v>
      </c>
      <c r="C34" s="318" t="str">
        <f>VLOOKUP(A34,Memória!A:S,3,FALSE)</f>
        <v>Formas planas de madeira com 04 (quatro) reaproveitamentos, inclusive fornecimento e transporte das madeiras</v>
      </c>
      <c r="D34" s="319" t="str">
        <f>VLOOKUP(A34,Memória!A:T,20,FALSE)</f>
        <v>M2</v>
      </c>
      <c r="E34" s="320">
        <f>VLOOKUP(A34,Memória!A:S,19,FALSE)</f>
        <v>107.28</v>
      </c>
    </row>
    <row r="35" spans="1:8" s="300" customFormat="1" x14ac:dyDescent="0.2">
      <c r="A35" s="499" t="s">
        <v>244</v>
      </c>
      <c r="B35" s="317">
        <f>VLOOKUP(A35,Memória!A:S,2,FALSE)</f>
        <v>40376</v>
      </c>
      <c r="C35" s="318" t="str">
        <f>VLOOKUP(A35,Memória!A:S,3,FALSE)</f>
        <v>Aço CA-50, fornecimento, dobragem e colocação nas formas (preço médio das bitolas)</v>
      </c>
      <c r="D35" s="319" t="str">
        <f>VLOOKUP(A35,Memória!A:T,20,FALSE)</f>
        <v>kg</v>
      </c>
      <c r="E35" s="320">
        <f>VLOOKUP(A35,Memória!A:S,19,FALSE)</f>
        <v>2700</v>
      </c>
    </row>
    <row r="36" spans="1:8" s="300" customFormat="1" x14ac:dyDescent="0.2">
      <c r="A36" s="499"/>
      <c r="B36" s="317"/>
      <c r="C36" s="764" t="s">
        <v>455</v>
      </c>
      <c r="D36" s="536"/>
      <c r="E36" s="320"/>
    </row>
    <row r="37" spans="1:8" s="300" customFormat="1" x14ac:dyDescent="0.2">
      <c r="A37" s="499" t="s">
        <v>245</v>
      </c>
      <c r="B37" s="317">
        <f>VLOOKUP(A37,Memória!A:S,2,FALSE)</f>
        <v>41544</v>
      </c>
      <c r="C37" s="318" t="str">
        <f>VLOOKUP(A37,Memória!A:S,3,FALSE)</f>
        <v>Mobilização e desmobilização de equipamentos com carreta prancha (máximo)</v>
      </c>
      <c r="D37" s="536" t="str">
        <f>VLOOKUP(A37,Memória!A:T,20,FALSE)</f>
        <v>h</v>
      </c>
      <c r="E37" s="320">
        <f>VLOOKUP(A37,Memória!A:S,19,FALSE)</f>
        <v>100</v>
      </c>
    </row>
    <row r="38" spans="1:8" s="300" customFormat="1" x14ac:dyDescent="0.2">
      <c r="A38" s="499" t="s">
        <v>309</v>
      </c>
      <c r="B38" s="317">
        <f>VLOOKUP(A38,Memória!A:S,2,FALSE)</f>
        <v>41545</v>
      </c>
      <c r="C38" s="318" t="str">
        <f>VLOOKUP(A38,Memória!A:S,3,FALSE)</f>
        <v>Mobilização e desmobilização de caminhão carroceria (máximo)</v>
      </c>
      <c r="D38" s="319" t="str">
        <f>VLOOKUP(A38,Memória!A:T,20,FALSE)</f>
        <v>h</v>
      </c>
      <c r="E38" s="320">
        <f>VLOOKUP(A38,Memória!A:S,19,FALSE)</f>
        <v>16</v>
      </c>
    </row>
    <row r="39" spans="1:8" s="300" customFormat="1" x14ac:dyDescent="0.2">
      <c r="A39" s="499" t="s">
        <v>452</v>
      </c>
      <c r="B39" s="317">
        <f>VLOOKUP(A39,Memória!A:S,2,FALSE)</f>
        <v>41546</v>
      </c>
      <c r="C39" s="318" t="str">
        <f>VLOOKUP(A39,Memória!A:S,3,FALSE)</f>
        <v>Mobilização e desmobilização de caminhão basculante (máximo)</v>
      </c>
      <c r="D39" s="319" t="str">
        <f>VLOOKUP(A39,Memória!A:T,20,FALSE)</f>
        <v>h</v>
      </c>
      <c r="E39" s="320">
        <f>VLOOKUP(A39,Memória!A:S,19,FALSE)</f>
        <v>30</v>
      </c>
    </row>
    <row r="40" spans="1:8" s="300" customFormat="1" x14ac:dyDescent="0.2">
      <c r="A40" s="499" t="s">
        <v>453</v>
      </c>
      <c r="B40" s="317">
        <f>VLOOKUP(A40,Memória!A:S,2,FALSE)</f>
        <v>41547</v>
      </c>
      <c r="C40" s="318" t="str">
        <f>VLOOKUP(A40,Memória!A:S,3,FALSE)</f>
        <v>Mobilização e desmobilização de caminhão tanque (6.000 L) (máximo)</v>
      </c>
      <c r="D40" s="319" t="str">
        <f>VLOOKUP(A40,Memória!A:T,20,FALSE)</f>
        <v>h</v>
      </c>
      <c r="E40" s="762">
        <f>VLOOKUP(A40,Memória!A:S,19,FALSE)</f>
        <v>16</v>
      </c>
    </row>
    <row r="41" spans="1:8" s="300" customFormat="1" x14ac:dyDescent="0.2">
      <c r="A41" s="497">
        <v>3</v>
      </c>
      <c r="B41" s="313"/>
      <c r="C41" s="314" t="str">
        <f>VLOOKUP(A41,Memória!A:S,3,FALSE)</f>
        <v>TERRAPLENAGEM</v>
      </c>
      <c r="D41" s="537"/>
      <c r="E41" s="761"/>
    </row>
    <row r="42" spans="1:8" s="300" customFormat="1" ht="30" x14ac:dyDescent="0.2">
      <c r="A42" s="500" t="s">
        <v>246</v>
      </c>
      <c r="B42" s="317">
        <f>VLOOKUP(A42,Memória!A:S,2,FALSE)</f>
        <v>40167</v>
      </c>
      <c r="C42" s="318" t="str">
        <f>VLOOKUP(A42,Memória!A:S,3,FALSE)</f>
        <v>Limpeza, desmatamento e destocamento de árvores com diâmetro até 15 cm, com trator de esteira</v>
      </c>
      <c r="D42" s="319" t="str">
        <f>VLOOKUP(A42,Memória!A:T,20,FALSE)</f>
        <v>M2</v>
      </c>
      <c r="E42" s="320">
        <f>VLOOKUP(A42,Memória!A:S,19,FALSE)</f>
        <v>133518.18</v>
      </c>
    </row>
    <row r="43" spans="1:8" s="299" customFormat="1" x14ac:dyDescent="0.2">
      <c r="A43" s="500" t="s">
        <v>247</v>
      </c>
      <c r="B43" s="317">
        <f>VLOOKUP(A43,Memória!A:S,2,FALSE)</f>
        <v>40221</v>
      </c>
      <c r="C43" s="318" t="str">
        <f>VLOOKUP(A43,Memória!A:S,3,FALSE)</f>
        <v>Escavação e carga de material de 1ª categoria, com trator de esteira e pá carregadeira</v>
      </c>
      <c r="D43" s="319" t="str">
        <f>VLOOKUP(A43,Memória!A:T,20,FALSE)</f>
        <v>M3</v>
      </c>
      <c r="E43" s="320">
        <f>VLOOKUP(A43,Memória!A:S,19,FALSE)</f>
        <v>7810</v>
      </c>
    </row>
    <row r="44" spans="1:8" s="300" customFormat="1" x14ac:dyDescent="0.2">
      <c r="A44" s="500" t="s">
        <v>248</v>
      </c>
      <c r="B44" s="317">
        <f>VLOOKUP(A44,Memória!A:S,2,FALSE)</f>
        <v>40230</v>
      </c>
      <c r="C44" s="318" t="str">
        <f>VLOOKUP(A44,Memória!A:S,3,FALSE)</f>
        <v>Escavação e carga de material de 1ª categoria com escavadeira</v>
      </c>
      <c r="D44" s="319" t="str">
        <f>VLOOKUP(A44,Memória!A:T,20,FALSE)</f>
        <v>M3</v>
      </c>
      <c r="E44" s="320">
        <f>VLOOKUP(A44,Memória!A:S,19,FALSE)</f>
        <v>6719</v>
      </c>
      <c r="F44" s="394"/>
      <c r="G44" s="299"/>
      <c r="H44" s="299"/>
    </row>
    <row r="45" spans="1:8" s="300" customFormat="1" ht="30" x14ac:dyDescent="0.2">
      <c r="A45" s="500" t="s">
        <v>249</v>
      </c>
      <c r="B45" s="317">
        <f>VLOOKUP(A45,Memória!A:S,2,FALSE)</f>
        <v>60019</v>
      </c>
      <c r="C45" s="318" t="str">
        <f>VLOOKUP(A45,Memória!A:S,3,FALSE)</f>
        <v>LOCAL COM DMT ATÉ 3,0 KM (Caminhão basculante)1,144XP+1,265XR+2,007 (Incluindo BDI= 23,32%) -  XP=0,00 / XR=0,09</v>
      </c>
      <c r="D45" s="319" t="str">
        <f>VLOOKUP(A45,Memória!A:T,20,FALSE)</f>
        <v>T</v>
      </c>
      <c r="E45" s="320">
        <f>VLOOKUP(A45,Memória!A:S,19,FALSE)</f>
        <v>11442.3</v>
      </c>
      <c r="F45" s="394"/>
      <c r="G45" s="299"/>
      <c r="H45" s="299"/>
    </row>
    <row r="46" spans="1:8" s="300" customFormat="1" x14ac:dyDescent="0.2">
      <c r="A46" s="500" t="s">
        <v>250</v>
      </c>
      <c r="B46" s="317">
        <f>VLOOKUP(A46,Memória!A:S,2,FALSE)</f>
        <v>40230</v>
      </c>
      <c r="C46" s="318" t="str">
        <f>VLOOKUP(A46,Memória!A:S,3,FALSE)</f>
        <v>Escavação e carga de material de 1ª categoria com escavadeira</v>
      </c>
      <c r="D46" s="319" t="str">
        <f>VLOOKUP(A46,Memória!A:T,20,FALSE)</f>
        <v>M3</v>
      </c>
      <c r="E46" s="320">
        <f>VLOOKUP(A46,Memória!A:S,19,FALSE)</f>
        <v>7418</v>
      </c>
      <c r="F46" s="394"/>
      <c r="G46" s="299"/>
      <c r="H46" s="299"/>
    </row>
    <row r="47" spans="1:8" s="300" customFormat="1" ht="30" x14ac:dyDescent="0.2">
      <c r="A47" s="500" t="s">
        <v>251</v>
      </c>
      <c r="B47" s="317">
        <f>VLOOKUP(A47,Memória!A:S,2,FALSE)</f>
        <v>60019</v>
      </c>
      <c r="C47" s="318" t="str">
        <f>VLOOKUP(A47,Memória!A:S,3,FALSE)</f>
        <v xml:space="preserve">LOCAL COM DMT ATÉ 3,0 KM (Caminhão basculante)1,144XP+1,265XR+2,007 (Incluindo BDI= 23,32%) -  XP=0,00 / XR=0,14 </v>
      </c>
      <c r="D47" s="319" t="str">
        <f>VLOOKUP(A47,Memória!A:T,20,FALSE)</f>
        <v>T</v>
      </c>
      <c r="E47" s="320">
        <f>VLOOKUP(A47,Memória!A:S,19,FALSE)</f>
        <v>12610.6</v>
      </c>
      <c r="F47" s="394"/>
      <c r="G47" s="299"/>
      <c r="H47" s="299"/>
    </row>
    <row r="48" spans="1:8" s="301" customFormat="1" x14ac:dyDescent="0.2">
      <c r="A48" s="500" t="s">
        <v>252</v>
      </c>
      <c r="B48" s="317">
        <f>VLOOKUP(A48,Memória!A:S,2,FALSE)</f>
        <v>40230</v>
      </c>
      <c r="C48" s="318" t="str">
        <f>VLOOKUP(A48,Memória!A:S,3,FALSE)</f>
        <v>Escavação e carga de material de 1ª categoria com escavadeira</v>
      </c>
      <c r="D48" s="319" t="str">
        <f>VLOOKUP(A48,Memória!A:T,20,FALSE)</f>
        <v>M3</v>
      </c>
      <c r="E48" s="320">
        <f>VLOOKUP(A48,Memória!A:S,19,FALSE)</f>
        <v>27622</v>
      </c>
      <c r="F48" s="394"/>
      <c r="G48" s="299"/>
      <c r="H48" s="299"/>
    </row>
    <row r="49" spans="1:6" s="300" customFormat="1" ht="30" x14ac:dyDescent="0.2">
      <c r="A49" s="500" t="s">
        <v>366</v>
      </c>
      <c r="B49" s="317">
        <f>VLOOKUP(A49,Memória!A:S,2,FALSE)</f>
        <v>60019</v>
      </c>
      <c r="C49" s="318" t="str">
        <f>VLOOKUP(A49,Memória!A:S,3,FALSE)</f>
        <v xml:space="preserve">LOCAL COM DMT ATÉ 3,0 KM (Caminhão basculante)1,144XP+1,265XR+2,007 (Incluindo BDI= 23,32%) -  XP=0,00 / XR=0,28 </v>
      </c>
      <c r="D49" s="319" t="str">
        <f>VLOOKUP(A49,Memória!A:T,20,FALSE)</f>
        <v>T</v>
      </c>
      <c r="E49" s="320">
        <f>VLOOKUP(A49,Memória!A:S,19,FALSE)</f>
        <v>46957.4</v>
      </c>
      <c r="F49" s="394"/>
    </row>
    <row r="50" spans="1:6" s="300" customFormat="1" x14ac:dyDescent="0.2">
      <c r="A50" s="500" t="s">
        <v>370</v>
      </c>
      <c r="B50" s="317">
        <f>VLOOKUP(A50,Memória!A:S,2,FALSE)</f>
        <v>40230</v>
      </c>
      <c r="C50" s="318" t="str">
        <f>VLOOKUP(A50,Memória!A:S,3,FALSE)</f>
        <v xml:space="preserve">Escavação e carga de material de 1ª categoria com escavadeira </v>
      </c>
      <c r="D50" s="319" t="str">
        <f>VLOOKUP(A50,Memória!A:T,20,FALSE)</f>
        <v>M3</v>
      </c>
      <c r="E50" s="320">
        <f>VLOOKUP(A50,Memória!A:S,19,FALSE)</f>
        <v>11484</v>
      </c>
      <c r="F50" s="394"/>
    </row>
    <row r="51" spans="1:6" s="300" customFormat="1" ht="30" x14ac:dyDescent="0.2">
      <c r="A51" s="500" t="s">
        <v>371</v>
      </c>
      <c r="B51" s="317">
        <f>VLOOKUP(A51,Memória!A:S,2,FALSE)</f>
        <v>60019</v>
      </c>
      <c r="C51" s="318" t="str">
        <f>VLOOKUP(A51,Memória!A:S,3,FALSE)</f>
        <v xml:space="preserve">LOCAL COM DMT ATÉ 3,0 KM (Caminhão basculante)1,144XP+1,265XR+2,007 (Incluindo BDI= 23,32%) -  XP=0,00 / XR=0,45 </v>
      </c>
      <c r="D51" s="319" t="str">
        <f>VLOOKUP(A51,Memória!A:T,20,FALSE)</f>
        <v>T</v>
      </c>
      <c r="E51" s="320">
        <f>VLOOKUP(A51,Memória!A:S,19,FALSE)</f>
        <v>19522.8</v>
      </c>
      <c r="F51" s="394"/>
    </row>
    <row r="52" spans="1:6" s="300" customFormat="1" x14ac:dyDescent="0.2">
      <c r="A52" s="500" t="s">
        <v>456</v>
      </c>
      <c r="B52" s="317">
        <f>VLOOKUP(A52,Memória!A:S,2,FALSE)</f>
        <v>40230</v>
      </c>
      <c r="C52" s="318" t="str">
        <f>VLOOKUP(A52,Memória!A:S,3,FALSE)</f>
        <v>Escavação e carga de material de 1ª categoria com escavadeira</v>
      </c>
      <c r="D52" s="319" t="str">
        <f>VLOOKUP(A52,Memória!A:T,20,FALSE)</f>
        <v>M3</v>
      </c>
      <c r="E52" s="320">
        <f>VLOOKUP(A52,Memória!A:S,19,FALSE)</f>
        <v>19149</v>
      </c>
      <c r="F52" s="394"/>
    </row>
    <row r="53" spans="1:6" s="300" customFormat="1" ht="30" x14ac:dyDescent="0.2">
      <c r="A53" s="500" t="s">
        <v>457</v>
      </c>
      <c r="B53" s="317">
        <f>VLOOKUP(A53,Memória!A:S,2,FALSE)</f>
        <v>60019</v>
      </c>
      <c r="C53" s="318" t="str">
        <f>VLOOKUP(A53,Memória!A:S,3,FALSE)</f>
        <v xml:space="preserve">LOCAL COM DMT ATÉ 3,0 KM (Caminhão basculante)1,144XP+1,265XR+2,007 (Incluindo BDI= 23,32%) -  XP=0,00 / XR=0,78 </v>
      </c>
      <c r="D53" s="319" t="str">
        <f>VLOOKUP(A53,Memória!A:T,20,FALSE)</f>
        <v>T</v>
      </c>
      <c r="E53" s="320">
        <f>VLOOKUP(A53,Memória!A:S,19,FALSE)</f>
        <v>32553.3</v>
      </c>
      <c r="F53" s="394"/>
    </row>
    <row r="54" spans="1:6" s="300" customFormat="1" x14ac:dyDescent="0.2">
      <c r="A54" s="500" t="s">
        <v>458</v>
      </c>
      <c r="B54" s="538">
        <f>VLOOKUP(A54,Memória!A:S,2,FALSE)</f>
        <v>40230</v>
      </c>
      <c r="C54" s="318" t="str">
        <f>VLOOKUP(A54,Memória!A:S,3,FALSE)</f>
        <v xml:space="preserve">Escavação e carga de material de 1ª categoria com escavadeira </v>
      </c>
      <c r="D54" s="536" t="str">
        <f>VLOOKUP(A54,Memória!A:T,20,FALSE)</f>
        <v>M3</v>
      </c>
      <c r="E54" s="320">
        <f>VLOOKUP(A54,Memória!A:S,19,FALSE)</f>
        <v>35540</v>
      </c>
      <c r="F54" s="394"/>
    </row>
    <row r="55" spans="1:6" s="300" customFormat="1" ht="30" x14ac:dyDescent="0.2">
      <c r="A55" s="500" t="s">
        <v>459</v>
      </c>
      <c r="B55" s="538">
        <f>VLOOKUP(A55,Memória!A:S,2,FALSE)</f>
        <v>60019</v>
      </c>
      <c r="C55" s="318" t="str">
        <f>VLOOKUP(A55,Memória!A:S,3,FALSE)</f>
        <v xml:space="preserve">LOCAL COM DMT ATÉ 3,0 KM (Caminhão basculante)1,144XP+1,265XR+2,007 (Incluindo BDI= 23,32%) -  XP=0,00 / XR=0,001 </v>
      </c>
      <c r="D55" s="536" t="str">
        <f>VLOOKUP(A55,Memória!A:T,20,FALSE)</f>
        <v>T</v>
      </c>
      <c r="E55" s="320">
        <f>VLOOKUP(A55,Memória!A:S,19,FALSE)</f>
        <v>60418</v>
      </c>
      <c r="F55" s="394"/>
    </row>
    <row r="56" spans="1:6" s="300" customFormat="1" x14ac:dyDescent="0.2">
      <c r="A56" s="500" t="s">
        <v>460</v>
      </c>
      <c r="B56" s="538">
        <f>VLOOKUP(A56,Memória!A:S,2,FALSE)</f>
        <v>40230</v>
      </c>
      <c r="C56" s="318" t="str">
        <f>VLOOKUP(A56,Memória!A:S,3,FALSE)</f>
        <v>Escavação e carga de material de 1ª categoria com escavadeira</v>
      </c>
      <c r="D56" s="536" t="str">
        <f>VLOOKUP(A56,Memória!A:T,20,FALSE)</f>
        <v>M3</v>
      </c>
      <c r="E56" s="320">
        <f>VLOOKUP(A56,Memória!A:S,19,FALSE)</f>
        <v>7234</v>
      </c>
      <c r="F56" s="394"/>
    </row>
    <row r="57" spans="1:6" s="300" customFormat="1" ht="30" x14ac:dyDescent="0.2">
      <c r="A57" s="500" t="s">
        <v>461</v>
      </c>
      <c r="B57" s="538">
        <f>VLOOKUP(A57,Memória!A:S,2,FALSE)</f>
        <v>60019</v>
      </c>
      <c r="C57" s="318" t="str">
        <f>VLOOKUP(A57,Memória!A:S,3,FALSE)</f>
        <v xml:space="preserve">LOCAL COM DMT ATÉ 3,0 KM (Caminhão basculante)1,144XP+1,265XR+2,007 (Incluindo BDI= 23,32%) -  XP=0,000 / XR=2,720 </v>
      </c>
      <c r="D57" s="536" t="str">
        <f>VLOOKUP(A57,Memória!A:T,20,FALSE)</f>
        <v>T</v>
      </c>
      <c r="E57" s="320">
        <f>VLOOKUP(A57,Memória!A:S,19,FALSE)</f>
        <v>12297.8</v>
      </c>
      <c r="F57" s="394"/>
    </row>
    <row r="58" spans="1:6" s="300" customFormat="1" x14ac:dyDescent="0.2">
      <c r="A58" s="500" t="s">
        <v>462</v>
      </c>
      <c r="B58" s="538">
        <f>VLOOKUP(A58,Memória!A:S,2,FALSE)</f>
        <v>40230</v>
      </c>
      <c r="C58" s="318" t="str">
        <f>VLOOKUP(A58,Memória!A:S,3,FALSE)</f>
        <v xml:space="preserve">Escavação e carga de material de 1ª categoria com escavadeira </v>
      </c>
      <c r="D58" s="536" t="str">
        <f>VLOOKUP(A58,Memória!A:T,20,FALSE)</f>
        <v>M3</v>
      </c>
      <c r="E58" s="320">
        <f>VLOOKUP(A58,Memória!A:S,19,FALSE)</f>
        <v>5968</v>
      </c>
      <c r="F58" s="394"/>
    </row>
    <row r="59" spans="1:6" s="300" customFormat="1" ht="30" x14ac:dyDescent="0.2">
      <c r="A59" s="500" t="s">
        <v>463</v>
      </c>
      <c r="B59" s="538">
        <f>VLOOKUP(A59,Memória!A:S,2,FALSE)</f>
        <v>60019</v>
      </c>
      <c r="C59" s="318" t="str">
        <f>VLOOKUP(A59,Memória!A:S,3,FALSE)</f>
        <v xml:space="preserve">LOCAL COM DMT ATÉ 3,0 KM (Caminhão basculante)1,144XP+1,265XR+2,007 (Incluindo BDI= 23,32%) -  XP=0,00 / XR=3,88 </v>
      </c>
      <c r="D59" s="536" t="str">
        <f>VLOOKUP(A59,Memória!A:T,20,FALSE)</f>
        <v>T</v>
      </c>
      <c r="E59" s="320">
        <f>VLOOKUP(A59,Memória!A:S,19,FALSE)</f>
        <v>10145.6</v>
      </c>
      <c r="F59" s="394"/>
    </row>
    <row r="60" spans="1:6" s="300" customFormat="1" x14ac:dyDescent="0.2">
      <c r="A60" s="500" t="s">
        <v>464</v>
      </c>
      <c r="B60" s="538">
        <f>VLOOKUP(A60,Memória!A:S,2,FALSE)</f>
        <v>40230</v>
      </c>
      <c r="C60" s="318" t="str">
        <f>VLOOKUP(A60,Memória!A:S,3,FALSE)</f>
        <v>Escavação e carga de material de 1ª categoria com escavadeira</v>
      </c>
      <c r="D60" s="536" t="str">
        <f>VLOOKUP(A60,Memória!A:T,20,FALSE)</f>
        <v>M3</v>
      </c>
      <c r="E60" s="320">
        <f>VLOOKUP(A60,Memória!A:S,19,FALSE)</f>
        <v>15595</v>
      </c>
      <c r="F60" s="394"/>
    </row>
    <row r="61" spans="1:6" s="300" customFormat="1" ht="31.15" customHeight="1" x14ac:dyDescent="0.2">
      <c r="A61" s="500" t="s">
        <v>465</v>
      </c>
      <c r="B61" s="538">
        <f>VLOOKUP(A61,Memória!A:S,2,FALSE)</f>
        <v>60024</v>
      </c>
      <c r="C61" s="318" t="str">
        <f>VLOOKUP(A61,Memória!A:S,3,FALSE)</f>
        <v xml:space="preserve">Transporte de materiais para DMT acima de 15 KM (Caminhão basculante)0,304XP+0,323XR+11,678 (Incluindo BDI= 23,32%) -  XP=17,600 / XR=1,300 </v>
      </c>
      <c r="D61" s="536" t="str">
        <f>VLOOKUP(A61,Memória!A:T,20,FALSE)</f>
        <v>T</v>
      </c>
      <c r="E61" s="320">
        <f>VLOOKUP(A61,Memória!A:S,19,FALSE)</f>
        <v>26511.5</v>
      </c>
      <c r="F61" s="394"/>
    </row>
    <row r="62" spans="1:6" s="300" customFormat="1" ht="30" x14ac:dyDescent="0.2">
      <c r="A62" s="500" t="s">
        <v>466</v>
      </c>
      <c r="B62" s="538">
        <f>VLOOKUP(A62,Memória!A:S,2,FALSE)</f>
        <v>42547</v>
      </c>
      <c r="C62" s="318" t="str">
        <f>VLOOKUP(A62,Memória!A:S,3,FALSE)</f>
        <v>Espalhamento de material de 1ª categoria com motoniveladora - (Material de 1ª cat. - Bota-fora)</v>
      </c>
      <c r="D62" s="536" t="str">
        <f>VLOOKUP(A62,Memória!A:T,20,FALSE)</f>
        <v>M3</v>
      </c>
      <c r="E62" s="320">
        <f>VLOOKUP(A62,Memória!A:S,19,FALSE)</f>
        <v>15595</v>
      </c>
      <c r="F62" s="394"/>
    </row>
    <row r="63" spans="1:6" s="300" customFormat="1" x14ac:dyDescent="0.2">
      <c r="A63" s="500" t="s">
        <v>467</v>
      </c>
      <c r="B63" s="538">
        <f>VLOOKUP(A63,Memória!A:S,2,FALSE)</f>
        <v>43340</v>
      </c>
      <c r="C63" s="318" t="str">
        <f>VLOOKUP(A63,Memória!A:S,3,FALSE)</f>
        <v xml:space="preserve">Compactação de aterros 100% P.I. </v>
      </c>
      <c r="D63" s="536" t="str">
        <f>VLOOKUP(A63,Memória!A:T,20,FALSE)</f>
        <v>M3</v>
      </c>
      <c r="E63" s="320">
        <f>VLOOKUP(A63,Memória!A:S,19,FALSE)</f>
        <v>22563.200000000001</v>
      </c>
      <c r="F63" s="394"/>
    </row>
    <row r="64" spans="1:6" s="300" customFormat="1" x14ac:dyDescent="0.2">
      <c r="A64" s="500" t="s">
        <v>468</v>
      </c>
      <c r="B64" s="538">
        <f>VLOOKUP(A64,Memória!A:S,2,FALSE)</f>
        <v>40228</v>
      </c>
      <c r="C64" s="318" t="str">
        <f>VLOOKUP(A64,Memória!A:S,3,FALSE)</f>
        <v>Compactação de aterros 100% PN</v>
      </c>
      <c r="D64" s="536" t="str">
        <f>VLOOKUP(A64,Memória!A:T,20,FALSE)</f>
        <v>M3</v>
      </c>
      <c r="E64" s="320">
        <f>VLOOKUP(A64,Memória!A:S,19,FALSE)</f>
        <v>78967.5</v>
      </c>
      <c r="F64" s="394"/>
    </row>
    <row r="65" spans="1:7" s="300" customFormat="1" x14ac:dyDescent="0.2">
      <c r="A65" s="500" t="s">
        <v>469</v>
      </c>
      <c r="B65" s="317">
        <f>VLOOKUP(A65,Memória!A:S,2,FALSE)</f>
        <v>41095</v>
      </c>
      <c r="C65" s="318" t="str">
        <f>VLOOKUP(A65,Memória!A:S,3,FALSE)</f>
        <v>Remoção de solos moles, incluindo carregamento mecânico com escavadeira hidráulica</v>
      </c>
      <c r="D65" s="319" t="str">
        <f>VLOOKUP(A65,Memória!A:T,20,FALSE)</f>
        <v>M3</v>
      </c>
      <c r="E65" s="320">
        <f>VLOOKUP(A65,Memória!A:S,19,FALSE)</f>
        <v>23888.13</v>
      </c>
      <c r="F65" s="394"/>
    </row>
    <row r="66" spans="1:7" s="300" customFormat="1" ht="26.45" customHeight="1" x14ac:dyDescent="0.2">
      <c r="A66" s="500" t="s">
        <v>470</v>
      </c>
      <c r="B66" s="317">
        <f>VLOOKUP(A66,Memória!A:S,2,FALSE)</f>
        <v>60024</v>
      </c>
      <c r="C66" s="318" t="str">
        <f>VLOOKUP(A66,Memória!A:S,3,FALSE)</f>
        <v xml:space="preserve">Transporte de materiais para DMT acima de 15 KM (Caminhão basculante)0,304XP+0,323XR+11,678 (Incluindo BDI= 23,32%) -  XP=17,600 / XR=2,770 </v>
      </c>
      <c r="D66" s="319" t="str">
        <f>VLOOKUP(A66,Memória!A:T,20,FALSE)</f>
        <v>T</v>
      </c>
      <c r="E66" s="320">
        <f>VLOOKUP(A66,Memória!A:S,19,FALSE)</f>
        <v>40609.81</v>
      </c>
      <c r="F66" s="394"/>
    </row>
    <row r="67" spans="1:7" s="299" customFormat="1" x14ac:dyDescent="0.2">
      <c r="A67" s="500" t="s">
        <v>471</v>
      </c>
      <c r="B67" s="538">
        <f>VLOOKUP(A67,Memória!A:S,2,FALSE)</f>
        <v>42547</v>
      </c>
      <c r="C67" s="540" t="str">
        <f>VLOOKUP(A67,Memória!A:S,3,FALSE)</f>
        <v xml:space="preserve">Espalhamento de material de 1ª categoria com motoniveladora </v>
      </c>
      <c r="D67" s="536" t="str">
        <f>VLOOKUP(A67,Memória!A:T,20,FALSE)</f>
        <v>M3</v>
      </c>
      <c r="E67" s="320">
        <f>VLOOKUP(A67,Memória!A:S,19,FALSE)</f>
        <v>31054.560000000001</v>
      </c>
    </row>
    <row r="68" spans="1:7" s="299" customFormat="1" x14ac:dyDescent="0.2">
      <c r="A68" s="500" t="s">
        <v>472</v>
      </c>
      <c r="B68" s="538" t="str">
        <f>VLOOKUP(A68,Memória!A:S,2,FALSE)</f>
        <v>PR-005</v>
      </c>
      <c r="C68" s="540" t="str">
        <f>VLOOKUP(A68,Memória!A:S,3,FALSE)</f>
        <v>Bica corrida sem frete, fornecimento e transporte</v>
      </c>
      <c r="D68" s="536" t="str">
        <f>VLOOKUP(A68,Memória!A:T,20,FALSE)</f>
        <v>M3</v>
      </c>
      <c r="E68" s="320">
        <f>VLOOKUP(A68,Memória!A:S,19,FALSE)</f>
        <v>15152.75</v>
      </c>
    </row>
    <row r="69" spans="1:7" s="299" customFormat="1" x14ac:dyDescent="0.2">
      <c r="A69" s="500" t="s">
        <v>473</v>
      </c>
      <c r="B69" s="538">
        <f>VLOOKUP(A69,Memória!A:S,2,FALSE)</f>
        <v>40177</v>
      </c>
      <c r="C69" s="540" t="str">
        <f>VLOOKUP(A69,Memória!A:S,3,FALSE)</f>
        <v>Espalhamento de material de 1ª categoria com trator de esteiras - Bica corrida</v>
      </c>
      <c r="D69" s="536" t="str">
        <f>VLOOKUP(A69,Memória!A:T,20,FALSE)</f>
        <v>M3</v>
      </c>
      <c r="E69" s="320">
        <f>VLOOKUP(A69,Memória!A:S,19,FALSE)</f>
        <v>15152.75</v>
      </c>
    </row>
    <row r="70" spans="1:7" s="299" customFormat="1" x14ac:dyDescent="0.2">
      <c r="A70" s="500" t="s">
        <v>474</v>
      </c>
      <c r="B70" s="538" t="str">
        <f>VLOOKUP(A70,Memória!A:S,2,FALSE)</f>
        <v>PR-006</v>
      </c>
      <c r="C70" s="540" t="str">
        <f>VLOOKUP(A70,Memória!A:S,3,FALSE)</f>
        <v>Pedra de mao (incl. 0% IUM) s/ frete, fornecimento e transporte</v>
      </c>
      <c r="D70" s="536" t="str">
        <f>VLOOKUP(A70,Memória!A:T,20,FALSE)</f>
        <v>M3</v>
      </c>
      <c r="E70" s="320">
        <f>VLOOKUP(A70,Memória!A:S,19,FALSE)</f>
        <v>8735.3799999999992</v>
      </c>
    </row>
    <row r="71" spans="1:7" s="299" customFormat="1" x14ac:dyDescent="0.2">
      <c r="A71" s="500" t="s">
        <v>475</v>
      </c>
      <c r="B71" s="538">
        <f>VLOOKUP(A71,Memória!A:S,2,FALSE)</f>
        <v>40177</v>
      </c>
      <c r="C71" s="540" t="str">
        <f>VLOOKUP(A71,Memória!A:S,3,FALSE)</f>
        <v>Espalhamento de material de 1ª categoria com trator de esteiras - Pedra de mão</v>
      </c>
      <c r="D71" s="536" t="str">
        <f>VLOOKUP(A71,Memória!A:T,20,FALSE)</f>
        <v>M3</v>
      </c>
      <c r="E71" s="320">
        <f>VLOOKUP(A71,Memória!A:S,19,FALSE)</f>
        <v>8735.3799999999992</v>
      </c>
    </row>
    <row r="72" spans="1:7" s="299" customFormat="1" x14ac:dyDescent="0.2">
      <c r="A72" s="500" t="s">
        <v>476</v>
      </c>
      <c r="B72" s="538">
        <f>VLOOKUP(A72,Memória!A:S,2,FALSE)</f>
        <v>40229</v>
      </c>
      <c r="C72" s="540" t="str">
        <f>VLOOKUP(A72,Memória!A:S,3,FALSE)</f>
        <v>Compactação de aterros em rocha</v>
      </c>
      <c r="D72" s="536" t="str">
        <f>VLOOKUP(A72,Memória!A:T,20,FALSE)</f>
        <v>M3</v>
      </c>
      <c r="E72" s="762">
        <f>VLOOKUP(A72,Memória!A:S,19,FALSE)</f>
        <v>1747.08</v>
      </c>
    </row>
    <row r="73" spans="1:7" s="300" customFormat="1" x14ac:dyDescent="0.2">
      <c r="A73" s="497">
        <v>4</v>
      </c>
      <c r="B73" s="539"/>
      <c r="C73" s="314" t="str">
        <f>VLOOKUP(A73,Memória!A:S,3,FALSE)</f>
        <v>PAVIMENTAÇÃO</v>
      </c>
      <c r="D73" s="537"/>
      <c r="E73" s="761"/>
      <c r="F73" s="300" t="s">
        <v>436</v>
      </c>
      <c r="G73" s="300" t="s">
        <v>436</v>
      </c>
    </row>
    <row r="74" spans="1:7" s="300" customFormat="1" x14ac:dyDescent="0.2">
      <c r="A74" s="499" t="s">
        <v>253</v>
      </c>
      <c r="B74" s="317">
        <f>VLOOKUP(A74,Memória!A:S,2,FALSE)</f>
        <v>40754</v>
      </c>
      <c r="C74" s="318" t="str">
        <f>VLOOKUP(A74,Memória!A:S,3,FALSE)</f>
        <v>Regularização e compactação do sub-leito (100% P.I.) H = 0,20 m</v>
      </c>
      <c r="D74" s="319" t="str">
        <f>VLOOKUP(A74,Memória!A:T,20,FALSE)</f>
        <v>M2</v>
      </c>
      <c r="E74" s="320">
        <f>VLOOKUP(A74,Memória!A:S,19,FALSE)</f>
        <v>54736.51</v>
      </c>
    </row>
    <row r="75" spans="1:7" s="300" customFormat="1" x14ac:dyDescent="0.2">
      <c r="A75" s="499"/>
      <c r="B75" s="317"/>
      <c r="C75" s="318"/>
      <c r="D75" s="319"/>
      <c r="E75" s="320"/>
    </row>
    <row r="76" spans="1:7" s="300" customFormat="1" ht="16.899999999999999" customHeight="1" x14ac:dyDescent="0.2">
      <c r="A76" s="499" t="s">
        <v>254</v>
      </c>
      <c r="B76" s="317">
        <f>VLOOKUP(A76,Memória!A:S,2,FALSE)</f>
        <v>40109</v>
      </c>
      <c r="C76" s="318" t="str">
        <f>VLOOKUP(A76,Memória!A:S,3,FALSE)</f>
        <v>Sub-base de solo estabilizada granulométricamente sem mistura inclusive escavação e carga</v>
      </c>
      <c r="D76" s="319" t="str">
        <f>VLOOKUP(A76,Memória!A:T,20,FALSE)</f>
        <v>M3</v>
      </c>
      <c r="E76" s="320">
        <f>VLOOKUP(A76,Memória!A:S,19,FALSE)</f>
        <v>6382.3</v>
      </c>
    </row>
    <row r="77" spans="1:7" s="300" customFormat="1" x14ac:dyDescent="0.2">
      <c r="A77" s="499" t="s">
        <v>255</v>
      </c>
      <c r="B77" s="317">
        <f>VLOOKUP(A77,Memória!A:S,2,FALSE)</f>
        <v>42045</v>
      </c>
      <c r="C77" s="318" t="str">
        <f>VLOOKUP(A77,Memória!A:S,3,FALSE)</f>
        <v>Aquisição de solo de jazida comercial (saibreira)</v>
      </c>
      <c r="D77" s="319" t="str">
        <f>VLOOKUP(A77,Memória!A:T,20,FALSE)</f>
        <v>M3</v>
      </c>
      <c r="E77" s="320">
        <f>VLOOKUP(A77,Memória!A:S,19,FALSE)</f>
        <v>7884.02</v>
      </c>
    </row>
    <row r="78" spans="1:7" s="300" customFormat="1" ht="45" x14ac:dyDescent="0.2">
      <c r="A78" s="499" t="s">
        <v>256</v>
      </c>
      <c r="B78" s="317">
        <f>VLOOKUP(A78,Memória!A:S,2,FALSE)</f>
        <v>60024</v>
      </c>
      <c r="C78" s="318" t="str">
        <f>VLOOKUP(A78,Memória!A:S,3,FALSE)</f>
        <v xml:space="preserve">Transporte de materiais para DMT acima de 15 KM (Caminhão basculante)0,304XP+0,323XR+11,678 (Incluindo BDI= 23,32%) -  XP=11,00 / XR=20,39 - Transporte de material de jazida para sub base </v>
      </c>
      <c r="D78" s="319" t="str">
        <f>VLOOKUP(A78,Memória!A:T,20,FALSE)</f>
        <v>T</v>
      </c>
      <c r="E78" s="320">
        <f>VLOOKUP(A78,Memória!A:S,19,FALSE)</f>
        <v>13402.83</v>
      </c>
    </row>
    <row r="79" spans="1:7" s="300" customFormat="1" x14ac:dyDescent="0.2">
      <c r="A79" s="499" t="s">
        <v>257</v>
      </c>
      <c r="B79" s="317">
        <f>VLOOKUP(A79,Memória!A:S,2,FALSE)</f>
        <v>42043</v>
      </c>
      <c r="C79" s="318" t="str">
        <f>VLOOKUP(A79,Memória!A:S,3,FALSE)</f>
        <v>Bonificação de 15,28% sobre aquisição de materiais</v>
      </c>
      <c r="D79" s="319" t="str">
        <f>VLOOKUP(A79,Memória!A:T,20,FALSE)</f>
        <v>%</v>
      </c>
      <c r="E79" s="320">
        <f>VLOOKUP(A79,Memória!A:S,19,FALSE)</f>
        <v>15.28</v>
      </c>
    </row>
    <row r="80" spans="1:7" s="300" customFormat="1" x14ac:dyDescent="0.2">
      <c r="A80" s="499"/>
      <c r="B80" s="317"/>
      <c r="C80" s="318"/>
      <c r="D80" s="319"/>
      <c r="E80" s="320"/>
    </row>
    <row r="81" spans="1:5" s="300" customFormat="1" ht="30" x14ac:dyDescent="0.2">
      <c r="A81" s="499" t="s">
        <v>477</v>
      </c>
      <c r="B81" s="317" t="str">
        <f>VLOOKUP(A81,Memória!A:S,2,FALSE)</f>
        <v>PR-007</v>
      </c>
      <c r="C81" s="318" t="str">
        <f>VLOOKUP(A81,Memória!A:S,3,FALSE)</f>
        <v>Base de solo brita, 30% de solo, 30% de brita 2, 10% de brita 0 e 30% de pó de pedra, inclusive fornecimento da brita e transporte</v>
      </c>
      <c r="D81" s="319" t="str">
        <f>VLOOKUP(A81,Memória!A:T,20,FALSE)</f>
        <v>M3</v>
      </c>
      <c r="E81" s="320">
        <f>VLOOKUP(A81,Memória!A:S,19,FALSE)</f>
        <v>9765.2900000000009</v>
      </c>
    </row>
    <row r="82" spans="1:5" s="300" customFormat="1" x14ac:dyDescent="0.2">
      <c r="A82" s="499" t="s">
        <v>478</v>
      </c>
      <c r="B82" s="317">
        <f>VLOOKUP(A82,Memória!A:S,2,FALSE)</f>
        <v>42045</v>
      </c>
      <c r="C82" s="318" t="str">
        <f>VLOOKUP(A82,Memória!A:S,3,FALSE)</f>
        <v>Aquisição de solo de jazida comercial (saibreira)</v>
      </c>
      <c r="D82" s="319" t="str">
        <f>VLOOKUP(A82,Memória!A:T,20,FALSE)</f>
        <v>M3</v>
      </c>
      <c r="E82" s="320">
        <f>VLOOKUP(A82,Memória!A:S,19,FALSE)</f>
        <v>3791.23</v>
      </c>
    </row>
    <row r="83" spans="1:5" s="300" customFormat="1" ht="45" x14ac:dyDescent="0.2">
      <c r="A83" s="499" t="s">
        <v>479</v>
      </c>
      <c r="B83" s="317">
        <f>VLOOKUP(A83,Memória!A:S,2,FALSE)</f>
        <v>60024</v>
      </c>
      <c r="C83" s="318" t="str">
        <f>VLOOKUP(A83,Memória!A:S,3,FALSE)</f>
        <v xml:space="preserve">Transporte de materiais para DMT acima de 15 KM (Caminhão basculante)0,304XP+0,323XR+11,678 (Incluindo BDI= 23,32%) -  XP=11,00 / XR=20,45 - Transporte de material de jazida para base </v>
      </c>
      <c r="D83" s="319" t="str">
        <f>VLOOKUP(A83,Memória!A:T,20,FALSE)</f>
        <v>T</v>
      </c>
      <c r="E83" s="320">
        <f>VLOOKUP(A83,Memória!A:S,19,FALSE)</f>
        <v>6445.09</v>
      </c>
    </row>
    <row r="84" spans="1:5" s="300" customFormat="1" x14ac:dyDescent="0.2">
      <c r="A84" s="499" t="s">
        <v>480</v>
      </c>
      <c r="B84" s="317">
        <f>VLOOKUP(A84,Memória!A:S,2,FALSE)</f>
        <v>42043</v>
      </c>
      <c r="C84" s="318" t="str">
        <f>VLOOKUP(A84,Memória!A:S,3,FALSE)</f>
        <v>Bonificação de 15,28% sobre aquisição de materiais</v>
      </c>
      <c r="D84" s="319" t="str">
        <f>VLOOKUP(A84,Memória!A:T,20,FALSE)</f>
        <v>%</v>
      </c>
      <c r="E84" s="320">
        <f>VLOOKUP(A84,Memória!A:S,19,FALSE)</f>
        <v>15.28</v>
      </c>
    </row>
    <row r="85" spans="1:5" s="300" customFormat="1" x14ac:dyDescent="0.2">
      <c r="A85" s="499"/>
      <c r="B85" s="317"/>
      <c r="C85" s="318"/>
      <c r="D85" s="319"/>
      <c r="E85" s="320"/>
    </row>
    <row r="86" spans="1:5" s="300" customFormat="1" x14ac:dyDescent="0.2">
      <c r="A86" s="499" t="s">
        <v>481</v>
      </c>
      <c r="B86" s="317">
        <f>VLOOKUP(A86,Memória!A:S,2,FALSE)</f>
        <v>40816</v>
      </c>
      <c r="C86" s="318" t="str">
        <f>VLOOKUP(A86,Memória!A:S,3,FALSE)</f>
        <v>Imprimação exclusive fornecimento e transporte comercial do material betuminoso</v>
      </c>
      <c r="D86" s="319" t="str">
        <f>VLOOKUP(A86,Memória!A:T,20,FALSE)</f>
        <v>M2</v>
      </c>
      <c r="E86" s="320">
        <f>VLOOKUP(A86,Memória!A:S,19,FALSE)</f>
        <v>42394.81</v>
      </c>
    </row>
    <row r="87" spans="1:5" s="300" customFormat="1" x14ac:dyDescent="0.2">
      <c r="A87" s="499" t="s">
        <v>484</v>
      </c>
      <c r="B87" s="317">
        <f>VLOOKUP(A87,Memória!A:S,2,FALSE)</f>
        <v>40843</v>
      </c>
      <c r="C87" s="318" t="str">
        <f>VLOOKUP(A87,Memória!A:S,3,FALSE)</f>
        <v>CBUQ (camada pronta - capa) exclusive fornecimento e transportes do CAP e massa</v>
      </c>
      <c r="D87" s="319" t="str">
        <f>VLOOKUP(A87,Memória!A:T,20,FALSE)</f>
        <v>t</v>
      </c>
      <c r="E87" s="320">
        <f>VLOOKUP(A87,Memória!A:S,19,FALSE)</f>
        <v>4138.8999999999996</v>
      </c>
    </row>
    <row r="88" spans="1:5" s="300" customFormat="1" x14ac:dyDescent="0.2">
      <c r="A88" s="499"/>
      <c r="B88" s="317"/>
      <c r="C88" s="318"/>
      <c r="D88" s="319"/>
      <c r="E88" s="320"/>
    </row>
    <row r="89" spans="1:5" s="300" customFormat="1" ht="30" x14ac:dyDescent="0.2">
      <c r="A89" s="499" t="s">
        <v>485</v>
      </c>
      <c r="B89" s="317">
        <f>VLOOKUP(A89,Memória!A:S,2,FALSE)</f>
        <v>40898</v>
      </c>
      <c r="C89" s="318" t="str">
        <f>VLOOKUP(A89,Memória!A:S,3,FALSE)</f>
        <v>Pavimentação com blocos de concreto (35 MPa) esp.=08 cm,colchão areia esp.=5cm, inclusive fornecim. do bloco e areia, exclusive transp. blocos e areia</v>
      </c>
      <c r="D89" s="319" t="str">
        <f>VLOOKUP(A89,Memória!A:T,20,FALSE)</f>
        <v>M2</v>
      </c>
      <c r="E89" s="320">
        <f>VLOOKUP(A89,Memória!A:S,19,FALSE)</f>
        <v>4608</v>
      </c>
    </row>
    <row r="90" spans="1:5" s="300" customFormat="1" ht="45" x14ac:dyDescent="0.2">
      <c r="A90" s="499" t="s">
        <v>486</v>
      </c>
      <c r="B90" s="317">
        <f>VLOOKUP(A90,Memória!A:S,2,FALSE)</f>
        <v>60024</v>
      </c>
      <c r="C90" s="318" t="str">
        <f>VLOOKUP(A90,Memória!A:S,3,FALSE)</f>
        <v>Transporte de materiais para DMT acima de 15 KM (Caminhão basculante)0,304XP+0,323XR+11,678 (Incluindo BDI= 23,32%) -  XP=29,50 / XR=8,46 - Transporte de areia para colchão areia 5cm</v>
      </c>
      <c r="D90" s="319" t="str">
        <f>VLOOKUP(A90,Memória!A:T,20,FALSE)</f>
        <v>T</v>
      </c>
      <c r="E90" s="320">
        <f>VLOOKUP(A90,Memória!A:S,19,FALSE)</f>
        <v>400.5</v>
      </c>
    </row>
    <row r="91" spans="1:5" s="300" customFormat="1" ht="45" x14ac:dyDescent="0.2">
      <c r="A91" s="499" t="s">
        <v>487</v>
      </c>
      <c r="B91" s="317">
        <f>VLOOKUP(A91,Memória!A:S,2,FALSE)</f>
        <v>60024</v>
      </c>
      <c r="C91" s="318" t="str">
        <f>VLOOKUP(A91,Memória!A:S,3,FALSE)</f>
        <v>Transporte de materiais para DMT acima de 15 KM (Caminhão basculante)0,304XP+0,323XR+11,678 (Incluindo BDI= 23,32%) -  XP=28,40 / XR=2,96 - Transporte de blocos de concreto para pavimentação</v>
      </c>
      <c r="D91" s="319" t="str">
        <f>VLOOKUP(A91,Memória!A:T,20,FALSE)</f>
        <v>T</v>
      </c>
      <c r="E91" s="320">
        <f>VLOOKUP(A91,Memória!A:S,19,FALSE)</f>
        <v>780.6</v>
      </c>
    </row>
    <row r="92" spans="1:5" s="300" customFormat="1" x14ac:dyDescent="0.2">
      <c r="A92" s="499"/>
      <c r="B92" s="317"/>
      <c r="C92" s="764" t="s">
        <v>685</v>
      </c>
      <c r="D92" s="319"/>
      <c r="E92" s="320"/>
    </row>
    <row r="93" spans="1:5" s="300" customFormat="1" x14ac:dyDescent="0.2">
      <c r="A93" s="499" t="s">
        <v>488</v>
      </c>
      <c r="B93" s="317">
        <f>VLOOKUP(A93,Memória!A:S,2,FALSE)</f>
        <v>40968</v>
      </c>
      <c r="C93" s="318" t="str">
        <f>VLOOKUP(A93,Memória!A:S,3,FALSE)</f>
        <v>CM-30, fornecimento</v>
      </c>
      <c r="D93" s="319" t="str">
        <f>VLOOKUP(A93,Memória!A:T,20,FALSE)</f>
        <v>t</v>
      </c>
      <c r="E93" s="320">
        <f>VLOOKUP(A93,Memória!A:S,19,FALSE)</f>
        <v>50.87</v>
      </c>
    </row>
    <row r="94" spans="1:5" s="300" customFormat="1" x14ac:dyDescent="0.2">
      <c r="A94" s="499" t="s">
        <v>489</v>
      </c>
      <c r="B94" s="317">
        <f>VLOOKUP(A94,Memória!A:S,2,FALSE)</f>
        <v>41360</v>
      </c>
      <c r="C94" s="318" t="str">
        <f>VLOOKUP(A94,Memória!A:S,3,FALSE)</f>
        <v>CAP-50/70, fornecimento</v>
      </c>
      <c r="D94" s="319" t="str">
        <f>VLOOKUP(A94,Memória!A:T,20,FALSE)</f>
        <v>t</v>
      </c>
      <c r="E94" s="320">
        <f>VLOOKUP(A94,Memória!A:S,19,FALSE)</f>
        <v>230</v>
      </c>
    </row>
    <row r="95" spans="1:5" s="300" customFormat="1" x14ac:dyDescent="0.2">
      <c r="A95" s="499" t="s">
        <v>490</v>
      </c>
      <c r="B95" s="317">
        <f>VLOOKUP(A95,Memória!A:S,2,FALSE)</f>
        <v>40976</v>
      </c>
      <c r="C95" s="318" t="str">
        <f>VLOOKUP(A95,Memória!A:S,3,FALSE)</f>
        <v>Dope, fornecimento</v>
      </c>
      <c r="D95" s="319" t="str">
        <f>VLOOKUP(A95,Memória!A:T,20,FALSE)</f>
        <v>t</v>
      </c>
      <c r="E95" s="320">
        <f>VLOOKUP(A95,Memória!A:S,19,FALSE)</f>
        <v>2.1</v>
      </c>
    </row>
    <row r="96" spans="1:5" s="300" customFormat="1" x14ac:dyDescent="0.2">
      <c r="A96" s="499" t="s">
        <v>491</v>
      </c>
      <c r="B96" s="317">
        <f>VLOOKUP(A96,Memória!A:S,2,FALSE)</f>
        <v>40972</v>
      </c>
      <c r="C96" s="318" t="str">
        <f>VLOOKUP(A96,Memória!A:S,3,FALSE)</f>
        <v>Bonificação de 15,28% sobre Materiais Betuminosos</v>
      </c>
      <c r="D96" s="319" t="str">
        <f>VLOOKUP(A96,Memória!A:T,20,FALSE)</f>
        <v>%</v>
      </c>
      <c r="E96" s="320">
        <f>VLOOKUP(A96,Memória!A:S,19,FALSE)</f>
        <v>15.28</v>
      </c>
    </row>
    <row r="97" spans="1:5" s="300" customFormat="1" ht="30" x14ac:dyDescent="0.2">
      <c r="A97" s="499" t="s">
        <v>492</v>
      </c>
      <c r="B97" s="317">
        <f>VLOOKUP(A97,Memória!A:S,2,FALSE)</f>
        <v>100849</v>
      </c>
      <c r="C97" s="318" t="str">
        <f>VLOOKUP(A97,Memória!A:S,3,FALSE)</f>
        <v>Transporte de Material Asfáltico (DNIT), inclusive BDI diferenciado0,595XP+0,702XR+63,46 - XP=399,40 / XR=0,00 - CM - 30</v>
      </c>
      <c r="D97" s="319" t="str">
        <f>VLOOKUP(A97,Memória!A:T,20,FALSE)</f>
        <v>T</v>
      </c>
      <c r="E97" s="320">
        <f>VLOOKUP(A97,Memória!A:S,19,FALSE)</f>
        <v>50.87</v>
      </c>
    </row>
    <row r="98" spans="1:5" s="300" customFormat="1" ht="30" x14ac:dyDescent="0.2">
      <c r="A98" s="499" t="s">
        <v>703</v>
      </c>
      <c r="B98" s="317">
        <f>VLOOKUP(A98,Memória!A:S,2,FALSE)</f>
        <v>100849</v>
      </c>
      <c r="C98" s="318" t="str">
        <f>VLOOKUP(A98,Memória!A:S,3,FALSE)</f>
        <v>Transporte de Material Asfáltico (DNIT), inclusive BDI diferenciado0,595XP+0,702XR+63,46 - XP=399,40 / XR=0,00 - CAP-50/70</v>
      </c>
      <c r="D98" s="319" t="str">
        <f>VLOOKUP(A98,Memória!A:T,20,FALSE)</f>
        <v>T</v>
      </c>
      <c r="E98" s="761">
        <f>VLOOKUP(A98,Memória!A:S,19,FALSE)</f>
        <v>230</v>
      </c>
    </row>
    <row r="99" spans="1:5" s="300" customFormat="1" ht="30" x14ac:dyDescent="0.2">
      <c r="A99" s="499" t="s">
        <v>704</v>
      </c>
      <c r="B99" s="317">
        <f>VLOOKUP(A99,Memória!A:S,2,FALSE)</f>
        <v>100849</v>
      </c>
      <c r="C99" s="318" t="str">
        <f>VLOOKUP(A99,Memória!A:S,3,FALSE)</f>
        <v>Transporte de Material Asfáltico (DNIT), inclusive BDI diferenciado0,595XP+0,702XR+63,46 - XP=399,40 / XR=0,00 - Dope</v>
      </c>
      <c r="D99" s="319" t="str">
        <f>VLOOKUP(A99,Memória!A:T,20,FALSE)</f>
        <v>T</v>
      </c>
      <c r="E99" s="320">
        <f>VLOOKUP(A99,Memória!A:S,19,FALSE)</f>
        <v>2.1</v>
      </c>
    </row>
    <row r="100" spans="1:5" s="300" customFormat="1" x14ac:dyDescent="0.2">
      <c r="A100" s="499" t="s">
        <v>707</v>
      </c>
      <c r="B100" s="317">
        <f>VLOOKUP(A100,Memória!A:S,2,FALSE)</f>
        <v>60006</v>
      </c>
      <c r="C100" s="318" t="str">
        <f>VLOOKUP(A100,Memória!A:S,3,FALSE)</f>
        <v>Transporte TR-301-00    1,334XP+1,384XR+10,265 - XP=29,50 / XR=2,52 - CBUQ</v>
      </c>
      <c r="D100" s="319" t="str">
        <f>VLOOKUP(A100,Memória!A:T,20,FALSE)</f>
        <v>T</v>
      </c>
      <c r="E100" s="762">
        <f>VLOOKUP(A100,Memória!A:S,19,FALSE)</f>
        <v>4138.8999999999996</v>
      </c>
    </row>
    <row r="101" spans="1:5" s="300" customFormat="1" x14ac:dyDescent="0.2">
      <c r="A101" s="497">
        <v>5</v>
      </c>
      <c r="B101" s="539"/>
      <c r="C101" s="314" t="str">
        <f>VLOOKUP(A101,Memória!A:S,3,FALSE)</f>
        <v>DRENAGEM E OAC</v>
      </c>
      <c r="D101" s="537"/>
      <c r="E101" s="761"/>
    </row>
    <row r="102" spans="1:5" s="300" customFormat="1" x14ac:dyDescent="0.2">
      <c r="A102" s="501" t="s">
        <v>346</v>
      </c>
      <c r="B102" s="317">
        <f>VLOOKUP(A102,Memória!A:S,2,FALSE)</f>
        <v>40283</v>
      </c>
      <c r="C102" s="318" t="str">
        <f>VLOOKUP(A102,Memória!A:S,3,FALSE)</f>
        <v>Escavação mecânica em material de 1ª cat. H= 1,50 a 3,00 m - (Implantação)</v>
      </c>
      <c r="D102" s="319" t="str">
        <f>VLOOKUP(A102,Memória!A:T,20,FALSE)</f>
        <v>M3</v>
      </c>
      <c r="E102" s="320">
        <f>VLOOKUP(A102,Memória!A:S,19,FALSE)</f>
        <v>1035.8599999999999</v>
      </c>
    </row>
    <row r="103" spans="1:5" s="300" customFormat="1" x14ac:dyDescent="0.2">
      <c r="A103" s="501" t="s">
        <v>347</v>
      </c>
      <c r="B103" s="317">
        <f>VLOOKUP(A103,Memória!A:S,2,FALSE)</f>
        <v>40303</v>
      </c>
      <c r="C103" s="318" t="str">
        <f>VLOOKUP(A103,Memória!A:S,3,FALSE)</f>
        <v>Reaterro de cavas c/ compactação mecânica (compactador manual) - (Implantação)</v>
      </c>
      <c r="D103" s="319" t="str">
        <f>VLOOKUP(A103,Memória!A:T,20,FALSE)</f>
        <v>M3</v>
      </c>
      <c r="E103" s="320">
        <f>VLOOKUP(A103,Memória!A:S,19,FALSE)</f>
        <v>539.41</v>
      </c>
    </row>
    <row r="104" spans="1:5" s="300" customFormat="1" ht="45" x14ac:dyDescent="0.2">
      <c r="A104" s="501" t="s">
        <v>368</v>
      </c>
      <c r="B104" s="317">
        <f>VLOOKUP(A104,Memória!A:S,2,FALSE)</f>
        <v>60024</v>
      </c>
      <c r="C104" s="318" t="str">
        <f>VLOOKUP(A104,Memória!A:S,3,FALSE)</f>
        <v>Transporte de materiais para DMT acima de 15 KM (Caminhão basculante)0,304XP+0,323XR+11,678 (Incluindo BDI= 23,32%) -  XP=17,60 / XR=3,14 - Transporte para bota fora</v>
      </c>
      <c r="D104" s="319" t="str">
        <f>VLOOKUP(A104,Memória!A:T,20,FALSE)</f>
        <v>T</v>
      </c>
      <c r="E104" s="320">
        <f>VLOOKUP(A104,Memória!A:S,19,FALSE)</f>
        <v>327.39999999999998</v>
      </c>
    </row>
    <row r="105" spans="1:5" s="300" customFormat="1" ht="30" x14ac:dyDescent="0.2">
      <c r="A105" s="501" t="s">
        <v>372</v>
      </c>
      <c r="B105" s="317">
        <f>VLOOKUP(A105,Memória!A:S,2,FALSE)</f>
        <v>60019</v>
      </c>
      <c r="C105" s="318" t="str">
        <f>VLOOKUP(A105,Memória!A:S,3,FALSE)</f>
        <v>LOCAL COM DMT ATÉ 3,0 KM (Caminhão basculante)1,144XP+1,265XR+2,007 (Incluindo BDI= 23,32%) -  XP=0,00 / XR=2,18 - Material de empréstimo</v>
      </c>
      <c r="D105" s="319" t="str">
        <f>VLOOKUP(A105,Memória!A:T,20,FALSE)</f>
        <v>T</v>
      </c>
      <c r="E105" s="320">
        <f>VLOOKUP(A105,Memória!A:S,19,FALSE)</f>
        <v>278.11</v>
      </c>
    </row>
    <row r="106" spans="1:5" x14ac:dyDescent="0.2">
      <c r="A106" s="501" t="s">
        <v>493</v>
      </c>
      <c r="B106" s="317">
        <f>VLOOKUP(A106,Memória!A:S,2,FALSE)</f>
        <v>40283</v>
      </c>
      <c r="C106" s="318" t="str">
        <f>VLOOKUP(A106,Memória!A:S,3,FALSE)</f>
        <v>Escavação mecânica em material de 1ª cat. H= 1,50 a 3,00 m - (Demolição)</v>
      </c>
      <c r="D106" s="319" t="str">
        <f>VLOOKUP(A106,Memória!A:T,20,FALSE)</f>
        <v>M3</v>
      </c>
      <c r="E106" s="320">
        <f>VLOOKUP(A106,Memória!A:S,19,FALSE)</f>
        <v>214.74</v>
      </c>
    </row>
    <row r="107" spans="1:5" x14ac:dyDescent="0.2">
      <c r="A107" s="501" t="s">
        <v>494</v>
      </c>
      <c r="B107" s="317">
        <f>VLOOKUP(A107,Memória!A:S,2,FALSE)</f>
        <v>40303</v>
      </c>
      <c r="C107" s="318" t="str">
        <f>VLOOKUP(A107,Memória!A:S,3,FALSE)</f>
        <v>Reaterro de cavas c/ compactação mecânica (compactador manual) - (Demolição)</v>
      </c>
      <c r="D107" s="319" t="str">
        <f>VLOOKUP(A107,Memória!A:T,20,FALSE)</f>
        <v>M3</v>
      </c>
      <c r="E107" s="320">
        <f>VLOOKUP(A107,Memória!A:S,19,FALSE)</f>
        <v>298.83</v>
      </c>
    </row>
    <row r="108" spans="1:5" ht="30" x14ac:dyDescent="0.2">
      <c r="A108" s="501" t="s">
        <v>495</v>
      </c>
      <c r="B108" s="317">
        <f>VLOOKUP(A108,Memória!A:S,2,FALSE)</f>
        <v>60019</v>
      </c>
      <c r="C108" s="318" t="str">
        <f>VLOOKUP(A108,Memória!A:S,3,FALSE)</f>
        <v>LOCAL COM DMT ATÉ 3,0 KM (Caminhão basculante)1,144XP+1,265XR+2,007 (Incluindo BDI= 23,32%) -  XP=0,00 / XR=0,86</v>
      </c>
      <c r="D108" s="319" t="str">
        <f>VLOOKUP(A108,Memória!A:T,20,FALSE)</f>
        <v>T</v>
      </c>
      <c r="E108" s="320">
        <f>VLOOKUP(A108,Memória!A:S,19,FALSE)</f>
        <v>280.12</v>
      </c>
    </row>
    <row r="109" spans="1:5" ht="45" x14ac:dyDescent="0.2">
      <c r="A109" s="501" t="s">
        <v>496</v>
      </c>
      <c r="B109" s="317">
        <f>VLOOKUP(A109,Memória!A:S,2,FALSE)</f>
        <v>60024</v>
      </c>
      <c r="C109" s="318" t="str">
        <f>VLOOKUP(A109,Memória!A:S,3,FALSE)</f>
        <v>Transporte de materiais para DMT acima de 15 KM (Caminhão basculante)0,304XP+0,323XR+11,678 (Incluindo BDI= 23,32%) -  XP=17,600 / XR=3,240 - Transporte para bota fora</v>
      </c>
      <c r="D109" s="319" t="str">
        <f>VLOOKUP(A109,Memória!A:T,20,FALSE)</f>
        <v>T</v>
      </c>
      <c r="E109" s="320">
        <f>VLOOKUP(A109,Memória!A:S,19,FALSE)</f>
        <v>54.62</v>
      </c>
    </row>
    <row r="110" spans="1:5" x14ac:dyDescent="0.2">
      <c r="A110" s="501" t="s">
        <v>497</v>
      </c>
      <c r="B110" s="317">
        <f>VLOOKUP(A110,Memória!A:S,2,FALSE)</f>
        <v>40283</v>
      </c>
      <c r="C110" s="318" t="str">
        <f>VLOOKUP(A110,Memória!A:S,3,FALSE)</f>
        <v>Escavação mecânica em material de 1ª cat. H= 1,50 a 3,00 m - Envelopamento de tubos</v>
      </c>
      <c r="D110" s="319" t="str">
        <f>VLOOKUP(A110,Memória!A:T,20,FALSE)</f>
        <v>M3</v>
      </c>
      <c r="E110" s="320">
        <f>VLOOKUP(A110,Memória!A:S,19,FALSE)</f>
        <v>56.17</v>
      </c>
    </row>
    <row r="111" spans="1:5" ht="45" x14ac:dyDescent="0.2">
      <c r="A111" s="501" t="s">
        <v>498</v>
      </c>
      <c r="B111" s="317">
        <f>VLOOKUP(A111,Memória!A:S,2,FALSE)</f>
        <v>60024</v>
      </c>
      <c r="C111" s="318" t="str">
        <f>VLOOKUP(A111,Memória!A:S,3,FALSE)</f>
        <v>Transporte de materiais para DMT acima de 15 KM (Caminhão basculante)0,304XP+0,323XR+11,678 (Incluindo BDI= 23,32%) -  XP=17,60 / XR=4,30 - Material para bota fora</v>
      </c>
      <c r="D111" s="319" t="str">
        <f>VLOOKUP(A111,Memória!A:T,20,FALSE)</f>
        <v>T</v>
      </c>
      <c r="E111" s="320">
        <f>VLOOKUP(A111,Memória!A:S,19,FALSE)</f>
        <v>95.49</v>
      </c>
    </row>
    <row r="112" spans="1:5" x14ac:dyDescent="0.2">
      <c r="A112" s="501" t="s">
        <v>499</v>
      </c>
      <c r="B112" s="317">
        <f>VLOOKUP(A112,Memória!A:S,2,FALSE)</f>
        <v>40358</v>
      </c>
      <c r="C112" s="318" t="str">
        <f>VLOOKUP(A112,Memória!A:S,3,FALSE)</f>
        <v>Concreto estrutural fck = 15,0 MPa, tudo incluído - Envelopamento de tubos</v>
      </c>
      <c r="D112" s="319" t="str">
        <f>VLOOKUP(A112,Memória!A:T,20,FALSE)</f>
        <v>M3</v>
      </c>
      <c r="E112" s="320">
        <f>VLOOKUP(A112,Memória!A:S,19,FALSE)</f>
        <v>131.19</v>
      </c>
    </row>
    <row r="113" spans="1:5" ht="30" x14ac:dyDescent="0.2">
      <c r="A113" s="501" t="s">
        <v>500</v>
      </c>
      <c r="B113" s="317">
        <f>VLOOKUP(A113,Memória!A:S,2,FALSE)</f>
        <v>40433</v>
      </c>
      <c r="C113" s="318" t="str">
        <f>VLOOKUP(A113,Memória!A:S,3,FALSE)</f>
        <v>Corpo BSTC (greide) diâmetro 0,80 m CA-1 PB inclusive escavação, reaterro e transporte do tubo</v>
      </c>
      <c r="D113" s="319" t="str">
        <f>VLOOKUP(A113,Memória!A:T,20,FALSE)</f>
        <v>M</v>
      </c>
      <c r="E113" s="320">
        <f>VLOOKUP(A113,Memória!A:S,19,FALSE)</f>
        <v>74.5</v>
      </c>
    </row>
    <row r="114" spans="1:5" ht="30" x14ac:dyDescent="0.2">
      <c r="A114" s="501" t="s">
        <v>501</v>
      </c>
      <c r="B114" s="317">
        <f>VLOOKUP(A114,Memória!A:S,2,FALSE)</f>
        <v>40449</v>
      </c>
      <c r="C114" s="318" t="str">
        <f>VLOOKUP(A114,Memória!A:S,3,FALSE)</f>
        <v>Corpo BSTC (grota) diâmetro 0,80 m CA-1 PB exclusive escavação e reaterro, inclusive transporte do tubo</v>
      </c>
      <c r="D114" s="319" t="str">
        <f>VLOOKUP(A114,Memória!A:T,20,FALSE)</f>
        <v>M</v>
      </c>
      <c r="E114" s="320">
        <f>VLOOKUP(A114,Memória!A:S,19,FALSE)</f>
        <v>16</v>
      </c>
    </row>
    <row r="115" spans="1:5" ht="30" x14ac:dyDescent="0.2">
      <c r="A115" s="501" t="s">
        <v>502</v>
      </c>
      <c r="B115" s="317">
        <f>VLOOKUP(A115,Memória!A:S,2,FALSE)</f>
        <v>40437</v>
      </c>
      <c r="C115" s="318" t="str">
        <f>VLOOKUP(A115,Memória!A:S,3,FALSE)</f>
        <v>Corpo BSTC (greide) diâmetro 1,00 m CA-1 PB inclusive escavação, reaterro e transporte do tubo</v>
      </c>
      <c r="D115" s="319" t="str">
        <f>VLOOKUP(A115,Memória!A:T,20,FALSE)</f>
        <v>M</v>
      </c>
      <c r="E115" s="320">
        <f>VLOOKUP(A115,Memória!A:S,19,FALSE)</f>
        <v>27</v>
      </c>
    </row>
    <row r="116" spans="1:5" ht="30" x14ac:dyDescent="0.2">
      <c r="A116" s="501" t="s">
        <v>503</v>
      </c>
      <c r="B116" s="317">
        <f>VLOOKUP(A116,Memória!A:S,2,FALSE)</f>
        <v>40453</v>
      </c>
      <c r="C116" s="318" t="str">
        <f>VLOOKUP(A116,Memória!A:S,3,FALSE)</f>
        <v>Corpo BSTC (grota) diâmetro 1,00 m CA-1 PB exclusive escavação e reaterro, inclusive transporte do tubo</v>
      </c>
      <c r="D116" s="319" t="str">
        <f>VLOOKUP(A116,Memória!A:T,20,FALSE)</f>
        <v>M</v>
      </c>
      <c r="E116" s="320">
        <f>VLOOKUP(A116,Memória!A:S,19,FALSE)</f>
        <v>15</v>
      </c>
    </row>
    <row r="117" spans="1:5" ht="30" x14ac:dyDescent="0.2">
      <c r="A117" s="501" t="s">
        <v>504</v>
      </c>
      <c r="B117" s="317">
        <f>VLOOKUP(A117,Memória!A:S,2,FALSE)</f>
        <v>40458</v>
      </c>
      <c r="C117" s="318" t="str">
        <f>VLOOKUP(A117,Memória!A:S,3,FALSE)</f>
        <v>Corpo BSTC (grota) diâmetro 1,20 m CA-1 PB exclusive escavação e reaterro, inclusive transporte do tubo</v>
      </c>
      <c r="D117" s="319" t="str">
        <f>VLOOKUP(A117,Memória!A:T,20,FALSE)</f>
        <v>M</v>
      </c>
      <c r="E117" s="320">
        <f>VLOOKUP(A117,Memória!A:S,19,FALSE)</f>
        <v>62</v>
      </c>
    </row>
    <row r="118" spans="1:5" ht="30" x14ac:dyDescent="0.2">
      <c r="A118" s="501" t="s">
        <v>505</v>
      </c>
      <c r="B118" s="317">
        <f>VLOOKUP(A118,Memória!A:S,2,FALSE)</f>
        <v>40476</v>
      </c>
      <c r="C118" s="318" t="str">
        <f>VLOOKUP(A118,Memória!A:S,3,FALSE)</f>
        <v>Corpo BDTC (grota) diâmetro 1,00 m CA-1 PB exclusive escavação e reaterro, inclusive transporte do tubo</v>
      </c>
      <c r="D118" s="319" t="str">
        <f>VLOOKUP(A118,Memória!A:T,20,FALSE)</f>
        <v>M</v>
      </c>
      <c r="E118" s="320">
        <f>VLOOKUP(A118,Memória!A:S,19,FALSE)</f>
        <v>52</v>
      </c>
    </row>
    <row r="119" spans="1:5" ht="30" x14ac:dyDescent="0.2">
      <c r="A119" s="501" t="s">
        <v>506</v>
      </c>
      <c r="B119" s="317">
        <f>VLOOKUP(A119,Memória!A:S,2,FALSE)</f>
        <v>40499</v>
      </c>
      <c r="C119" s="318" t="str">
        <f>VLOOKUP(A119,Memória!A:S,3,FALSE)</f>
        <v>Corpo BTTC (grota) diâmetro 1,00 m CA-1 PB exclusive escavação e reaterro, inclusive transporte do tubo</v>
      </c>
      <c r="D119" s="319" t="str">
        <f>VLOOKUP(A119,Memória!A:T,20,FALSE)</f>
        <v>M</v>
      </c>
      <c r="E119" s="320">
        <f>VLOOKUP(A119,Memória!A:S,19,FALSE)</f>
        <v>79</v>
      </c>
    </row>
    <row r="120" spans="1:5" s="302" customFormat="1" ht="30" x14ac:dyDescent="0.2">
      <c r="A120" s="501" t="s">
        <v>507</v>
      </c>
      <c r="B120" s="317">
        <f>VLOOKUP(A120,Memória!A:S,2,FALSE)</f>
        <v>40504</v>
      </c>
      <c r="C120" s="318" t="str">
        <f>VLOOKUP(A120,Memória!A:S,3,FALSE)</f>
        <v>Corpo BTTC (grota) diâmetro 1,20 m CA-1 PB exclusive escavação e reaterro, inclusive transporte do tubo</v>
      </c>
      <c r="D120" s="319" t="str">
        <f>VLOOKUP(A120,Memória!A:T,20,FALSE)</f>
        <v>M</v>
      </c>
      <c r="E120" s="320">
        <f>VLOOKUP(A120,Memória!A:S,19,FALSE)</f>
        <v>37</v>
      </c>
    </row>
    <row r="121" spans="1:5" s="302" customFormat="1" ht="30" x14ac:dyDescent="0.2">
      <c r="A121" s="501" t="s">
        <v>508</v>
      </c>
      <c r="B121" s="317">
        <f>VLOOKUP(A121,Memória!A:S,2,FALSE)</f>
        <v>40509</v>
      </c>
      <c r="C121" s="318" t="str">
        <f>VLOOKUP(A121,Memória!A:S,3,FALSE)</f>
        <v>Corpo BTTC (grota) diâmetro 1,50 m CA-1 PB exclusive escavação e reaterro, inclusive transporte do tubo</v>
      </c>
      <c r="D121" s="319" t="str">
        <f>VLOOKUP(A121,Memória!A:T,20,FALSE)</f>
        <v>M</v>
      </c>
      <c r="E121" s="320">
        <f>VLOOKUP(A121,Memória!A:S,19,FALSE)</f>
        <v>36</v>
      </c>
    </row>
    <row r="122" spans="1:5" s="302" customFormat="1" x14ac:dyDescent="0.2">
      <c r="A122" s="501" t="s">
        <v>509</v>
      </c>
      <c r="B122" s="317">
        <f>VLOOKUP(A122,Memória!A:S,2,FALSE)</f>
        <v>40574</v>
      </c>
      <c r="C122" s="318" t="str">
        <f>VLOOKUP(A122,Memória!A:S,3,FALSE)</f>
        <v>Corpo de BSCC 2,00 x 2,00 m projeto DNIT para H &lt; = 2,50 m</v>
      </c>
      <c r="D122" s="319" t="str">
        <f>VLOOKUP(A122,Memória!A:T,20,FALSE)</f>
        <v>M</v>
      </c>
      <c r="E122" s="320">
        <f>VLOOKUP(A122,Memória!A:S,19,FALSE)</f>
        <v>60</v>
      </c>
    </row>
    <row r="123" spans="1:5" s="302" customFormat="1" x14ac:dyDescent="0.2">
      <c r="A123" s="501" t="s">
        <v>510</v>
      </c>
      <c r="B123" s="317">
        <f>VLOOKUP(A123,Memória!A:S,2,FALSE)</f>
        <v>40578</v>
      </c>
      <c r="C123" s="318" t="str">
        <f>VLOOKUP(A123,Memória!A:S,3,FALSE)</f>
        <v>Corpo de BSCC 3,00 x 3,00 m projeto DNIT para H &lt; = 2,50 m</v>
      </c>
      <c r="D123" s="319" t="str">
        <f>VLOOKUP(A123,Memória!A:T,20,FALSE)</f>
        <v>M</v>
      </c>
      <c r="E123" s="320">
        <f>VLOOKUP(A123,Memória!A:S,19,FALSE)</f>
        <v>25.5</v>
      </c>
    </row>
    <row r="124" spans="1:5" s="302" customFormat="1" x14ac:dyDescent="0.2">
      <c r="A124" s="501" t="s">
        <v>511</v>
      </c>
      <c r="B124" s="317">
        <f>VLOOKUP(A124,Memória!A:S,2,FALSE)</f>
        <v>40515</v>
      </c>
      <c r="C124" s="318" t="str">
        <f>VLOOKUP(A124,Memória!A:S,3,FALSE)</f>
        <v>Berço de concreto ciclópico para BSTC diâmetro 0,80 m</v>
      </c>
      <c r="D124" s="319" t="str">
        <f>VLOOKUP(A124,Memória!A:T,20,FALSE)</f>
        <v>M</v>
      </c>
      <c r="E124" s="320">
        <f>VLOOKUP(A124,Memória!A:S,19,FALSE)</f>
        <v>90.5</v>
      </c>
    </row>
    <row r="125" spans="1:5" s="302" customFormat="1" x14ac:dyDescent="0.2">
      <c r="A125" s="501" t="s">
        <v>512</v>
      </c>
      <c r="B125" s="317">
        <f>VLOOKUP(A125,Memória!A:S,2,FALSE)</f>
        <v>40516</v>
      </c>
      <c r="C125" s="318" t="str">
        <f>VLOOKUP(A125,Memória!A:S,3,FALSE)</f>
        <v>Berço de concreto ciclópico para BSTC diâmetro 1,00 m</v>
      </c>
      <c r="D125" s="319" t="str">
        <f>VLOOKUP(A125,Memória!A:T,20,FALSE)</f>
        <v>M</v>
      </c>
      <c r="E125" s="320">
        <f>VLOOKUP(A125,Memória!A:S,19,FALSE)</f>
        <v>42</v>
      </c>
    </row>
    <row r="126" spans="1:5" s="302" customFormat="1" x14ac:dyDescent="0.2">
      <c r="A126" s="501" t="s">
        <v>513</v>
      </c>
      <c r="B126" s="317">
        <f>VLOOKUP(A126,Memória!A:S,2,FALSE)</f>
        <v>40517</v>
      </c>
      <c r="C126" s="318" t="str">
        <f>VLOOKUP(A126,Memória!A:S,3,FALSE)</f>
        <v>Berço de concreto ciclópico para BSTC diâmetro 1,20 m</v>
      </c>
      <c r="D126" s="319" t="str">
        <f>VLOOKUP(A126,Memória!A:T,20,FALSE)</f>
        <v>M</v>
      </c>
      <c r="E126" s="320">
        <f>VLOOKUP(A126,Memória!A:S,19,FALSE)</f>
        <v>62</v>
      </c>
    </row>
    <row r="127" spans="1:5" s="302" customFormat="1" x14ac:dyDescent="0.2">
      <c r="A127" s="501" t="s">
        <v>514</v>
      </c>
      <c r="B127" s="317">
        <f>VLOOKUP(A127,Memória!A:S,2,FALSE)</f>
        <v>40521</v>
      </c>
      <c r="C127" s="318" t="str">
        <f>VLOOKUP(A127,Memória!A:S,3,FALSE)</f>
        <v>Berço de concreto ciclópico para BDTC diâmetro 1,00 m</v>
      </c>
      <c r="D127" s="319" t="str">
        <f>VLOOKUP(A127,Memória!A:T,20,FALSE)</f>
        <v>M</v>
      </c>
      <c r="E127" s="320">
        <f>VLOOKUP(A127,Memória!A:S,19,FALSE)</f>
        <v>52</v>
      </c>
    </row>
    <row r="128" spans="1:5" s="302" customFormat="1" x14ac:dyDescent="0.2">
      <c r="A128" s="501" t="s">
        <v>515</v>
      </c>
      <c r="B128" s="317">
        <f>VLOOKUP(A128,Memória!A:S,2,FALSE)</f>
        <v>40526</v>
      </c>
      <c r="C128" s="318" t="str">
        <f>VLOOKUP(A128,Memória!A:S,3,FALSE)</f>
        <v>Berço de concreto ciclópico para BTTC diâmetro 1,00 m</v>
      </c>
      <c r="D128" s="319" t="str">
        <f>VLOOKUP(A128,Memória!A:T,20,FALSE)</f>
        <v>M</v>
      </c>
      <c r="E128" s="320">
        <f>VLOOKUP(A128,Memória!A:S,19,FALSE)</f>
        <v>79</v>
      </c>
    </row>
    <row r="129" spans="1:5" s="302" customFormat="1" x14ac:dyDescent="0.2">
      <c r="A129" s="501" t="s">
        <v>516</v>
      </c>
      <c r="B129" s="317">
        <f>VLOOKUP(A129,Memória!A:S,2,FALSE)</f>
        <v>40527</v>
      </c>
      <c r="C129" s="318" t="str">
        <f>VLOOKUP(A129,Memória!A:S,3,FALSE)</f>
        <v>Berço de concreto ciclópico para BTTC diâmetro 1,20 m</v>
      </c>
      <c r="D129" s="319" t="str">
        <f>VLOOKUP(A129,Memória!A:T,20,FALSE)</f>
        <v>M</v>
      </c>
      <c r="E129" s="320">
        <f>VLOOKUP(A129,Memória!A:S,19,FALSE)</f>
        <v>37</v>
      </c>
    </row>
    <row r="130" spans="1:5" s="302" customFormat="1" x14ac:dyDescent="0.2">
      <c r="A130" s="501" t="s">
        <v>517</v>
      </c>
      <c r="B130" s="317">
        <f>VLOOKUP(A130,Memória!A:S,2,FALSE)</f>
        <v>40528</v>
      </c>
      <c r="C130" s="318" t="str">
        <f>VLOOKUP(A130,Memória!A:S,3,FALSE)</f>
        <v>Berço de concreto ciclópico para BTTC diâmetro 1,50 m</v>
      </c>
      <c r="D130" s="319" t="str">
        <f>VLOOKUP(A130,Memória!A:T,20,FALSE)</f>
        <v>M</v>
      </c>
      <c r="E130" s="320">
        <f>VLOOKUP(A130,Memória!A:S,19,FALSE)</f>
        <v>36</v>
      </c>
    </row>
    <row r="131" spans="1:5" s="300" customFormat="1" x14ac:dyDescent="0.2">
      <c r="A131" s="501" t="s">
        <v>518</v>
      </c>
      <c r="B131" s="317">
        <f>VLOOKUP(A131,Memória!A:S,2,FALSE)</f>
        <v>40531</v>
      </c>
      <c r="C131" s="318" t="str">
        <f>VLOOKUP(A131,Memória!A:S,3,FALSE)</f>
        <v>Boca de concreto ciclópico para BSTC diâmetro 0,80 m</v>
      </c>
      <c r="D131" s="319" t="str">
        <f>VLOOKUP(A131,Memória!A:T,20,FALSE)</f>
        <v>Ud</v>
      </c>
      <c r="E131" s="320">
        <f>VLOOKUP(A131,Memória!A:S,19,FALSE)</f>
        <v>7</v>
      </c>
    </row>
    <row r="132" spans="1:5" x14ac:dyDescent="0.2">
      <c r="A132" s="501" t="s">
        <v>519</v>
      </c>
      <c r="B132" s="317">
        <f>VLOOKUP(A132,Memória!A:S,2,FALSE)</f>
        <v>40532</v>
      </c>
      <c r="C132" s="318" t="str">
        <f>VLOOKUP(A132,Memória!A:S,3,FALSE)</f>
        <v>Boca de concreto ciclópico para BSTC diâmetro 1,00 m</v>
      </c>
      <c r="D132" s="319" t="str">
        <f>VLOOKUP(A132,Memória!A:T,20,FALSE)</f>
        <v>Ud</v>
      </c>
      <c r="E132" s="320">
        <f>VLOOKUP(A132,Memória!A:S,19,FALSE)</f>
        <v>4</v>
      </c>
    </row>
    <row r="133" spans="1:5" x14ac:dyDescent="0.2">
      <c r="A133" s="501" t="s">
        <v>520</v>
      </c>
      <c r="B133" s="317">
        <f>VLOOKUP(A133,Memória!A:S,2,FALSE)</f>
        <v>40533</v>
      </c>
      <c r="C133" s="318" t="str">
        <f>VLOOKUP(A133,Memória!A:S,3,FALSE)</f>
        <v>Boca de concreto ciclópico para BSTC diâmetro 1,20 m</v>
      </c>
      <c r="D133" s="319" t="str">
        <f>VLOOKUP(A133,Memória!A:T,20,FALSE)</f>
        <v>Ud</v>
      </c>
      <c r="E133" s="320">
        <f>VLOOKUP(A133,Memória!A:S,19,FALSE)</f>
        <v>6</v>
      </c>
    </row>
    <row r="134" spans="1:5" x14ac:dyDescent="0.2">
      <c r="A134" s="501" t="s">
        <v>521</v>
      </c>
      <c r="B134" s="317">
        <f>VLOOKUP(A134,Memória!A:S,2,FALSE)</f>
        <v>40537</v>
      </c>
      <c r="C134" s="318" t="str">
        <f>VLOOKUP(A134,Memória!A:S,3,FALSE)</f>
        <v>Boca de concreto ciclópico para BDTC diâmetro 1,00 m</v>
      </c>
      <c r="D134" s="319" t="str">
        <f>VLOOKUP(A134,Memória!A:T,20,FALSE)</f>
        <v>Ud</v>
      </c>
      <c r="E134" s="320">
        <f>VLOOKUP(A134,Memória!A:S,19,FALSE)</f>
        <v>4</v>
      </c>
    </row>
    <row r="135" spans="1:5" x14ac:dyDescent="0.2">
      <c r="A135" s="501" t="s">
        <v>522</v>
      </c>
      <c r="B135" s="317">
        <f>VLOOKUP(A135,Memória!A:S,2,FALSE)</f>
        <v>40542</v>
      </c>
      <c r="C135" s="318" t="str">
        <f>VLOOKUP(A135,Memória!A:S,3,FALSE)</f>
        <v>Boca de concreto ciclópico para BTTC diâmetro 1,00 m</v>
      </c>
      <c r="D135" s="319" t="str">
        <f>VLOOKUP(A135,Memória!A:T,20,FALSE)</f>
        <v>Ud</v>
      </c>
      <c r="E135" s="320">
        <f>VLOOKUP(A135,Memória!A:S,19,FALSE)</f>
        <v>8</v>
      </c>
    </row>
    <row r="136" spans="1:5" x14ac:dyDescent="0.2">
      <c r="A136" s="501" t="s">
        <v>523</v>
      </c>
      <c r="B136" s="317">
        <f>VLOOKUP(A136,Memória!A:S,2,FALSE)</f>
        <v>40543</v>
      </c>
      <c r="C136" s="318" t="str">
        <f>VLOOKUP(A136,Memória!A:S,3,FALSE)</f>
        <v>Boca de concreto ciclópico para BTTC diâmetro 1,20 m</v>
      </c>
      <c r="D136" s="319" t="str">
        <f>VLOOKUP(A136,Memória!A:T,20,FALSE)</f>
        <v>Ud</v>
      </c>
      <c r="E136" s="320">
        <f>VLOOKUP(A136,Memória!A:S,19,FALSE)</f>
        <v>2</v>
      </c>
    </row>
    <row r="137" spans="1:5" x14ac:dyDescent="0.2">
      <c r="A137" s="501" t="s">
        <v>524</v>
      </c>
      <c r="B137" s="317">
        <f>VLOOKUP(A137,Memória!A:S,2,FALSE)</f>
        <v>40544</v>
      </c>
      <c r="C137" s="318" t="str">
        <f>VLOOKUP(A137,Memória!A:S,3,FALSE)</f>
        <v>Boca de concreto ciclópico para BTTC diâmetro 1,50 m</v>
      </c>
      <c r="D137" s="319" t="str">
        <f>VLOOKUP(A137,Memória!A:T,20,FALSE)</f>
        <v>Ud</v>
      </c>
      <c r="E137" s="320">
        <f>VLOOKUP(A137,Memória!A:S,19,FALSE)</f>
        <v>2</v>
      </c>
    </row>
    <row r="138" spans="1:5" x14ac:dyDescent="0.2">
      <c r="A138" s="501" t="s">
        <v>525</v>
      </c>
      <c r="B138" s="317">
        <f>VLOOKUP(A138,Memória!A:S,2,FALSE)</f>
        <v>40614</v>
      </c>
      <c r="C138" s="318" t="str">
        <f>VLOOKUP(A138,Memória!A:S,3,FALSE)</f>
        <v>Boca de BSCC 2,00 x 2,00 m projeto DNIT</v>
      </c>
      <c r="D138" s="319" t="str">
        <f>VLOOKUP(A138,Memória!A:T,20,FALSE)</f>
        <v>Ud</v>
      </c>
      <c r="E138" s="320">
        <f>VLOOKUP(A138,Memória!A:S,19,FALSE)</f>
        <v>6</v>
      </c>
    </row>
    <row r="139" spans="1:5" x14ac:dyDescent="0.2">
      <c r="A139" s="501" t="s">
        <v>526</v>
      </c>
      <c r="B139" s="317">
        <f>VLOOKUP(A139,Memória!A:S,2,FALSE)</f>
        <v>40618</v>
      </c>
      <c r="C139" s="318" t="str">
        <f>VLOOKUP(A139,Memória!A:S,3,FALSE)</f>
        <v>Boca de BSCC 3,00 x 3,00 m projeto DNIT</v>
      </c>
      <c r="D139" s="319" t="str">
        <f>VLOOKUP(A139,Memória!A:T,20,FALSE)</f>
        <v>Ud</v>
      </c>
      <c r="E139" s="320">
        <f>VLOOKUP(A139,Memória!A:S,19,FALSE)</f>
        <v>2</v>
      </c>
    </row>
    <row r="140" spans="1:5" x14ac:dyDescent="0.2">
      <c r="A140" s="501" t="s">
        <v>527</v>
      </c>
      <c r="B140" s="317" t="str">
        <f>VLOOKUP(A140,Memória!A:S,2,FALSE)</f>
        <v>PR-008</v>
      </c>
      <c r="C140" s="318" t="str">
        <f>VLOOKUP(A140,Memória!A:S,3,FALSE)</f>
        <v>Caixa Coletora  para BSTC  Ø 0,80  H-&gt; 1,60m</v>
      </c>
      <c r="D140" s="319" t="str">
        <f>VLOOKUP(A140,Memória!A:T,20,FALSE)</f>
        <v>Um</v>
      </c>
      <c r="E140" s="320">
        <f>VLOOKUP(A140,Memória!A:S,19,FALSE)</f>
        <v>1</v>
      </c>
    </row>
    <row r="141" spans="1:5" x14ac:dyDescent="0.2">
      <c r="A141" s="501" t="s">
        <v>528</v>
      </c>
      <c r="B141" s="317" t="str">
        <f>VLOOKUP(A141,Memória!A:S,2,FALSE)</f>
        <v>PR-009</v>
      </c>
      <c r="C141" s="318" t="str">
        <f>VLOOKUP(A141,Memória!A:S,3,FALSE)</f>
        <v>Caixa Coletora para BSTC  Ø 0,80  H-&gt; 2,20m</v>
      </c>
      <c r="D141" s="319" t="str">
        <f>VLOOKUP(A141,Memória!A:T,20,FALSE)</f>
        <v>Um</v>
      </c>
      <c r="E141" s="320">
        <f>VLOOKUP(A141,Memória!A:S,19,FALSE)</f>
        <v>2</v>
      </c>
    </row>
    <row r="142" spans="1:5" x14ac:dyDescent="0.2">
      <c r="A142" s="501" t="s">
        <v>529</v>
      </c>
      <c r="B142" s="317" t="str">
        <f>VLOOKUP(A142,Memória!A:S,2,FALSE)</f>
        <v>PR-010</v>
      </c>
      <c r="C142" s="318" t="str">
        <f>VLOOKUP(A142,Memória!A:S,3,FALSE)</f>
        <v>Caixa Coletora para BSTC  Ø 0,80 H-&gt; 2,40m</v>
      </c>
      <c r="D142" s="319" t="str">
        <f>VLOOKUP(A142,Memória!A:T,20,FALSE)</f>
        <v>Um</v>
      </c>
      <c r="E142" s="320">
        <f>VLOOKUP(A142,Memória!A:S,19,FALSE)</f>
        <v>2</v>
      </c>
    </row>
    <row r="143" spans="1:5" x14ac:dyDescent="0.2">
      <c r="A143" s="501" t="s">
        <v>530</v>
      </c>
      <c r="B143" s="317" t="str">
        <f>VLOOKUP(A143,Memória!A:S,2,FALSE)</f>
        <v>PR-011</v>
      </c>
      <c r="C143" s="318" t="str">
        <f>VLOOKUP(A143,Memória!A:S,3,FALSE)</f>
        <v>Caixa coletora de talvegue - CCT 03</v>
      </c>
      <c r="D143" s="319" t="str">
        <f>VLOOKUP(A143,Memória!A:T,20,FALSE)</f>
        <v>Um</v>
      </c>
      <c r="E143" s="320">
        <f>VLOOKUP(A143,Memória!A:S,19,FALSE)</f>
        <v>1</v>
      </c>
    </row>
    <row r="144" spans="1:5" x14ac:dyDescent="0.2">
      <c r="A144" s="501" t="s">
        <v>535</v>
      </c>
      <c r="B144" s="317" t="str">
        <f>VLOOKUP(A144,Memória!A:S,2,FALSE)</f>
        <v>PR-012</v>
      </c>
      <c r="C144" s="318" t="str">
        <f>VLOOKUP(A144,Memória!A:S,3,FALSE)</f>
        <v>Caixa coletora de talvegue - CCT 07</v>
      </c>
      <c r="D144" s="319" t="str">
        <f>VLOOKUP(A144,Memória!A:T,20,FALSE)</f>
        <v>Um</v>
      </c>
      <c r="E144" s="320">
        <f>VLOOKUP(A144,Memória!A:S,19,FALSE)</f>
        <v>1</v>
      </c>
    </row>
    <row r="145" spans="1:5" x14ac:dyDescent="0.2">
      <c r="A145" s="501" t="s">
        <v>536</v>
      </c>
      <c r="B145" s="317">
        <f>VLOOKUP(A145,Memória!A:S,2,FALSE)</f>
        <v>40732</v>
      </c>
      <c r="C145" s="318" t="str">
        <f>VLOOKUP(A145,Memória!A:S,3,FALSE)</f>
        <v>Dissipador de energia aplicado a saída de bueiro/descida d'agua de aterro (DEB-01)</v>
      </c>
      <c r="D145" s="319" t="str">
        <f>VLOOKUP(A145,Memória!A:T,20,FALSE)</f>
        <v>Ud</v>
      </c>
      <c r="E145" s="320">
        <f>VLOOKUP(A145,Memória!A:S,19,FALSE)</f>
        <v>36</v>
      </c>
    </row>
    <row r="146" spans="1:5" s="302" customFormat="1" x14ac:dyDescent="0.2">
      <c r="A146" s="501" t="s">
        <v>537</v>
      </c>
      <c r="B146" s="317">
        <f>VLOOKUP(A146,Memória!A:S,2,FALSE)</f>
        <v>40734</v>
      </c>
      <c r="C146" s="318" t="str">
        <f>VLOOKUP(A146,Memória!A:S,3,FALSE)</f>
        <v>Dissipador de energia aplicado a saída de bueiro/descida d'água de aterro (DEB-03)</v>
      </c>
      <c r="D146" s="319" t="str">
        <f>VLOOKUP(A146,Memória!A:T,20,FALSE)</f>
        <v>Ud</v>
      </c>
      <c r="E146" s="320">
        <f>VLOOKUP(A146,Memória!A:S,19,FALSE)</f>
        <v>7</v>
      </c>
    </row>
    <row r="147" spans="1:5" s="302" customFormat="1" x14ac:dyDescent="0.2">
      <c r="A147" s="501" t="s">
        <v>540</v>
      </c>
      <c r="B147" s="317">
        <f>VLOOKUP(A147,Memória!A:S,2,FALSE)</f>
        <v>40735</v>
      </c>
      <c r="C147" s="318" t="str">
        <f>VLOOKUP(A147,Memória!A:S,3,FALSE)</f>
        <v>Dissipador de energia aplicado a saída de bueiro/descida d'água de aterro (DEB-04)</v>
      </c>
      <c r="D147" s="319" t="str">
        <f>VLOOKUP(A147,Memória!A:T,20,FALSE)</f>
        <v>Ud</v>
      </c>
      <c r="E147" s="320">
        <f>VLOOKUP(A147,Memória!A:S,19,FALSE)</f>
        <v>3</v>
      </c>
    </row>
    <row r="148" spans="1:5" s="302" customFormat="1" x14ac:dyDescent="0.2">
      <c r="A148" s="501" t="s">
        <v>541</v>
      </c>
      <c r="B148" s="317">
        <f>VLOOKUP(A148,Memória!A:S,2,FALSE)</f>
        <v>40736</v>
      </c>
      <c r="C148" s="318" t="str">
        <f>VLOOKUP(A148,Memória!A:S,3,FALSE)</f>
        <v>Dissipador de energia aplicado a saída de bueiro/descida d'água de aterro (DEB-05)</v>
      </c>
      <c r="D148" s="319" t="str">
        <f>VLOOKUP(A148,Memória!A:T,20,FALSE)</f>
        <v>Ud</v>
      </c>
      <c r="E148" s="320">
        <f>VLOOKUP(A148,Memória!A:S,19,FALSE)</f>
        <v>3</v>
      </c>
    </row>
    <row r="149" spans="1:5" s="302" customFormat="1" x14ac:dyDescent="0.2">
      <c r="A149" s="501" t="s">
        <v>542</v>
      </c>
      <c r="B149" s="317">
        <f>VLOOKUP(A149,Memória!A:S,2,FALSE)</f>
        <v>40738</v>
      </c>
      <c r="C149" s="318" t="str">
        <f>VLOOKUP(A149,Memória!A:S,3,FALSE)</f>
        <v>Dissipador de energia aplicado a saída de bueiro/descida d'água de aterro (DEB-07)</v>
      </c>
      <c r="D149" s="319" t="str">
        <f>VLOOKUP(A149,Memória!A:T,20,FALSE)</f>
        <v>Ud</v>
      </c>
      <c r="E149" s="320">
        <f>VLOOKUP(A149,Memória!A:S,19,FALSE)</f>
        <v>2</v>
      </c>
    </row>
    <row r="150" spans="1:5" s="302" customFormat="1" x14ac:dyDescent="0.2">
      <c r="A150" s="501" t="s">
        <v>543</v>
      </c>
      <c r="B150" s="317">
        <f>VLOOKUP(A150,Memória!A:S,2,FALSE)</f>
        <v>40741</v>
      </c>
      <c r="C150" s="318" t="str">
        <f>VLOOKUP(A150,Memória!A:S,3,FALSE)</f>
        <v>Dissipador de energia aplicado a saída de bueiro/descida d'água de aterro (DEB-10)</v>
      </c>
      <c r="D150" s="319" t="str">
        <f>VLOOKUP(A150,Memória!A:T,20,FALSE)</f>
        <v>Ud</v>
      </c>
      <c r="E150" s="320">
        <f>VLOOKUP(A150,Memória!A:S,19,FALSE)</f>
        <v>4</v>
      </c>
    </row>
    <row r="151" spans="1:5" s="302" customFormat="1" x14ac:dyDescent="0.2">
      <c r="A151" s="501" t="s">
        <v>544</v>
      </c>
      <c r="B151" s="317" t="str">
        <f>VLOOKUP(A151,Memória!A:S,2,FALSE)</f>
        <v>PR-013</v>
      </c>
      <c r="C151" s="318" t="str">
        <f>VLOOKUP(A151,Memória!A:S,3,FALSE)</f>
        <v>Dissipador de energia aplicado a saída de bueiro/descida d'agua de aterro (DEB-11)</v>
      </c>
      <c r="D151" s="319" t="str">
        <f>VLOOKUP(A151,Memória!A:T,20,FALSE)</f>
        <v>Ud</v>
      </c>
      <c r="E151" s="320">
        <f>VLOOKUP(A151,Memória!A:S,19,FALSE)</f>
        <v>1</v>
      </c>
    </row>
    <row r="152" spans="1:5" s="302" customFormat="1" x14ac:dyDescent="0.2">
      <c r="A152" s="501" t="s">
        <v>545</v>
      </c>
      <c r="B152" s="317">
        <f>VLOOKUP(A152,Memória!A:S,2,FALSE)</f>
        <v>40742</v>
      </c>
      <c r="C152" s="318" t="str">
        <f>VLOOKUP(A152,Memória!A:S,3,FALSE)</f>
        <v>Dissipador de energia aplicado a saída de bueiro/descida d'água de aterro (DEB-12)</v>
      </c>
      <c r="D152" s="319" t="str">
        <f>VLOOKUP(A152,Memória!A:T,20,FALSE)</f>
        <v>Ud</v>
      </c>
      <c r="E152" s="320">
        <f>VLOOKUP(A152,Memória!A:S,19,FALSE)</f>
        <v>1</v>
      </c>
    </row>
    <row r="153" spans="1:5" s="302" customFormat="1" x14ac:dyDescent="0.2">
      <c r="A153" s="501" t="s">
        <v>546</v>
      </c>
      <c r="B153" s="317">
        <f>VLOOKUP(A153,Memória!A:S,2,FALSE)</f>
        <v>40747</v>
      </c>
      <c r="C153" s="318" t="str">
        <f>VLOOKUP(A153,Memória!A:S,3,FALSE)</f>
        <v>Remoção de bueiros existentes</v>
      </c>
      <c r="D153" s="319" t="str">
        <f>VLOOKUP(A153,Memória!A:T,20,FALSE)</f>
        <v>M</v>
      </c>
      <c r="E153" s="320">
        <f>VLOOKUP(A153,Memória!A:S,19,FALSE)</f>
        <v>451.5</v>
      </c>
    </row>
    <row r="154" spans="1:5" s="302" customFormat="1" ht="45" x14ac:dyDescent="0.2">
      <c r="A154" s="501" t="s">
        <v>547</v>
      </c>
      <c r="B154" s="317">
        <f>VLOOKUP(A154,Memória!A:S,2,FALSE)</f>
        <v>60024</v>
      </c>
      <c r="C154" s="318" t="str">
        <f>VLOOKUP(A154,Memória!A:S,3,FALSE)</f>
        <v>Transporte de materiais para DMT acima de 15 KM (Caminhão basculante)0,304XP+0,323XR+11,678 (Incluindo BDI= 23,32%) -  XP=17,600 / XR=1,990 - encaminhamento dos tubos ao BF</v>
      </c>
      <c r="D154" s="319" t="str">
        <f>VLOOKUP(A154,Memória!A:T,20,FALSE)</f>
        <v>T</v>
      </c>
      <c r="E154" s="320">
        <f>VLOOKUP(A154,Memória!A:S,19,FALSE)</f>
        <v>1470.48</v>
      </c>
    </row>
    <row r="155" spans="1:5" s="302" customFormat="1" x14ac:dyDescent="0.2">
      <c r="A155" s="501" t="s">
        <v>550</v>
      </c>
      <c r="B155" s="317">
        <f>VLOOKUP(A155,Memória!A:S,2,FALSE)</f>
        <v>40673</v>
      </c>
      <c r="C155" s="318" t="str">
        <f>VLOOKUP(A155,Memória!A:S,3,FALSE)</f>
        <v>Entrada para descida d'água EDA-01</v>
      </c>
      <c r="D155" s="319" t="str">
        <f>VLOOKUP(A155,Memória!A:T,20,FALSE)</f>
        <v>Ud</v>
      </c>
      <c r="E155" s="320">
        <f>VLOOKUP(A155,Memória!A:S,19,FALSE)</f>
        <v>44</v>
      </c>
    </row>
    <row r="156" spans="1:5" s="302" customFormat="1" x14ac:dyDescent="0.2">
      <c r="A156" s="501" t="s">
        <v>551</v>
      </c>
      <c r="B156" s="317">
        <f>VLOOKUP(A156,Memória!A:S,2,FALSE)</f>
        <v>40674</v>
      </c>
      <c r="C156" s="318" t="str">
        <f>VLOOKUP(A156,Memória!A:S,3,FALSE)</f>
        <v>Entrada para descida d'água EDA-02</v>
      </c>
      <c r="D156" s="319" t="str">
        <f>VLOOKUP(A156,Memória!A:T,20,FALSE)</f>
        <v>Ud</v>
      </c>
      <c r="E156" s="320">
        <f>VLOOKUP(A156,Memória!A:S,19,FALSE)</f>
        <v>2</v>
      </c>
    </row>
    <row r="157" spans="1:5" x14ac:dyDescent="0.2">
      <c r="A157" s="501" t="s">
        <v>552</v>
      </c>
      <c r="B157" s="317">
        <f>VLOOKUP(A157,Memória!A:S,2,FALSE)</f>
        <v>40659</v>
      </c>
      <c r="C157" s="318" t="str">
        <f>VLOOKUP(A157,Memória!A:S,3,FALSE)</f>
        <v>Meio fio sarjeta de concreto tipo DP-1 (0,035 m³/m) inclusive caiação</v>
      </c>
      <c r="D157" s="319" t="str">
        <f>VLOOKUP(A157,Memória!A:T,20,FALSE)</f>
        <v>M</v>
      </c>
      <c r="E157" s="320">
        <f>VLOOKUP(A157,Memória!A:S,19,FALSE)</f>
        <v>2833</v>
      </c>
    </row>
    <row r="158" spans="1:5" x14ac:dyDescent="0.2">
      <c r="A158" s="501" t="s">
        <v>553</v>
      </c>
      <c r="B158" s="317" t="str">
        <f>VLOOKUP(A158,Memória!A:S,2,FALSE)</f>
        <v>PR-014</v>
      </c>
      <c r="C158" s="318" t="str">
        <f>VLOOKUP(A158,Memória!A:S,3,FALSE)</f>
        <v>Meio fio tipo DP-3</v>
      </c>
      <c r="D158" s="319" t="str">
        <f>VLOOKUP(A158,Memória!A:T,20,FALSE)</f>
        <v>M</v>
      </c>
      <c r="E158" s="320">
        <f>VLOOKUP(A158,Memória!A:S,19,FALSE)</f>
        <v>670</v>
      </c>
    </row>
    <row r="159" spans="1:5" x14ac:dyDescent="0.2">
      <c r="A159" s="501" t="s">
        <v>554</v>
      </c>
      <c r="B159" s="317" t="str">
        <f>VLOOKUP(A159,Memória!A:S,2,FALSE)</f>
        <v>PR-015</v>
      </c>
      <c r="C159" s="318" t="str">
        <f>VLOOKUP(A159,Memória!A:S,3,FALSE)</f>
        <v>Meio fio de concreto MFC 04</v>
      </c>
      <c r="D159" s="319" t="str">
        <f>VLOOKUP(A159,Memória!A:T,20,FALSE)</f>
        <v>M</v>
      </c>
      <c r="E159" s="320">
        <f>VLOOKUP(A159,Memória!A:S,19,FALSE)</f>
        <v>82</v>
      </c>
    </row>
    <row r="160" spans="1:5" x14ac:dyDescent="0.2">
      <c r="A160" s="501" t="s">
        <v>555</v>
      </c>
      <c r="B160" s="317">
        <f>VLOOKUP(A160,Memória!A:S,2,FALSE)</f>
        <v>40662</v>
      </c>
      <c r="C160" s="318" t="str">
        <f>VLOOKUP(A160,Memória!A:S,3,FALSE)</f>
        <v>Meio fio de concreto MFC 05, inclusive caiação</v>
      </c>
      <c r="D160" s="319" t="str">
        <f>VLOOKUP(A160,Memória!A:T,20,FALSE)</f>
        <v>M</v>
      </c>
      <c r="E160" s="320">
        <f>VLOOKUP(A160,Memória!A:S,19,FALSE)</f>
        <v>542</v>
      </c>
    </row>
    <row r="161" spans="1:5" x14ac:dyDescent="0.2">
      <c r="A161" s="501" t="s">
        <v>556</v>
      </c>
      <c r="B161" s="317">
        <f>VLOOKUP(A161,Memória!A:S,2,FALSE)</f>
        <v>40666</v>
      </c>
      <c r="C161" s="318" t="str">
        <f>VLOOKUP(A161,Memória!A:S,3,FALSE)</f>
        <v>Sarjeta de concreto DP-1 (0,081 m³/m) calha triangular, inclusive caiação</v>
      </c>
      <c r="D161" s="319" t="str">
        <f>VLOOKUP(A161,Memória!A:T,20,FALSE)</f>
        <v>M</v>
      </c>
      <c r="E161" s="320">
        <f>VLOOKUP(A161,Memória!A:S,19,FALSE)</f>
        <v>2797</v>
      </c>
    </row>
    <row r="162" spans="1:5" s="302" customFormat="1" x14ac:dyDescent="0.2">
      <c r="A162" s="501" t="s">
        <v>557</v>
      </c>
      <c r="B162" s="317" t="str">
        <f>VLOOKUP(A162,Memória!A:S,2,FALSE)</f>
        <v>PR-016</v>
      </c>
      <c r="C162" s="318" t="str">
        <f>VLOOKUP(A162,Memória!A:S,3,FALSE)</f>
        <v>Sarjeta retangular de concreto - Tipo SRC-01: incl. escavação de mat. 1ª categoria</v>
      </c>
      <c r="D162" s="319" t="str">
        <f>VLOOKUP(A162,Memória!A:T,20,FALSE)</f>
        <v>M</v>
      </c>
      <c r="E162" s="320">
        <f>VLOOKUP(A162,Memória!A:S,19,FALSE)</f>
        <v>220</v>
      </c>
    </row>
    <row r="163" spans="1:5" s="302" customFormat="1" x14ac:dyDescent="0.2">
      <c r="A163" s="501" t="s">
        <v>561</v>
      </c>
      <c r="B163" s="317" t="str">
        <f>VLOOKUP(A163,Memória!A:S,2,FALSE)</f>
        <v>PR-017</v>
      </c>
      <c r="C163" s="318" t="str">
        <f>VLOOKUP(A163,Memória!A:S,3,FALSE)</f>
        <v>Transposição de Sarjeta do tipo TSS-02 - inclusive caiação</v>
      </c>
      <c r="D163" s="319" t="str">
        <f>VLOOKUP(A163,Memória!A:T,20,FALSE)</f>
        <v>M</v>
      </c>
      <c r="E163" s="320">
        <f>VLOOKUP(A163,Memória!A:S,19,FALSE)</f>
        <v>18</v>
      </c>
    </row>
    <row r="164" spans="1:5" s="302" customFormat="1" x14ac:dyDescent="0.2">
      <c r="A164" s="501" t="s">
        <v>563</v>
      </c>
      <c r="B164" s="317">
        <f>VLOOKUP(A164,Memória!A:S,2,FALSE)</f>
        <v>40689</v>
      </c>
      <c r="C164" s="318" t="str">
        <f>VLOOKUP(A164,Memória!A:S,3,FALSE)</f>
        <v>Saída d'água concreto p/ corte c/ caiação (SDC-01)</v>
      </c>
      <c r="D164" s="319" t="str">
        <f>VLOOKUP(A164,Memória!A:T,20,FALSE)</f>
        <v>Ud</v>
      </c>
      <c r="E164" s="320">
        <f>VLOOKUP(A164,Memória!A:S,19,FALSE)</f>
        <v>5</v>
      </c>
    </row>
    <row r="165" spans="1:5" s="302" customFormat="1" x14ac:dyDescent="0.2">
      <c r="A165" s="501" t="s">
        <v>564</v>
      </c>
      <c r="B165" s="317">
        <f>VLOOKUP(A165,Memória!A:S,2,FALSE)</f>
        <v>40731</v>
      </c>
      <c r="C165" s="318" t="str">
        <f>VLOOKUP(A165,Memória!A:S,3,FALSE)</f>
        <v>Dissipador de energia aplicado a saída de sarjeta/valeta (DES-03)</v>
      </c>
      <c r="D165" s="319" t="str">
        <f>VLOOKUP(A165,Memória!A:T,20,FALSE)</f>
        <v>Ud</v>
      </c>
      <c r="E165" s="320">
        <f>VLOOKUP(A165,Memória!A:S,19,FALSE)</f>
        <v>12</v>
      </c>
    </row>
    <row r="166" spans="1:5" s="302" customFormat="1" x14ac:dyDescent="0.2">
      <c r="A166" s="501" t="s">
        <v>566</v>
      </c>
      <c r="B166" s="317" t="str">
        <f>VLOOKUP(A166,Memória!A:S,2,FALSE)</f>
        <v>PR-018</v>
      </c>
      <c r="C166" s="318" t="str">
        <f>VLOOKUP(A166,Memória!A:S,3,FALSE)</f>
        <v>Dissipador de energia aplicado a saída de sarjeta/valeta (DES-04)</v>
      </c>
      <c r="D166" s="319" t="str">
        <f>VLOOKUP(A166,Memória!A:T,20,FALSE)</f>
        <v>Ud</v>
      </c>
      <c r="E166" s="320">
        <f>VLOOKUP(A166,Memória!A:S,19,FALSE)</f>
        <v>3</v>
      </c>
    </row>
    <row r="167" spans="1:5" s="302" customFormat="1" x14ac:dyDescent="0.2">
      <c r="A167" s="501" t="s">
        <v>565</v>
      </c>
      <c r="B167" s="317">
        <f>VLOOKUP(A167,Memória!A:S,2,FALSE)</f>
        <v>40699</v>
      </c>
      <c r="C167" s="318" t="str">
        <f>VLOOKUP(A167,Memória!A:S,3,FALSE)</f>
        <v>Valeta de proteção de corte revestida em concreto VPC-03</v>
      </c>
      <c r="D167" s="319" t="str">
        <f>VLOOKUP(A167,Memória!A:T,20,FALSE)</f>
        <v>M</v>
      </c>
      <c r="E167" s="320">
        <f>VLOOKUP(A167,Memória!A:S,19,FALSE)</f>
        <v>2127</v>
      </c>
    </row>
    <row r="168" spans="1:5" s="302" customFormat="1" x14ac:dyDescent="0.2">
      <c r="A168" s="501" t="s">
        <v>569</v>
      </c>
      <c r="B168" s="317">
        <f>VLOOKUP(A168,Memória!A:S,2,FALSE)</f>
        <v>40696</v>
      </c>
      <c r="C168" s="318" t="str">
        <f>VLOOKUP(A168,Memória!A:S,3,FALSE)</f>
        <v>Valeta de proteção de aterro VPA 02 (revestida em concreto)</v>
      </c>
      <c r="D168" s="319" t="str">
        <f>VLOOKUP(A168,Memória!A:T,20,FALSE)</f>
        <v>M</v>
      </c>
      <c r="E168" s="320">
        <f>VLOOKUP(A168,Memória!A:S,19,FALSE)</f>
        <v>2122</v>
      </c>
    </row>
    <row r="169" spans="1:5" s="302" customFormat="1" x14ac:dyDescent="0.2">
      <c r="A169" s="501" t="s">
        <v>570</v>
      </c>
      <c r="B169" s="317">
        <f>VLOOKUP(A169,Memória!A:S,2,FALSE)</f>
        <v>40676</v>
      </c>
      <c r="C169" s="318" t="str">
        <f>VLOOKUP(A169,Memória!A:S,3,FALSE)</f>
        <v>Descida d'água concreto simples (calha) c/ caiação (DSA-01) canal</v>
      </c>
      <c r="D169" s="319" t="str">
        <f>VLOOKUP(A169,Memória!A:T,20,FALSE)</f>
        <v>M</v>
      </c>
      <c r="E169" s="320">
        <f>VLOOKUP(A169,Memória!A:S,19,FALSE)</f>
        <v>38.5</v>
      </c>
    </row>
    <row r="170" spans="1:5" s="302" customFormat="1" x14ac:dyDescent="0.2">
      <c r="A170" s="501" t="s">
        <v>571</v>
      </c>
      <c r="B170" s="317">
        <f>VLOOKUP(A170,Memória!A:S,2,FALSE)</f>
        <v>40677</v>
      </c>
      <c r="C170" s="318" t="str">
        <f>VLOOKUP(A170,Memória!A:S,3,FALSE)</f>
        <v>Descida d'água concreto simples (calha) c/ caiação (DSA-01) dispersor</v>
      </c>
      <c r="D170" s="319" t="str">
        <f>VLOOKUP(A170,Memória!A:T,20,FALSE)</f>
        <v>Ud</v>
      </c>
      <c r="E170" s="320">
        <f>VLOOKUP(A170,Memória!A:S,19,FALSE)</f>
        <v>13</v>
      </c>
    </row>
    <row r="171" spans="1:5" s="302" customFormat="1" x14ac:dyDescent="0.2">
      <c r="A171" s="501" t="s">
        <v>572</v>
      </c>
      <c r="B171" s="317">
        <f>VLOOKUP(A171,Memória!A:S,2,FALSE)</f>
        <v>40681</v>
      </c>
      <c r="C171" s="318" t="str">
        <f>VLOOKUP(A171,Memória!A:S,3,FALSE)</f>
        <v>Descida d'água concreto simples (degraus) c/ caiação (DSA-03) apoio</v>
      </c>
      <c r="D171" s="319" t="str">
        <f>VLOOKUP(A171,Memória!A:T,20,FALSE)</f>
        <v>Ud</v>
      </c>
      <c r="E171" s="320">
        <f>VLOOKUP(A171,Memória!A:S,19,FALSE)</f>
        <v>13</v>
      </c>
    </row>
    <row r="172" spans="1:5" s="302" customFormat="1" x14ac:dyDescent="0.2">
      <c r="A172" s="501" t="s">
        <v>573</v>
      </c>
      <c r="B172" s="317">
        <f>VLOOKUP(A172,Memória!A:S,2,FALSE)</f>
        <v>40680</v>
      </c>
      <c r="C172" s="318" t="str">
        <f>VLOOKUP(A172,Memória!A:S,3,FALSE)</f>
        <v>Descida d'água concreto simples (degraus) c/ caiação (DSA-03) degrau</v>
      </c>
      <c r="D172" s="319" t="str">
        <f>VLOOKUP(A172,Memória!A:T,20,FALSE)</f>
        <v>M</v>
      </c>
      <c r="E172" s="320">
        <f>VLOOKUP(A172,Memória!A:S,19,FALSE)</f>
        <v>223.5</v>
      </c>
    </row>
    <row r="173" spans="1:5" x14ac:dyDescent="0.2">
      <c r="A173" s="501" t="s">
        <v>574</v>
      </c>
      <c r="B173" s="317">
        <f>VLOOKUP(A173,Memória!A:S,2,FALSE)</f>
        <v>40682</v>
      </c>
      <c r="C173" s="318" t="str">
        <f>VLOOKUP(A173,Memória!A:S,3,FALSE)</f>
        <v>Descida d'água concreto simples (degraus) c/ caiação (DSA-03) dispersor</v>
      </c>
      <c r="D173" s="319" t="str">
        <f>VLOOKUP(A173,Memória!A:T,20,FALSE)</f>
        <v>Ud</v>
      </c>
      <c r="E173" s="320">
        <f>VLOOKUP(A173,Memória!A:S,19,FALSE)</f>
        <v>36</v>
      </c>
    </row>
    <row r="174" spans="1:5" ht="30" x14ac:dyDescent="0.2">
      <c r="A174" s="501" t="s">
        <v>575</v>
      </c>
      <c r="B174" s="317">
        <f>VLOOKUP(A174,Memória!A:S,2,FALSE)</f>
        <v>40646</v>
      </c>
      <c r="C174" s="318" t="str">
        <f>VLOOKUP(A174,Memória!A:S,3,FALSE)</f>
        <v>Dreno profundo D = 0,20 m com enchimento de areia, escavação em material 1ª categoria ( DPS-01), inclusive transporte da areia e do tubo</v>
      </c>
      <c r="D174" s="319" t="str">
        <f>VLOOKUP(A174,Memória!A:T,20,FALSE)</f>
        <v>M</v>
      </c>
      <c r="E174" s="320">
        <f>VLOOKUP(A174,Memória!A:S,19,FALSE)</f>
        <v>1815</v>
      </c>
    </row>
    <row r="175" spans="1:5" s="302" customFormat="1" x14ac:dyDescent="0.2">
      <c r="A175" s="501" t="s">
        <v>576</v>
      </c>
      <c r="B175" s="317">
        <f>VLOOKUP(A175,Memória!A:S,2,FALSE)</f>
        <v>40656</v>
      </c>
      <c r="C175" s="318" t="str">
        <f>VLOOKUP(A175,Memória!A:S,3,FALSE)</f>
        <v>Boca de saída de dreno profundo BSD-01</v>
      </c>
      <c r="D175" s="319" t="str">
        <f>VLOOKUP(A175,Memória!A:T,20,FALSE)</f>
        <v>Ud</v>
      </c>
      <c r="E175" s="320">
        <f>VLOOKUP(A175,Memória!A:S,19,FALSE)</f>
        <v>10</v>
      </c>
    </row>
    <row r="176" spans="1:5" s="302" customFormat="1" x14ac:dyDescent="0.2">
      <c r="A176" s="501" t="s">
        <v>577</v>
      </c>
      <c r="B176" s="317" t="str">
        <f>VLOOKUP(A176,Memória!A:S,2,FALSE)</f>
        <v>PR-019</v>
      </c>
      <c r="C176" s="318" t="str">
        <f>VLOOKUP(A176,Memória!A:S,3,FALSE)</f>
        <v>Descida D'Água Tipo  DSC-01 entrada</v>
      </c>
      <c r="D176" s="319" t="str">
        <f>VLOOKUP(A176,Memória!A:T,20,FALSE)</f>
        <v>Um</v>
      </c>
      <c r="E176" s="320">
        <f>VLOOKUP(A176,Memória!A:S,19,FALSE)</f>
        <v>1</v>
      </c>
    </row>
    <row r="177" spans="1:5" s="302" customFormat="1" x14ac:dyDescent="0.2">
      <c r="A177" s="501" t="s">
        <v>578</v>
      </c>
      <c r="B177" s="317" t="str">
        <f>VLOOKUP(A177,Memória!A:S,2,FALSE)</f>
        <v>PR-020</v>
      </c>
      <c r="C177" s="318" t="str">
        <f>VLOOKUP(A177,Memória!A:S,3,FALSE)</f>
        <v>Descida D'Água Tipo  DSC-01 canal</v>
      </c>
      <c r="D177" s="319" t="str">
        <f>VLOOKUP(A177,Memória!A:T,20,FALSE)</f>
        <v>M</v>
      </c>
      <c r="E177" s="320">
        <f>VLOOKUP(A177,Memória!A:S,19,FALSE)</f>
        <v>3</v>
      </c>
    </row>
    <row r="178" spans="1:5" s="302" customFormat="1" x14ac:dyDescent="0.2">
      <c r="A178" s="501" t="s">
        <v>579</v>
      </c>
      <c r="B178" s="317" t="str">
        <f>VLOOKUP(A178,Memória!A:S,2,FALSE)</f>
        <v>PR-021</v>
      </c>
      <c r="C178" s="318" t="str">
        <f>VLOOKUP(A178,Memória!A:S,3,FALSE)</f>
        <v>Descida D'Água Tipo  DSC-01 degrau</v>
      </c>
      <c r="D178" s="319" t="str">
        <f>VLOOKUP(A178,Memória!A:T,20,FALSE)</f>
        <v>M</v>
      </c>
      <c r="E178" s="762">
        <f>VLOOKUP(A178,Memória!A:S,19,FALSE)</f>
        <v>30</v>
      </c>
    </row>
    <row r="179" spans="1:5" s="300" customFormat="1" x14ac:dyDescent="0.2">
      <c r="A179" s="497">
        <v>6</v>
      </c>
      <c r="B179" s="539"/>
      <c r="C179" s="314" t="str">
        <f>VLOOKUP(A179,Memória!A:S,3,FALSE)</f>
        <v>SINALIZAÇÃO</v>
      </c>
      <c r="D179" s="537"/>
      <c r="E179" s="761"/>
    </row>
    <row r="180" spans="1:5" s="302" customFormat="1" x14ac:dyDescent="0.2">
      <c r="A180" s="501" t="s">
        <v>139</v>
      </c>
      <c r="B180" s="317" t="s">
        <v>684</v>
      </c>
      <c r="C180" s="318" t="str">
        <f>VLOOKUP(A180,Memória!A:S,3,FALSE)</f>
        <v>Cerca Arame farpado, 4 fios,  mourões de madeira e esticador de concreto a cada 40m</v>
      </c>
      <c r="D180" s="319" t="str">
        <f>VLOOKUP(A180,Memória!A:T,20,FALSE)</f>
        <v>M</v>
      </c>
      <c r="E180" s="320">
        <f>VLOOKUP(A180,Memória!A:S,19,FALSE)</f>
        <v>7944.34</v>
      </c>
    </row>
    <row r="181" spans="1:5" s="302" customFormat="1" x14ac:dyDescent="0.2">
      <c r="A181" s="501" t="s">
        <v>141</v>
      </c>
      <c r="B181" s="317">
        <f>VLOOKUP(A181,Memória!A:S,2,FALSE)</f>
        <v>40929</v>
      </c>
      <c r="C181" s="318" t="str">
        <f>VLOOKUP(A181,Memória!A:S,3,FALSE)</f>
        <v>Defensa metálica (1 lâmina com espessura = 3 mm), fornecimento e colocação</v>
      </c>
      <c r="D181" s="319" t="str">
        <f>VLOOKUP(A181,Memória!A:T,20,FALSE)</f>
        <v>M</v>
      </c>
      <c r="E181" s="320">
        <f>VLOOKUP(A181,Memória!A:S,19,FALSE)</f>
        <v>2260</v>
      </c>
    </row>
    <row r="182" spans="1:5" s="302" customFormat="1" x14ac:dyDescent="0.2">
      <c r="A182" s="501" t="s">
        <v>583</v>
      </c>
      <c r="B182" s="317">
        <f>VLOOKUP(A182,Memória!A:S,2,FALSE)</f>
        <v>41109</v>
      </c>
      <c r="C182" s="318" t="str">
        <f>VLOOKUP(A182,Memória!A:S,3,FALSE)</f>
        <v>Demolição de cerca de madeira com 4 fios</v>
      </c>
      <c r="D182" s="319" t="str">
        <f>VLOOKUP(A182,Memória!A:T,20,FALSE)</f>
        <v>M</v>
      </c>
      <c r="E182" s="320">
        <f>VLOOKUP(A182,Memória!A:S,19,FALSE)</f>
        <v>6669.34</v>
      </c>
    </row>
    <row r="183" spans="1:5" s="302" customFormat="1" ht="30" x14ac:dyDescent="0.2">
      <c r="A183" s="501" t="s">
        <v>585</v>
      </c>
      <c r="B183" s="317">
        <f>VLOOKUP(A183,Memória!A:S,2,FALSE)</f>
        <v>40915</v>
      </c>
      <c r="C183" s="318" t="str">
        <f>VLOOKUP(A183,Memória!A:S,3,FALSE)</f>
        <v>Calçada de concreto fck=15 MP, camurçado c/ argam. cimento e areia 1:4, lastro de brita e 8 cm de concreto, incl. preparo da caixa e transp. da brita</v>
      </c>
      <c r="D183" s="319" t="str">
        <f>VLOOKUP(A183,Memória!A:T,20,FALSE)</f>
        <v>M2</v>
      </c>
      <c r="E183" s="320">
        <f>VLOOKUP(A183,Memória!A:S,19,FALSE)</f>
        <v>1187.7</v>
      </c>
    </row>
    <row r="184" spans="1:5" s="299" customFormat="1" x14ac:dyDescent="0.2">
      <c r="A184" s="501"/>
      <c r="B184" s="538"/>
      <c r="C184" s="771" t="s">
        <v>603</v>
      </c>
      <c r="D184" s="536"/>
      <c r="E184" s="320"/>
    </row>
    <row r="185" spans="1:5" x14ac:dyDescent="0.2">
      <c r="A185" s="501" t="s">
        <v>586</v>
      </c>
      <c r="B185" s="538">
        <v>40936</v>
      </c>
      <c r="C185" s="318" t="str">
        <f>VLOOKUP(A185,Memória!A:S,3,FALSE)</f>
        <v>Circular -  Ø  0,75m</v>
      </c>
      <c r="D185" s="536" t="str">
        <f>VLOOKUP(A185,Memória!A:T,20,FALSE)</f>
        <v>M2</v>
      </c>
      <c r="E185" s="320">
        <f>VLOOKUP(A185,Memória!A:S,19,FALSE)</f>
        <v>4.4000000000000004</v>
      </c>
    </row>
    <row r="186" spans="1:5" s="302" customFormat="1" x14ac:dyDescent="0.2">
      <c r="A186" s="501" t="s">
        <v>587</v>
      </c>
      <c r="B186" s="538">
        <v>40936</v>
      </c>
      <c r="C186" s="318" t="str">
        <f>VLOOKUP(A186,Memória!A:S,3,FALSE)</f>
        <v>Quadrada - 0,60 x 0,60m</v>
      </c>
      <c r="D186" s="319" t="str">
        <f>VLOOKUP(A186,Memória!A:T,20,FALSE)</f>
        <v>M2</v>
      </c>
      <c r="E186" s="320">
        <f>VLOOKUP(A186,Memória!A:S,19,FALSE)</f>
        <v>10.44</v>
      </c>
    </row>
    <row r="187" spans="1:5" s="302" customFormat="1" x14ac:dyDescent="0.2">
      <c r="A187" s="501" t="s">
        <v>588</v>
      </c>
      <c r="B187" s="538">
        <v>40936</v>
      </c>
      <c r="C187" s="318" t="str">
        <f>VLOOKUP(A187,Memória!A:S,3,FALSE)</f>
        <v>Retangular -  2,00 x 0,50m</v>
      </c>
      <c r="D187" s="319" t="str">
        <f>VLOOKUP(A187,Memória!A:T,20,FALSE)</f>
        <v>M2</v>
      </c>
      <c r="E187" s="320">
        <f>VLOOKUP(A187,Memória!A:S,19,FALSE)</f>
        <v>1</v>
      </c>
    </row>
    <row r="188" spans="1:5" s="302" customFormat="1" x14ac:dyDescent="0.2">
      <c r="A188" s="501" t="s">
        <v>589</v>
      </c>
      <c r="B188" s="538">
        <v>40936</v>
      </c>
      <c r="C188" s="318" t="str">
        <f>VLOOKUP(A188,Memória!A:S,3,FALSE)</f>
        <v>Retangular -  2,00 x 1,00m</v>
      </c>
      <c r="D188" s="319" t="str">
        <f>VLOOKUP(A188,Memória!A:T,20,FALSE)</f>
        <v>M2</v>
      </c>
      <c r="E188" s="320">
        <f>VLOOKUP(A188,Memória!A:S,19,FALSE)</f>
        <v>12</v>
      </c>
    </row>
    <row r="189" spans="1:5" s="302" customFormat="1" x14ac:dyDescent="0.2">
      <c r="A189" s="501" t="s">
        <v>590</v>
      </c>
      <c r="B189" s="538">
        <v>40936</v>
      </c>
      <c r="C189" s="318" t="str">
        <f>VLOOKUP(A189,Memória!A:S,3,FALSE)</f>
        <v>Retangular -  2,50 x 1,00m</v>
      </c>
      <c r="D189" s="319" t="str">
        <f>VLOOKUP(A189,Memória!A:T,20,FALSE)</f>
        <v>M2</v>
      </c>
      <c r="E189" s="320">
        <f>VLOOKUP(A189,Memória!A:S,19,FALSE)</f>
        <v>2.5</v>
      </c>
    </row>
    <row r="190" spans="1:5" s="302" customFormat="1" x14ac:dyDescent="0.2">
      <c r="A190" s="501" t="s">
        <v>591</v>
      </c>
      <c r="B190" s="538">
        <v>40936</v>
      </c>
      <c r="C190" s="318" t="str">
        <f>VLOOKUP(A190,Memória!A:S,3,FALSE)</f>
        <v>Retangular -  0,50 x 0,80m</v>
      </c>
      <c r="D190" s="319" t="str">
        <f>VLOOKUP(A190,Memória!A:T,20,FALSE)</f>
        <v>M2</v>
      </c>
      <c r="E190" s="320">
        <f>VLOOKUP(A190,Memória!A:S,19,FALSE)</f>
        <v>3.2</v>
      </c>
    </row>
    <row r="191" spans="1:5" s="302" customFormat="1" x14ac:dyDescent="0.2">
      <c r="A191" s="501" t="s">
        <v>592</v>
      </c>
      <c r="B191" s="538">
        <v>40936</v>
      </c>
      <c r="C191" s="318" t="str">
        <f>VLOOKUP(A191,Memória!A:S,3,FALSE)</f>
        <v>Octogonal - L = 0,35m</v>
      </c>
      <c r="D191" s="319" t="str">
        <f>VLOOKUP(A191,Memória!A:T,20,FALSE)</f>
        <v>M2</v>
      </c>
      <c r="E191" s="320">
        <f>VLOOKUP(A191,Memória!A:S,19,FALSE)</f>
        <v>1.77</v>
      </c>
    </row>
    <row r="192" spans="1:5" s="302" customFormat="1" x14ac:dyDescent="0.2">
      <c r="A192" s="501" t="s">
        <v>593</v>
      </c>
      <c r="B192" s="538">
        <v>40936</v>
      </c>
      <c r="C192" s="318" t="str">
        <f>VLOOKUP(A192,Memória!A:S,3,FALSE)</f>
        <v>Delineador  - 0,50 x 0,60m</v>
      </c>
      <c r="D192" s="319" t="str">
        <f>VLOOKUP(A192,Memória!A:T,20,FALSE)</f>
        <v>M2</v>
      </c>
      <c r="E192" s="320">
        <f>VLOOKUP(A192,Memória!A:S,19,FALSE)</f>
        <v>1.08</v>
      </c>
    </row>
    <row r="193" spans="1:5" s="302" customFormat="1" x14ac:dyDescent="0.2">
      <c r="A193" s="501" t="s">
        <v>594</v>
      </c>
      <c r="B193" s="538">
        <v>40936</v>
      </c>
      <c r="C193" s="318" t="str">
        <f>VLOOKUP(A193,Memória!A:S,3,FALSE)</f>
        <v>Marcador de Obstáculos - 0,30 x 0,90m</v>
      </c>
      <c r="D193" s="319" t="str">
        <f>VLOOKUP(A193,Memória!A:T,20,FALSE)</f>
        <v>M2</v>
      </c>
      <c r="E193" s="320">
        <f>VLOOKUP(A193,Memória!A:S,19,FALSE)</f>
        <v>44.4</v>
      </c>
    </row>
    <row r="194" spans="1:5" s="302" customFormat="1" x14ac:dyDescent="0.2">
      <c r="A194" s="501"/>
      <c r="B194" s="317"/>
      <c r="C194" s="771" t="s">
        <v>616</v>
      </c>
      <c r="D194" s="319"/>
      <c r="E194" s="320"/>
    </row>
    <row r="195" spans="1:5" s="299" customFormat="1" x14ac:dyDescent="0.2">
      <c r="A195" s="501" t="s">
        <v>595</v>
      </c>
      <c r="B195" s="317">
        <v>40926</v>
      </c>
      <c r="C195" s="318" t="str">
        <f>VLOOKUP(A195,Memória!A:S,3,FALSE)</f>
        <v>Eixo - Rodovia</v>
      </c>
      <c r="D195" s="319" t="str">
        <f>VLOOKUP(A195,Memória!A:T,20,FALSE)</f>
        <v>M2</v>
      </c>
      <c r="E195" s="320">
        <f>VLOOKUP(A195,Memória!A:S,19,FALSE)</f>
        <v>890.93</v>
      </c>
    </row>
    <row r="196" spans="1:5" x14ac:dyDescent="0.2">
      <c r="A196" s="501" t="s">
        <v>596</v>
      </c>
      <c r="B196" s="317">
        <v>40926</v>
      </c>
      <c r="C196" s="318" t="str">
        <f>VLOOKUP(A196,Memória!A:S,3,FALSE)</f>
        <v>Bordo - Rodovia</v>
      </c>
      <c r="D196" s="319" t="str">
        <f>VLOOKUP(A196,Memória!A:T,20,FALSE)</f>
        <v>M2</v>
      </c>
      <c r="E196" s="320">
        <f>VLOOKUP(A196,Memória!A:S,19,FALSE)</f>
        <v>887.02</v>
      </c>
    </row>
    <row r="197" spans="1:5" x14ac:dyDescent="0.2">
      <c r="A197" s="501" t="s">
        <v>597</v>
      </c>
      <c r="B197" s="317">
        <v>40926</v>
      </c>
      <c r="C197" s="318" t="str">
        <f>VLOOKUP(A197,Memória!A:S,3,FALSE)</f>
        <v>Zebrado</v>
      </c>
      <c r="D197" s="319" t="str">
        <f>VLOOKUP(A197,Memória!A:T,20,FALSE)</f>
        <v>M2</v>
      </c>
      <c r="E197" s="320">
        <f>VLOOKUP(A197,Memória!A:S,19,FALSE)</f>
        <v>16.96</v>
      </c>
    </row>
    <row r="198" spans="1:5" x14ac:dyDescent="0.2">
      <c r="A198" s="501" t="s">
        <v>598</v>
      </c>
      <c r="B198" s="317">
        <v>40926</v>
      </c>
      <c r="C198" s="318" t="str">
        <f>VLOOKUP(A198,Memória!A:S,3,FALSE)</f>
        <v>Eixo - Interseção Água Pretinha</v>
      </c>
      <c r="D198" s="319" t="str">
        <f>VLOOKUP(A198,Memória!A:T,20,FALSE)</f>
        <v>M2</v>
      </c>
      <c r="E198" s="320">
        <f>VLOOKUP(A198,Memória!A:S,19,FALSE)</f>
        <v>6.07</v>
      </c>
    </row>
    <row r="199" spans="1:5" x14ac:dyDescent="0.2">
      <c r="A199" s="501" t="s">
        <v>599</v>
      </c>
      <c r="B199" s="317">
        <v>40926</v>
      </c>
      <c r="C199" s="318" t="str">
        <f>VLOOKUP(A199,Memória!A:S,3,FALSE)</f>
        <v>Bordo -  Interseção Água Pretinha</v>
      </c>
      <c r="D199" s="319" t="str">
        <f>VLOOKUP(A199,Memória!A:T,20,FALSE)</f>
        <v>M2</v>
      </c>
      <c r="E199" s="320">
        <f>VLOOKUP(A199,Memória!A:S,19,FALSE)</f>
        <v>64.540000000000006</v>
      </c>
    </row>
    <row r="200" spans="1:5" x14ac:dyDescent="0.2">
      <c r="A200" s="501" t="s">
        <v>600</v>
      </c>
      <c r="B200" s="317">
        <v>40926</v>
      </c>
      <c r="C200" s="318" t="str">
        <f>VLOOKUP(A200,Memória!A:S,3,FALSE)</f>
        <v>Zebrado - Interseção Água Pretinha</v>
      </c>
      <c r="D200" s="536" t="str">
        <f>VLOOKUP(A200,Memória!A:T,20,FALSE)</f>
        <v>M2</v>
      </c>
      <c r="E200" s="320">
        <f>VLOOKUP(A200,Memória!A:S,19,FALSE)</f>
        <v>22.91</v>
      </c>
    </row>
    <row r="201" spans="1:5" s="302" customFormat="1" x14ac:dyDescent="0.2">
      <c r="A201" s="501" t="s">
        <v>601</v>
      </c>
      <c r="B201" s="317">
        <v>40926</v>
      </c>
      <c r="C201" s="318" t="str">
        <f>VLOOKUP(A201,Memória!A:S,3,FALSE)</f>
        <v>Inscrições no Pavimento - Interseção Água Pretinha</v>
      </c>
      <c r="D201" s="319" t="str">
        <f>VLOOKUP(A201,Memória!A:T,20,FALSE)</f>
        <v>M2</v>
      </c>
      <c r="E201" s="320">
        <f>VLOOKUP(A201,Memória!A:S,19,FALSE)</f>
        <v>18.03</v>
      </c>
    </row>
    <row r="202" spans="1:5" s="302" customFormat="1" x14ac:dyDescent="0.2">
      <c r="A202" s="501"/>
      <c r="B202" s="317"/>
      <c r="C202" s="771" t="s">
        <v>399</v>
      </c>
      <c r="D202" s="319"/>
      <c r="E202" s="320"/>
    </row>
    <row r="203" spans="1:5" s="302" customFormat="1" x14ac:dyDescent="0.2">
      <c r="A203" s="501" t="s">
        <v>602</v>
      </c>
      <c r="B203" s="317">
        <v>40932</v>
      </c>
      <c r="C203" s="318" t="str">
        <f>VLOOKUP(A203,Memória!A:S,3,FALSE)</f>
        <v>Bordo - Acesso a Comunidade</v>
      </c>
      <c r="D203" s="319" t="str">
        <f>VLOOKUP(A203,Memória!A:T,20,FALSE)</f>
        <v>Ud</v>
      </c>
      <c r="E203" s="320">
        <f>VLOOKUP(A203,Memória!A:S,19,FALSE)</f>
        <v>20</v>
      </c>
    </row>
    <row r="204" spans="1:5" s="302" customFormat="1" x14ac:dyDescent="0.2">
      <c r="A204" s="501"/>
      <c r="B204" s="317"/>
      <c r="C204" s="771" t="s">
        <v>261</v>
      </c>
      <c r="D204" s="319"/>
      <c r="E204" s="320"/>
    </row>
    <row r="205" spans="1:5" s="302" customFormat="1" x14ac:dyDescent="0.2">
      <c r="A205" s="501" t="s">
        <v>610</v>
      </c>
      <c r="B205" s="317">
        <v>40934</v>
      </c>
      <c r="C205" s="318" t="str">
        <f>VLOOKUP(A205,Memória!A:S,3,FALSE)</f>
        <v>Eixo - Rodovia</v>
      </c>
      <c r="D205" s="319" t="str">
        <f>VLOOKUP(A205,Memória!A:T,20,FALSE)</f>
        <v>Ud</v>
      </c>
      <c r="E205" s="320">
        <f>VLOOKUP(A205,Memória!A:S,19,FALSE)</f>
        <v>1154</v>
      </c>
    </row>
    <row r="206" spans="1:5" s="302" customFormat="1" x14ac:dyDescent="0.2">
      <c r="A206" s="501" t="s">
        <v>611</v>
      </c>
      <c r="B206" s="317">
        <v>40934</v>
      </c>
      <c r="C206" s="318" t="str">
        <f>VLOOKUP(A206,Memória!A:S,3,FALSE)</f>
        <v>Bordo - Rodovia</v>
      </c>
      <c r="D206" s="319" t="str">
        <f>VLOOKUP(A206,Memória!A:T,20,FALSE)</f>
        <v>M2</v>
      </c>
      <c r="E206" s="320">
        <f>VLOOKUP(A206,Memória!A:S,19,FALSE)</f>
        <v>619</v>
      </c>
    </row>
    <row r="207" spans="1:5" s="302" customFormat="1" x14ac:dyDescent="0.2">
      <c r="A207" s="501" t="s">
        <v>612</v>
      </c>
      <c r="B207" s="317">
        <v>40934</v>
      </c>
      <c r="C207" s="318" t="str">
        <f>VLOOKUP(A207,Memória!A:S,3,FALSE)</f>
        <v>Eixo - Acesso a Comunidade</v>
      </c>
      <c r="D207" s="319" t="str">
        <f>VLOOKUP(A207,Memória!A:T,20,FALSE)</f>
        <v>M2</v>
      </c>
      <c r="E207" s="320">
        <f>VLOOKUP(A207,Memória!A:S,19,FALSE)</f>
        <v>9</v>
      </c>
    </row>
    <row r="208" spans="1:5" s="302" customFormat="1" x14ac:dyDescent="0.2">
      <c r="A208" s="501" t="s">
        <v>617</v>
      </c>
      <c r="B208" s="317">
        <v>40934</v>
      </c>
      <c r="C208" s="318" t="str">
        <f>VLOOKUP(A208,Memória!A:S,3,FALSE)</f>
        <v>Bordo - Acesso a Comunidade</v>
      </c>
      <c r="D208" s="319" t="str">
        <f>VLOOKUP(A208,Memória!A:T,20,FALSE)</f>
        <v>M2</v>
      </c>
      <c r="E208" s="762">
        <f>VLOOKUP(A208,Memória!A:S,19,FALSE)</f>
        <v>23</v>
      </c>
    </row>
    <row r="209" spans="1:5" x14ac:dyDescent="0.2">
      <c r="A209" s="497">
        <v>7</v>
      </c>
      <c r="B209" s="539"/>
      <c r="C209" s="314" t="str">
        <f>VLOOKUP(A209,Memória!A:S,3,FALSE)</f>
        <v>RECUPERAÇÃO AMBIENTAL</v>
      </c>
      <c r="D209" s="537"/>
      <c r="E209" s="761"/>
    </row>
    <row r="210" spans="1:5" s="302" customFormat="1" x14ac:dyDescent="0.2">
      <c r="A210" s="501"/>
      <c r="B210" s="317"/>
      <c r="C210" s="771" t="s">
        <v>629</v>
      </c>
      <c r="D210" s="319"/>
      <c r="E210" s="320"/>
    </row>
    <row r="211" spans="1:5" x14ac:dyDescent="0.2">
      <c r="A211" s="501" t="str">
        <f>+Memória!A605</f>
        <v>7.1</v>
      </c>
      <c r="B211" s="317">
        <f>VLOOKUP(A211,Memória!A:S,2,FALSE)</f>
        <v>40171</v>
      </c>
      <c r="C211" s="318" t="str">
        <f>VLOOKUP(A211,Memória!A:S,3,FALSE)</f>
        <v>Destocamento de árvores com diâmetro de 15 a 30 cm, com trator de esteira</v>
      </c>
      <c r="D211" s="319" t="str">
        <f>VLOOKUP(A211,Memória!A:T,20,FALSE)</f>
        <v>Ud</v>
      </c>
      <c r="E211" s="320">
        <f>VLOOKUP(A211,Memória!A:S,19,FALSE)</f>
        <v>82</v>
      </c>
    </row>
    <row r="212" spans="1:5" s="302" customFormat="1" x14ac:dyDescent="0.2">
      <c r="A212" s="501"/>
      <c r="B212" s="317"/>
      <c r="C212" s="771" t="s">
        <v>630</v>
      </c>
      <c r="D212" s="319"/>
      <c r="E212" s="320"/>
    </row>
    <row r="213" spans="1:5" x14ac:dyDescent="0.2">
      <c r="A213" s="502" t="s">
        <v>221</v>
      </c>
      <c r="B213" s="317">
        <f>VLOOKUP(A213,Memória!A:S,2,FALSE)</f>
        <v>42200</v>
      </c>
      <c r="C213" s="318" t="str">
        <f>VLOOKUP(A213,Memória!A:S,3,FALSE)</f>
        <v>Hidrossemeadura simples em taludes</v>
      </c>
      <c r="D213" s="319" t="str">
        <f>VLOOKUP(A213,Memória!A:T,20,FALSE)</f>
        <v>M2</v>
      </c>
      <c r="E213" s="320">
        <f>VLOOKUP(A213,Memória!A:S,19,FALSE)</f>
        <v>59574</v>
      </c>
    </row>
    <row r="214" spans="1:5" x14ac:dyDescent="0.2">
      <c r="A214" s="501" t="s">
        <v>308</v>
      </c>
      <c r="B214" s="538">
        <f>VLOOKUP(A214,Memória!A:S,2,FALSE)</f>
        <v>42044</v>
      </c>
      <c r="C214" s="318" t="str">
        <f>VLOOKUP(A214,Memória!A:S,3,FALSE)</f>
        <v>Reunião de Comunicação Social inclusive material de consumo</v>
      </c>
      <c r="D214" s="536" t="str">
        <f>VLOOKUP(A214,Memória!A:T,20,FALSE)</f>
        <v>Ud</v>
      </c>
      <c r="E214" s="320">
        <f>VLOOKUP(A214,Memória!A:S,19,FALSE)</f>
        <v>2</v>
      </c>
    </row>
  </sheetData>
  <mergeCells count="6">
    <mergeCell ref="A1:E1"/>
    <mergeCell ref="A2:E2"/>
    <mergeCell ref="A3:B3"/>
    <mergeCell ref="C3:C4"/>
    <mergeCell ref="D3:D4"/>
    <mergeCell ref="E3:E4"/>
  </mergeCells>
  <printOptions horizontalCentered="1" gridLines="1"/>
  <pageMargins left="0.59055118110236227" right="0.78740157480314965" top="0.78740157480314965" bottom="0.78740157480314965" header="0.31496062992125984" footer="0.31496062992125984"/>
  <pageSetup paperSize="9" scale="70" firstPageNumber="12" orientation="portrait" useFirstPageNumber="1" horizontalDpi="4294967295" verticalDpi="4294967295" r:id="rId1"/>
  <headerFooter scaleWithDoc="0"/>
  <rowBreaks count="2" manualBreakCount="2">
    <brk id="53" max="4" man="1"/>
    <brk id="100" max="4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G597"/>
  <sheetViews>
    <sheetView workbookViewId="0">
      <selection activeCell="F355" sqref="F355"/>
    </sheetView>
  </sheetViews>
  <sheetFormatPr defaultColWidth="9" defaultRowHeight="15" x14ac:dyDescent="0.25"/>
  <cols>
    <col min="1" max="1" width="9" style="477"/>
    <col min="2" max="2" width="85.125" style="476" customWidth="1"/>
    <col min="3" max="3" width="9" style="478"/>
    <col min="4" max="4" width="8.875" style="478" bestFit="1" customWidth="1"/>
    <col min="5" max="16384" width="9" style="198"/>
  </cols>
  <sheetData>
    <row r="1" spans="1:4" x14ac:dyDescent="0.25">
      <c r="A1" s="471" t="s">
        <v>2289</v>
      </c>
      <c r="D1" s="472" t="s">
        <v>2290</v>
      </c>
    </row>
    <row r="2" spans="1:4" x14ac:dyDescent="0.25">
      <c r="A2" s="471"/>
      <c r="B2" s="480" t="s">
        <v>323</v>
      </c>
      <c r="D2" s="472"/>
    </row>
    <row r="3" spans="1:4" ht="18" x14ac:dyDescent="0.2">
      <c r="A3" s="1133" t="s">
        <v>711</v>
      </c>
      <c r="B3" s="1133" t="s">
        <v>2421</v>
      </c>
      <c r="C3" s="1133" t="s">
        <v>713</v>
      </c>
      <c r="D3" s="1133" t="s">
        <v>2422</v>
      </c>
    </row>
    <row r="4" spans="1:4" s="617" customFormat="1" ht="12" customHeight="1" x14ac:dyDescent="0.2">
      <c r="A4" s="1134">
        <v>11013</v>
      </c>
      <c r="B4" s="616" t="s">
        <v>2423</v>
      </c>
      <c r="C4" s="614" t="s">
        <v>734</v>
      </c>
      <c r="D4" s="1135">
        <v>0.44</v>
      </c>
    </row>
    <row r="5" spans="1:4" s="617" customFormat="1" ht="12" customHeight="1" x14ac:dyDescent="0.2">
      <c r="A5" s="1134">
        <v>10714</v>
      </c>
      <c r="B5" s="616" t="s">
        <v>2424</v>
      </c>
      <c r="C5" s="614" t="s">
        <v>734</v>
      </c>
      <c r="D5" s="1140">
        <v>82.05</v>
      </c>
    </row>
    <row r="6" spans="1:4" s="617" customFormat="1" ht="12" customHeight="1" x14ac:dyDescent="0.2">
      <c r="A6" s="1134">
        <v>10186</v>
      </c>
      <c r="B6" s="616" t="s">
        <v>2425</v>
      </c>
      <c r="C6" s="614" t="s">
        <v>926</v>
      </c>
      <c r="D6" s="1140">
        <v>53</v>
      </c>
    </row>
    <row r="7" spans="1:4" s="617" customFormat="1" ht="12" customHeight="1" x14ac:dyDescent="0.2">
      <c r="A7" s="1134">
        <v>10645</v>
      </c>
      <c r="B7" s="616" t="s">
        <v>2426</v>
      </c>
      <c r="C7" s="614" t="s">
        <v>838</v>
      </c>
      <c r="D7" s="1140">
        <v>111.18</v>
      </c>
    </row>
    <row r="8" spans="1:4" s="617" customFormat="1" ht="12" customHeight="1" x14ac:dyDescent="0.2">
      <c r="A8" s="1134">
        <v>10625</v>
      </c>
      <c r="B8" s="616" t="s">
        <v>2427</v>
      </c>
      <c r="C8" s="614" t="s">
        <v>838</v>
      </c>
      <c r="D8" s="1140">
        <v>66.069999999999993</v>
      </c>
    </row>
    <row r="9" spans="1:4" s="617" customFormat="1" ht="12" customHeight="1" x14ac:dyDescent="0.2">
      <c r="A9" s="1134">
        <v>10133</v>
      </c>
      <c r="B9" s="616" t="s">
        <v>2428</v>
      </c>
      <c r="C9" s="614" t="s">
        <v>926</v>
      </c>
      <c r="D9" s="1135">
        <v>7.3</v>
      </c>
    </row>
    <row r="10" spans="1:4" s="617" customFormat="1" ht="12" customHeight="1" x14ac:dyDescent="0.2">
      <c r="A10" s="1134">
        <v>10131</v>
      </c>
      <c r="B10" s="616" t="s">
        <v>2429</v>
      </c>
      <c r="C10" s="614" t="s">
        <v>926</v>
      </c>
      <c r="D10" s="1135">
        <v>7.3</v>
      </c>
    </row>
    <row r="11" spans="1:4" s="617" customFormat="1" ht="12" customHeight="1" x14ac:dyDescent="0.2">
      <c r="A11" s="1134">
        <v>10132</v>
      </c>
      <c r="B11" s="616" t="s">
        <v>2430</v>
      </c>
      <c r="C11" s="614" t="s">
        <v>926</v>
      </c>
      <c r="D11" s="1135">
        <v>7.3</v>
      </c>
    </row>
    <row r="12" spans="1:4" s="617" customFormat="1" ht="12" customHeight="1" x14ac:dyDescent="0.2">
      <c r="A12" s="1134">
        <v>10130</v>
      </c>
      <c r="B12" s="616" t="s">
        <v>2431</v>
      </c>
      <c r="C12" s="614" t="s">
        <v>926</v>
      </c>
      <c r="D12" s="1135">
        <v>6.94</v>
      </c>
    </row>
    <row r="13" spans="1:4" s="617" customFormat="1" ht="12" customHeight="1" x14ac:dyDescent="0.2">
      <c r="A13" s="1134">
        <v>11570</v>
      </c>
      <c r="B13" s="616" t="s">
        <v>2432</v>
      </c>
      <c r="C13" s="614" t="s">
        <v>926</v>
      </c>
      <c r="D13" s="1135">
        <v>6.29</v>
      </c>
    </row>
    <row r="14" spans="1:4" s="617" customFormat="1" ht="12" customHeight="1" x14ac:dyDescent="0.2">
      <c r="A14" s="1134">
        <v>11569</v>
      </c>
      <c r="B14" s="616" t="s">
        <v>2433</v>
      </c>
      <c r="C14" s="614" t="s">
        <v>926</v>
      </c>
      <c r="D14" s="1135">
        <v>7.16</v>
      </c>
    </row>
    <row r="15" spans="1:4" s="617" customFormat="1" ht="12" customHeight="1" x14ac:dyDescent="0.2">
      <c r="A15" s="1134">
        <v>10129</v>
      </c>
      <c r="B15" s="616" t="s">
        <v>2434</v>
      </c>
      <c r="C15" s="614" t="s">
        <v>926</v>
      </c>
      <c r="D15" s="1135">
        <v>6.87</v>
      </c>
    </row>
    <row r="16" spans="1:4" s="617" customFormat="1" ht="12" customHeight="1" x14ac:dyDescent="0.2">
      <c r="A16" s="1134">
        <v>10127</v>
      </c>
      <c r="B16" s="616" t="s">
        <v>2435</v>
      </c>
      <c r="C16" s="614" t="s">
        <v>926</v>
      </c>
      <c r="D16" s="1135">
        <v>5.89</v>
      </c>
    </row>
    <row r="17" spans="1:7" s="617" customFormat="1" ht="12" customHeight="1" x14ac:dyDescent="0.2">
      <c r="A17" s="1134">
        <v>10128</v>
      </c>
      <c r="B17" s="616" t="s">
        <v>2436</v>
      </c>
      <c r="C17" s="614" t="s">
        <v>926</v>
      </c>
      <c r="D17" s="1135">
        <v>6.8</v>
      </c>
    </row>
    <row r="18" spans="1:7" s="617" customFormat="1" ht="12" customHeight="1" x14ac:dyDescent="0.2">
      <c r="A18" s="1134">
        <v>10801</v>
      </c>
      <c r="B18" s="616" t="s">
        <v>2437</v>
      </c>
      <c r="C18" s="614" t="s">
        <v>926</v>
      </c>
      <c r="D18" s="1135">
        <v>6.15</v>
      </c>
    </row>
    <row r="19" spans="1:7" s="617" customFormat="1" ht="12" customHeight="1" x14ac:dyDescent="0.2">
      <c r="A19" s="1134">
        <v>10202</v>
      </c>
      <c r="B19" s="616" t="s">
        <v>2438</v>
      </c>
      <c r="C19" s="614" t="s">
        <v>926</v>
      </c>
      <c r="D19" s="1135">
        <v>9.34</v>
      </c>
    </row>
    <row r="20" spans="1:7" s="617" customFormat="1" ht="12" customHeight="1" x14ac:dyDescent="0.2">
      <c r="A20" s="1134">
        <v>10799</v>
      </c>
      <c r="B20" s="616" t="s">
        <v>2439</v>
      </c>
      <c r="C20" s="614" t="s">
        <v>838</v>
      </c>
      <c r="D20" s="1140">
        <v>70.22</v>
      </c>
    </row>
    <row r="21" spans="1:7" s="617" customFormat="1" ht="12" customHeight="1" x14ac:dyDescent="0.2">
      <c r="A21" s="1134">
        <v>10769</v>
      </c>
      <c r="B21" s="616" t="s">
        <v>2440</v>
      </c>
      <c r="C21" s="616" t="s">
        <v>2441</v>
      </c>
      <c r="D21" s="1140">
        <v>35.72</v>
      </c>
    </row>
    <row r="22" spans="1:7" s="617" customFormat="1" ht="12" customHeight="1" x14ac:dyDescent="0.2">
      <c r="A22" s="1134">
        <v>10770</v>
      </c>
      <c r="B22" s="616" t="s">
        <v>2442</v>
      </c>
      <c r="C22" s="616" t="s">
        <v>2441</v>
      </c>
      <c r="D22" s="1140">
        <v>89.96</v>
      </c>
    </row>
    <row r="23" spans="1:7" s="617" customFormat="1" ht="12" customHeight="1" x14ac:dyDescent="0.2">
      <c r="A23" s="1134">
        <v>10762</v>
      </c>
      <c r="B23" s="616" t="s">
        <v>2443</v>
      </c>
      <c r="C23" s="614" t="s">
        <v>2444</v>
      </c>
      <c r="D23" s="1140">
        <v>66.849999999999994</v>
      </c>
    </row>
    <row r="24" spans="1:7" s="617" customFormat="1" ht="12" customHeight="1" x14ac:dyDescent="0.2">
      <c r="A24" s="1134">
        <v>10574</v>
      </c>
      <c r="B24" s="616" t="s">
        <v>2445</v>
      </c>
      <c r="C24" s="614" t="s">
        <v>926</v>
      </c>
      <c r="D24" s="1135">
        <v>1.32</v>
      </c>
    </row>
    <row r="25" spans="1:7" s="617" customFormat="1" ht="12" customHeight="1" x14ac:dyDescent="0.2">
      <c r="A25" s="1134">
        <v>10557</v>
      </c>
      <c r="B25" s="616" t="s">
        <v>2446</v>
      </c>
      <c r="C25" s="614" t="s">
        <v>719</v>
      </c>
      <c r="D25" s="1135">
        <v>8.4499999999999993</v>
      </c>
    </row>
    <row r="26" spans="1:7" s="617" customFormat="1" ht="12" customHeight="1" x14ac:dyDescent="0.2">
      <c r="A26" s="1134">
        <v>10785</v>
      </c>
      <c r="B26" s="616" t="s">
        <v>2447</v>
      </c>
      <c r="C26" s="614" t="s">
        <v>2196</v>
      </c>
      <c r="D26" s="1140">
        <v>12.56</v>
      </c>
    </row>
    <row r="27" spans="1:7" s="617" customFormat="1" ht="12" customHeight="1" x14ac:dyDescent="0.2">
      <c r="A27" s="1134">
        <v>10035</v>
      </c>
      <c r="B27" s="616" t="s">
        <v>2448</v>
      </c>
      <c r="C27" s="614" t="s">
        <v>2196</v>
      </c>
      <c r="D27" s="1135">
        <v>3.6</v>
      </c>
    </row>
    <row r="28" spans="1:7" s="617" customFormat="1" ht="12" customHeight="1" x14ac:dyDescent="0.2">
      <c r="A28" s="1134">
        <v>102064</v>
      </c>
      <c r="B28" s="616" t="s">
        <v>2449</v>
      </c>
      <c r="C28" s="616" t="s">
        <v>1306</v>
      </c>
      <c r="D28" s="1140">
        <v>63.87</v>
      </c>
    </row>
    <row r="29" spans="1:7" s="617" customFormat="1" ht="12" customHeight="1" x14ac:dyDescent="0.2">
      <c r="A29" s="1134">
        <v>10591</v>
      </c>
      <c r="B29" s="616" t="s">
        <v>2450</v>
      </c>
      <c r="C29" s="616" t="s">
        <v>1306</v>
      </c>
      <c r="D29" s="1140">
        <v>274.19</v>
      </c>
    </row>
    <row r="30" spans="1:7" s="617" customFormat="1" ht="12" customHeight="1" x14ac:dyDescent="0.2">
      <c r="A30" s="1134">
        <v>10634</v>
      </c>
      <c r="B30" s="616" t="s">
        <v>2451</v>
      </c>
      <c r="C30" s="616" t="s">
        <v>1306</v>
      </c>
      <c r="D30" s="1140">
        <v>110</v>
      </c>
    </row>
    <row r="31" spans="1:7" s="617" customFormat="1" ht="12" customHeight="1" x14ac:dyDescent="0.2">
      <c r="A31" s="1134">
        <v>10579</v>
      </c>
      <c r="B31" s="616" t="s">
        <v>2452</v>
      </c>
      <c r="C31" s="616" t="s">
        <v>2453</v>
      </c>
      <c r="D31" s="1140">
        <v>30.6</v>
      </c>
      <c r="G31" s="721" t="s">
        <v>373</v>
      </c>
    </row>
    <row r="32" spans="1:7" s="617" customFormat="1" ht="12" customHeight="1" x14ac:dyDescent="0.2">
      <c r="A32" s="1134">
        <v>11490</v>
      </c>
      <c r="B32" s="616" t="s">
        <v>2454</v>
      </c>
      <c r="C32" s="616" t="s">
        <v>1306</v>
      </c>
      <c r="D32" s="1137">
        <v>3955.35</v>
      </c>
    </row>
    <row r="33" spans="1:4" s="617" customFormat="1" ht="12" customHeight="1" x14ac:dyDescent="0.2">
      <c r="A33" s="1134">
        <v>10587</v>
      </c>
      <c r="B33" s="616" t="s">
        <v>2455</v>
      </c>
      <c r="C33" s="616" t="s">
        <v>1306</v>
      </c>
      <c r="D33" s="1137">
        <v>2247.11</v>
      </c>
    </row>
    <row r="34" spans="1:4" s="617" customFormat="1" ht="12" customHeight="1" x14ac:dyDescent="0.2">
      <c r="A34" s="1134">
        <v>10589</v>
      </c>
      <c r="B34" s="616" t="s">
        <v>2456</v>
      </c>
      <c r="C34" s="616" t="s">
        <v>1306</v>
      </c>
      <c r="D34" s="1137">
        <v>4350.04</v>
      </c>
    </row>
    <row r="35" spans="1:4" s="617" customFormat="1" ht="12" customHeight="1" x14ac:dyDescent="0.2">
      <c r="A35" s="1134">
        <v>10590</v>
      </c>
      <c r="B35" s="616" t="s">
        <v>2457</v>
      </c>
      <c r="C35" s="616" t="s">
        <v>1306</v>
      </c>
      <c r="D35" s="1137">
        <v>3027.52</v>
      </c>
    </row>
    <row r="36" spans="1:4" s="617" customFormat="1" ht="12" customHeight="1" x14ac:dyDescent="0.2">
      <c r="A36" s="1134">
        <v>10588</v>
      </c>
      <c r="B36" s="616" t="s">
        <v>2458</v>
      </c>
      <c r="C36" s="616" t="s">
        <v>1306</v>
      </c>
      <c r="D36" s="1137">
        <v>3413.55</v>
      </c>
    </row>
    <row r="37" spans="1:4" s="617" customFormat="1" ht="12" customHeight="1" x14ac:dyDescent="0.2">
      <c r="A37" s="1134">
        <v>10582</v>
      </c>
      <c r="B37" s="616" t="s">
        <v>2459</v>
      </c>
      <c r="C37" s="616" t="s">
        <v>2460</v>
      </c>
      <c r="D37" s="1140">
        <v>460.06</v>
      </c>
    </row>
    <row r="38" spans="1:4" s="617" customFormat="1" ht="12" customHeight="1" x14ac:dyDescent="0.2">
      <c r="A38" s="1134">
        <v>10580</v>
      </c>
      <c r="B38" s="616" t="s">
        <v>2461</v>
      </c>
      <c r="C38" s="616" t="s">
        <v>1306</v>
      </c>
      <c r="D38" s="1137">
        <v>1222.69</v>
      </c>
    </row>
    <row r="39" spans="1:4" s="617" customFormat="1" ht="9.4" customHeight="1" x14ac:dyDescent="0.2">
      <c r="A39" s="1134">
        <v>10586</v>
      </c>
      <c r="B39" s="616" t="s">
        <v>2462</v>
      </c>
      <c r="C39" s="616" t="s">
        <v>1306</v>
      </c>
      <c r="D39" s="1137">
        <v>4680.87</v>
      </c>
    </row>
    <row r="40" spans="1:4" s="617" customFormat="1" ht="13.15" customHeight="1" x14ac:dyDescent="0.2">
      <c r="A40" s="1134">
        <v>10585</v>
      </c>
      <c r="B40" s="616" t="s">
        <v>2463</v>
      </c>
      <c r="C40" s="616" t="s">
        <v>1306</v>
      </c>
      <c r="D40" s="1137">
        <v>1878.59</v>
      </c>
    </row>
    <row r="41" spans="1:4" s="617" customFormat="1" ht="13.15" customHeight="1" x14ac:dyDescent="0.2">
      <c r="A41" s="1134">
        <v>10592</v>
      </c>
      <c r="B41" s="616" t="s">
        <v>2464</v>
      </c>
      <c r="C41" s="616" t="s">
        <v>1306</v>
      </c>
      <c r="D41" s="1140">
        <v>320</v>
      </c>
    </row>
    <row r="42" spans="1:4" s="617" customFormat="1" ht="13.15" customHeight="1" x14ac:dyDescent="0.2">
      <c r="A42" s="1134">
        <v>10662</v>
      </c>
      <c r="B42" s="616" t="s">
        <v>2465</v>
      </c>
      <c r="C42" s="614" t="s">
        <v>734</v>
      </c>
      <c r="D42" s="1135">
        <v>8.35</v>
      </c>
    </row>
    <row r="43" spans="1:4" s="617" customFormat="1" ht="13.15" customHeight="1" x14ac:dyDescent="0.2">
      <c r="A43" s="1134">
        <v>10659</v>
      </c>
      <c r="B43" s="616" t="s">
        <v>2466</v>
      </c>
      <c r="C43" s="614" t="s">
        <v>734</v>
      </c>
      <c r="D43" s="1135">
        <v>6.54</v>
      </c>
    </row>
    <row r="44" spans="1:4" s="617" customFormat="1" ht="13.15" customHeight="1" x14ac:dyDescent="0.2">
      <c r="A44" s="1134">
        <v>10650</v>
      </c>
      <c r="B44" s="616" t="s">
        <v>2467</v>
      </c>
      <c r="C44" s="614" t="s">
        <v>734</v>
      </c>
      <c r="D44" s="1140">
        <v>39.369999999999997</v>
      </c>
    </row>
    <row r="45" spans="1:4" s="617" customFormat="1" ht="13.15" customHeight="1" x14ac:dyDescent="0.2">
      <c r="A45" s="1134">
        <v>10675</v>
      </c>
      <c r="B45" s="616" t="s">
        <v>2468</v>
      </c>
      <c r="C45" s="614" t="s">
        <v>734</v>
      </c>
      <c r="D45" s="1137">
        <v>1564.03</v>
      </c>
    </row>
    <row r="46" spans="1:4" s="617" customFormat="1" ht="13.15" customHeight="1" x14ac:dyDescent="0.2">
      <c r="A46" s="1134">
        <v>10676</v>
      </c>
      <c r="B46" s="616" t="s">
        <v>2469</v>
      </c>
      <c r="C46" s="614" t="s">
        <v>734</v>
      </c>
      <c r="D46" s="1137">
        <v>1958.99</v>
      </c>
    </row>
    <row r="47" spans="1:4" s="617" customFormat="1" ht="13.15" customHeight="1" x14ac:dyDescent="0.2">
      <c r="A47" s="1134">
        <v>10677</v>
      </c>
      <c r="B47" s="616" t="s">
        <v>2470</v>
      </c>
      <c r="C47" s="614" t="s">
        <v>734</v>
      </c>
      <c r="D47" s="1137">
        <v>2654.11</v>
      </c>
    </row>
    <row r="48" spans="1:4" s="617" customFormat="1" ht="13.15" customHeight="1" x14ac:dyDescent="0.2">
      <c r="A48" s="1134">
        <v>10243</v>
      </c>
      <c r="B48" s="616" t="s">
        <v>2471</v>
      </c>
      <c r="C48" s="614" t="s">
        <v>734</v>
      </c>
      <c r="D48" s="1140">
        <v>294.05</v>
      </c>
    </row>
    <row r="49" spans="1:4" s="617" customFormat="1" ht="13.15" customHeight="1" x14ac:dyDescent="0.2">
      <c r="A49" s="1134">
        <v>10670</v>
      </c>
      <c r="B49" s="616" t="s">
        <v>2472</v>
      </c>
      <c r="C49" s="614" t="s">
        <v>838</v>
      </c>
      <c r="D49" s="1137">
        <v>3147.81</v>
      </c>
    </row>
    <row r="50" spans="1:4" s="617" customFormat="1" ht="13.15" customHeight="1" x14ac:dyDescent="0.2">
      <c r="A50" s="1134">
        <v>10857</v>
      </c>
      <c r="B50" s="616" t="s">
        <v>2473</v>
      </c>
      <c r="C50" s="614" t="s">
        <v>734</v>
      </c>
      <c r="D50" s="1140">
        <v>398.98</v>
      </c>
    </row>
    <row r="51" spans="1:4" s="617" customFormat="1" ht="13.15" customHeight="1" x14ac:dyDescent="0.2">
      <c r="A51" s="1134">
        <v>10367</v>
      </c>
      <c r="B51" s="616" t="s">
        <v>2474</v>
      </c>
      <c r="C51" s="614" t="s">
        <v>2475</v>
      </c>
      <c r="D51" s="1140">
        <v>141.58000000000001</v>
      </c>
    </row>
    <row r="52" spans="1:4" s="617" customFormat="1" ht="13.15" customHeight="1" x14ac:dyDescent="0.2">
      <c r="A52" s="1134">
        <v>11571</v>
      </c>
      <c r="B52" s="616" t="s">
        <v>2476</v>
      </c>
      <c r="C52" s="614" t="s">
        <v>734</v>
      </c>
      <c r="D52" s="1140">
        <v>766.47</v>
      </c>
    </row>
    <row r="53" spans="1:4" s="617" customFormat="1" ht="13.15" customHeight="1" x14ac:dyDescent="0.2">
      <c r="A53" s="1134">
        <v>10140</v>
      </c>
      <c r="B53" s="616" t="s">
        <v>2477</v>
      </c>
      <c r="C53" s="614" t="s">
        <v>2478</v>
      </c>
      <c r="D53" s="1140">
        <v>331.26</v>
      </c>
    </row>
    <row r="54" spans="1:4" s="617" customFormat="1" ht="13.15" customHeight="1" x14ac:dyDescent="0.2">
      <c r="A54" s="1134">
        <v>10626</v>
      </c>
      <c r="B54" s="616" t="s">
        <v>2479</v>
      </c>
      <c r="C54" s="614" t="s">
        <v>926</v>
      </c>
      <c r="D54" s="1140">
        <v>21.79</v>
      </c>
    </row>
    <row r="55" spans="1:4" s="617" customFormat="1" ht="13.15" customHeight="1" x14ac:dyDescent="0.2">
      <c r="A55" s="1134">
        <v>10639</v>
      </c>
      <c r="B55" s="616" t="s">
        <v>2480</v>
      </c>
      <c r="C55" s="614" t="s">
        <v>2444</v>
      </c>
      <c r="D55" s="1135">
        <v>9.9700000000000006</v>
      </c>
    </row>
    <row r="56" spans="1:4" s="617" customFormat="1" ht="13.15" customHeight="1" x14ac:dyDescent="0.2">
      <c r="A56" s="1134">
        <v>10640</v>
      </c>
      <c r="B56" s="616" t="s">
        <v>2481</v>
      </c>
      <c r="C56" s="614" t="s">
        <v>2444</v>
      </c>
      <c r="D56" s="1140">
        <v>18.760000000000002</v>
      </c>
    </row>
    <row r="57" spans="1:4" s="617" customFormat="1" ht="13.15" customHeight="1" x14ac:dyDescent="0.2">
      <c r="A57" s="1134">
        <v>10641</v>
      </c>
      <c r="B57" s="616" t="s">
        <v>2482</v>
      </c>
      <c r="C57" s="614" t="s">
        <v>2444</v>
      </c>
      <c r="D57" s="1140">
        <v>13.54</v>
      </c>
    </row>
    <row r="58" spans="1:4" s="617" customFormat="1" ht="13.15" customHeight="1" x14ac:dyDescent="0.2">
      <c r="A58" s="1134">
        <v>10138</v>
      </c>
      <c r="B58" s="616" t="s">
        <v>2483</v>
      </c>
      <c r="C58" s="614" t="s">
        <v>2478</v>
      </c>
      <c r="D58" s="1140">
        <v>999.9</v>
      </c>
    </row>
    <row r="59" spans="1:4" s="617" customFormat="1" ht="13.9" customHeight="1" x14ac:dyDescent="0.2">
      <c r="A59" s="1134">
        <v>10134</v>
      </c>
      <c r="B59" s="616" t="s">
        <v>2484</v>
      </c>
      <c r="C59" s="614" t="s">
        <v>926</v>
      </c>
      <c r="D59" s="1140">
        <v>18.760000000000002</v>
      </c>
    </row>
    <row r="60" spans="1:4" s="617" customFormat="1" ht="13.9" customHeight="1" x14ac:dyDescent="0.2">
      <c r="A60" s="1134">
        <v>10112</v>
      </c>
      <c r="B60" s="616" t="s">
        <v>2485</v>
      </c>
      <c r="C60" s="614" t="s">
        <v>719</v>
      </c>
      <c r="D60" s="1140">
        <v>65</v>
      </c>
    </row>
    <row r="61" spans="1:4" s="617" customFormat="1" ht="13.9" customHeight="1" x14ac:dyDescent="0.2">
      <c r="A61" s="1134">
        <v>10109</v>
      </c>
      <c r="B61" s="616" t="s">
        <v>2486</v>
      </c>
      <c r="C61" s="614" t="s">
        <v>2487</v>
      </c>
      <c r="D61" s="1140">
        <v>60</v>
      </c>
    </row>
    <row r="62" spans="1:4" s="617" customFormat="1" ht="13.9" customHeight="1" x14ac:dyDescent="0.2">
      <c r="A62" s="1134">
        <v>10107</v>
      </c>
      <c r="B62" s="616" t="s">
        <v>2488</v>
      </c>
      <c r="C62" s="614" t="s">
        <v>719</v>
      </c>
      <c r="D62" s="1140">
        <v>60</v>
      </c>
    </row>
    <row r="63" spans="1:4" s="617" customFormat="1" ht="13.9" customHeight="1" x14ac:dyDescent="0.2">
      <c r="A63" s="1134">
        <v>10110</v>
      </c>
      <c r="B63" s="616" t="s">
        <v>2489</v>
      </c>
      <c r="C63" s="614" t="s">
        <v>2487</v>
      </c>
      <c r="D63" s="1140">
        <v>55.14</v>
      </c>
    </row>
    <row r="64" spans="1:4" s="617" customFormat="1" ht="13.9" customHeight="1" x14ac:dyDescent="0.2">
      <c r="A64" s="1134">
        <v>10111</v>
      </c>
      <c r="B64" s="616" t="s">
        <v>2490</v>
      </c>
      <c r="C64" s="614" t="s">
        <v>2487</v>
      </c>
      <c r="D64" s="1140">
        <v>45</v>
      </c>
    </row>
    <row r="65" spans="1:4" s="617" customFormat="1" ht="13.9" customHeight="1" x14ac:dyDescent="0.2">
      <c r="A65" s="1134">
        <v>10657</v>
      </c>
      <c r="B65" s="616" t="s">
        <v>2491</v>
      </c>
      <c r="C65" s="614" t="s">
        <v>926</v>
      </c>
      <c r="D65" s="1135">
        <v>5.05</v>
      </c>
    </row>
    <row r="66" spans="1:4" s="617" customFormat="1" ht="13.9" customHeight="1" x14ac:dyDescent="0.2">
      <c r="A66" s="1134">
        <v>10737</v>
      </c>
      <c r="B66" s="616" t="s">
        <v>2492</v>
      </c>
      <c r="C66" s="614" t="s">
        <v>926</v>
      </c>
      <c r="D66" s="1135">
        <v>2.74</v>
      </c>
    </row>
    <row r="67" spans="1:4" s="617" customFormat="1" ht="13.9" customHeight="1" x14ac:dyDescent="0.2">
      <c r="A67" s="1134">
        <v>10564</v>
      </c>
      <c r="B67" s="616" t="s">
        <v>2493</v>
      </c>
      <c r="C67" s="614" t="s">
        <v>719</v>
      </c>
      <c r="D67" s="1140">
        <v>10.18</v>
      </c>
    </row>
    <row r="68" spans="1:4" s="617" customFormat="1" ht="13.9" customHeight="1" x14ac:dyDescent="0.2">
      <c r="A68" s="1134">
        <v>102070</v>
      </c>
      <c r="B68" s="616" t="s">
        <v>2494</v>
      </c>
      <c r="C68" s="614" t="s">
        <v>734</v>
      </c>
      <c r="D68" s="1140">
        <v>14.35</v>
      </c>
    </row>
    <row r="69" spans="1:4" s="617" customFormat="1" ht="13.9" customHeight="1" x14ac:dyDescent="0.2">
      <c r="A69" s="1134">
        <v>10605</v>
      </c>
      <c r="B69" s="616" t="s">
        <v>2495</v>
      </c>
      <c r="C69" s="614" t="s">
        <v>838</v>
      </c>
      <c r="D69" s="1137">
        <v>6405.91</v>
      </c>
    </row>
    <row r="70" spans="1:4" s="617" customFormat="1" ht="13.9" customHeight="1" x14ac:dyDescent="0.2">
      <c r="A70" s="1134">
        <v>10606</v>
      </c>
      <c r="B70" s="616" t="s">
        <v>2496</v>
      </c>
      <c r="C70" s="614" t="s">
        <v>838</v>
      </c>
      <c r="D70" s="1137">
        <v>7219.03</v>
      </c>
    </row>
    <row r="71" spans="1:4" s="617" customFormat="1" ht="13.9" customHeight="1" x14ac:dyDescent="0.2">
      <c r="A71" s="1134">
        <v>10607</v>
      </c>
      <c r="B71" s="616" t="s">
        <v>2497</v>
      </c>
      <c r="C71" s="614" t="s">
        <v>838</v>
      </c>
      <c r="D71" s="1137">
        <v>8413.94</v>
      </c>
    </row>
    <row r="72" spans="1:4" s="617" customFormat="1" ht="13.9" customHeight="1" x14ac:dyDescent="0.2">
      <c r="A72" s="1134">
        <v>10608</v>
      </c>
      <c r="B72" s="616" t="s">
        <v>2498</v>
      </c>
      <c r="C72" s="614" t="s">
        <v>838</v>
      </c>
      <c r="D72" s="1137">
        <v>10584.92</v>
      </c>
    </row>
    <row r="73" spans="1:4" s="617" customFormat="1" ht="9.4" customHeight="1" x14ac:dyDescent="0.2">
      <c r="A73" s="1134">
        <v>10609</v>
      </c>
      <c r="B73" s="616" t="s">
        <v>2499</v>
      </c>
      <c r="C73" s="614" t="s">
        <v>838</v>
      </c>
      <c r="D73" s="1137">
        <v>11778.24</v>
      </c>
    </row>
    <row r="74" spans="1:4" s="617" customFormat="1" ht="14.45" customHeight="1" x14ac:dyDescent="0.2">
      <c r="A74" s="1134">
        <v>10610</v>
      </c>
      <c r="B74" s="616" t="s">
        <v>2500</v>
      </c>
      <c r="C74" s="614" t="s">
        <v>838</v>
      </c>
      <c r="D74" s="1137">
        <v>12701.59</v>
      </c>
    </row>
    <row r="75" spans="1:4" s="617" customFormat="1" ht="14.45" customHeight="1" x14ac:dyDescent="0.2">
      <c r="A75" s="1134">
        <v>10611</v>
      </c>
      <c r="B75" s="616" t="s">
        <v>2501</v>
      </c>
      <c r="C75" s="614" t="s">
        <v>838</v>
      </c>
      <c r="D75" s="1137">
        <v>16692.099999999999</v>
      </c>
    </row>
    <row r="76" spans="1:4" s="617" customFormat="1" ht="14.45" customHeight="1" x14ac:dyDescent="0.2">
      <c r="A76" s="1133" t="s">
        <v>711</v>
      </c>
      <c r="B76" s="1133" t="s">
        <v>2421</v>
      </c>
      <c r="C76" s="1133" t="s">
        <v>713</v>
      </c>
      <c r="D76" s="1133" t="s">
        <v>2422</v>
      </c>
    </row>
    <row r="77" spans="1:4" s="617" customFormat="1" ht="14.45" customHeight="1" x14ac:dyDescent="0.2">
      <c r="A77" s="1134">
        <v>10597</v>
      </c>
      <c r="B77" s="616" t="s">
        <v>2502</v>
      </c>
      <c r="C77" s="614" t="s">
        <v>838</v>
      </c>
      <c r="D77" s="1137">
        <v>3202.95</v>
      </c>
    </row>
    <row r="78" spans="1:4" s="617" customFormat="1" ht="14.45" customHeight="1" x14ac:dyDescent="0.2">
      <c r="A78" s="1134">
        <v>10598</v>
      </c>
      <c r="B78" s="616" t="s">
        <v>2503</v>
      </c>
      <c r="C78" s="614" t="s">
        <v>838</v>
      </c>
      <c r="D78" s="1137">
        <v>3609.51</v>
      </c>
    </row>
    <row r="79" spans="1:4" s="617" customFormat="1" ht="14.45" customHeight="1" x14ac:dyDescent="0.2">
      <c r="A79" s="1134">
        <v>10599</v>
      </c>
      <c r="B79" s="616" t="s">
        <v>2504</v>
      </c>
      <c r="C79" s="614" t="s">
        <v>838</v>
      </c>
      <c r="D79" s="1137">
        <v>4198.9799999999996</v>
      </c>
    </row>
    <row r="80" spans="1:4" s="617" customFormat="1" ht="14.45" customHeight="1" x14ac:dyDescent="0.2">
      <c r="A80" s="1134">
        <v>10600</v>
      </c>
      <c r="B80" s="616" t="s">
        <v>2505</v>
      </c>
      <c r="C80" s="614" t="s">
        <v>838</v>
      </c>
      <c r="D80" s="1137">
        <v>5292.46</v>
      </c>
    </row>
    <row r="81" spans="1:4" s="617" customFormat="1" ht="14.45" customHeight="1" x14ac:dyDescent="0.2">
      <c r="A81" s="1134">
        <v>10601</v>
      </c>
      <c r="B81" s="616" t="s">
        <v>2506</v>
      </c>
      <c r="C81" s="614" t="s">
        <v>838</v>
      </c>
      <c r="D81" s="1137">
        <v>5889.12</v>
      </c>
    </row>
    <row r="82" spans="1:4" s="617" customFormat="1" ht="14.45" customHeight="1" x14ac:dyDescent="0.2">
      <c r="A82" s="1134">
        <v>10602</v>
      </c>
      <c r="B82" s="616" t="s">
        <v>2507</v>
      </c>
      <c r="C82" s="614" t="s">
        <v>838</v>
      </c>
      <c r="D82" s="1137">
        <v>6350.79</v>
      </c>
    </row>
    <row r="83" spans="1:4" s="617" customFormat="1" ht="14.45" customHeight="1" x14ac:dyDescent="0.2">
      <c r="A83" s="1134">
        <v>10603</v>
      </c>
      <c r="B83" s="616" t="s">
        <v>2508</v>
      </c>
      <c r="C83" s="614" t="s">
        <v>838</v>
      </c>
      <c r="D83" s="1137">
        <v>8346.0499999999993</v>
      </c>
    </row>
    <row r="84" spans="1:4" s="617" customFormat="1" ht="14.45" customHeight="1" x14ac:dyDescent="0.2">
      <c r="A84" s="1134">
        <v>10604</v>
      </c>
      <c r="B84" s="616" t="s">
        <v>2509</v>
      </c>
      <c r="C84" s="614" t="s">
        <v>838</v>
      </c>
      <c r="D84" s="1137">
        <v>7951.47</v>
      </c>
    </row>
    <row r="85" spans="1:4" s="617" customFormat="1" ht="14.45" customHeight="1" x14ac:dyDescent="0.2">
      <c r="A85" s="1134">
        <v>11266</v>
      </c>
      <c r="B85" s="616" t="s">
        <v>2510</v>
      </c>
      <c r="C85" s="614" t="s">
        <v>838</v>
      </c>
      <c r="D85" s="1137">
        <v>16989.23</v>
      </c>
    </row>
    <row r="86" spans="1:4" s="617" customFormat="1" ht="14.45" customHeight="1" x14ac:dyDescent="0.2">
      <c r="A86" s="1134">
        <v>11265</v>
      </c>
      <c r="B86" s="616" t="s">
        <v>2511</v>
      </c>
      <c r="C86" s="614" t="s">
        <v>838</v>
      </c>
      <c r="D86" s="1137">
        <v>8494.6200000000008</v>
      </c>
    </row>
    <row r="87" spans="1:4" s="617" customFormat="1" ht="14.45" customHeight="1" x14ac:dyDescent="0.2">
      <c r="A87" s="1134">
        <v>11012</v>
      </c>
      <c r="B87" s="616" t="s">
        <v>2512</v>
      </c>
      <c r="C87" s="614" t="s">
        <v>734</v>
      </c>
      <c r="D87" s="1135">
        <v>0.57999999999999996</v>
      </c>
    </row>
    <row r="88" spans="1:4" s="617" customFormat="1" ht="14.45" customHeight="1" x14ac:dyDescent="0.2">
      <c r="A88" s="1134">
        <v>10203</v>
      </c>
      <c r="B88" s="616" t="s">
        <v>2513</v>
      </c>
      <c r="C88" s="614" t="s">
        <v>838</v>
      </c>
      <c r="D88" s="1140">
        <v>35.340000000000003</v>
      </c>
    </row>
    <row r="89" spans="1:4" s="617" customFormat="1" ht="14.45" customHeight="1" x14ac:dyDescent="0.2">
      <c r="A89" s="1134">
        <v>10647</v>
      </c>
      <c r="B89" s="616" t="s">
        <v>2514</v>
      </c>
      <c r="C89" s="614" t="s">
        <v>838</v>
      </c>
      <c r="D89" s="1140">
        <v>39.93</v>
      </c>
    </row>
    <row r="90" spans="1:4" s="617" customFormat="1" ht="14.45" customHeight="1" x14ac:dyDescent="0.2">
      <c r="A90" s="1134">
        <v>10627</v>
      </c>
      <c r="B90" s="616" t="s">
        <v>2515</v>
      </c>
      <c r="C90" s="614" t="s">
        <v>838</v>
      </c>
      <c r="D90" s="1135">
        <v>7.5</v>
      </c>
    </row>
    <row r="91" spans="1:4" s="617" customFormat="1" ht="13.15" customHeight="1" x14ac:dyDescent="0.2">
      <c r="A91" s="1134">
        <v>10745</v>
      </c>
      <c r="B91" s="616" t="s">
        <v>2516</v>
      </c>
      <c r="C91" s="614" t="s">
        <v>734</v>
      </c>
      <c r="D91" s="1135">
        <v>5.1100000000000003</v>
      </c>
    </row>
    <row r="92" spans="1:4" s="617" customFormat="1" ht="13.15" customHeight="1" x14ac:dyDescent="0.2">
      <c r="A92" s="1134">
        <v>10118</v>
      </c>
      <c r="B92" s="616" t="s">
        <v>2517</v>
      </c>
      <c r="C92" s="614" t="s">
        <v>2487</v>
      </c>
      <c r="D92" s="1140">
        <v>44</v>
      </c>
    </row>
    <row r="93" spans="1:4" s="617" customFormat="1" ht="13.15" customHeight="1" x14ac:dyDescent="0.2">
      <c r="A93" s="1134">
        <v>100493</v>
      </c>
      <c r="B93" s="616" t="s">
        <v>2518</v>
      </c>
      <c r="C93" s="614" t="s">
        <v>734</v>
      </c>
      <c r="D93" s="1135">
        <v>2.8</v>
      </c>
    </row>
    <row r="94" spans="1:4" s="617" customFormat="1" ht="13.15" customHeight="1" x14ac:dyDescent="0.2">
      <c r="A94" s="1134">
        <v>10271</v>
      </c>
      <c r="B94" s="616" t="s">
        <v>2519</v>
      </c>
      <c r="C94" s="614" t="s">
        <v>734</v>
      </c>
      <c r="D94" s="1135">
        <v>1.63</v>
      </c>
    </row>
    <row r="95" spans="1:4" s="617" customFormat="1" ht="13.15" customHeight="1" x14ac:dyDescent="0.2">
      <c r="A95" s="1134">
        <v>10272</v>
      </c>
      <c r="B95" s="616" t="s">
        <v>2520</v>
      </c>
      <c r="C95" s="614" t="s">
        <v>734</v>
      </c>
      <c r="D95" s="1135">
        <v>2.15</v>
      </c>
    </row>
    <row r="96" spans="1:4" s="617" customFormat="1" ht="13.15" customHeight="1" x14ac:dyDescent="0.2">
      <c r="A96" s="1134">
        <v>10273</v>
      </c>
      <c r="B96" s="616" t="s">
        <v>2521</v>
      </c>
      <c r="C96" s="614" t="s">
        <v>734</v>
      </c>
      <c r="D96" s="1135">
        <v>2.94</v>
      </c>
    </row>
    <row r="97" spans="1:4" s="617" customFormat="1" ht="13.15" customHeight="1" x14ac:dyDescent="0.2">
      <c r="A97" s="1134">
        <v>10619</v>
      </c>
      <c r="B97" s="616" t="s">
        <v>2522</v>
      </c>
      <c r="C97" s="614" t="s">
        <v>734</v>
      </c>
      <c r="D97" s="1135">
        <v>3.64</v>
      </c>
    </row>
    <row r="98" spans="1:4" s="617" customFormat="1" ht="13.15" customHeight="1" x14ac:dyDescent="0.2">
      <c r="A98" s="1134">
        <v>10266</v>
      </c>
      <c r="B98" s="616" t="s">
        <v>2523</v>
      </c>
      <c r="C98" s="614" t="s">
        <v>717</v>
      </c>
      <c r="D98" s="1140">
        <v>32.97</v>
      </c>
    </row>
    <row r="99" spans="1:4" s="617" customFormat="1" ht="13.15" customHeight="1" x14ac:dyDescent="0.2">
      <c r="A99" s="1134">
        <v>10296</v>
      </c>
      <c r="B99" s="616" t="s">
        <v>2524</v>
      </c>
      <c r="C99" s="614" t="s">
        <v>717</v>
      </c>
      <c r="D99" s="1140">
        <v>37.4</v>
      </c>
    </row>
    <row r="100" spans="1:4" s="617" customFormat="1" ht="13.15" customHeight="1" x14ac:dyDescent="0.2">
      <c r="A100" s="1134">
        <v>10267</v>
      </c>
      <c r="B100" s="616" t="s">
        <v>2525</v>
      </c>
      <c r="C100" s="614" t="s">
        <v>717</v>
      </c>
      <c r="D100" s="1140">
        <v>44.88</v>
      </c>
    </row>
    <row r="101" spans="1:4" s="617" customFormat="1" ht="13.15" customHeight="1" x14ac:dyDescent="0.2">
      <c r="A101" s="1134">
        <v>10268</v>
      </c>
      <c r="B101" s="616" t="s">
        <v>2526</v>
      </c>
      <c r="C101" s="614" t="s">
        <v>717</v>
      </c>
      <c r="D101" s="1140">
        <v>49.16</v>
      </c>
    </row>
    <row r="102" spans="1:4" s="617" customFormat="1" ht="13.15" customHeight="1" x14ac:dyDescent="0.2">
      <c r="A102" s="1134">
        <v>10748</v>
      </c>
      <c r="B102" s="616" t="s">
        <v>2527</v>
      </c>
      <c r="C102" s="614" t="s">
        <v>734</v>
      </c>
      <c r="D102" s="1135">
        <v>2.36</v>
      </c>
    </row>
    <row r="103" spans="1:4" s="617" customFormat="1" ht="13.15" customHeight="1" x14ac:dyDescent="0.2">
      <c r="A103" s="1134">
        <v>10097</v>
      </c>
      <c r="B103" s="616" t="s">
        <v>2528</v>
      </c>
      <c r="C103" s="614" t="s">
        <v>719</v>
      </c>
      <c r="D103" s="1140">
        <v>35</v>
      </c>
    </row>
    <row r="104" spans="1:4" s="617" customFormat="1" ht="13.15" customHeight="1" x14ac:dyDescent="0.2">
      <c r="A104" s="1134">
        <v>10553</v>
      </c>
      <c r="B104" s="616" t="s">
        <v>2529</v>
      </c>
      <c r="C104" s="614" t="s">
        <v>1430</v>
      </c>
      <c r="D104" s="1135">
        <v>0</v>
      </c>
    </row>
    <row r="105" spans="1:4" s="617" customFormat="1" ht="13.15" customHeight="1" x14ac:dyDescent="0.2">
      <c r="A105" s="1134">
        <v>10855</v>
      </c>
      <c r="B105" s="616" t="s">
        <v>2530</v>
      </c>
      <c r="C105" s="614" t="s">
        <v>734</v>
      </c>
      <c r="D105" s="1137">
        <v>2499.88</v>
      </c>
    </row>
    <row r="106" spans="1:4" s="617" customFormat="1" ht="13.15" customHeight="1" x14ac:dyDescent="0.2">
      <c r="A106" s="1134">
        <v>10713</v>
      </c>
      <c r="B106" s="616" t="s">
        <v>2531</v>
      </c>
      <c r="C106" s="614" t="s">
        <v>734</v>
      </c>
      <c r="D106" s="1137">
        <v>1631.1</v>
      </c>
    </row>
    <row r="107" spans="1:4" s="617" customFormat="1" ht="13.15" customHeight="1" x14ac:dyDescent="0.2">
      <c r="A107" s="1134">
        <v>10119</v>
      </c>
      <c r="B107" s="616" t="s">
        <v>2532</v>
      </c>
      <c r="C107" s="614" t="s">
        <v>2487</v>
      </c>
      <c r="D107" s="1140">
        <v>48.4</v>
      </c>
    </row>
    <row r="108" spans="1:4" s="617" customFormat="1" ht="13.15" customHeight="1" x14ac:dyDescent="0.2">
      <c r="A108" s="1134">
        <v>10113</v>
      </c>
      <c r="B108" s="616" t="s">
        <v>2533</v>
      </c>
      <c r="C108" s="614" t="s">
        <v>2487</v>
      </c>
      <c r="D108" s="1140">
        <v>90.34</v>
      </c>
    </row>
    <row r="109" spans="1:4" s="617" customFormat="1" ht="13.15" customHeight="1" x14ac:dyDescent="0.2">
      <c r="A109" s="1134">
        <v>10114</v>
      </c>
      <c r="B109" s="616" t="s">
        <v>2534</v>
      </c>
      <c r="C109" s="614" t="s">
        <v>2487</v>
      </c>
      <c r="D109" s="1140">
        <v>70.75</v>
      </c>
    </row>
    <row r="110" spans="1:4" s="617" customFormat="1" ht="13.15" customHeight="1" x14ac:dyDescent="0.2">
      <c r="A110" s="1134">
        <v>10115</v>
      </c>
      <c r="B110" s="616" t="s">
        <v>2535</v>
      </c>
      <c r="C110" s="614" t="s">
        <v>2487</v>
      </c>
      <c r="D110" s="1140">
        <v>70.75</v>
      </c>
    </row>
    <row r="111" spans="1:4" s="617" customFormat="1" ht="13.15" customHeight="1" x14ac:dyDescent="0.2">
      <c r="A111" s="1134">
        <v>10116</v>
      </c>
      <c r="B111" s="616" t="s">
        <v>2536</v>
      </c>
      <c r="C111" s="614" t="s">
        <v>2487</v>
      </c>
      <c r="D111" s="1140">
        <v>70.75</v>
      </c>
    </row>
    <row r="112" spans="1:4" s="617" customFormat="1" ht="13.15" customHeight="1" x14ac:dyDescent="0.2">
      <c r="A112" s="1134">
        <v>10117</v>
      </c>
      <c r="B112" s="616" t="s">
        <v>2537</v>
      </c>
      <c r="C112" s="614" t="s">
        <v>719</v>
      </c>
      <c r="D112" s="1140">
        <v>77.180000000000007</v>
      </c>
    </row>
    <row r="113" spans="1:4" s="617" customFormat="1" ht="12.6" customHeight="1" x14ac:dyDescent="0.2">
      <c r="A113" s="1134">
        <v>10047</v>
      </c>
      <c r="B113" s="616" t="s">
        <v>2538</v>
      </c>
      <c r="C113" s="614" t="s">
        <v>734</v>
      </c>
      <c r="D113" s="1140">
        <v>346.94</v>
      </c>
    </row>
    <row r="114" spans="1:4" s="617" customFormat="1" ht="12.6" customHeight="1" x14ac:dyDescent="0.2">
      <c r="A114" s="1134">
        <v>10048</v>
      </c>
      <c r="B114" s="616" t="s">
        <v>2539</v>
      </c>
      <c r="C114" s="614" t="s">
        <v>734</v>
      </c>
      <c r="D114" s="1140">
        <v>360.79</v>
      </c>
    </row>
    <row r="115" spans="1:4" s="617" customFormat="1" ht="12.6" customHeight="1" x14ac:dyDescent="0.2">
      <c r="A115" s="1134">
        <v>10049</v>
      </c>
      <c r="B115" s="616" t="s">
        <v>2540</v>
      </c>
      <c r="C115" s="614" t="s">
        <v>734</v>
      </c>
      <c r="D115" s="1140">
        <v>416.25</v>
      </c>
    </row>
    <row r="116" spans="1:4" s="617" customFormat="1" ht="12.6" customHeight="1" x14ac:dyDescent="0.2">
      <c r="A116" s="1134">
        <v>10050</v>
      </c>
      <c r="B116" s="616" t="s">
        <v>2541</v>
      </c>
      <c r="C116" s="614" t="s">
        <v>734</v>
      </c>
      <c r="D116" s="1140">
        <v>582.80999999999995</v>
      </c>
    </row>
    <row r="117" spans="1:4" s="617" customFormat="1" ht="12.6" customHeight="1" x14ac:dyDescent="0.2">
      <c r="A117" s="1134">
        <v>10051</v>
      </c>
      <c r="B117" s="616" t="s">
        <v>2542</v>
      </c>
      <c r="C117" s="614" t="s">
        <v>734</v>
      </c>
      <c r="D117" s="1140">
        <v>693.81</v>
      </c>
    </row>
    <row r="118" spans="1:4" s="617" customFormat="1" ht="12.6" customHeight="1" x14ac:dyDescent="0.2">
      <c r="A118" s="1134">
        <v>10052</v>
      </c>
      <c r="B118" s="616" t="s">
        <v>2543</v>
      </c>
      <c r="C118" s="614" t="s">
        <v>734</v>
      </c>
      <c r="D118" s="1140">
        <v>804.84</v>
      </c>
    </row>
    <row r="119" spans="1:4" s="617" customFormat="1" ht="12.6" customHeight="1" x14ac:dyDescent="0.2">
      <c r="A119" s="1134">
        <v>10053</v>
      </c>
      <c r="B119" s="616" t="s">
        <v>2544</v>
      </c>
      <c r="C119" s="614" t="s">
        <v>734</v>
      </c>
      <c r="D119" s="1140">
        <v>933.59</v>
      </c>
    </row>
    <row r="120" spans="1:4" s="617" customFormat="1" ht="12.6" customHeight="1" x14ac:dyDescent="0.2">
      <c r="A120" s="1134">
        <v>10054</v>
      </c>
      <c r="B120" s="616" t="s">
        <v>2545</v>
      </c>
      <c r="C120" s="614" t="s">
        <v>734</v>
      </c>
      <c r="D120" s="1137">
        <v>1080.04</v>
      </c>
    </row>
    <row r="121" spans="1:4" s="617" customFormat="1" ht="12.6" customHeight="1" x14ac:dyDescent="0.2">
      <c r="A121" s="1134">
        <v>10055</v>
      </c>
      <c r="B121" s="616" t="s">
        <v>2546</v>
      </c>
      <c r="C121" s="614" t="s">
        <v>734</v>
      </c>
      <c r="D121" s="1137">
        <v>1353.87</v>
      </c>
    </row>
    <row r="122" spans="1:4" s="617" customFormat="1" ht="12.6" customHeight="1" x14ac:dyDescent="0.2">
      <c r="A122" s="1134">
        <v>11011</v>
      </c>
      <c r="B122" s="616" t="s">
        <v>2547</v>
      </c>
      <c r="C122" s="614" t="s">
        <v>734</v>
      </c>
      <c r="D122" s="1135">
        <v>0.99</v>
      </c>
    </row>
    <row r="123" spans="1:4" s="617" customFormat="1" ht="12.6" customHeight="1" x14ac:dyDescent="0.2">
      <c r="A123" s="1134">
        <v>11566</v>
      </c>
      <c r="B123" s="616" t="s">
        <v>2548</v>
      </c>
      <c r="C123" s="614" t="s">
        <v>734</v>
      </c>
      <c r="D123" s="1135">
        <v>4.26</v>
      </c>
    </row>
    <row r="124" spans="1:4" s="617" customFormat="1" ht="12.6" customHeight="1" x14ac:dyDescent="0.2">
      <c r="A124" s="1134">
        <v>11005</v>
      </c>
      <c r="B124" s="616" t="s">
        <v>2549</v>
      </c>
      <c r="C124" s="614" t="s">
        <v>734</v>
      </c>
      <c r="D124" s="1135">
        <v>0.27</v>
      </c>
    </row>
    <row r="125" spans="1:4" s="617" customFormat="1" ht="12.6" customHeight="1" x14ac:dyDescent="0.2">
      <c r="A125" s="1134">
        <v>10709</v>
      </c>
      <c r="B125" s="616" t="s">
        <v>2550</v>
      </c>
      <c r="C125" s="614" t="s">
        <v>2551</v>
      </c>
      <c r="D125" s="1135">
        <v>4.47</v>
      </c>
    </row>
    <row r="126" spans="1:4" s="617" customFormat="1" ht="12.6" customHeight="1" x14ac:dyDescent="0.2">
      <c r="A126" s="1134">
        <v>10170</v>
      </c>
      <c r="B126" s="616" t="s">
        <v>2552</v>
      </c>
      <c r="C126" s="614" t="s">
        <v>838</v>
      </c>
      <c r="D126" s="1140">
        <v>12.16</v>
      </c>
    </row>
    <row r="127" spans="1:4" s="617" customFormat="1" ht="12.6" customHeight="1" x14ac:dyDescent="0.2">
      <c r="A127" s="1134">
        <v>11420</v>
      </c>
      <c r="B127" s="616" t="s">
        <v>2553</v>
      </c>
      <c r="C127" s="614" t="s">
        <v>838</v>
      </c>
      <c r="D127" s="1135">
        <v>2.25</v>
      </c>
    </row>
    <row r="128" spans="1:4" s="617" customFormat="1" ht="12.6" customHeight="1" x14ac:dyDescent="0.2">
      <c r="A128" s="1134">
        <v>11421</v>
      </c>
      <c r="B128" s="616" t="s">
        <v>2554</v>
      </c>
      <c r="C128" s="614" t="s">
        <v>838</v>
      </c>
      <c r="D128" s="1135">
        <v>3.23</v>
      </c>
    </row>
    <row r="129" spans="1:4" s="617" customFormat="1" ht="12.6" customHeight="1" x14ac:dyDescent="0.2">
      <c r="A129" s="1134">
        <v>11422</v>
      </c>
      <c r="B129" s="616" t="s">
        <v>2555</v>
      </c>
      <c r="C129" s="614" t="s">
        <v>838</v>
      </c>
      <c r="D129" s="1135">
        <v>4.41</v>
      </c>
    </row>
    <row r="130" spans="1:4" s="617" customFormat="1" ht="12.6" customHeight="1" x14ac:dyDescent="0.2">
      <c r="A130" s="1134">
        <v>11423</v>
      </c>
      <c r="B130" s="616" t="s">
        <v>2556</v>
      </c>
      <c r="C130" s="614" t="s">
        <v>838</v>
      </c>
      <c r="D130" s="1135">
        <v>7.07</v>
      </c>
    </row>
    <row r="131" spans="1:4" s="617" customFormat="1" ht="12.6" customHeight="1" x14ac:dyDescent="0.2">
      <c r="A131" s="1134">
        <v>11424</v>
      </c>
      <c r="B131" s="616" t="s">
        <v>2557</v>
      </c>
      <c r="C131" s="614" t="s">
        <v>838</v>
      </c>
      <c r="D131" s="1140">
        <v>16.52</v>
      </c>
    </row>
    <row r="132" spans="1:4" s="617" customFormat="1" ht="12.6" customHeight="1" x14ac:dyDescent="0.2">
      <c r="A132" s="1134">
        <v>11425</v>
      </c>
      <c r="B132" s="616" t="s">
        <v>2558</v>
      </c>
      <c r="C132" s="614" t="s">
        <v>838</v>
      </c>
      <c r="D132" s="1140">
        <v>22.77</v>
      </c>
    </row>
    <row r="133" spans="1:4" s="617" customFormat="1" ht="12.6" customHeight="1" x14ac:dyDescent="0.2">
      <c r="A133" s="1134">
        <v>10811</v>
      </c>
      <c r="B133" s="616" t="s">
        <v>2559</v>
      </c>
      <c r="C133" s="614" t="s">
        <v>838</v>
      </c>
      <c r="D133" s="1140">
        <v>21.76</v>
      </c>
    </row>
    <row r="134" spans="1:4" s="617" customFormat="1" ht="12.6" customHeight="1" x14ac:dyDescent="0.2">
      <c r="A134" s="1134">
        <v>10712</v>
      </c>
      <c r="B134" s="616" t="s">
        <v>2560</v>
      </c>
      <c r="C134" s="614" t="s">
        <v>838</v>
      </c>
      <c r="D134" s="1135">
        <v>2.64</v>
      </c>
    </row>
    <row r="135" spans="1:4" s="617" customFormat="1" ht="12.6" customHeight="1" x14ac:dyDescent="0.2">
      <c r="A135" s="1134">
        <v>10711</v>
      </c>
      <c r="B135" s="616" t="s">
        <v>2561</v>
      </c>
      <c r="C135" s="614" t="s">
        <v>838</v>
      </c>
      <c r="D135" s="1135">
        <v>5</v>
      </c>
    </row>
    <row r="136" spans="1:4" s="617" customFormat="1" ht="12.6" customHeight="1" x14ac:dyDescent="0.2">
      <c r="A136" s="1134">
        <v>10858</v>
      </c>
      <c r="B136" s="616" t="s">
        <v>2562</v>
      </c>
      <c r="C136" s="614" t="s">
        <v>838</v>
      </c>
      <c r="D136" s="1135">
        <v>3.5</v>
      </c>
    </row>
    <row r="137" spans="1:4" s="617" customFormat="1" ht="12.6" customHeight="1" x14ac:dyDescent="0.2">
      <c r="A137" s="1134">
        <v>10710</v>
      </c>
      <c r="B137" s="616" t="s">
        <v>2563</v>
      </c>
      <c r="C137" s="614" t="s">
        <v>838</v>
      </c>
      <c r="D137" s="1135">
        <v>4.47</v>
      </c>
    </row>
    <row r="138" spans="1:4" s="617" customFormat="1" ht="12.6" customHeight="1" x14ac:dyDescent="0.2">
      <c r="A138" s="1134">
        <v>11010</v>
      </c>
      <c r="B138" s="616" t="s">
        <v>2564</v>
      </c>
      <c r="C138" s="614" t="s">
        <v>838</v>
      </c>
      <c r="D138" s="1140">
        <v>10.37</v>
      </c>
    </row>
    <row r="139" spans="1:4" s="617" customFormat="1" ht="12.6" customHeight="1" x14ac:dyDescent="0.2">
      <c r="A139" s="1134">
        <v>10162</v>
      </c>
      <c r="B139" s="616" t="s">
        <v>2565</v>
      </c>
      <c r="C139" s="614" t="s">
        <v>734</v>
      </c>
      <c r="D139" s="1140">
        <v>20.96</v>
      </c>
    </row>
    <row r="140" spans="1:4" s="617" customFormat="1" ht="12.6" customHeight="1" x14ac:dyDescent="0.2">
      <c r="A140" s="1134">
        <v>10817</v>
      </c>
      <c r="B140" s="616" t="s">
        <v>2566</v>
      </c>
      <c r="C140" s="614" t="s">
        <v>2567</v>
      </c>
      <c r="D140" s="1137">
        <v>1372.67</v>
      </c>
    </row>
    <row r="141" spans="1:4" s="617" customFormat="1" ht="12.6" customHeight="1" x14ac:dyDescent="0.2">
      <c r="A141" s="1134">
        <v>10064</v>
      </c>
      <c r="B141" s="616" t="s">
        <v>2568</v>
      </c>
      <c r="C141" s="614" t="s">
        <v>2567</v>
      </c>
      <c r="D141" s="1137">
        <v>1543.77</v>
      </c>
    </row>
    <row r="142" spans="1:4" s="617" customFormat="1" ht="12.6" customHeight="1" x14ac:dyDescent="0.2">
      <c r="A142" s="1134">
        <v>10062</v>
      </c>
      <c r="B142" s="616" t="s">
        <v>2569</v>
      </c>
      <c r="C142" s="614" t="s">
        <v>2551</v>
      </c>
      <c r="D142" s="1135">
        <v>7.15</v>
      </c>
    </row>
    <row r="143" spans="1:4" s="617" customFormat="1" ht="12.6" customHeight="1" x14ac:dyDescent="0.2">
      <c r="A143" s="1134">
        <v>10066</v>
      </c>
      <c r="B143" s="616" t="s">
        <v>2570</v>
      </c>
      <c r="C143" s="614" t="s">
        <v>719</v>
      </c>
      <c r="D143" s="1137">
        <v>1460</v>
      </c>
    </row>
    <row r="144" spans="1:4" s="617" customFormat="1" ht="12.6" customHeight="1" x14ac:dyDescent="0.2">
      <c r="A144" s="1134">
        <v>10256</v>
      </c>
      <c r="B144" s="616" t="s">
        <v>2571</v>
      </c>
      <c r="C144" s="614" t="s">
        <v>2567</v>
      </c>
      <c r="D144" s="1140">
        <v>280.51</v>
      </c>
    </row>
    <row r="145" spans="1:4" s="617" customFormat="1" ht="12.6" customHeight="1" x14ac:dyDescent="0.2">
      <c r="A145" s="1134">
        <v>10312</v>
      </c>
      <c r="B145" s="616" t="s">
        <v>2572</v>
      </c>
      <c r="C145" s="614" t="s">
        <v>926</v>
      </c>
      <c r="D145" s="1135">
        <v>1.33</v>
      </c>
    </row>
    <row r="146" spans="1:4" s="617" customFormat="1" ht="17.45" customHeight="1" x14ac:dyDescent="0.2">
      <c r="A146" s="1134">
        <v>10068</v>
      </c>
      <c r="B146" s="616" t="s">
        <v>2573</v>
      </c>
      <c r="C146" s="614" t="s">
        <v>719</v>
      </c>
      <c r="D146" s="1137">
        <v>1334.08</v>
      </c>
    </row>
    <row r="147" spans="1:4" s="617" customFormat="1" ht="12.6" customHeight="1" x14ac:dyDescent="0.2">
      <c r="A147" s="1134">
        <v>10143</v>
      </c>
      <c r="B147" s="616" t="s">
        <v>2574</v>
      </c>
      <c r="C147" s="614" t="s">
        <v>926</v>
      </c>
      <c r="D147" s="1135">
        <v>8.5</v>
      </c>
    </row>
    <row r="148" spans="1:4" s="617" customFormat="1" ht="12.6" customHeight="1" x14ac:dyDescent="0.2">
      <c r="A148" s="1134">
        <v>10145</v>
      </c>
      <c r="B148" s="616" t="s">
        <v>2575</v>
      </c>
      <c r="C148" s="614" t="s">
        <v>926</v>
      </c>
      <c r="D148" s="1135">
        <v>7.86</v>
      </c>
    </row>
    <row r="149" spans="1:4" s="617" customFormat="1" ht="12.6" customHeight="1" x14ac:dyDescent="0.2">
      <c r="A149" s="1134">
        <v>10144</v>
      </c>
      <c r="B149" s="616" t="s">
        <v>2576</v>
      </c>
      <c r="C149" s="614" t="s">
        <v>926</v>
      </c>
      <c r="D149" s="1135">
        <v>7.86</v>
      </c>
    </row>
    <row r="150" spans="1:4" s="617" customFormat="1" ht="12.6" customHeight="1" x14ac:dyDescent="0.2">
      <c r="A150" s="1133" t="s">
        <v>711</v>
      </c>
      <c r="B150" s="1133" t="s">
        <v>2421</v>
      </c>
      <c r="C150" s="1133" t="s">
        <v>713</v>
      </c>
      <c r="D150" s="1133" t="s">
        <v>2422</v>
      </c>
    </row>
    <row r="151" spans="1:4" s="617" customFormat="1" ht="12.6" customHeight="1" x14ac:dyDescent="0.2">
      <c r="A151" s="1134">
        <v>10169</v>
      </c>
      <c r="B151" s="616" t="s">
        <v>2577</v>
      </c>
      <c r="C151" s="614" t="s">
        <v>926</v>
      </c>
      <c r="D151" s="1135">
        <v>7.72</v>
      </c>
    </row>
    <row r="152" spans="1:4" s="617" customFormat="1" ht="12.6" customHeight="1" x14ac:dyDescent="0.2">
      <c r="A152" s="1134">
        <v>10772</v>
      </c>
      <c r="B152" s="616" t="s">
        <v>2578</v>
      </c>
      <c r="C152" s="614" t="s">
        <v>803</v>
      </c>
      <c r="D152" s="1137">
        <v>3372.05</v>
      </c>
    </row>
    <row r="153" spans="1:4" s="617" customFormat="1" ht="12.6" customHeight="1" x14ac:dyDescent="0.2">
      <c r="A153" s="1134">
        <v>10001</v>
      </c>
      <c r="B153" s="616" t="s">
        <v>2579</v>
      </c>
      <c r="C153" s="614" t="s">
        <v>803</v>
      </c>
      <c r="D153" s="1137">
        <v>3203</v>
      </c>
    </row>
    <row r="154" spans="1:4" s="617" customFormat="1" ht="12.6" customHeight="1" x14ac:dyDescent="0.2">
      <c r="A154" s="1134">
        <v>10622</v>
      </c>
      <c r="B154" s="616" t="s">
        <v>2580</v>
      </c>
      <c r="C154" s="614" t="s">
        <v>717</v>
      </c>
      <c r="D154" s="1140">
        <v>12.07</v>
      </c>
    </row>
    <row r="155" spans="1:4" s="617" customFormat="1" ht="12.6" customHeight="1" x14ac:dyDescent="0.2">
      <c r="A155" s="1134">
        <v>10085</v>
      </c>
      <c r="B155" s="616" t="s">
        <v>2581</v>
      </c>
      <c r="C155" s="614" t="s">
        <v>2582</v>
      </c>
      <c r="D155" s="1140">
        <v>48.74</v>
      </c>
    </row>
    <row r="156" spans="1:4" s="617" customFormat="1" ht="12.6" customHeight="1" x14ac:dyDescent="0.2">
      <c r="A156" s="1134">
        <v>11014</v>
      </c>
      <c r="B156" s="616" t="s">
        <v>2583</v>
      </c>
      <c r="C156" s="614" t="s">
        <v>717</v>
      </c>
      <c r="D156" s="1140">
        <v>22.55</v>
      </c>
    </row>
    <row r="157" spans="1:4" s="617" customFormat="1" ht="12.6" customHeight="1" x14ac:dyDescent="0.2">
      <c r="A157" s="1134">
        <v>10086</v>
      </c>
      <c r="B157" s="616" t="s">
        <v>2584</v>
      </c>
      <c r="C157" s="614" t="s">
        <v>2582</v>
      </c>
      <c r="D157" s="1140">
        <v>52.49</v>
      </c>
    </row>
    <row r="158" spans="1:4" s="617" customFormat="1" ht="12.6" customHeight="1" x14ac:dyDescent="0.2">
      <c r="A158" s="1134">
        <v>10087</v>
      </c>
      <c r="B158" s="616" t="s">
        <v>2585</v>
      </c>
      <c r="C158" s="614" t="s">
        <v>2582</v>
      </c>
      <c r="D158" s="1140">
        <v>60.81</v>
      </c>
    </row>
    <row r="159" spans="1:4" s="617" customFormat="1" ht="12.6" customHeight="1" x14ac:dyDescent="0.2">
      <c r="A159" s="1134">
        <v>11462</v>
      </c>
      <c r="B159" s="616" t="s">
        <v>2586</v>
      </c>
      <c r="C159" s="614" t="s">
        <v>926</v>
      </c>
      <c r="D159" s="1140">
        <v>11.45</v>
      </c>
    </row>
    <row r="160" spans="1:4" s="617" customFormat="1" ht="12.6" customHeight="1" x14ac:dyDescent="0.2">
      <c r="A160" s="1134">
        <v>10147</v>
      </c>
      <c r="B160" s="616" t="s">
        <v>2587</v>
      </c>
      <c r="C160" s="614" t="s">
        <v>926</v>
      </c>
      <c r="D160" s="1135">
        <v>9.98</v>
      </c>
    </row>
    <row r="161" spans="1:4" s="617" customFormat="1" ht="12.6" customHeight="1" x14ac:dyDescent="0.2">
      <c r="A161" s="1134">
        <v>10146</v>
      </c>
      <c r="B161" s="616" t="s">
        <v>2588</v>
      </c>
      <c r="C161" s="614" t="s">
        <v>926</v>
      </c>
      <c r="D161" s="1135">
        <v>7.63</v>
      </c>
    </row>
    <row r="162" spans="1:4" s="617" customFormat="1" ht="12.6" customHeight="1" x14ac:dyDescent="0.2">
      <c r="A162" s="1134">
        <v>10812</v>
      </c>
      <c r="B162" s="616" t="s">
        <v>2589</v>
      </c>
      <c r="C162" s="614" t="s">
        <v>926</v>
      </c>
      <c r="D162" s="1135">
        <v>8.57</v>
      </c>
    </row>
    <row r="163" spans="1:4" s="617" customFormat="1" ht="12.6" customHeight="1" x14ac:dyDescent="0.2">
      <c r="A163" s="1134">
        <v>10379</v>
      </c>
      <c r="B163" s="616" t="s">
        <v>2590</v>
      </c>
      <c r="C163" s="614" t="s">
        <v>717</v>
      </c>
      <c r="D163" s="1140">
        <v>88.75</v>
      </c>
    </row>
    <row r="164" spans="1:4" s="617" customFormat="1" ht="12.6" customHeight="1" x14ac:dyDescent="0.2">
      <c r="A164" s="1134">
        <v>10168</v>
      </c>
      <c r="B164" s="616" t="s">
        <v>2591</v>
      </c>
      <c r="C164" s="614" t="s">
        <v>926</v>
      </c>
      <c r="D164" s="1135">
        <v>8.31</v>
      </c>
    </row>
    <row r="165" spans="1:4" s="617" customFormat="1" ht="12.6" customHeight="1" x14ac:dyDescent="0.2">
      <c r="A165" s="1134">
        <v>10148</v>
      </c>
      <c r="B165" s="616" t="s">
        <v>2592</v>
      </c>
      <c r="C165" s="614" t="s">
        <v>926</v>
      </c>
      <c r="D165" s="1135">
        <v>6.13</v>
      </c>
    </row>
    <row r="166" spans="1:4" s="617" customFormat="1" ht="12.6" customHeight="1" x14ac:dyDescent="0.2">
      <c r="A166" s="1134">
        <v>10150</v>
      </c>
      <c r="B166" s="616" t="s">
        <v>2593</v>
      </c>
      <c r="C166" s="614" t="s">
        <v>926</v>
      </c>
      <c r="D166" s="1135">
        <v>8.44</v>
      </c>
    </row>
    <row r="167" spans="1:4" s="617" customFormat="1" ht="12.6" customHeight="1" x14ac:dyDescent="0.2">
      <c r="A167" s="1134">
        <v>10149</v>
      </c>
      <c r="B167" s="616" t="s">
        <v>2594</v>
      </c>
      <c r="C167" s="614" t="s">
        <v>926</v>
      </c>
      <c r="D167" s="1135">
        <v>8.23</v>
      </c>
    </row>
    <row r="168" spans="1:4" s="617" customFormat="1" ht="12.6" customHeight="1" x14ac:dyDescent="0.2">
      <c r="A168" s="1134">
        <v>10382</v>
      </c>
      <c r="B168" s="616" t="s">
        <v>2595</v>
      </c>
      <c r="C168" s="614" t="s">
        <v>717</v>
      </c>
      <c r="D168" s="1140">
        <v>57.94</v>
      </c>
    </row>
    <row r="169" spans="1:4" s="617" customFormat="1" ht="12.6" customHeight="1" x14ac:dyDescent="0.2">
      <c r="A169" s="1134">
        <v>10854</v>
      </c>
      <c r="B169" s="616" t="s">
        <v>2596</v>
      </c>
      <c r="C169" s="614" t="s">
        <v>926</v>
      </c>
      <c r="D169" s="1135">
        <v>9.49</v>
      </c>
    </row>
    <row r="170" spans="1:4" s="617" customFormat="1" ht="12.6" customHeight="1" x14ac:dyDescent="0.2">
      <c r="A170" s="1134">
        <v>10092</v>
      </c>
      <c r="B170" s="616" t="s">
        <v>2597</v>
      </c>
      <c r="C170" s="614" t="s">
        <v>926</v>
      </c>
      <c r="D170" s="1135">
        <v>0.41</v>
      </c>
    </row>
    <row r="171" spans="1:4" s="617" customFormat="1" ht="12.6" customHeight="1" x14ac:dyDescent="0.2">
      <c r="A171" s="1134">
        <v>10171</v>
      </c>
      <c r="B171" s="616" t="s">
        <v>2598</v>
      </c>
      <c r="C171" s="614" t="s">
        <v>734</v>
      </c>
      <c r="D171" s="1135">
        <v>7.31</v>
      </c>
    </row>
    <row r="172" spans="1:4" s="617" customFormat="1" ht="12.6" customHeight="1" x14ac:dyDescent="0.2">
      <c r="A172" s="1134">
        <v>10006</v>
      </c>
      <c r="B172" s="616" t="s">
        <v>2599</v>
      </c>
      <c r="C172" s="614" t="s">
        <v>803</v>
      </c>
      <c r="D172" s="1137">
        <v>5412.05</v>
      </c>
    </row>
    <row r="173" spans="1:4" s="617" customFormat="1" ht="12.6" customHeight="1" x14ac:dyDescent="0.2">
      <c r="A173" s="1134">
        <v>10362</v>
      </c>
      <c r="B173" s="616" t="s">
        <v>2600</v>
      </c>
      <c r="C173" s="614" t="s">
        <v>926</v>
      </c>
      <c r="D173" s="1140">
        <v>20.61</v>
      </c>
    </row>
    <row r="174" spans="1:4" s="617" customFormat="1" ht="12.6" customHeight="1" x14ac:dyDescent="0.2">
      <c r="A174" s="1134">
        <v>11427</v>
      </c>
      <c r="B174" s="616" t="s">
        <v>2601</v>
      </c>
      <c r="C174" s="614" t="s">
        <v>719</v>
      </c>
      <c r="D174" s="1140">
        <v>332.96</v>
      </c>
    </row>
    <row r="175" spans="1:4" s="617" customFormat="1" ht="12.6" customHeight="1" x14ac:dyDescent="0.2">
      <c r="A175" s="1134">
        <v>11428</v>
      </c>
      <c r="B175" s="616" t="s">
        <v>2602</v>
      </c>
      <c r="C175" s="614" t="s">
        <v>719</v>
      </c>
      <c r="D175" s="1140">
        <v>292.98</v>
      </c>
    </row>
    <row r="176" spans="1:4" s="617" customFormat="1" ht="12.6" customHeight="1" x14ac:dyDescent="0.2">
      <c r="A176" s="1134">
        <v>11426</v>
      </c>
      <c r="B176" s="616" t="s">
        <v>2603</v>
      </c>
      <c r="C176" s="614" t="s">
        <v>719</v>
      </c>
      <c r="D176" s="1140">
        <v>307.25</v>
      </c>
    </row>
    <row r="177" spans="1:4" s="617" customFormat="1" ht="12.6" customHeight="1" x14ac:dyDescent="0.2">
      <c r="A177" s="1134">
        <v>11406</v>
      </c>
      <c r="B177" s="616" t="s">
        <v>2604</v>
      </c>
      <c r="C177" s="614" t="s">
        <v>719</v>
      </c>
      <c r="D177" s="1140">
        <v>318.76</v>
      </c>
    </row>
    <row r="178" spans="1:4" s="617" customFormat="1" ht="12.6" customHeight="1" x14ac:dyDescent="0.2">
      <c r="A178" s="1134">
        <v>11481</v>
      </c>
      <c r="B178" s="616" t="s">
        <v>2605</v>
      </c>
      <c r="C178" s="614" t="s">
        <v>719</v>
      </c>
      <c r="D178" s="1140">
        <v>341.33</v>
      </c>
    </row>
    <row r="179" spans="1:4" s="617" customFormat="1" ht="12.6" customHeight="1" x14ac:dyDescent="0.2">
      <c r="A179" s="1134">
        <v>11482</v>
      </c>
      <c r="B179" s="616" t="s">
        <v>2606</v>
      </c>
      <c r="C179" s="614" t="s">
        <v>719</v>
      </c>
      <c r="D179" s="1140">
        <v>356.06</v>
      </c>
    </row>
    <row r="180" spans="1:4" s="617" customFormat="1" ht="12.6" customHeight="1" x14ac:dyDescent="0.2">
      <c r="A180" s="1134">
        <v>10283</v>
      </c>
      <c r="B180" s="616" t="s">
        <v>2607</v>
      </c>
      <c r="C180" s="614" t="s">
        <v>734</v>
      </c>
      <c r="D180" s="1140">
        <v>442.55</v>
      </c>
    </row>
    <row r="181" spans="1:4" s="617" customFormat="1" ht="12.6" customHeight="1" x14ac:dyDescent="0.2">
      <c r="A181" s="1134">
        <v>10364</v>
      </c>
      <c r="B181" s="616" t="s">
        <v>2608</v>
      </c>
      <c r="C181" s="614" t="s">
        <v>734</v>
      </c>
      <c r="D181" s="1140">
        <v>125.03</v>
      </c>
    </row>
    <row r="182" spans="1:4" s="617" customFormat="1" ht="12.6" customHeight="1" x14ac:dyDescent="0.2">
      <c r="A182" s="1134">
        <v>10651</v>
      </c>
      <c r="B182" s="616" t="s">
        <v>2609</v>
      </c>
      <c r="C182" s="614" t="s">
        <v>734</v>
      </c>
      <c r="D182" s="1140">
        <v>39.369999999999997</v>
      </c>
    </row>
    <row r="183" spans="1:4" s="617" customFormat="1" ht="12.6" customHeight="1" x14ac:dyDescent="0.2">
      <c r="A183" s="1134">
        <v>10708</v>
      </c>
      <c r="B183" s="616" t="s">
        <v>2610</v>
      </c>
      <c r="C183" s="614" t="s">
        <v>734</v>
      </c>
      <c r="D183" s="1137">
        <v>11450.19</v>
      </c>
    </row>
    <row r="184" spans="1:4" s="617" customFormat="1" ht="12.6" customHeight="1" x14ac:dyDescent="0.2">
      <c r="A184" s="1134">
        <v>10856</v>
      </c>
      <c r="B184" s="616" t="s">
        <v>2611</v>
      </c>
      <c r="C184" s="614" t="s">
        <v>734</v>
      </c>
      <c r="D184" s="1137">
        <v>11779.51</v>
      </c>
    </row>
    <row r="185" spans="1:4" s="617" customFormat="1" ht="12.6" customHeight="1" x14ac:dyDescent="0.2">
      <c r="A185" s="1134">
        <v>11476</v>
      </c>
      <c r="B185" s="616" t="s">
        <v>2612</v>
      </c>
      <c r="C185" s="614" t="s">
        <v>734</v>
      </c>
      <c r="D185" s="1135">
        <v>0.26</v>
      </c>
    </row>
    <row r="186" spans="1:4" s="617" customFormat="1" ht="12.6" customHeight="1" x14ac:dyDescent="0.2">
      <c r="A186" s="1134">
        <v>10045</v>
      </c>
      <c r="B186" s="616" t="s">
        <v>2613</v>
      </c>
      <c r="C186" s="614" t="s">
        <v>838</v>
      </c>
      <c r="D186" s="1135">
        <v>1.18</v>
      </c>
    </row>
    <row r="187" spans="1:4" s="617" customFormat="1" ht="12.6" customHeight="1" x14ac:dyDescent="0.2">
      <c r="A187" s="1134">
        <v>10644</v>
      </c>
      <c r="B187" s="616" t="s">
        <v>2614</v>
      </c>
      <c r="C187" s="614" t="s">
        <v>734</v>
      </c>
      <c r="D187" s="1137">
        <v>1368.28</v>
      </c>
    </row>
    <row r="188" spans="1:4" s="617" customFormat="1" ht="12.6" customHeight="1" x14ac:dyDescent="0.2">
      <c r="A188" s="1134">
        <v>10774</v>
      </c>
      <c r="B188" s="616" t="s">
        <v>2615</v>
      </c>
      <c r="C188" s="614" t="s">
        <v>734</v>
      </c>
      <c r="D188" s="1135">
        <v>3.69</v>
      </c>
    </row>
    <row r="189" spans="1:4" s="617" customFormat="1" ht="12.6" customHeight="1" x14ac:dyDescent="0.2">
      <c r="A189" s="1134">
        <v>11007</v>
      </c>
      <c r="B189" s="616" t="s">
        <v>2616</v>
      </c>
      <c r="C189" s="614" t="s">
        <v>734</v>
      </c>
      <c r="D189" s="1135">
        <v>3.13</v>
      </c>
    </row>
    <row r="190" spans="1:4" s="617" customFormat="1" ht="12.6" customHeight="1" x14ac:dyDescent="0.2">
      <c r="A190" s="1134">
        <v>10342</v>
      </c>
      <c r="B190" s="616" t="s">
        <v>2617</v>
      </c>
      <c r="C190" s="614" t="s">
        <v>838</v>
      </c>
      <c r="D190" s="1140">
        <v>226.48</v>
      </c>
    </row>
    <row r="191" spans="1:4" s="617" customFormat="1" ht="12.6" customHeight="1" x14ac:dyDescent="0.2">
      <c r="A191" s="1134">
        <v>10208</v>
      </c>
      <c r="B191" s="616" t="s">
        <v>2618</v>
      </c>
      <c r="C191" s="614" t="s">
        <v>926</v>
      </c>
      <c r="D191" s="1140">
        <v>12.45</v>
      </c>
    </row>
    <row r="192" spans="1:4" s="617" customFormat="1" ht="12.6" customHeight="1" x14ac:dyDescent="0.2">
      <c r="A192" s="1134">
        <v>11020</v>
      </c>
      <c r="B192" s="616" t="s">
        <v>2619</v>
      </c>
      <c r="C192" s="614" t="s">
        <v>2620</v>
      </c>
      <c r="D192" s="1140">
        <v>112</v>
      </c>
    </row>
    <row r="193" spans="1:4" s="617" customFormat="1" ht="12.6" customHeight="1" x14ac:dyDescent="0.2">
      <c r="A193" s="1134">
        <v>10040</v>
      </c>
      <c r="B193" s="616" t="s">
        <v>2621</v>
      </c>
      <c r="C193" s="614" t="s">
        <v>926</v>
      </c>
      <c r="D193" s="1135">
        <v>7.66</v>
      </c>
    </row>
    <row r="194" spans="1:4" s="617" customFormat="1" ht="12.6" customHeight="1" x14ac:dyDescent="0.2">
      <c r="A194" s="1134">
        <v>10029</v>
      </c>
      <c r="B194" s="616" t="s">
        <v>2622</v>
      </c>
      <c r="C194" s="614" t="s">
        <v>926</v>
      </c>
      <c r="D194" s="1140">
        <v>63.15</v>
      </c>
    </row>
    <row r="195" spans="1:4" s="617" customFormat="1" ht="12.6" customHeight="1" x14ac:dyDescent="0.2">
      <c r="A195" s="1134">
        <v>10028</v>
      </c>
      <c r="B195" s="616" t="s">
        <v>2623</v>
      </c>
      <c r="C195" s="614" t="s">
        <v>803</v>
      </c>
      <c r="D195" s="1137">
        <v>63150</v>
      </c>
    </row>
    <row r="196" spans="1:4" s="617" customFormat="1" ht="12.6" customHeight="1" x14ac:dyDescent="0.2">
      <c r="A196" s="1134">
        <v>10185</v>
      </c>
      <c r="B196" s="616" t="s">
        <v>2624</v>
      </c>
      <c r="C196" s="614" t="s">
        <v>926</v>
      </c>
      <c r="D196" s="1140">
        <v>18</v>
      </c>
    </row>
    <row r="197" spans="1:4" s="617" customFormat="1" ht="12.6" customHeight="1" x14ac:dyDescent="0.2">
      <c r="A197" s="1134">
        <v>10775</v>
      </c>
      <c r="B197" s="616" t="s">
        <v>2625</v>
      </c>
      <c r="C197" s="614" t="s">
        <v>838</v>
      </c>
      <c r="D197" s="1135">
        <v>7.55</v>
      </c>
    </row>
    <row r="198" spans="1:4" s="617" customFormat="1" ht="12.6" customHeight="1" x14ac:dyDescent="0.2">
      <c r="A198" s="1134">
        <v>10809</v>
      </c>
      <c r="B198" s="616" t="s">
        <v>2626</v>
      </c>
      <c r="C198" s="614" t="s">
        <v>838</v>
      </c>
      <c r="D198" s="1140">
        <v>18.77</v>
      </c>
    </row>
    <row r="199" spans="1:4" s="617" customFormat="1" ht="12.6" customHeight="1" x14ac:dyDescent="0.2">
      <c r="A199" s="1134">
        <v>10763</v>
      </c>
      <c r="B199" s="616" t="s">
        <v>2627</v>
      </c>
      <c r="C199" s="614" t="s">
        <v>838</v>
      </c>
      <c r="D199" s="1140">
        <v>73.040000000000006</v>
      </c>
    </row>
    <row r="200" spans="1:4" s="617" customFormat="1" ht="12.6" customHeight="1" x14ac:dyDescent="0.2">
      <c r="A200" s="1134">
        <v>11467</v>
      </c>
      <c r="B200" s="616" t="s">
        <v>2628</v>
      </c>
      <c r="C200" s="614" t="s">
        <v>2629</v>
      </c>
      <c r="D200" s="1140">
        <v>170.46</v>
      </c>
    </row>
    <row r="201" spans="1:4" s="617" customFormat="1" ht="12.6" customHeight="1" x14ac:dyDescent="0.2">
      <c r="A201" s="1134">
        <v>11006</v>
      </c>
      <c r="B201" s="616" t="s">
        <v>2630</v>
      </c>
      <c r="C201" s="614" t="s">
        <v>838</v>
      </c>
      <c r="D201" s="1135">
        <v>2.81</v>
      </c>
    </row>
    <row r="202" spans="1:4" s="617" customFormat="1" ht="12.6" customHeight="1" x14ac:dyDescent="0.2">
      <c r="A202" s="1134">
        <v>10810</v>
      </c>
      <c r="B202" s="616" t="s">
        <v>2631</v>
      </c>
      <c r="C202" s="614" t="s">
        <v>838</v>
      </c>
      <c r="D202" s="1140">
        <v>30.32</v>
      </c>
    </row>
    <row r="203" spans="1:4" s="617" customFormat="1" ht="12.6" customHeight="1" x14ac:dyDescent="0.2">
      <c r="A203" s="1134">
        <v>10685</v>
      </c>
      <c r="B203" s="616" t="s">
        <v>2632</v>
      </c>
      <c r="C203" s="614" t="s">
        <v>838</v>
      </c>
      <c r="D203" s="1140">
        <v>10.51</v>
      </c>
    </row>
    <row r="204" spans="1:4" s="617" customFormat="1" ht="12.6" customHeight="1" x14ac:dyDescent="0.2">
      <c r="A204" s="1134">
        <v>10686</v>
      </c>
      <c r="B204" s="616" t="s">
        <v>2633</v>
      </c>
      <c r="C204" s="614" t="s">
        <v>838</v>
      </c>
      <c r="D204" s="1140">
        <v>19.239999999999998</v>
      </c>
    </row>
    <row r="205" spans="1:4" s="617" customFormat="1" ht="12.6" customHeight="1" x14ac:dyDescent="0.2">
      <c r="A205" s="1134">
        <v>10694</v>
      </c>
      <c r="B205" s="616" t="s">
        <v>2634</v>
      </c>
      <c r="C205" s="614" t="s">
        <v>838</v>
      </c>
      <c r="D205" s="1135">
        <v>3.03</v>
      </c>
    </row>
    <row r="206" spans="1:4" s="617" customFormat="1" ht="12.6" customHeight="1" x14ac:dyDescent="0.2">
      <c r="A206" s="1134">
        <v>10693</v>
      </c>
      <c r="B206" s="616" t="s">
        <v>2635</v>
      </c>
      <c r="C206" s="614" t="s">
        <v>838</v>
      </c>
      <c r="D206" s="1135">
        <v>2.42</v>
      </c>
    </row>
    <row r="207" spans="1:4" s="617" customFormat="1" ht="12.6" customHeight="1" x14ac:dyDescent="0.2">
      <c r="A207" s="1134">
        <v>10696</v>
      </c>
      <c r="B207" s="616" t="s">
        <v>2636</v>
      </c>
      <c r="C207" s="614" t="s">
        <v>838</v>
      </c>
      <c r="D207" s="1135">
        <v>4.2</v>
      </c>
    </row>
    <row r="208" spans="1:4" s="617" customFormat="1" ht="12.6" customHeight="1" x14ac:dyDescent="0.2">
      <c r="A208" s="1134">
        <v>10695</v>
      </c>
      <c r="B208" s="616" t="s">
        <v>2637</v>
      </c>
      <c r="C208" s="614" t="s">
        <v>838</v>
      </c>
      <c r="D208" s="1135">
        <v>8.1</v>
      </c>
    </row>
    <row r="209" spans="1:4" s="617" customFormat="1" ht="12.6" customHeight="1" x14ac:dyDescent="0.2">
      <c r="A209" s="1134">
        <v>101195</v>
      </c>
      <c r="B209" s="616" t="s">
        <v>2638</v>
      </c>
      <c r="C209" s="614" t="s">
        <v>803</v>
      </c>
      <c r="D209" s="1137">
        <v>2434.9499999999998</v>
      </c>
    </row>
    <row r="210" spans="1:4" s="617" customFormat="1" ht="13.9" customHeight="1" x14ac:dyDescent="0.2">
      <c r="A210" s="1134">
        <v>10777</v>
      </c>
      <c r="B210" s="616" t="s">
        <v>2639</v>
      </c>
      <c r="C210" s="614" t="s">
        <v>803</v>
      </c>
      <c r="D210" s="1137">
        <v>3023.65</v>
      </c>
    </row>
    <row r="211" spans="1:4" s="617" customFormat="1" ht="13.9" customHeight="1" x14ac:dyDescent="0.2">
      <c r="A211" s="1134">
        <v>10011</v>
      </c>
      <c r="B211" s="616" t="s">
        <v>2640</v>
      </c>
      <c r="C211" s="614" t="s">
        <v>803</v>
      </c>
      <c r="D211" s="1137">
        <v>2384.52</v>
      </c>
    </row>
    <row r="212" spans="1:4" s="617" customFormat="1" ht="13.9" customHeight="1" x14ac:dyDescent="0.2">
      <c r="A212" s="1134">
        <v>10022</v>
      </c>
      <c r="B212" s="616" t="s">
        <v>2641</v>
      </c>
      <c r="C212" s="614" t="s">
        <v>803</v>
      </c>
      <c r="D212" s="1137">
        <v>2758.25</v>
      </c>
    </row>
    <row r="213" spans="1:4" s="617" customFormat="1" ht="13.9" customHeight="1" x14ac:dyDescent="0.2">
      <c r="A213" s="1134">
        <v>10008</v>
      </c>
      <c r="B213" s="616" t="s">
        <v>2642</v>
      </c>
      <c r="C213" s="614" t="s">
        <v>803</v>
      </c>
      <c r="D213" s="1137">
        <v>2659.74</v>
      </c>
    </row>
    <row r="214" spans="1:4" s="617" customFormat="1" ht="13.9" customHeight="1" x14ac:dyDescent="0.2">
      <c r="A214" s="1134">
        <v>10009</v>
      </c>
      <c r="B214" s="616" t="s">
        <v>2643</v>
      </c>
      <c r="C214" s="614" t="s">
        <v>803</v>
      </c>
      <c r="D214" s="1137">
        <v>2196.2800000000002</v>
      </c>
    </row>
    <row r="215" spans="1:4" s="617" customFormat="1" ht="13.9" customHeight="1" x14ac:dyDescent="0.2">
      <c r="A215" s="1134">
        <v>10020</v>
      </c>
      <c r="B215" s="616" t="s">
        <v>2644</v>
      </c>
      <c r="C215" s="614" t="s">
        <v>803</v>
      </c>
      <c r="D215" s="1137">
        <v>2694.55</v>
      </c>
    </row>
    <row r="216" spans="1:4" s="617" customFormat="1" ht="11.45" customHeight="1" x14ac:dyDescent="0.2">
      <c r="A216" s="1134">
        <v>10010</v>
      </c>
      <c r="B216" s="616" t="s">
        <v>2645</v>
      </c>
      <c r="C216" s="614" t="s">
        <v>803</v>
      </c>
      <c r="D216" s="1137">
        <v>2691.13</v>
      </c>
    </row>
    <row r="217" spans="1:4" s="617" customFormat="1" ht="11.45" customHeight="1" x14ac:dyDescent="0.2">
      <c r="A217" s="1134">
        <v>10021</v>
      </c>
      <c r="B217" s="616" t="s">
        <v>2646</v>
      </c>
      <c r="C217" s="614" t="s">
        <v>803</v>
      </c>
      <c r="D217" s="1137">
        <v>2928.46</v>
      </c>
    </row>
    <row r="218" spans="1:4" s="617" customFormat="1" ht="11.45" customHeight="1" x14ac:dyDescent="0.2">
      <c r="A218" s="1134">
        <v>10104</v>
      </c>
      <c r="B218" s="616" t="s">
        <v>2647</v>
      </c>
      <c r="C218" s="614" t="s">
        <v>2196</v>
      </c>
      <c r="D218" s="1140">
        <v>11.78</v>
      </c>
    </row>
    <row r="219" spans="1:4" s="617" customFormat="1" ht="11.45" customHeight="1" x14ac:dyDescent="0.2">
      <c r="A219" s="1134">
        <v>10073</v>
      </c>
      <c r="B219" s="616" t="s">
        <v>2648</v>
      </c>
      <c r="C219" s="614" t="s">
        <v>2649</v>
      </c>
      <c r="D219" s="1140">
        <v>79.599999999999994</v>
      </c>
    </row>
    <row r="220" spans="1:4" s="617" customFormat="1" ht="11.45" customHeight="1" x14ac:dyDescent="0.2">
      <c r="A220" s="1134">
        <v>10123</v>
      </c>
      <c r="B220" s="616" t="s">
        <v>2650</v>
      </c>
      <c r="C220" s="614" t="s">
        <v>803</v>
      </c>
      <c r="D220" s="1140">
        <v>13.43</v>
      </c>
    </row>
    <row r="221" spans="1:4" s="617" customFormat="1" ht="11.45" customHeight="1" x14ac:dyDescent="0.2">
      <c r="A221" s="1134">
        <v>10207</v>
      </c>
      <c r="B221" s="616" t="s">
        <v>2651</v>
      </c>
      <c r="C221" s="614" t="s">
        <v>734</v>
      </c>
      <c r="D221" s="1135">
        <v>6.3</v>
      </c>
    </row>
    <row r="222" spans="1:4" s="617" customFormat="1" ht="11.45" customHeight="1" x14ac:dyDescent="0.2">
      <c r="A222" s="1134">
        <v>10369</v>
      </c>
      <c r="B222" s="616" t="s">
        <v>2652</v>
      </c>
      <c r="C222" s="614" t="s">
        <v>2475</v>
      </c>
      <c r="D222" s="1140">
        <v>96.44</v>
      </c>
    </row>
    <row r="223" spans="1:4" s="617" customFormat="1" ht="11.45" customHeight="1" x14ac:dyDescent="0.2">
      <c r="A223" s="1134">
        <v>10370</v>
      </c>
      <c r="B223" s="616" t="s">
        <v>2653</v>
      </c>
      <c r="C223" s="614" t="s">
        <v>2475</v>
      </c>
      <c r="D223" s="1140">
        <v>97.98</v>
      </c>
    </row>
    <row r="224" spans="1:4" s="617" customFormat="1" ht="11.45" customHeight="1" x14ac:dyDescent="0.2">
      <c r="A224" s="1133" t="s">
        <v>711</v>
      </c>
      <c r="B224" s="1133" t="s">
        <v>2421</v>
      </c>
      <c r="C224" s="1133" t="s">
        <v>713</v>
      </c>
      <c r="D224" s="1133" t="s">
        <v>2422</v>
      </c>
    </row>
    <row r="225" spans="1:4" s="617" customFormat="1" ht="11.45" customHeight="1" x14ac:dyDescent="0.2">
      <c r="A225" s="1134">
        <v>10044</v>
      </c>
      <c r="B225" s="616" t="s">
        <v>2654</v>
      </c>
      <c r="C225" s="614" t="s">
        <v>734</v>
      </c>
      <c r="D225" s="1140">
        <v>16.16</v>
      </c>
    </row>
    <row r="226" spans="1:4" s="617" customFormat="1" ht="11.45" customHeight="1" x14ac:dyDescent="0.2">
      <c r="A226" s="1134">
        <v>10043</v>
      </c>
      <c r="B226" s="616" t="s">
        <v>2655</v>
      </c>
      <c r="C226" s="614" t="s">
        <v>734</v>
      </c>
      <c r="D226" s="1135">
        <v>2.17</v>
      </c>
    </row>
    <row r="227" spans="1:4" s="617" customFormat="1" ht="11.45" customHeight="1" x14ac:dyDescent="0.2">
      <c r="A227" s="1134">
        <v>11468</v>
      </c>
      <c r="B227" s="616" t="s">
        <v>2656</v>
      </c>
      <c r="C227" s="614" t="s">
        <v>838</v>
      </c>
      <c r="D227" s="1140">
        <v>75.95</v>
      </c>
    </row>
    <row r="228" spans="1:4" s="617" customFormat="1" ht="11.45" customHeight="1" x14ac:dyDescent="0.2">
      <c r="A228" s="1134">
        <v>11469</v>
      </c>
      <c r="B228" s="616" t="s">
        <v>2657</v>
      </c>
      <c r="C228" s="614" t="s">
        <v>838</v>
      </c>
      <c r="D228" s="1140">
        <v>91.35</v>
      </c>
    </row>
    <row r="229" spans="1:4" s="617" customFormat="1" ht="12.6" customHeight="1" x14ac:dyDescent="0.2">
      <c r="A229" s="1134">
        <v>11470</v>
      </c>
      <c r="B229" s="616" t="s">
        <v>2658</v>
      </c>
      <c r="C229" s="614" t="s">
        <v>838</v>
      </c>
      <c r="D229" s="1140">
        <v>131.37</v>
      </c>
    </row>
    <row r="230" spans="1:4" s="617" customFormat="1" ht="12.6" customHeight="1" x14ac:dyDescent="0.2">
      <c r="A230" s="1134">
        <v>10720</v>
      </c>
      <c r="B230" s="616" t="s">
        <v>2659</v>
      </c>
      <c r="C230" s="614" t="s">
        <v>926</v>
      </c>
      <c r="D230" s="1140">
        <v>22.68</v>
      </c>
    </row>
    <row r="231" spans="1:4" s="617" customFormat="1" ht="12.6" customHeight="1" x14ac:dyDescent="0.2">
      <c r="A231" s="1134">
        <v>10078</v>
      </c>
      <c r="B231" s="616" t="s">
        <v>2660</v>
      </c>
      <c r="C231" s="614" t="s">
        <v>734</v>
      </c>
      <c r="D231" s="1140">
        <v>10.87</v>
      </c>
    </row>
    <row r="232" spans="1:4" s="617" customFormat="1" ht="12.6" customHeight="1" x14ac:dyDescent="0.2">
      <c r="A232" s="1134">
        <v>11531</v>
      </c>
      <c r="B232" s="616" t="s">
        <v>2661</v>
      </c>
      <c r="C232" s="614" t="s">
        <v>926</v>
      </c>
      <c r="D232" s="1135">
        <v>9.6999999999999993</v>
      </c>
    </row>
    <row r="233" spans="1:4" s="617" customFormat="1" ht="12.6" customHeight="1" x14ac:dyDescent="0.2">
      <c r="A233" s="1134">
        <v>10042</v>
      </c>
      <c r="B233" s="616" t="s">
        <v>2662</v>
      </c>
      <c r="C233" s="614" t="s">
        <v>838</v>
      </c>
      <c r="D233" s="1135">
        <v>1.86</v>
      </c>
    </row>
    <row r="234" spans="1:4" s="617" customFormat="1" ht="12.6" customHeight="1" x14ac:dyDescent="0.2">
      <c r="A234" s="1134">
        <v>10098</v>
      </c>
      <c r="B234" s="616" t="s">
        <v>2663</v>
      </c>
      <c r="C234" s="614" t="s">
        <v>803</v>
      </c>
      <c r="D234" s="1140">
        <v>127.06</v>
      </c>
    </row>
    <row r="235" spans="1:4" s="617" customFormat="1" ht="12.6" customHeight="1" x14ac:dyDescent="0.2">
      <c r="A235" s="1134">
        <v>11021</v>
      </c>
      <c r="B235" s="616" t="s">
        <v>2664</v>
      </c>
      <c r="C235" s="614" t="s">
        <v>734</v>
      </c>
      <c r="D235" s="1140">
        <v>659.54</v>
      </c>
    </row>
    <row r="236" spans="1:4" s="617" customFormat="1" ht="12.6" customHeight="1" x14ac:dyDescent="0.2">
      <c r="A236" s="1134">
        <v>11516</v>
      </c>
      <c r="B236" s="616" t="s">
        <v>2665</v>
      </c>
      <c r="C236" s="614" t="s">
        <v>838</v>
      </c>
      <c r="D236" s="1140">
        <v>334.23</v>
      </c>
    </row>
    <row r="237" spans="1:4" s="617" customFormat="1" ht="12.6" customHeight="1" x14ac:dyDescent="0.2">
      <c r="A237" s="1134">
        <v>10773</v>
      </c>
      <c r="B237" s="616" t="s">
        <v>2666</v>
      </c>
      <c r="C237" s="614" t="s">
        <v>838</v>
      </c>
      <c r="D237" s="1135">
        <v>3.69</v>
      </c>
    </row>
    <row r="238" spans="1:4" s="617" customFormat="1" ht="12.6" customHeight="1" x14ac:dyDescent="0.2">
      <c r="A238" s="1134">
        <v>11009</v>
      </c>
      <c r="B238" s="616" t="s">
        <v>2667</v>
      </c>
      <c r="C238" s="614" t="s">
        <v>838</v>
      </c>
      <c r="D238" s="1135">
        <v>2.67</v>
      </c>
    </row>
    <row r="239" spans="1:4" s="617" customFormat="1" ht="12.6" customHeight="1" x14ac:dyDescent="0.2">
      <c r="A239" s="1134">
        <v>10744</v>
      </c>
      <c r="B239" s="616" t="s">
        <v>2668</v>
      </c>
      <c r="C239" s="614" t="s">
        <v>838</v>
      </c>
      <c r="D239" s="1135">
        <v>3.25</v>
      </c>
    </row>
    <row r="240" spans="1:4" s="617" customFormat="1" ht="12.6" customHeight="1" x14ac:dyDescent="0.2">
      <c r="A240" s="1134">
        <v>11472</v>
      </c>
      <c r="B240" s="616" t="s">
        <v>2669</v>
      </c>
      <c r="C240" s="614" t="s">
        <v>2478</v>
      </c>
      <c r="D240" s="1140">
        <v>10.35</v>
      </c>
    </row>
    <row r="241" spans="1:4" s="617" customFormat="1" ht="12.6" customHeight="1" x14ac:dyDescent="0.2">
      <c r="A241" s="1134">
        <v>11260</v>
      </c>
      <c r="B241" s="616" t="s">
        <v>2670</v>
      </c>
      <c r="C241" s="614" t="s">
        <v>2444</v>
      </c>
      <c r="D241" s="1140">
        <v>20.12</v>
      </c>
    </row>
    <row r="242" spans="1:4" s="617" customFormat="1" ht="12.6" customHeight="1" x14ac:dyDescent="0.2">
      <c r="A242" s="1134">
        <v>11253</v>
      </c>
      <c r="B242" s="616" t="s">
        <v>2671</v>
      </c>
      <c r="C242" s="614" t="s">
        <v>926</v>
      </c>
      <c r="D242" s="1135">
        <v>0.48</v>
      </c>
    </row>
    <row r="243" spans="1:4" s="617" customFormat="1" ht="12.6" customHeight="1" x14ac:dyDescent="0.2">
      <c r="A243" s="1134">
        <v>10786</v>
      </c>
      <c r="B243" s="616" t="s">
        <v>2672</v>
      </c>
      <c r="C243" s="614" t="s">
        <v>2196</v>
      </c>
      <c r="D243" s="1140">
        <v>16.87</v>
      </c>
    </row>
    <row r="244" spans="1:4" s="617" customFormat="1" ht="12.6" customHeight="1" x14ac:dyDescent="0.2">
      <c r="A244" s="1134">
        <v>10158</v>
      </c>
      <c r="B244" s="616" t="s">
        <v>2673</v>
      </c>
      <c r="C244" s="614" t="s">
        <v>719</v>
      </c>
      <c r="D244" s="1140">
        <v>376.22</v>
      </c>
    </row>
    <row r="245" spans="1:4" s="617" customFormat="1" ht="12.6" customHeight="1" x14ac:dyDescent="0.2">
      <c r="A245" s="1134">
        <v>10157</v>
      </c>
      <c r="B245" s="616" t="s">
        <v>2674</v>
      </c>
      <c r="C245" s="614" t="s">
        <v>719</v>
      </c>
      <c r="D245" s="1140">
        <v>560.54</v>
      </c>
    </row>
    <row r="246" spans="1:4" s="617" customFormat="1" ht="12.6" customHeight="1" x14ac:dyDescent="0.2">
      <c r="A246" s="1134">
        <v>10155</v>
      </c>
      <c r="B246" s="616" t="s">
        <v>2675</v>
      </c>
      <c r="C246" s="614" t="s">
        <v>719</v>
      </c>
      <c r="D246" s="1140">
        <v>427.37</v>
      </c>
    </row>
    <row r="247" spans="1:4" s="617" customFormat="1" ht="12.6" customHeight="1" x14ac:dyDescent="0.2">
      <c r="A247" s="1134">
        <v>10156</v>
      </c>
      <c r="B247" s="616" t="s">
        <v>2676</v>
      </c>
      <c r="C247" s="614" t="s">
        <v>719</v>
      </c>
      <c r="D247" s="1140">
        <v>312.89999999999998</v>
      </c>
    </row>
    <row r="248" spans="1:4" s="617" customFormat="1" ht="12.6" customHeight="1" x14ac:dyDescent="0.2">
      <c r="A248" s="1134">
        <v>10176</v>
      </c>
      <c r="B248" s="616" t="s">
        <v>2677</v>
      </c>
      <c r="C248" s="614" t="s">
        <v>717</v>
      </c>
      <c r="D248" s="1140">
        <v>144.68</v>
      </c>
    </row>
    <row r="249" spans="1:4" s="617" customFormat="1" ht="12.6" customHeight="1" x14ac:dyDescent="0.2">
      <c r="A249" s="1134">
        <v>10853</v>
      </c>
      <c r="B249" s="616" t="s">
        <v>2678</v>
      </c>
      <c r="C249" s="614" t="s">
        <v>719</v>
      </c>
      <c r="D249" s="1140">
        <v>372.75</v>
      </c>
    </row>
    <row r="250" spans="1:4" s="617" customFormat="1" ht="12.6" customHeight="1" x14ac:dyDescent="0.2">
      <c r="A250" s="1134">
        <v>10859</v>
      </c>
      <c r="B250" s="616" t="s">
        <v>2679</v>
      </c>
      <c r="C250" s="614" t="s">
        <v>2196</v>
      </c>
      <c r="D250" s="1135">
        <v>4.25</v>
      </c>
    </row>
    <row r="251" spans="1:4" s="617" customFormat="1" ht="12.6" customHeight="1" x14ac:dyDescent="0.2">
      <c r="A251" s="1134">
        <v>10041</v>
      </c>
      <c r="B251" s="616" t="s">
        <v>2680</v>
      </c>
      <c r="C251" s="614" t="s">
        <v>926</v>
      </c>
      <c r="D251" s="1135">
        <v>4.4400000000000004</v>
      </c>
    </row>
    <row r="252" spans="1:4" s="617" customFormat="1" ht="12.6" customHeight="1" x14ac:dyDescent="0.2">
      <c r="A252" s="1134">
        <v>10852</v>
      </c>
      <c r="B252" s="616" t="s">
        <v>2681</v>
      </c>
      <c r="C252" s="614" t="s">
        <v>838</v>
      </c>
      <c r="D252" s="1135">
        <v>2.82</v>
      </c>
    </row>
    <row r="253" spans="1:4" s="617" customFormat="1" ht="12.6" customHeight="1" x14ac:dyDescent="0.2">
      <c r="A253" s="1134">
        <v>10848</v>
      </c>
      <c r="B253" s="616" t="s">
        <v>2682</v>
      </c>
      <c r="C253" s="614" t="s">
        <v>717</v>
      </c>
      <c r="D253" s="1140">
        <v>48.23</v>
      </c>
    </row>
    <row r="254" spans="1:4" s="617" customFormat="1" ht="12.6" customHeight="1" x14ac:dyDescent="0.2">
      <c r="A254" s="1134">
        <v>10851</v>
      </c>
      <c r="B254" s="616" t="s">
        <v>2683</v>
      </c>
      <c r="C254" s="614" t="s">
        <v>717</v>
      </c>
      <c r="D254" s="1140">
        <v>24.77</v>
      </c>
    </row>
    <row r="255" spans="1:4" s="617" customFormat="1" ht="12.6" customHeight="1" x14ac:dyDescent="0.2">
      <c r="A255" s="1134">
        <v>10850</v>
      </c>
      <c r="B255" s="616" t="s">
        <v>2684</v>
      </c>
      <c r="C255" s="614" t="s">
        <v>717</v>
      </c>
      <c r="D255" s="1140">
        <v>35.03</v>
      </c>
    </row>
    <row r="256" spans="1:4" s="617" customFormat="1" ht="12.6" customHeight="1" x14ac:dyDescent="0.2">
      <c r="A256" s="1134">
        <v>10849</v>
      </c>
      <c r="B256" s="616" t="s">
        <v>2685</v>
      </c>
      <c r="C256" s="614" t="s">
        <v>717</v>
      </c>
      <c r="D256" s="1140">
        <v>42.49</v>
      </c>
    </row>
    <row r="257" spans="1:4" s="617" customFormat="1" ht="12.6" customHeight="1" x14ac:dyDescent="0.2">
      <c r="A257" s="1134">
        <v>102592</v>
      </c>
      <c r="B257" s="616" t="s">
        <v>2686</v>
      </c>
      <c r="C257" s="614" t="s">
        <v>1321</v>
      </c>
      <c r="D257" s="1140">
        <v>14.52</v>
      </c>
    </row>
    <row r="258" spans="1:4" s="617" customFormat="1" ht="12.6" customHeight="1" x14ac:dyDescent="0.2">
      <c r="A258" s="1134">
        <v>102591</v>
      </c>
      <c r="B258" s="616" t="s">
        <v>2687</v>
      </c>
      <c r="C258" s="614" t="s">
        <v>1321</v>
      </c>
      <c r="D258" s="1140">
        <v>16.73</v>
      </c>
    </row>
    <row r="259" spans="1:4" s="617" customFormat="1" ht="12.6" customHeight="1" x14ac:dyDescent="0.2">
      <c r="A259" s="1134">
        <v>102593</v>
      </c>
      <c r="B259" s="616" t="s">
        <v>2688</v>
      </c>
      <c r="C259" s="614" t="s">
        <v>1321</v>
      </c>
      <c r="D259" s="1140">
        <v>19.809999999999999</v>
      </c>
    </row>
    <row r="260" spans="1:4" s="617" customFormat="1" ht="12.6" customHeight="1" x14ac:dyDescent="0.2">
      <c r="A260" s="1134">
        <v>10719</v>
      </c>
      <c r="B260" s="616" t="s">
        <v>2689</v>
      </c>
      <c r="C260" s="614" t="s">
        <v>717</v>
      </c>
      <c r="D260" s="1140">
        <v>35.630000000000003</v>
      </c>
    </row>
    <row r="261" spans="1:4" s="617" customFormat="1" ht="12.6" customHeight="1" x14ac:dyDescent="0.2">
      <c r="A261" s="1134">
        <v>10334</v>
      </c>
      <c r="B261" s="616" t="s">
        <v>2690</v>
      </c>
      <c r="C261" s="614" t="s">
        <v>717</v>
      </c>
      <c r="D261" s="1140">
        <v>20.25</v>
      </c>
    </row>
    <row r="262" spans="1:4" s="617" customFormat="1" ht="12.6" customHeight="1" x14ac:dyDescent="0.2">
      <c r="A262" s="1134">
        <v>10569</v>
      </c>
      <c r="B262" s="616" t="s">
        <v>2691</v>
      </c>
      <c r="C262" s="614" t="s">
        <v>717</v>
      </c>
      <c r="D262" s="1135">
        <v>7.02</v>
      </c>
    </row>
    <row r="263" spans="1:4" s="617" customFormat="1" ht="12.6" customHeight="1" x14ac:dyDescent="0.2">
      <c r="A263" s="1134">
        <v>10137</v>
      </c>
      <c r="B263" s="616" t="s">
        <v>2692</v>
      </c>
      <c r="C263" s="614" t="s">
        <v>926</v>
      </c>
      <c r="D263" s="1140">
        <v>17.690000000000001</v>
      </c>
    </row>
    <row r="264" spans="1:4" s="617" customFormat="1" ht="12.6" customHeight="1" x14ac:dyDescent="0.2">
      <c r="A264" s="1134">
        <v>10629</v>
      </c>
      <c r="B264" s="616" t="s">
        <v>2693</v>
      </c>
      <c r="C264" s="614" t="s">
        <v>926</v>
      </c>
      <c r="D264" s="1140">
        <v>26.42</v>
      </c>
    </row>
    <row r="265" spans="1:4" s="617" customFormat="1" ht="12.6" customHeight="1" x14ac:dyDescent="0.2">
      <c r="A265" s="1134">
        <v>10782</v>
      </c>
      <c r="B265" s="616" t="s">
        <v>2694</v>
      </c>
      <c r="C265" s="614" t="s">
        <v>734</v>
      </c>
      <c r="D265" s="1140">
        <v>312.19</v>
      </c>
    </row>
    <row r="266" spans="1:4" s="617" customFormat="1" ht="12.6" customHeight="1" x14ac:dyDescent="0.2">
      <c r="A266" s="1134">
        <v>10255</v>
      </c>
      <c r="B266" s="616" t="s">
        <v>2695</v>
      </c>
      <c r="C266" s="614" t="s">
        <v>2567</v>
      </c>
      <c r="D266" s="1140">
        <v>169.81</v>
      </c>
    </row>
    <row r="267" spans="1:4" s="617" customFormat="1" ht="12.6" customHeight="1" x14ac:dyDescent="0.2">
      <c r="A267" s="1134">
        <v>11478</v>
      </c>
      <c r="B267" s="616" t="s">
        <v>2696</v>
      </c>
      <c r="C267" s="614" t="s">
        <v>734</v>
      </c>
      <c r="D267" s="1137">
        <v>7525.09</v>
      </c>
    </row>
    <row r="268" spans="1:4" s="617" customFormat="1" ht="12.6" customHeight="1" x14ac:dyDescent="0.2">
      <c r="A268" s="1134">
        <v>11480</v>
      </c>
      <c r="B268" s="616" t="s">
        <v>2697</v>
      </c>
      <c r="C268" s="614" t="s">
        <v>734</v>
      </c>
      <c r="D268" s="1137">
        <v>1488.48</v>
      </c>
    </row>
    <row r="269" spans="1:4" s="617" customFormat="1" ht="12.6" customHeight="1" x14ac:dyDescent="0.2">
      <c r="A269" s="1134">
        <v>11475</v>
      </c>
      <c r="B269" s="616" t="s">
        <v>2698</v>
      </c>
      <c r="C269" s="614" t="s">
        <v>734</v>
      </c>
      <c r="D269" s="1137">
        <v>1649.16</v>
      </c>
    </row>
    <row r="270" spans="1:4" s="617" customFormat="1" ht="12.6" customHeight="1" x14ac:dyDescent="0.2">
      <c r="A270" s="1134">
        <v>11474</v>
      </c>
      <c r="B270" s="616" t="s">
        <v>2699</v>
      </c>
      <c r="C270" s="614" t="s">
        <v>734</v>
      </c>
      <c r="D270" s="1137">
        <v>3339.7</v>
      </c>
    </row>
    <row r="271" spans="1:4" s="617" customFormat="1" ht="12.6" customHeight="1" x14ac:dyDescent="0.2">
      <c r="A271" s="1134">
        <v>10663</v>
      </c>
      <c r="B271" s="616" t="s">
        <v>2700</v>
      </c>
      <c r="C271" s="614" t="s">
        <v>734</v>
      </c>
      <c r="D271" s="1140">
        <v>43.15</v>
      </c>
    </row>
    <row r="272" spans="1:4" s="617" customFormat="1" ht="12.6" customHeight="1" x14ac:dyDescent="0.2">
      <c r="A272" s="1134">
        <v>10699</v>
      </c>
      <c r="B272" s="616" t="s">
        <v>2701</v>
      </c>
      <c r="C272" s="614" t="s">
        <v>734</v>
      </c>
      <c r="D272" s="1140">
        <v>27.16</v>
      </c>
    </row>
    <row r="273" spans="1:4" s="617" customFormat="1" ht="12.6" customHeight="1" x14ac:dyDescent="0.2">
      <c r="A273" s="1134">
        <v>11471</v>
      </c>
      <c r="B273" s="616" t="s">
        <v>2702</v>
      </c>
      <c r="C273" s="614" t="s">
        <v>2172</v>
      </c>
      <c r="D273" s="1135">
        <v>0</v>
      </c>
    </row>
    <row r="274" spans="1:4" s="617" customFormat="1" ht="12.6" customHeight="1" x14ac:dyDescent="0.2">
      <c r="A274" s="1134">
        <v>10747</v>
      </c>
      <c r="B274" s="616" t="s">
        <v>2703</v>
      </c>
      <c r="C274" s="614" t="s">
        <v>734</v>
      </c>
      <c r="D274" s="1135">
        <v>6.86</v>
      </c>
    </row>
    <row r="275" spans="1:4" s="617" customFormat="1" ht="12.6" customHeight="1" x14ac:dyDescent="0.2">
      <c r="A275" s="1134">
        <v>10697</v>
      </c>
      <c r="B275" s="616" t="s">
        <v>2704</v>
      </c>
      <c r="C275" s="614" t="s">
        <v>734</v>
      </c>
      <c r="D275" s="1135">
        <v>5.23</v>
      </c>
    </row>
    <row r="276" spans="1:4" s="617" customFormat="1" ht="12.6" customHeight="1" x14ac:dyDescent="0.2">
      <c r="A276" s="1134">
        <v>10056</v>
      </c>
      <c r="B276" s="616" t="s">
        <v>2705</v>
      </c>
      <c r="C276" s="614" t="s">
        <v>2706</v>
      </c>
      <c r="D276" s="1137">
        <v>6572.94</v>
      </c>
    </row>
    <row r="277" spans="1:4" s="617" customFormat="1" ht="12.6" customHeight="1" x14ac:dyDescent="0.2">
      <c r="A277" s="1134">
        <v>10771</v>
      </c>
      <c r="B277" s="616" t="s">
        <v>2707</v>
      </c>
      <c r="C277" s="614" t="s">
        <v>838</v>
      </c>
      <c r="D277" s="1140">
        <v>59.04</v>
      </c>
    </row>
    <row r="278" spans="1:4" s="617" customFormat="1" ht="12.6" customHeight="1" x14ac:dyDescent="0.2">
      <c r="A278" s="1134">
        <v>10781</v>
      </c>
      <c r="B278" s="616" t="s">
        <v>2708</v>
      </c>
      <c r="C278" s="614" t="s">
        <v>717</v>
      </c>
      <c r="D278" s="1140">
        <v>61.2</v>
      </c>
    </row>
    <row r="279" spans="1:4" s="617" customFormat="1" ht="12.6" customHeight="1" x14ac:dyDescent="0.2">
      <c r="A279" s="1134">
        <v>10274</v>
      </c>
      <c r="B279" s="616" t="s">
        <v>2709</v>
      </c>
      <c r="C279" s="614" t="s">
        <v>717</v>
      </c>
      <c r="D279" s="1140">
        <v>51.71</v>
      </c>
    </row>
    <row r="280" spans="1:4" s="617" customFormat="1" ht="12.6" customHeight="1" x14ac:dyDescent="0.2">
      <c r="A280" s="1134">
        <v>10319</v>
      </c>
      <c r="B280" s="616" t="s">
        <v>2710</v>
      </c>
      <c r="C280" s="614" t="s">
        <v>2711</v>
      </c>
      <c r="D280" s="1140">
        <v>436.6</v>
      </c>
    </row>
    <row r="281" spans="1:4" s="617" customFormat="1" ht="12.6" customHeight="1" x14ac:dyDescent="0.2">
      <c r="A281" s="1134">
        <v>10746</v>
      </c>
      <c r="B281" s="616" t="s">
        <v>2712</v>
      </c>
      <c r="C281" s="614" t="s">
        <v>734</v>
      </c>
      <c r="D281" s="1135">
        <v>5.78</v>
      </c>
    </row>
    <row r="282" spans="1:4" s="617" customFormat="1" ht="12.6" customHeight="1" x14ac:dyDescent="0.2">
      <c r="A282" s="1134">
        <v>11022</v>
      </c>
      <c r="B282" s="616" t="s">
        <v>2713</v>
      </c>
      <c r="C282" s="614" t="s">
        <v>734</v>
      </c>
      <c r="D282" s="1140">
        <v>14.84</v>
      </c>
    </row>
    <row r="283" spans="1:4" s="617" customFormat="1" ht="12.6" customHeight="1" x14ac:dyDescent="0.2">
      <c r="A283" s="1134">
        <v>10318</v>
      </c>
      <c r="B283" s="616" t="s">
        <v>2714</v>
      </c>
      <c r="C283" s="614" t="s">
        <v>734</v>
      </c>
      <c r="D283" s="1135">
        <v>0.77</v>
      </c>
    </row>
    <row r="284" spans="1:4" s="617" customFormat="1" ht="12.6" customHeight="1" x14ac:dyDescent="0.2">
      <c r="A284" s="1134">
        <v>10373</v>
      </c>
      <c r="B284" s="616" t="s">
        <v>2715</v>
      </c>
      <c r="C284" s="614" t="s">
        <v>734</v>
      </c>
      <c r="D284" s="1135">
        <v>1.65</v>
      </c>
    </row>
    <row r="285" spans="1:4" s="617" customFormat="1" ht="12.6" customHeight="1" x14ac:dyDescent="0.2">
      <c r="A285" s="1134">
        <v>10784</v>
      </c>
      <c r="B285" s="616" t="s">
        <v>2716</v>
      </c>
      <c r="C285" s="614" t="s">
        <v>734</v>
      </c>
      <c r="D285" s="1135">
        <v>0.77</v>
      </c>
    </row>
    <row r="286" spans="1:4" s="617" customFormat="1" ht="12.6" customHeight="1" x14ac:dyDescent="0.2">
      <c r="A286" s="1134">
        <v>10789</v>
      </c>
      <c r="B286" s="616" t="s">
        <v>2717</v>
      </c>
      <c r="C286" s="614" t="s">
        <v>734</v>
      </c>
      <c r="D286" s="1135">
        <v>3.24</v>
      </c>
    </row>
    <row r="287" spans="1:4" s="617" customFormat="1" ht="12.6" customHeight="1" x14ac:dyDescent="0.2">
      <c r="A287" s="1134">
        <v>10742</v>
      </c>
      <c r="B287" s="616" t="s">
        <v>2718</v>
      </c>
      <c r="C287" s="614" t="s">
        <v>717</v>
      </c>
      <c r="D287" s="1135">
        <v>1</v>
      </c>
    </row>
    <row r="288" spans="1:4" s="617" customFormat="1" ht="12.6" customHeight="1" x14ac:dyDescent="0.2">
      <c r="A288" s="1134">
        <v>11008</v>
      </c>
      <c r="B288" s="616" t="s">
        <v>2719</v>
      </c>
      <c r="C288" s="614" t="s">
        <v>734</v>
      </c>
      <c r="D288" s="1135">
        <v>0.81</v>
      </c>
    </row>
    <row r="289" spans="1:4" s="617" customFormat="1" ht="12.6" customHeight="1" x14ac:dyDescent="0.2">
      <c r="A289" s="1134">
        <v>10630</v>
      </c>
      <c r="B289" s="616" t="s">
        <v>2720</v>
      </c>
      <c r="C289" s="614" t="s">
        <v>734</v>
      </c>
      <c r="D289" s="1135">
        <v>2.5299999999999998</v>
      </c>
    </row>
    <row r="290" spans="1:4" s="617" customFormat="1" ht="12.6" customHeight="1" x14ac:dyDescent="0.2">
      <c r="A290" s="1134">
        <v>10764</v>
      </c>
      <c r="B290" s="616" t="s">
        <v>2721</v>
      </c>
      <c r="C290" s="614" t="s">
        <v>734</v>
      </c>
      <c r="D290" s="1140">
        <v>116.54</v>
      </c>
    </row>
    <row r="291" spans="1:4" s="617" customFormat="1" ht="12.6" customHeight="1" x14ac:dyDescent="0.2">
      <c r="A291" s="1134">
        <v>10653</v>
      </c>
      <c r="B291" s="616" t="s">
        <v>2722</v>
      </c>
      <c r="C291" s="614" t="s">
        <v>734</v>
      </c>
      <c r="D291" s="1140">
        <v>52.97</v>
      </c>
    </row>
    <row r="292" spans="1:4" s="617" customFormat="1" ht="12.6" customHeight="1" x14ac:dyDescent="0.2">
      <c r="A292" s="1134">
        <v>10071</v>
      </c>
      <c r="B292" s="616" t="s">
        <v>2723</v>
      </c>
      <c r="C292" s="614" t="s">
        <v>2551</v>
      </c>
      <c r="D292" s="1140">
        <v>34.619999999999997</v>
      </c>
    </row>
    <row r="293" spans="1:4" s="617" customFormat="1" ht="12.6" customHeight="1" x14ac:dyDescent="0.2">
      <c r="A293" s="1134">
        <v>10072</v>
      </c>
      <c r="B293" s="616" t="s">
        <v>2724</v>
      </c>
      <c r="C293" s="614" t="s">
        <v>838</v>
      </c>
      <c r="D293" s="1140">
        <v>64.73</v>
      </c>
    </row>
    <row r="294" spans="1:4" s="617" customFormat="1" ht="12.6" customHeight="1" x14ac:dyDescent="0.2">
      <c r="A294" s="1133" t="s">
        <v>711</v>
      </c>
      <c r="B294" s="1133" t="s">
        <v>2421</v>
      </c>
      <c r="C294" s="1133" t="s">
        <v>713</v>
      </c>
      <c r="D294" s="1133" t="s">
        <v>2422</v>
      </c>
    </row>
    <row r="295" spans="1:4" s="617" customFormat="1" ht="12.6" customHeight="1" x14ac:dyDescent="0.2">
      <c r="A295" s="1134">
        <v>10082</v>
      </c>
      <c r="B295" s="616" t="s">
        <v>2725</v>
      </c>
      <c r="C295" s="614" t="s">
        <v>719</v>
      </c>
      <c r="D295" s="1137">
        <v>2504.67</v>
      </c>
    </row>
    <row r="296" spans="1:4" s="617" customFormat="1" ht="12.6" customHeight="1" x14ac:dyDescent="0.2">
      <c r="A296" s="1134">
        <v>10081</v>
      </c>
      <c r="B296" s="616" t="s">
        <v>2726</v>
      </c>
      <c r="C296" s="614" t="s">
        <v>2487</v>
      </c>
      <c r="D296" s="1137">
        <v>2558.9</v>
      </c>
    </row>
    <row r="297" spans="1:4" s="617" customFormat="1" ht="12.6" customHeight="1" x14ac:dyDescent="0.2">
      <c r="A297" s="1134">
        <v>10080</v>
      </c>
      <c r="B297" s="616" t="s">
        <v>2727</v>
      </c>
      <c r="C297" s="614" t="s">
        <v>734</v>
      </c>
      <c r="D297" s="1140">
        <v>46.28</v>
      </c>
    </row>
    <row r="298" spans="1:4" s="617" customFormat="1" ht="12.6" customHeight="1" x14ac:dyDescent="0.2">
      <c r="A298" s="1134">
        <v>10632</v>
      </c>
      <c r="B298" s="616" t="s">
        <v>2728</v>
      </c>
      <c r="C298" s="614" t="s">
        <v>734</v>
      </c>
      <c r="D298" s="1137">
        <v>3048.43</v>
      </c>
    </row>
    <row r="299" spans="1:4" s="617" customFormat="1" ht="12.6" customHeight="1" x14ac:dyDescent="0.2">
      <c r="A299" s="1134">
        <v>10633</v>
      </c>
      <c r="B299" s="616" t="s">
        <v>2729</v>
      </c>
      <c r="C299" s="614" t="s">
        <v>734</v>
      </c>
      <c r="D299" s="1137">
        <v>3705.55</v>
      </c>
    </row>
    <row r="300" spans="1:4" s="617" customFormat="1" ht="12.6" customHeight="1" x14ac:dyDescent="0.2">
      <c r="A300" s="1134">
        <v>11250</v>
      </c>
      <c r="B300" s="616" t="s">
        <v>2730</v>
      </c>
      <c r="C300" s="614" t="s">
        <v>767</v>
      </c>
      <c r="D300" s="1140">
        <v>10.93</v>
      </c>
    </row>
    <row r="301" spans="1:4" s="617" customFormat="1" ht="12.6" customHeight="1" x14ac:dyDescent="0.2">
      <c r="A301" s="1134">
        <v>10323</v>
      </c>
      <c r="B301" s="616" t="s">
        <v>2731</v>
      </c>
      <c r="C301" s="614" t="s">
        <v>717</v>
      </c>
      <c r="D301" s="1135">
        <v>2.84</v>
      </c>
    </row>
    <row r="302" spans="1:4" s="617" customFormat="1" ht="12.6" customHeight="1" x14ac:dyDescent="0.2">
      <c r="A302" s="1134">
        <v>10847</v>
      </c>
      <c r="B302" s="616" t="s">
        <v>2732</v>
      </c>
      <c r="C302" s="614" t="s">
        <v>717</v>
      </c>
      <c r="D302" s="1135">
        <v>5.41</v>
      </c>
    </row>
    <row r="303" spans="1:4" s="617" customFormat="1" ht="12.6" customHeight="1" x14ac:dyDescent="0.2">
      <c r="A303" s="1134">
        <v>10163</v>
      </c>
      <c r="B303" s="616" t="s">
        <v>2733</v>
      </c>
      <c r="C303" s="614" t="s">
        <v>717</v>
      </c>
      <c r="D303" s="1135">
        <v>8.1</v>
      </c>
    </row>
    <row r="304" spans="1:4" s="617" customFormat="1" ht="12.6" customHeight="1" x14ac:dyDescent="0.2">
      <c r="A304" s="1134">
        <v>10039</v>
      </c>
      <c r="B304" s="616" t="s">
        <v>2734</v>
      </c>
      <c r="C304" s="614" t="s">
        <v>803</v>
      </c>
      <c r="D304" s="1140">
        <v>327.5</v>
      </c>
    </row>
    <row r="305" spans="1:4" s="617" customFormat="1" ht="12.6" customHeight="1" x14ac:dyDescent="0.2">
      <c r="A305" s="1134">
        <v>11486</v>
      </c>
      <c r="B305" s="616" t="s">
        <v>2735</v>
      </c>
      <c r="C305" s="614" t="s">
        <v>1689</v>
      </c>
      <c r="D305" s="1140">
        <v>274.70999999999998</v>
      </c>
    </row>
    <row r="306" spans="1:4" s="617" customFormat="1" ht="12.6" customHeight="1" x14ac:dyDescent="0.2">
      <c r="A306" s="1134">
        <v>10352</v>
      </c>
      <c r="B306" s="616" t="s">
        <v>2736</v>
      </c>
      <c r="C306" s="614" t="s">
        <v>1689</v>
      </c>
      <c r="D306" s="1140">
        <v>274.70999999999998</v>
      </c>
    </row>
    <row r="307" spans="1:4" s="617" customFormat="1" ht="12.6" customHeight="1" x14ac:dyDescent="0.2">
      <c r="A307" s="1134">
        <v>10263</v>
      </c>
      <c r="B307" s="616" t="s">
        <v>2737</v>
      </c>
      <c r="C307" s="614" t="s">
        <v>2738</v>
      </c>
      <c r="D307" s="1140">
        <v>20.92</v>
      </c>
    </row>
    <row r="308" spans="1:4" s="617" customFormat="1" ht="12.6" customHeight="1" x14ac:dyDescent="0.2">
      <c r="A308" s="1134">
        <v>10344</v>
      </c>
      <c r="B308" s="616" t="s">
        <v>2739</v>
      </c>
      <c r="C308" s="614" t="s">
        <v>1689</v>
      </c>
      <c r="D308" s="1140">
        <v>374.75</v>
      </c>
    </row>
    <row r="309" spans="1:4" s="617" customFormat="1" ht="12.6" customHeight="1" x14ac:dyDescent="0.2">
      <c r="A309" s="1134">
        <v>10346</v>
      </c>
      <c r="B309" s="616" t="s">
        <v>2740</v>
      </c>
      <c r="C309" s="614" t="s">
        <v>926</v>
      </c>
      <c r="D309" s="1140">
        <v>14.99</v>
      </c>
    </row>
    <row r="310" spans="1:4" s="617" customFormat="1" ht="12.6" customHeight="1" x14ac:dyDescent="0.2">
      <c r="A310" s="1134">
        <v>10345</v>
      </c>
      <c r="B310" s="616" t="s">
        <v>2741</v>
      </c>
      <c r="C310" s="614" t="s">
        <v>1689</v>
      </c>
      <c r="D310" s="1140">
        <v>374.75</v>
      </c>
    </row>
    <row r="311" spans="1:4" s="617" customFormat="1" ht="12.6" customHeight="1" x14ac:dyDescent="0.2">
      <c r="A311" s="1134">
        <v>10623</v>
      </c>
      <c r="B311" s="616" t="s">
        <v>2742</v>
      </c>
      <c r="C311" s="614" t="s">
        <v>734</v>
      </c>
      <c r="D311" s="1140">
        <v>46.21</v>
      </c>
    </row>
    <row r="312" spans="1:4" s="617" customFormat="1" ht="12.6" customHeight="1" x14ac:dyDescent="0.2">
      <c r="A312" s="1134">
        <v>10074</v>
      </c>
      <c r="B312" s="616" t="s">
        <v>2743</v>
      </c>
      <c r="C312" s="614" t="s">
        <v>2649</v>
      </c>
      <c r="D312" s="1140">
        <v>162.62</v>
      </c>
    </row>
    <row r="313" spans="1:4" s="617" customFormat="1" ht="12.6" customHeight="1" x14ac:dyDescent="0.2">
      <c r="A313" s="1134">
        <v>10075</v>
      </c>
      <c r="B313" s="616" t="s">
        <v>2744</v>
      </c>
      <c r="C313" s="614" t="s">
        <v>2649</v>
      </c>
      <c r="D313" s="1140">
        <v>679.34</v>
      </c>
    </row>
    <row r="314" spans="1:4" s="617" customFormat="1" ht="12.6" customHeight="1" x14ac:dyDescent="0.2">
      <c r="A314" s="1134">
        <v>10821</v>
      </c>
      <c r="B314" s="616" t="s">
        <v>2745</v>
      </c>
      <c r="C314" s="614" t="s">
        <v>2649</v>
      </c>
      <c r="D314" s="1140">
        <v>750.08</v>
      </c>
    </row>
    <row r="315" spans="1:4" s="617" customFormat="1" ht="12.6" customHeight="1" x14ac:dyDescent="0.2">
      <c r="A315" s="1134">
        <v>10260</v>
      </c>
      <c r="B315" s="616" t="s">
        <v>2746</v>
      </c>
      <c r="C315" s="614" t="s">
        <v>2738</v>
      </c>
      <c r="D315" s="1140">
        <v>41.44</v>
      </c>
    </row>
    <row r="316" spans="1:4" s="617" customFormat="1" ht="12.6" customHeight="1" x14ac:dyDescent="0.2">
      <c r="A316" s="1134">
        <v>10261</v>
      </c>
      <c r="B316" s="616" t="s">
        <v>2747</v>
      </c>
      <c r="C316" s="614" t="s">
        <v>2738</v>
      </c>
      <c r="D316" s="1140">
        <v>36.020000000000003</v>
      </c>
    </row>
    <row r="317" spans="1:4" s="617" customFormat="1" ht="12.6" customHeight="1" x14ac:dyDescent="0.2">
      <c r="A317" s="1134">
        <v>10570</v>
      </c>
      <c r="B317" s="616" t="s">
        <v>2748</v>
      </c>
      <c r="C317" s="614" t="s">
        <v>734</v>
      </c>
      <c r="D317" s="1140">
        <v>31.89</v>
      </c>
    </row>
    <row r="318" spans="1:4" s="617" customFormat="1" ht="12.6" customHeight="1" x14ac:dyDescent="0.2">
      <c r="A318" s="1134">
        <v>11262</v>
      </c>
      <c r="B318" s="616" t="s">
        <v>2749</v>
      </c>
      <c r="C318" s="614" t="s">
        <v>734</v>
      </c>
      <c r="D318" s="1140">
        <v>65.510000000000005</v>
      </c>
    </row>
    <row r="319" spans="1:4" s="617" customFormat="1" ht="12.6" customHeight="1" x14ac:dyDescent="0.2">
      <c r="A319" s="1134">
        <v>11267</v>
      </c>
      <c r="B319" s="616" t="s">
        <v>2750</v>
      </c>
      <c r="C319" s="614" t="s">
        <v>734</v>
      </c>
      <c r="D319" s="1135">
        <v>1.55</v>
      </c>
    </row>
    <row r="320" spans="1:4" s="617" customFormat="1" ht="12.6" customHeight="1" x14ac:dyDescent="0.2">
      <c r="A320" s="1134">
        <v>10036</v>
      </c>
      <c r="B320" s="616" t="s">
        <v>2751</v>
      </c>
      <c r="C320" s="614" t="s">
        <v>926</v>
      </c>
      <c r="D320" s="1135">
        <v>2.75</v>
      </c>
    </row>
    <row r="321" spans="1:4" s="617" customFormat="1" ht="12.6" customHeight="1" x14ac:dyDescent="0.2">
      <c r="A321" s="1134">
        <v>10309</v>
      </c>
      <c r="B321" s="616" t="s">
        <v>2752</v>
      </c>
      <c r="C321" s="614" t="s">
        <v>2196</v>
      </c>
      <c r="D321" s="1140">
        <v>19.09</v>
      </c>
    </row>
    <row r="322" spans="1:4" s="617" customFormat="1" ht="12.6" customHeight="1" x14ac:dyDescent="0.2">
      <c r="A322" s="1134">
        <v>10034</v>
      </c>
      <c r="B322" s="616" t="s">
        <v>2753</v>
      </c>
      <c r="C322" s="614" t="s">
        <v>2196</v>
      </c>
      <c r="D322" s="1135">
        <v>3.39</v>
      </c>
    </row>
    <row r="323" spans="1:4" s="617" customFormat="1" ht="12.6" customHeight="1" x14ac:dyDescent="0.2">
      <c r="A323" s="1134">
        <v>10187</v>
      </c>
      <c r="B323" s="616" t="s">
        <v>2754</v>
      </c>
      <c r="C323" s="614" t="s">
        <v>719</v>
      </c>
      <c r="D323" s="1140">
        <v>11.61</v>
      </c>
    </row>
    <row r="324" spans="1:4" s="617" customFormat="1" ht="12.6" customHeight="1" x14ac:dyDescent="0.2">
      <c r="A324" s="1134">
        <v>10375</v>
      </c>
      <c r="B324" s="616" t="s">
        <v>2755</v>
      </c>
      <c r="C324" s="614" t="s">
        <v>734</v>
      </c>
      <c r="D324" s="1135">
        <v>0.28999999999999998</v>
      </c>
    </row>
    <row r="325" spans="1:4" s="617" customFormat="1" ht="12.6" customHeight="1" x14ac:dyDescent="0.2">
      <c r="A325" s="1134">
        <v>10327</v>
      </c>
      <c r="B325" s="616" t="s">
        <v>2756</v>
      </c>
      <c r="C325" s="614" t="s">
        <v>734</v>
      </c>
      <c r="D325" s="1135">
        <v>8.19</v>
      </c>
    </row>
    <row r="326" spans="1:4" s="617" customFormat="1" ht="12.6" customHeight="1" x14ac:dyDescent="0.2">
      <c r="A326" s="1134">
        <v>101971</v>
      </c>
      <c r="B326" s="616" t="s">
        <v>2757</v>
      </c>
      <c r="C326" s="614" t="s">
        <v>734</v>
      </c>
      <c r="D326" s="1135">
        <v>8.19</v>
      </c>
    </row>
    <row r="327" spans="1:4" s="617" customFormat="1" ht="12.6" customHeight="1" x14ac:dyDescent="0.2">
      <c r="A327" s="1134">
        <v>11565</v>
      </c>
      <c r="B327" s="616" t="s">
        <v>2758</v>
      </c>
      <c r="C327" s="614" t="s">
        <v>734</v>
      </c>
      <c r="D327" s="1135">
        <v>5.62</v>
      </c>
    </row>
    <row r="328" spans="1:4" s="617" customFormat="1" ht="12.6" customHeight="1" x14ac:dyDescent="0.2">
      <c r="A328" s="1134">
        <v>10326</v>
      </c>
      <c r="B328" s="616" t="s">
        <v>2759</v>
      </c>
      <c r="C328" s="614" t="s">
        <v>734</v>
      </c>
      <c r="D328" s="1135">
        <v>0.56000000000000005</v>
      </c>
    </row>
    <row r="329" spans="1:4" s="617" customFormat="1" ht="12.6" customHeight="1" x14ac:dyDescent="0.2">
      <c r="A329" s="1134">
        <v>10298</v>
      </c>
      <c r="B329" s="616" t="s">
        <v>2760</v>
      </c>
      <c r="C329" s="614" t="s">
        <v>2711</v>
      </c>
      <c r="D329" s="1137">
        <v>1500</v>
      </c>
    </row>
    <row r="330" spans="1:4" s="617" customFormat="1" ht="12.6" customHeight="1" x14ac:dyDescent="0.2">
      <c r="A330" s="1134">
        <v>11016</v>
      </c>
      <c r="B330" s="616" t="s">
        <v>2761</v>
      </c>
      <c r="C330" s="614" t="s">
        <v>838</v>
      </c>
      <c r="D330" s="1140">
        <v>10.06</v>
      </c>
    </row>
    <row r="331" spans="1:4" s="617" customFormat="1" ht="12.6" customHeight="1" x14ac:dyDescent="0.2">
      <c r="A331" s="1134">
        <v>11017</v>
      </c>
      <c r="B331" s="616" t="s">
        <v>2762</v>
      </c>
      <c r="C331" s="614" t="s">
        <v>838</v>
      </c>
      <c r="D331" s="1135">
        <v>5.78</v>
      </c>
    </row>
    <row r="332" spans="1:4" s="617" customFormat="1" ht="12.6" customHeight="1" x14ac:dyDescent="0.2">
      <c r="A332" s="1134">
        <v>11015</v>
      </c>
      <c r="B332" s="616" t="s">
        <v>2763</v>
      </c>
      <c r="C332" s="614" t="s">
        <v>838</v>
      </c>
      <c r="D332" s="1140">
        <v>13.3</v>
      </c>
    </row>
    <row r="333" spans="1:4" s="617" customFormat="1" ht="12.6" customHeight="1" x14ac:dyDescent="0.2">
      <c r="A333" s="1134">
        <v>10125</v>
      </c>
      <c r="B333" s="616" t="s">
        <v>2764</v>
      </c>
      <c r="C333" s="614" t="s">
        <v>2487</v>
      </c>
      <c r="D333" s="1140">
        <v>70.75</v>
      </c>
    </row>
    <row r="334" spans="1:4" s="617" customFormat="1" ht="12.6" customHeight="1" x14ac:dyDescent="0.2">
      <c r="A334" s="1134">
        <v>10121</v>
      </c>
      <c r="B334" s="616" t="s">
        <v>2765</v>
      </c>
      <c r="C334" s="614" t="s">
        <v>2487</v>
      </c>
      <c r="D334" s="1140">
        <v>73.97</v>
      </c>
    </row>
    <row r="335" spans="1:4" s="617" customFormat="1" ht="12.6" customHeight="1" x14ac:dyDescent="0.2">
      <c r="A335" s="1134">
        <v>10124</v>
      </c>
      <c r="B335" s="616" t="s">
        <v>2766</v>
      </c>
      <c r="C335" s="614" t="s">
        <v>719</v>
      </c>
      <c r="D335" s="1140">
        <v>58.82</v>
      </c>
    </row>
    <row r="336" spans="1:4" s="617" customFormat="1" ht="12.6" customHeight="1" x14ac:dyDescent="0.2">
      <c r="A336" s="1134">
        <v>10301</v>
      </c>
      <c r="B336" s="616" t="s">
        <v>2767</v>
      </c>
      <c r="C336" s="614" t="s">
        <v>717</v>
      </c>
      <c r="D336" s="1140">
        <v>48.92</v>
      </c>
    </row>
    <row r="337" spans="1:4" s="617" customFormat="1" ht="12.6" customHeight="1" x14ac:dyDescent="0.2">
      <c r="A337" s="1134">
        <v>10126</v>
      </c>
      <c r="B337" s="616" t="s">
        <v>2768</v>
      </c>
      <c r="C337" s="614" t="s">
        <v>2487</v>
      </c>
      <c r="D337" s="1140">
        <v>89.18</v>
      </c>
    </row>
    <row r="338" spans="1:4" s="617" customFormat="1" ht="12.6" customHeight="1" x14ac:dyDescent="0.2">
      <c r="A338" s="1134">
        <v>10368</v>
      </c>
      <c r="B338" s="616" t="s">
        <v>2769</v>
      </c>
      <c r="C338" s="614" t="s">
        <v>717</v>
      </c>
      <c r="D338" s="1140">
        <v>65.42</v>
      </c>
    </row>
    <row r="339" spans="1:4" s="617" customFormat="1" ht="12.6" customHeight="1" x14ac:dyDescent="0.2">
      <c r="A339" s="1134">
        <v>10380</v>
      </c>
      <c r="B339" s="616" t="s">
        <v>2770</v>
      </c>
      <c r="C339" s="614" t="s">
        <v>717</v>
      </c>
      <c r="D339" s="1140">
        <v>162.47999999999999</v>
      </c>
    </row>
    <row r="340" spans="1:4" s="617" customFormat="1" ht="12.6" customHeight="1" x14ac:dyDescent="0.2">
      <c r="A340" s="1134">
        <v>10363</v>
      </c>
      <c r="B340" s="616" t="s">
        <v>2771</v>
      </c>
      <c r="C340" s="614" t="s">
        <v>717</v>
      </c>
      <c r="D340" s="1140">
        <v>106.33</v>
      </c>
    </row>
    <row r="341" spans="1:4" s="617" customFormat="1" ht="12.6" customHeight="1" x14ac:dyDescent="0.2">
      <c r="A341" s="1134">
        <v>11488</v>
      </c>
      <c r="B341" s="616" t="s">
        <v>2772</v>
      </c>
      <c r="C341" s="614" t="s">
        <v>838</v>
      </c>
      <c r="D341" s="1140">
        <v>392.13</v>
      </c>
    </row>
    <row r="342" spans="1:4" s="617" customFormat="1" ht="12.6" customHeight="1" x14ac:dyDescent="0.2">
      <c r="A342" s="1134">
        <v>10200</v>
      </c>
      <c r="B342" s="616" t="s">
        <v>2773</v>
      </c>
      <c r="C342" s="614" t="s">
        <v>838</v>
      </c>
      <c r="D342" s="1140">
        <v>942.44</v>
      </c>
    </row>
    <row r="343" spans="1:4" s="617" customFormat="1" ht="12.6" customHeight="1" x14ac:dyDescent="0.2">
      <c r="A343" s="1134">
        <v>11465</v>
      </c>
      <c r="B343" s="616" t="s">
        <v>2774</v>
      </c>
      <c r="C343" s="614" t="s">
        <v>926</v>
      </c>
      <c r="D343" s="1140">
        <v>10.6</v>
      </c>
    </row>
    <row r="344" spans="1:4" s="617" customFormat="1" ht="12.6" customHeight="1" x14ac:dyDescent="0.2">
      <c r="A344" s="1134">
        <v>10179</v>
      </c>
      <c r="B344" s="616" t="s">
        <v>2775</v>
      </c>
      <c r="C344" s="614" t="s">
        <v>926</v>
      </c>
      <c r="D344" s="1135">
        <v>9.5</v>
      </c>
    </row>
    <row r="345" spans="1:4" s="617" customFormat="1" ht="12.6" customHeight="1" x14ac:dyDescent="0.2">
      <c r="A345" s="1134">
        <v>10257</v>
      </c>
      <c r="B345" s="616" t="s">
        <v>2776</v>
      </c>
      <c r="C345" s="614" t="s">
        <v>734</v>
      </c>
      <c r="D345" s="1140">
        <v>46.07</v>
      </c>
    </row>
    <row r="346" spans="1:4" s="617" customFormat="1" ht="12.6" customHeight="1" x14ac:dyDescent="0.2">
      <c r="A346" s="1134">
        <v>11512</v>
      </c>
      <c r="B346" s="616" t="s">
        <v>2777</v>
      </c>
      <c r="C346" s="614" t="s">
        <v>2172</v>
      </c>
      <c r="D346" s="1135">
        <v>0</v>
      </c>
    </row>
    <row r="347" spans="1:4" s="617" customFormat="1" ht="12.6" customHeight="1" x14ac:dyDescent="0.2">
      <c r="A347" s="1134">
        <v>10201</v>
      </c>
      <c r="B347" s="616" t="s">
        <v>2778</v>
      </c>
      <c r="C347" s="616" t="s">
        <v>1660</v>
      </c>
      <c r="D347" s="1140">
        <v>96.72</v>
      </c>
    </row>
    <row r="348" spans="1:4" s="617" customFormat="1" ht="12.6" customHeight="1" x14ac:dyDescent="0.2">
      <c r="A348" s="1134">
        <v>10378</v>
      </c>
      <c r="B348" s="616" t="s">
        <v>2779</v>
      </c>
      <c r="C348" s="614" t="s">
        <v>717</v>
      </c>
      <c r="D348" s="1140">
        <v>150.28</v>
      </c>
    </row>
    <row r="349" spans="1:4" s="617" customFormat="1" ht="12.6" customHeight="1" x14ac:dyDescent="0.2">
      <c r="A349" s="1134">
        <v>10615</v>
      </c>
      <c r="B349" s="616" t="s">
        <v>2780</v>
      </c>
      <c r="C349" s="614" t="s">
        <v>734</v>
      </c>
      <c r="D349" s="1140">
        <v>54.62</v>
      </c>
    </row>
    <row r="350" spans="1:4" s="617" customFormat="1" ht="12.6" customHeight="1" x14ac:dyDescent="0.2">
      <c r="A350" s="1134">
        <v>10340</v>
      </c>
      <c r="B350" s="616" t="s">
        <v>2781</v>
      </c>
      <c r="C350" s="614" t="s">
        <v>717</v>
      </c>
      <c r="D350" s="1140">
        <v>462</v>
      </c>
    </row>
    <row r="351" spans="1:4" s="617" customFormat="1" ht="12.6" customHeight="1" x14ac:dyDescent="0.2">
      <c r="A351" s="1134">
        <v>10654</v>
      </c>
      <c r="B351" s="616" t="s">
        <v>2782</v>
      </c>
      <c r="C351" s="614" t="s">
        <v>734</v>
      </c>
      <c r="D351" s="1140">
        <v>33.700000000000003</v>
      </c>
    </row>
    <row r="352" spans="1:4" s="617" customFormat="1" ht="12.6" customHeight="1" x14ac:dyDescent="0.2">
      <c r="A352" s="1134">
        <v>10798</v>
      </c>
      <c r="B352" s="616" t="s">
        <v>2783</v>
      </c>
      <c r="C352" s="614" t="s">
        <v>734</v>
      </c>
      <c r="D352" s="1140">
        <v>65.239999999999995</v>
      </c>
    </row>
    <row r="353" spans="1:4" s="617" customFormat="1" ht="12.6" customHeight="1" x14ac:dyDescent="0.2">
      <c r="A353" s="1134">
        <v>10191</v>
      </c>
      <c r="B353" s="616" t="s">
        <v>2784</v>
      </c>
      <c r="C353" s="614" t="s">
        <v>926</v>
      </c>
      <c r="D353" s="1135">
        <v>4.99</v>
      </c>
    </row>
    <row r="354" spans="1:4" s="617" customFormat="1" ht="12.6" customHeight="1" x14ac:dyDescent="0.2">
      <c r="A354" s="1134">
        <v>11407</v>
      </c>
      <c r="B354" s="616" t="s">
        <v>2785</v>
      </c>
      <c r="C354" s="614" t="s">
        <v>838</v>
      </c>
      <c r="D354" s="1140">
        <v>10.52</v>
      </c>
    </row>
    <row r="355" spans="1:4" s="617" customFormat="1" ht="12.6" customHeight="1" x14ac:dyDescent="0.2">
      <c r="A355" s="1134">
        <v>10573</v>
      </c>
      <c r="B355" s="616" t="s">
        <v>2786</v>
      </c>
      <c r="C355" s="614" t="s">
        <v>926</v>
      </c>
      <c r="D355" s="1135">
        <v>0.1</v>
      </c>
    </row>
    <row r="356" spans="1:4" s="617" customFormat="1" ht="12.6" customHeight="1" x14ac:dyDescent="0.2">
      <c r="A356" s="1134">
        <v>10120</v>
      </c>
      <c r="B356" s="616" t="s">
        <v>2787</v>
      </c>
      <c r="C356" s="614" t="s">
        <v>2487</v>
      </c>
      <c r="D356" s="1140">
        <v>50.87</v>
      </c>
    </row>
    <row r="357" spans="1:4" s="617" customFormat="1" ht="12.6" customHeight="1" x14ac:dyDescent="0.2">
      <c r="A357" s="1134">
        <v>10621</v>
      </c>
      <c r="B357" s="616" t="s">
        <v>2788</v>
      </c>
      <c r="C357" s="614" t="s">
        <v>838</v>
      </c>
      <c r="D357" s="1135">
        <v>8.2100000000000009</v>
      </c>
    </row>
    <row r="358" spans="1:4" s="617" customFormat="1" ht="12.6" customHeight="1" x14ac:dyDescent="0.2">
      <c r="A358" s="1134">
        <v>10624</v>
      </c>
      <c r="B358" s="616" t="s">
        <v>2789</v>
      </c>
      <c r="C358" s="614" t="s">
        <v>838</v>
      </c>
      <c r="D358" s="1135">
        <v>5.0199999999999996</v>
      </c>
    </row>
    <row r="359" spans="1:4" s="617" customFormat="1" ht="12.6" customHeight="1" x14ac:dyDescent="0.2">
      <c r="A359" s="1134">
        <v>10616</v>
      </c>
      <c r="B359" s="616" t="s">
        <v>2790</v>
      </c>
      <c r="C359" s="614" t="s">
        <v>734</v>
      </c>
      <c r="D359" s="1140">
        <v>27.29</v>
      </c>
    </row>
    <row r="360" spans="1:4" s="617" customFormat="1" ht="12.6" customHeight="1" x14ac:dyDescent="0.2">
      <c r="A360" s="1134">
        <v>10656</v>
      </c>
      <c r="B360" s="616" t="s">
        <v>2791</v>
      </c>
      <c r="C360" s="614" t="s">
        <v>734</v>
      </c>
      <c r="D360" s="1140">
        <v>45.21</v>
      </c>
    </row>
    <row r="361" spans="1:4" s="617" customFormat="1" ht="12.6" customHeight="1" x14ac:dyDescent="0.2">
      <c r="A361" s="1134">
        <v>10778</v>
      </c>
      <c r="B361" s="616" t="s">
        <v>2792</v>
      </c>
      <c r="C361" s="614" t="s">
        <v>734</v>
      </c>
      <c r="D361" s="1137">
        <v>1605.21</v>
      </c>
    </row>
    <row r="362" spans="1:4" s="617" customFormat="1" ht="12.6" customHeight="1" x14ac:dyDescent="0.2">
      <c r="A362" s="1134">
        <v>10703</v>
      </c>
      <c r="B362" s="616" t="s">
        <v>2793</v>
      </c>
      <c r="C362" s="614" t="s">
        <v>734</v>
      </c>
      <c r="D362" s="1140">
        <v>779.72</v>
      </c>
    </row>
    <row r="363" spans="1:4" s="617" customFormat="1" ht="12.6" customHeight="1" x14ac:dyDescent="0.2">
      <c r="A363" s="1134">
        <v>10702</v>
      </c>
      <c r="B363" s="616" t="s">
        <v>2794</v>
      </c>
      <c r="C363" s="614" t="s">
        <v>734</v>
      </c>
      <c r="D363" s="1137">
        <v>1979.36</v>
      </c>
    </row>
    <row r="364" spans="1:4" s="617" customFormat="1" ht="12.6" customHeight="1" x14ac:dyDescent="0.2">
      <c r="A364" s="1134">
        <v>10701</v>
      </c>
      <c r="B364" s="616" t="s">
        <v>2795</v>
      </c>
      <c r="C364" s="614" t="s">
        <v>734</v>
      </c>
      <c r="D364" s="1137">
        <v>1499.22</v>
      </c>
    </row>
    <row r="365" spans="1:4" s="617" customFormat="1" ht="12.6" customHeight="1" x14ac:dyDescent="0.2">
      <c r="A365" s="1134">
        <v>11519</v>
      </c>
      <c r="B365" s="616" t="s">
        <v>2796</v>
      </c>
      <c r="C365" s="614" t="s">
        <v>734</v>
      </c>
      <c r="D365" s="1140">
        <v>185.54</v>
      </c>
    </row>
    <row r="366" spans="1:4" s="617" customFormat="1" ht="12.6" customHeight="1" x14ac:dyDescent="0.2">
      <c r="A366" s="1133" t="s">
        <v>711</v>
      </c>
      <c r="B366" s="1133" t="s">
        <v>2421</v>
      </c>
      <c r="C366" s="1133" t="s">
        <v>713</v>
      </c>
      <c r="D366" s="1133" t="s">
        <v>2422</v>
      </c>
    </row>
    <row r="367" spans="1:4" s="617" customFormat="1" ht="12.6" customHeight="1" x14ac:dyDescent="0.2">
      <c r="A367" s="1134">
        <v>10063</v>
      </c>
      <c r="B367" s="616" t="s">
        <v>2797</v>
      </c>
      <c r="C367" s="614" t="s">
        <v>719</v>
      </c>
      <c r="D367" s="1137">
        <v>2570.6799999999998</v>
      </c>
    </row>
    <row r="368" spans="1:4" s="617" customFormat="1" ht="12.6" customHeight="1" x14ac:dyDescent="0.2">
      <c r="A368" s="1134">
        <v>10135</v>
      </c>
      <c r="B368" s="616" t="s">
        <v>2798</v>
      </c>
      <c r="C368" s="614" t="s">
        <v>926</v>
      </c>
      <c r="D368" s="1140">
        <v>15.85</v>
      </c>
    </row>
    <row r="369" spans="1:4" s="617" customFormat="1" ht="12.6" customHeight="1" x14ac:dyDescent="0.2">
      <c r="A369" s="1134">
        <v>10136</v>
      </c>
      <c r="B369" s="616" t="s">
        <v>2799</v>
      </c>
      <c r="C369" s="614" t="s">
        <v>926</v>
      </c>
      <c r="D369" s="1140">
        <v>13.75</v>
      </c>
    </row>
    <row r="370" spans="1:4" s="617" customFormat="1" ht="12.6" customHeight="1" x14ac:dyDescent="0.2">
      <c r="A370" s="1134">
        <v>10381</v>
      </c>
      <c r="B370" s="616" t="s">
        <v>2800</v>
      </c>
      <c r="C370" s="614" t="s">
        <v>2475</v>
      </c>
      <c r="D370" s="1140">
        <v>100.9</v>
      </c>
    </row>
    <row r="371" spans="1:4" s="617" customFormat="1" ht="12.6" customHeight="1" x14ac:dyDescent="0.2">
      <c r="A371" s="1134">
        <v>10617</v>
      </c>
      <c r="B371" s="616" t="s">
        <v>2801</v>
      </c>
      <c r="C371" s="614" t="s">
        <v>2475</v>
      </c>
      <c r="D371" s="1140">
        <v>166.44</v>
      </c>
    </row>
    <row r="372" spans="1:4" s="617" customFormat="1" ht="12.6" customHeight="1" x14ac:dyDescent="0.2">
      <c r="A372" s="1134">
        <v>10618</v>
      </c>
      <c r="B372" s="616" t="s">
        <v>2802</v>
      </c>
      <c r="C372" s="614" t="s">
        <v>2475</v>
      </c>
      <c r="D372" s="1140">
        <v>177.68</v>
      </c>
    </row>
    <row r="373" spans="1:4" s="617" customFormat="1" ht="12.6" customHeight="1" x14ac:dyDescent="0.2">
      <c r="A373" s="1134">
        <v>10749</v>
      </c>
      <c r="B373" s="616" t="s">
        <v>2803</v>
      </c>
      <c r="C373" s="614" t="s">
        <v>926</v>
      </c>
      <c r="D373" s="1140">
        <v>68.819999999999993</v>
      </c>
    </row>
    <row r="374" spans="1:4" s="617" customFormat="1" ht="12.6" customHeight="1" x14ac:dyDescent="0.2">
      <c r="A374" s="1134">
        <v>11487</v>
      </c>
      <c r="B374" s="616" t="s">
        <v>2804</v>
      </c>
      <c r="C374" s="614" t="s">
        <v>2196</v>
      </c>
      <c r="D374" s="1140">
        <v>10.74</v>
      </c>
    </row>
    <row r="375" spans="1:4" s="617" customFormat="1" ht="12.6" customHeight="1" x14ac:dyDescent="0.2">
      <c r="A375" s="1134">
        <v>11002</v>
      </c>
      <c r="B375" s="616" t="s">
        <v>2805</v>
      </c>
      <c r="C375" s="614" t="s">
        <v>734</v>
      </c>
      <c r="D375" s="1140">
        <v>370.41</v>
      </c>
    </row>
    <row r="376" spans="1:4" s="617" customFormat="1" ht="12.6" customHeight="1" x14ac:dyDescent="0.2">
      <c r="A376" s="1134">
        <v>10046</v>
      </c>
      <c r="B376" s="616" t="s">
        <v>2806</v>
      </c>
      <c r="C376" s="614" t="s">
        <v>734</v>
      </c>
      <c r="D376" s="1140">
        <v>17.95</v>
      </c>
    </row>
    <row r="377" spans="1:4" s="617" customFormat="1" ht="12.6" customHeight="1" x14ac:dyDescent="0.2">
      <c r="A377" s="1134">
        <v>10069</v>
      </c>
      <c r="B377" s="616" t="s">
        <v>2807</v>
      </c>
      <c r="C377" s="614" t="s">
        <v>2487</v>
      </c>
      <c r="D377" s="1137">
        <v>2037.44</v>
      </c>
    </row>
    <row r="378" spans="1:4" s="617" customFormat="1" ht="12.6" customHeight="1" x14ac:dyDescent="0.2">
      <c r="A378" s="1134">
        <v>11261</v>
      </c>
      <c r="B378" s="616" t="s">
        <v>2808</v>
      </c>
      <c r="C378" s="614" t="s">
        <v>838</v>
      </c>
      <c r="D378" s="1135">
        <v>4.8499999999999996</v>
      </c>
    </row>
    <row r="379" spans="1:4" s="617" customFormat="1" ht="12.6" customHeight="1" x14ac:dyDescent="0.2">
      <c r="A379" s="1134">
        <v>10320</v>
      </c>
      <c r="B379" s="616" t="s">
        <v>2809</v>
      </c>
      <c r="C379" s="614" t="s">
        <v>734</v>
      </c>
      <c r="D379" s="1135">
        <v>1.67</v>
      </c>
    </row>
    <row r="380" spans="1:4" s="617" customFormat="1" ht="12.6" customHeight="1" x14ac:dyDescent="0.2">
      <c r="A380" s="1134">
        <v>10165</v>
      </c>
      <c r="B380" s="616" t="s">
        <v>2810</v>
      </c>
      <c r="C380" s="614" t="s">
        <v>734</v>
      </c>
      <c r="D380" s="1140">
        <v>272.2</v>
      </c>
    </row>
    <row r="381" spans="1:4" s="617" customFormat="1" ht="12.6" customHeight="1" x14ac:dyDescent="0.2">
      <c r="A381" s="1134">
        <v>10067</v>
      </c>
      <c r="B381" s="616" t="s">
        <v>2811</v>
      </c>
      <c r="C381" s="614" t="s">
        <v>719</v>
      </c>
      <c r="D381" s="1137">
        <v>1354.54</v>
      </c>
    </row>
    <row r="382" spans="1:4" s="617" customFormat="1" ht="12.6" customHeight="1" x14ac:dyDescent="0.2">
      <c r="A382" s="1134">
        <v>10004</v>
      </c>
      <c r="B382" s="616" t="s">
        <v>2812</v>
      </c>
      <c r="C382" s="614" t="s">
        <v>803</v>
      </c>
      <c r="D382" s="1137">
        <v>4441.34</v>
      </c>
    </row>
    <row r="383" spans="1:4" s="617" customFormat="1" ht="12.6" customHeight="1" x14ac:dyDescent="0.2">
      <c r="A383" s="1134">
        <v>10005</v>
      </c>
      <c r="B383" s="616" t="s">
        <v>2813</v>
      </c>
      <c r="C383" s="614" t="s">
        <v>803</v>
      </c>
      <c r="D383" s="1137">
        <v>3975.68</v>
      </c>
    </row>
    <row r="384" spans="1:4" s="617" customFormat="1" ht="12.6" customHeight="1" x14ac:dyDescent="0.2">
      <c r="A384" s="1134">
        <v>10776</v>
      </c>
      <c r="B384" s="616" t="s">
        <v>2814</v>
      </c>
      <c r="C384" s="614" t="s">
        <v>803</v>
      </c>
      <c r="D384" s="1137">
        <v>3981.34</v>
      </c>
    </row>
    <row r="385" spans="1:4" s="617" customFormat="1" ht="12.6" customHeight="1" x14ac:dyDescent="0.2">
      <c r="A385" s="1134">
        <v>10572</v>
      </c>
      <c r="B385" s="616" t="s">
        <v>2815</v>
      </c>
      <c r="C385" s="614" t="s">
        <v>926</v>
      </c>
      <c r="D385" s="1140">
        <v>13.48</v>
      </c>
    </row>
    <row r="386" spans="1:4" s="617" customFormat="1" ht="12.6" customHeight="1" x14ac:dyDescent="0.2">
      <c r="A386" s="1134">
        <v>10584</v>
      </c>
      <c r="B386" s="616" t="s">
        <v>2816</v>
      </c>
      <c r="C386" s="616" t="s">
        <v>1306</v>
      </c>
      <c r="D386" s="1137">
        <v>2865.29</v>
      </c>
    </row>
    <row r="387" spans="1:4" s="617" customFormat="1" ht="12.6" customHeight="1" x14ac:dyDescent="0.2">
      <c r="A387" s="1134">
        <v>11504</v>
      </c>
      <c r="B387" s="616" t="s">
        <v>2817</v>
      </c>
      <c r="C387" s="614" t="s">
        <v>926</v>
      </c>
      <c r="D387" s="1135">
        <v>9.5</v>
      </c>
    </row>
    <row r="388" spans="1:4" s="617" customFormat="1" ht="12.6" customHeight="1" x14ac:dyDescent="0.2">
      <c r="A388" s="1134">
        <v>11558</v>
      </c>
      <c r="B388" s="616" t="s">
        <v>2818</v>
      </c>
      <c r="C388" s="614" t="s">
        <v>2196</v>
      </c>
      <c r="D388" s="1140">
        <v>10.220000000000001</v>
      </c>
    </row>
    <row r="389" spans="1:4" s="617" customFormat="1" ht="12.6" customHeight="1" x14ac:dyDescent="0.2">
      <c r="A389" s="1134">
        <v>10198</v>
      </c>
      <c r="B389" s="616" t="s">
        <v>2819</v>
      </c>
      <c r="C389" s="614" t="s">
        <v>926</v>
      </c>
      <c r="D389" s="1140">
        <v>100.33</v>
      </c>
    </row>
    <row r="390" spans="1:4" s="617" customFormat="1" ht="12.6" customHeight="1" x14ac:dyDescent="0.2">
      <c r="A390" s="1134">
        <v>10195</v>
      </c>
      <c r="B390" s="616" t="s">
        <v>2820</v>
      </c>
      <c r="C390" s="614" t="s">
        <v>926</v>
      </c>
      <c r="D390" s="1135">
        <v>1.1200000000000001</v>
      </c>
    </row>
    <row r="391" spans="1:4" s="617" customFormat="1" ht="12.6" customHeight="1" x14ac:dyDescent="0.2">
      <c r="A391" s="1134">
        <v>10099</v>
      </c>
      <c r="B391" s="616" t="s">
        <v>2821</v>
      </c>
      <c r="C391" s="614" t="s">
        <v>1689</v>
      </c>
      <c r="D391" s="1140">
        <v>29.1</v>
      </c>
    </row>
    <row r="392" spans="1:4" s="617" customFormat="1" ht="12.6" customHeight="1" x14ac:dyDescent="0.2">
      <c r="A392" s="1134">
        <v>11513</v>
      </c>
      <c r="B392" s="616" t="s">
        <v>2822</v>
      </c>
      <c r="C392" s="614" t="s">
        <v>838</v>
      </c>
      <c r="D392" s="1140">
        <v>217.1</v>
      </c>
    </row>
    <row r="393" spans="1:4" s="617" customFormat="1" ht="12.6" customHeight="1" x14ac:dyDescent="0.2">
      <c r="A393" s="1134">
        <v>10122</v>
      </c>
      <c r="B393" s="616" t="s">
        <v>2823</v>
      </c>
      <c r="C393" s="614" t="s">
        <v>719</v>
      </c>
      <c r="D393" s="1140">
        <v>41.82</v>
      </c>
    </row>
    <row r="394" spans="1:4" s="617" customFormat="1" ht="12.6" customHeight="1" x14ac:dyDescent="0.2">
      <c r="A394" s="1134">
        <v>10366</v>
      </c>
      <c r="B394" s="616" t="s">
        <v>2824</v>
      </c>
      <c r="C394" s="614" t="s">
        <v>2475</v>
      </c>
      <c r="D394" s="1140">
        <v>133.74</v>
      </c>
    </row>
    <row r="395" spans="1:4" s="617" customFormat="1" ht="12.6" customHeight="1" x14ac:dyDescent="0.2">
      <c r="A395" s="1134">
        <v>10374</v>
      </c>
      <c r="B395" s="616" t="s">
        <v>2825</v>
      </c>
      <c r="C395" s="614" t="s">
        <v>734</v>
      </c>
      <c r="D395" s="1140">
        <v>41.79</v>
      </c>
    </row>
    <row r="396" spans="1:4" s="617" customFormat="1" ht="12.6" customHeight="1" x14ac:dyDescent="0.2">
      <c r="A396" s="1134">
        <v>10743</v>
      </c>
      <c r="B396" s="616" t="s">
        <v>2826</v>
      </c>
      <c r="C396" s="614" t="s">
        <v>734</v>
      </c>
      <c r="D396" s="1140">
        <v>44.4</v>
      </c>
    </row>
    <row r="397" spans="1:4" s="617" customFormat="1" ht="12.6" customHeight="1" x14ac:dyDescent="0.2">
      <c r="A397" s="1134">
        <v>10620</v>
      </c>
      <c r="B397" s="616" t="s">
        <v>2827</v>
      </c>
      <c r="C397" s="614" t="s">
        <v>838</v>
      </c>
      <c r="D397" s="1135">
        <v>9.6999999999999993</v>
      </c>
    </row>
    <row r="398" spans="1:4" s="617" customFormat="1" ht="12.6" customHeight="1" x14ac:dyDescent="0.2">
      <c r="A398" s="1134">
        <v>10065</v>
      </c>
      <c r="B398" s="616" t="s">
        <v>2828</v>
      </c>
      <c r="C398" s="614" t="s">
        <v>719</v>
      </c>
      <c r="D398" s="1137">
        <v>2232</v>
      </c>
    </row>
    <row r="399" spans="1:4" s="617" customFormat="1" ht="12.6" customHeight="1" x14ac:dyDescent="0.2">
      <c r="A399" s="1134">
        <v>10061</v>
      </c>
      <c r="B399" s="616" t="s">
        <v>2829</v>
      </c>
      <c r="C399" s="614" t="s">
        <v>2487</v>
      </c>
      <c r="D399" s="1137">
        <v>3932</v>
      </c>
    </row>
    <row r="400" spans="1:4" s="617" customFormat="1" ht="12.6" customHeight="1" x14ac:dyDescent="0.2">
      <c r="A400" s="1134">
        <v>10359</v>
      </c>
      <c r="B400" s="616" t="s">
        <v>2830</v>
      </c>
      <c r="C400" s="614" t="s">
        <v>734</v>
      </c>
      <c r="D400" s="1140">
        <v>15.65</v>
      </c>
    </row>
    <row r="401" spans="1:4" s="617" customFormat="1" ht="12.6" customHeight="1" x14ac:dyDescent="0.2">
      <c r="A401" s="1134">
        <v>10358</v>
      </c>
      <c r="B401" s="616" t="s">
        <v>2831</v>
      </c>
      <c r="C401" s="614" t="s">
        <v>734</v>
      </c>
      <c r="D401" s="1140">
        <v>14.11</v>
      </c>
    </row>
    <row r="402" spans="1:4" s="617" customFormat="1" ht="12.6" customHeight="1" x14ac:dyDescent="0.2">
      <c r="A402" s="1134">
        <v>10361</v>
      </c>
      <c r="B402" s="616" t="s">
        <v>2832</v>
      </c>
      <c r="C402" s="614" t="s">
        <v>734</v>
      </c>
      <c r="D402" s="1140">
        <v>38.49</v>
      </c>
    </row>
    <row r="403" spans="1:4" s="617" customFormat="1" ht="9.4" customHeight="1" x14ac:dyDescent="0.2">
      <c r="A403" s="1134">
        <v>10360</v>
      </c>
      <c r="B403" s="616" t="s">
        <v>2833</v>
      </c>
      <c r="C403" s="614" t="s">
        <v>734</v>
      </c>
      <c r="D403" s="1140">
        <v>37.049999999999997</v>
      </c>
    </row>
    <row r="404" spans="1:4" s="617" customFormat="1" ht="9.4" customHeight="1" x14ac:dyDescent="0.2">
      <c r="A404" s="1134">
        <v>10057</v>
      </c>
      <c r="B404" s="616" t="s">
        <v>2834</v>
      </c>
      <c r="C404" s="614" t="s">
        <v>2487</v>
      </c>
      <c r="D404" s="1137">
        <v>1301.2</v>
      </c>
    </row>
    <row r="405" spans="1:4" s="617" customFormat="1" ht="13.15" customHeight="1" x14ac:dyDescent="0.2">
      <c r="A405" s="1134">
        <v>10244</v>
      </c>
      <c r="B405" s="616" t="s">
        <v>2835</v>
      </c>
      <c r="C405" s="614" t="s">
        <v>734</v>
      </c>
      <c r="D405" s="1140">
        <v>286.54000000000002</v>
      </c>
    </row>
    <row r="406" spans="1:4" s="617" customFormat="1" ht="13.15" customHeight="1" x14ac:dyDescent="0.2">
      <c r="A406" s="1134">
        <v>10161</v>
      </c>
      <c r="B406" s="616" t="s">
        <v>2836</v>
      </c>
      <c r="C406" s="614" t="s">
        <v>734</v>
      </c>
      <c r="D406" s="1140">
        <v>54.48</v>
      </c>
    </row>
    <row r="407" spans="1:4" s="617" customFormat="1" ht="13.15" customHeight="1" x14ac:dyDescent="0.2">
      <c r="A407" s="1134">
        <v>10182</v>
      </c>
      <c r="B407" s="616" t="s">
        <v>2837</v>
      </c>
      <c r="C407" s="614" t="s">
        <v>2567</v>
      </c>
      <c r="D407" s="1140">
        <v>461.7</v>
      </c>
    </row>
    <row r="408" spans="1:4" s="617" customFormat="1" ht="13.15" customHeight="1" x14ac:dyDescent="0.2">
      <c r="A408" s="1134">
        <v>10642</v>
      </c>
      <c r="B408" s="616" t="s">
        <v>2838</v>
      </c>
      <c r="C408" s="614" t="s">
        <v>734</v>
      </c>
      <c r="D408" s="1140">
        <v>460.09</v>
      </c>
    </row>
    <row r="409" spans="1:4" s="617" customFormat="1" ht="13.15" customHeight="1" x14ac:dyDescent="0.2">
      <c r="A409" s="1134">
        <v>11255</v>
      </c>
      <c r="B409" s="616" t="s">
        <v>2839</v>
      </c>
      <c r="C409" s="614" t="s">
        <v>717</v>
      </c>
      <c r="D409" s="1140">
        <v>61.49</v>
      </c>
    </row>
    <row r="410" spans="1:4" s="617" customFormat="1" ht="13.15" customHeight="1" x14ac:dyDescent="0.2">
      <c r="A410" s="1134">
        <v>10635</v>
      </c>
      <c r="B410" s="616" t="s">
        <v>2840</v>
      </c>
      <c r="C410" s="614" t="s">
        <v>926</v>
      </c>
      <c r="D410" s="1135">
        <v>6.83</v>
      </c>
    </row>
    <row r="411" spans="1:4" s="617" customFormat="1" ht="13.15" customHeight="1" x14ac:dyDescent="0.2">
      <c r="A411" s="1134">
        <v>11493</v>
      </c>
      <c r="B411" s="616" t="s">
        <v>2841</v>
      </c>
      <c r="C411" s="614" t="s">
        <v>2444</v>
      </c>
      <c r="D411" s="1135">
        <v>8.36</v>
      </c>
    </row>
    <row r="412" spans="1:4" s="617" customFormat="1" ht="13.15" customHeight="1" x14ac:dyDescent="0.2">
      <c r="A412" s="1134">
        <v>10649</v>
      </c>
      <c r="B412" s="616" t="s">
        <v>2842</v>
      </c>
      <c r="C412" s="614" t="s">
        <v>2478</v>
      </c>
      <c r="D412" s="1140">
        <v>67.41</v>
      </c>
    </row>
    <row r="413" spans="1:4" s="617" customFormat="1" ht="13.15" customHeight="1" x14ac:dyDescent="0.2">
      <c r="A413" s="1134">
        <v>10173</v>
      </c>
      <c r="B413" s="616" t="s">
        <v>2843</v>
      </c>
      <c r="C413" s="614" t="s">
        <v>717</v>
      </c>
      <c r="D413" s="1140">
        <v>42.25</v>
      </c>
    </row>
    <row r="414" spans="1:4" s="617" customFormat="1" ht="13.15" customHeight="1" x14ac:dyDescent="0.2">
      <c r="A414" s="1134">
        <v>10637</v>
      </c>
      <c r="B414" s="616" t="s">
        <v>2844</v>
      </c>
      <c r="C414" s="614" t="s">
        <v>717</v>
      </c>
      <c r="D414" s="1140">
        <v>17.260000000000002</v>
      </c>
    </row>
    <row r="415" spans="1:4" s="617" customFormat="1" ht="13.15" customHeight="1" x14ac:dyDescent="0.2">
      <c r="A415" s="1134">
        <v>10172</v>
      </c>
      <c r="B415" s="616" t="s">
        <v>2845</v>
      </c>
      <c r="C415" s="614" t="s">
        <v>717</v>
      </c>
      <c r="D415" s="1140">
        <v>32.76</v>
      </c>
    </row>
    <row r="416" spans="1:4" s="617" customFormat="1" ht="13.15" customHeight="1" x14ac:dyDescent="0.2">
      <c r="A416" s="1134">
        <v>11003</v>
      </c>
      <c r="B416" s="616" t="s">
        <v>2846</v>
      </c>
      <c r="C416" s="614" t="s">
        <v>717</v>
      </c>
      <c r="D416" s="1140">
        <v>20.059999999999999</v>
      </c>
    </row>
    <row r="417" spans="1:4" s="617" customFormat="1" ht="13.15" customHeight="1" x14ac:dyDescent="0.2">
      <c r="A417" s="1134">
        <v>10818</v>
      </c>
      <c r="B417" s="616" t="s">
        <v>2847</v>
      </c>
      <c r="C417" s="614" t="s">
        <v>2738</v>
      </c>
      <c r="D417" s="1140">
        <v>80.569999999999993</v>
      </c>
    </row>
    <row r="418" spans="1:4" s="617" customFormat="1" ht="13.15" customHeight="1" x14ac:dyDescent="0.2">
      <c r="A418" s="1134">
        <v>10324</v>
      </c>
      <c r="B418" s="616" t="s">
        <v>2848</v>
      </c>
      <c r="C418" s="614" t="s">
        <v>2738</v>
      </c>
      <c r="D418" s="1140">
        <v>116.21</v>
      </c>
    </row>
    <row r="419" spans="1:4" s="617" customFormat="1" ht="13.15" customHeight="1" x14ac:dyDescent="0.2">
      <c r="A419" s="1134">
        <v>10819</v>
      </c>
      <c r="B419" s="616" t="s">
        <v>2849</v>
      </c>
      <c r="C419" s="614" t="s">
        <v>2738</v>
      </c>
      <c r="D419" s="1140">
        <v>111.8</v>
      </c>
    </row>
    <row r="420" spans="1:4" s="617" customFormat="1" ht="13.15" customHeight="1" x14ac:dyDescent="0.2">
      <c r="A420" s="1134">
        <v>10325</v>
      </c>
      <c r="B420" s="616" t="s">
        <v>2850</v>
      </c>
      <c r="C420" s="614" t="s">
        <v>2738</v>
      </c>
      <c r="D420" s="1140">
        <v>251.06</v>
      </c>
    </row>
    <row r="421" spans="1:4" s="617" customFormat="1" ht="13.15" customHeight="1" x14ac:dyDescent="0.2">
      <c r="A421" s="1134">
        <v>10571</v>
      </c>
      <c r="B421" s="616" t="s">
        <v>2851</v>
      </c>
      <c r="C421" s="614" t="s">
        <v>719</v>
      </c>
      <c r="D421" s="1140">
        <v>84.89</v>
      </c>
    </row>
    <row r="422" spans="1:4" s="617" customFormat="1" ht="13.15" customHeight="1" x14ac:dyDescent="0.2">
      <c r="A422" s="1134">
        <v>10845</v>
      </c>
      <c r="B422" s="616" t="s">
        <v>2852</v>
      </c>
      <c r="C422" s="614" t="s">
        <v>2738</v>
      </c>
      <c r="D422" s="1140">
        <v>681.69</v>
      </c>
    </row>
    <row r="423" spans="1:4" s="617" customFormat="1" ht="13.15" customHeight="1" x14ac:dyDescent="0.2">
      <c r="A423" s="1134">
        <v>10844</v>
      </c>
      <c r="B423" s="616" t="s">
        <v>2853</v>
      </c>
      <c r="C423" s="614" t="s">
        <v>2738</v>
      </c>
      <c r="D423" s="1140">
        <v>553.72</v>
      </c>
    </row>
    <row r="424" spans="1:4" s="617" customFormat="1" ht="13.15" customHeight="1" x14ac:dyDescent="0.2">
      <c r="A424" s="1134">
        <v>10846</v>
      </c>
      <c r="B424" s="616" t="s">
        <v>2854</v>
      </c>
      <c r="C424" s="614" t="s">
        <v>2738</v>
      </c>
      <c r="D424" s="1140">
        <v>745.96</v>
      </c>
    </row>
    <row r="425" spans="1:4" s="617" customFormat="1" ht="13.15" customHeight="1" x14ac:dyDescent="0.2">
      <c r="A425" s="1134">
        <v>10842</v>
      </c>
      <c r="B425" s="616" t="s">
        <v>2855</v>
      </c>
      <c r="C425" s="614" t="s">
        <v>2738</v>
      </c>
      <c r="D425" s="1140">
        <v>668.17</v>
      </c>
    </row>
    <row r="426" spans="1:4" s="617" customFormat="1" ht="13.15" customHeight="1" x14ac:dyDescent="0.2">
      <c r="A426" s="1134">
        <v>10843</v>
      </c>
      <c r="B426" s="616" t="s">
        <v>2856</v>
      </c>
      <c r="C426" s="614" t="s">
        <v>2738</v>
      </c>
      <c r="D426" s="1140">
        <v>738.81</v>
      </c>
    </row>
    <row r="427" spans="1:4" s="617" customFormat="1" ht="13.15" customHeight="1" x14ac:dyDescent="0.2">
      <c r="A427" s="1134">
        <v>10329</v>
      </c>
      <c r="B427" s="616" t="s">
        <v>2857</v>
      </c>
      <c r="C427" s="614" t="s">
        <v>717</v>
      </c>
      <c r="D427" s="1140">
        <v>51.38</v>
      </c>
    </row>
    <row r="428" spans="1:4" s="617" customFormat="1" ht="13.15" customHeight="1" x14ac:dyDescent="0.2">
      <c r="A428" s="1134">
        <v>11567</v>
      </c>
      <c r="B428" s="616" t="s">
        <v>2858</v>
      </c>
      <c r="C428" s="614" t="s">
        <v>734</v>
      </c>
      <c r="D428" s="1135">
        <v>0.47</v>
      </c>
    </row>
    <row r="429" spans="1:4" s="617" customFormat="1" ht="13.15" customHeight="1" x14ac:dyDescent="0.2">
      <c r="A429" s="1134">
        <v>10372</v>
      </c>
      <c r="B429" s="616" t="s">
        <v>2859</v>
      </c>
      <c r="C429" s="614" t="s">
        <v>2196</v>
      </c>
      <c r="D429" s="1140">
        <v>16.88</v>
      </c>
    </row>
    <row r="430" spans="1:4" s="617" customFormat="1" ht="13.15" customHeight="1" x14ac:dyDescent="0.2">
      <c r="A430" s="1134">
        <v>10365</v>
      </c>
      <c r="B430" s="616" t="s">
        <v>2860</v>
      </c>
      <c r="C430" s="614" t="s">
        <v>2475</v>
      </c>
      <c r="D430" s="1140">
        <v>309.67</v>
      </c>
    </row>
    <row r="431" spans="1:4" s="617" customFormat="1" ht="13.15" customHeight="1" x14ac:dyDescent="0.2">
      <c r="A431" s="1134">
        <v>11521</v>
      </c>
      <c r="B431" s="616" t="s">
        <v>2861</v>
      </c>
      <c r="C431" s="614" t="s">
        <v>2196</v>
      </c>
      <c r="D431" s="1140">
        <v>48.87</v>
      </c>
    </row>
    <row r="432" spans="1:4" s="617" customFormat="1" ht="13.15" customHeight="1" x14ac:dyDescent="0.2">
      <c r="A432" s="1134">
        <v>10788</v>
      </c>
      <c r="B432" s="616" t="s">
        <v>2862</v>
      </c>
      <c r="C432" s="614" t="s">
        <v>2196</v>
      </c>
      <c r="D432" s="1140">
        <v>26.79</v>
      </c>
    </row>
    <row r="433" spans="1:4" s="617" customFormat="1" ht="13.15" customHeight="1" x14ac:dyDescent="0.2">
      <c r="A433" s="1134">
        <v>10371</v>
      </c>
      <c r="B433" s="616" t="s">
        <v>2863</v>
      </c>
      <c r="C433" s="614" t="s">
        <v>2864</v>
      </c>
      <c r="D433" s="1140">
        <v>180.85</v>
      </c>
    </row>
    <row r="434" spans="1:4" s="617" customFormat="1" ht="13.15" customHeight="1" x14ac:dyDescent="0.2">
      <c r="A434" s="1134">
        <v>10317</v>
      </c>
      <c r="B434" s="616" t="s">
        <v>2865</v>
      </c>
      <c r="C434" s="614" t="s">
        <v>2864</v>
      </c>
      <c r="D434" s="1140">
        <v>319.86</v>
      </c>
    </row>
    <row r="435" spans="1:4" s="617" customFormat="1" ht="18.600000000000001" customHeight="1" x14ac:dyDescent="0.2">
      <c r="A435" s="1134">
        <v>10655</v>
      </c>
      <c r="B435" s="616" t="s">
        <v>2866</v>
      </c>
      <c r="C435" s="614" t="s">
        <v>926</v>
      </c>
      <c r="D435" s="1140">
        <v>62.09</v>
      </c>
    </row>
    <row r="436" spans="1:4" s="617" customFormat="1" ht="14.45" customHeight="1" x14ac:dyDescent="0.2">
      <c r="A436" s="1134">
        <v>10787</v>
      </c>
      <c r="B436" s="616" t="s">
        <v>2867</v>
      </c>
      <c r="C436" s="614" t="s">
        <v>2196</v>
      </c>
      <c r="D436" s="1135">
        <v>9.43</v>
      </c>
    </row>
    <row r="437" spans="1:4" s="617" customFormat="1" ht="14.45" customHeight="1" x14ac:dyDescent="0.2">
      <c r="A437" s="1134">
        <v>10339</v>
      </c>
      <c r="B437" s="616" t="s">
        <v>2868</v>
      </c>
      <c r="C437" s="614" t="s">
        <v>2864</v>
      </c>
      <c r="D437" s="1140">
        <v>292.32</v>
      </c>
    </row>
    <row r="438" spans="1:4" s="617" customFormat="1" ht="14.45" customHeight="1" x14ac:dyDescent="0.2">
      <c r="A438" s="1134">
        <v>10178</v>
      </c>
      <c r="B438" s="616" t="s">
        <v>2869</v>
      </c>
      <c r="C438" s="614" t="s">
        <v>926</v>
      </c>
      <c r="D438" s="1135">
        <v>3.17</v>
      </c>
    </row>
    <row r="439" spans="1:4" s="617" customFormat="1" ht="14.45" customHeight="1" x14ac:dyDescent="0.2">
      <c r="A439" s="1133" t="s">
        <v>711</v>
      </c>
      <c r="B439" s="1133" t="s">
        <v>2421</v>
      </c>
      <c r="C439" s="1133" t="s">
        <v>713</v>
      </c>
      <c r="D439" s="1133" t="s">
        <v>2422</v>
      </c>
    </row>
    <row r="440" spans="1:4" s="617" customFormat="1" ht="14.45" customHeight="1" x14ac:dyDescent="0.2">
      <c r="A440" s="1134">
        <v>10159</v>
      </c>
      <c r="B440" s="616" t="s">
        <v>2870</v>
      </c>
      <c r="C440" s="614" t="s">
        <v>838</v>
      </c>
      <c r="D440" s="1140">
        <v>45.96</v>
      </c>
    </row>
    <row r="441" spans="1:4" s="617" customFormat="1" ht="14.45" customHeight="1" x14ac:dyDescent="0.2">
      <c r="A441" s="1134">
        <v>10160</v>
      </c>
      <c r="B441" s="616" t="s">
        <v>2871</v>
      </c>
      <c r="C441" s="614" t="s">
        <v>838</v>
      </c>
      <c r="D441" s="1140">
        <v>110.69</v>
      </c>
    </row>
    <row r="442" spans="1:4" s="617" customFormat="1" ht="14.45" customHeight="1" x14ac:dyDescent="0.2">
      <c r="A442" s="1134">
        <v>11477</v>
      </c>
      <c r="B442" s="616" t="s">
        <v>2872</v>
      </c>
      <c r="C442" s="614" t="s">
        <v>838</v>
      </c>
      <c r="D442" s="1140">
        <v>66.28</v>
      </c>
    </row>
    <row r="443" spans="1:4" s="617" customFormat="1" ht="14.45" customHeight="1" x14ac:dyDescent="0.2">
      <c r="A443" s="1134">
        <v>10174</v>
      </c>
      <c r="B443" s="616" t="s">
        <v>2873</v>
      </c>
      <c r="C443" s="614" t="s">
        <v>838</v>
      </c>
      <c r="D443" s="1140">
        <v>72.61</v>
      </c>
    </row>
    <row r="444" spans="1:4" s="617" customFormat="1" ht="14.45" customHeight="1" x14ac:dyDescent="0.2">
      <c r="A444" s="1134">
        <v>10217</v>
      </c>
      <c r="B444" s="616" t="s">
        <v>2874</v>
      </c>
      <c r="C444" s="614" t="s">
        <v>838</v>
      </c>
      <c r="D444" s="1140">
        <v>43.05</v>
      </c>
    </row>
    <row r="445" spans="1:4" s="617" customFormat="1" ht="14.45" customHeight="1" x14ac:dyDescent="0.2">
      <c r="A445" s="1134">
        <v>10218</v>
      </c>
      <c r="B445" s="616" t="s">
        <v>2875</v>
      </c>
      <c r="C445" s="614" t="s">
        <v>838</v>
      </c>
      <c r="D445" s="1140">
        <v>48.57</v>
      </c>
    </row>
    <row r="446" spans="1:4" s="617" customFormat="1" ht="14.45" customHeight="1" x14ac:dyDescent="0.2">
      <c r="A446" s="1134">
        <v>10229</v>
      </c>
      <c r="B446" s="616" t="s">
        <v>2876</v>
      </c>
      <c r="C446" s="614" t="s">
        <v>838</v>
      </c>
      <c r="D446" s="1140">
        <v>51.34</v>
      </c>
    </row>
    <row r="447" spans="1:4" s="617" customFormat="1" ht="14.45" customHeight="1" x14ac:dyDescent="0.2">
      <c r="A447" s="1134">
        <v>10219</v>
      </c>
      <c r="B447" s="616" t="s">
        <v>2877</v>
      </c>
      <c r="C447" s="614" t="s">
        <v>838</v>
      </c>
      <c r="D447" s="1140">
        <v>83.31</v>
      </c>
    </row>
    <row r="448" spans="1:4" s="617" customFormat="1" ht="14.45" customHeight="1" x14ac:dyDescent="0.2">
      <c r="A448" s="1134">
        <v>10224</v>
      </c>
      <c r="B448" s="616" t="s">
        <v>2878</v>
      </c>
      <c r="C448" s="614" t="s">
        <v>838</v>
      </c>
      <c r="D448" s="1140">
        <v>94</v>
      </c>
    </row>
    <row r="449" spans="1:4" s="617" customFormat="1" ht="14.45" customHeight="1" x14ac:dyDescent="0.2">
      <c r="A449" s="1134">
        <v>10230</v>
      </c>
      <c r="B449" s="616" t="s">
        <v>2879</v>
      </c>
      <c r="C449" s="614" t="s">
        <v>838</v>
      </c>
      <c r="D449" s="1140">
        <v>85.07</v>
      </c>
    </row>
    <row r="450" spans="1:4" s="617" customFormat="1" ht="14.45" customHeight="1" x14ac:dyDescent="0.2">
      <c r="A450" s="1134">
        <v>10235</v>
      </c>
      <c r="B450" s="616" t="s">
        <v>2880</v>
      </c>
      <c r="C450" s="614" t="s">
        <v>838</v>
      </c>
      <c r="D450" s="1140">
        <v>81.55</v>
      </c>
    </row>
    <row r="451" spans="1:4" s="617" customFormat="1" ht="14.45" customHeight="1" x14ac:dyDescent="0.2">
      <c r="A451" s="1134">
        <v>10220</v>
      </c>
      <c r="B451" s="616" t="s">
        <v>2881</v>
      </c>
      <c r="C451" s="614" t="s">
        <v>838</v>
      </c>
      <c r="D451" s="1140">
        <v>159.82</v>
      </c>
    </row>
    <row r="452" spans="1:4" s="617" customFormat="1" ht="14.45" customHeight="1" x14ac:dyDescent="0.2">
      <c r="A452" s="1134">
        <v>10225</v>
      </c>
      <c r="B452" s="616" t="s">
        <v>2882</v>
      </c>
      <c r="C452" s="614" t="s">
        <v>838</v>
      </c>
      <c r="D452" s="1140">
        <v>156.4</v>
      </c>
    </row>
    <row r="453" spans="1:4" s="617" customFormat="1" ht="14.45" customHeight="1" x14ac:dyDescent="0.2">
      <c r="A453" s="1134">
        <v>10231</v>
      </c>
      <c r="B453" s="616" t="s">
        <v>2883</v>
      </c>
      <c r="C453" s="614" t="s">
        <v>838</v>
      </c>
      <c r="D453" s="1140">
        <v>165.84</v>
      </c>
    </row>
    <row r="454" spans="1:4" s="617" customFormat="1" ht="14.45" customHeight="1" x14ac:dyDescent="0.2">
      <c r="A454" s="1134">
        <v>10236</v>
      </c>
      <c r="B454" s="616" t="s">
        <v>2884</v>
      </c>
      <c r="C454" s="614" t="s">
        <v>838</v>
      </c>
      <c r="D454" s="1140">
        <v>152.05000000000001</v>
      </c>
    </row>
    <row r="455" spans="1:4" s="617" customFormat="1" ht="14.45" customHeight="1" x14ac:dyDescent="0.2">
      <c r="A455" s="1134">
        <v>10221</v>
      </c>
      <c r="B455" s="616" t="s">
        <v>2885</v>
      </c>
      <c r="C455" s="614" t="s">
        <v>838</v>
      </c>
      <c r="D455" s="1140">
        <v>192.41</v>
      </c>
    </row>
    <row r="456" spans="1:4" s="617" customFormat="1" ht="14.45" customHeight="1" x14ac:dyDescent="0.2">
      <c r="A456" s="1134">
        <v>10226</v>
      </c>
      <c r="B456" s="616" t="s">
        <v>2886</v>
      </c>
      <c r="C456" s="614" t="s">
        <v>838</v>
      </c>
      <c r="D456" s="1140">
        <v>186.23</v>
      </c>
    </row>
    <row r="457" spans="1:4" s="617" customFormat="1" ht="14.45" customHeight="1" x14ac:dyDescent="0.2">
      <c r="A457" s="1134">
        <v>10232</v>
      </c>
      <c r="B457" s="616" t="s">
        <v>2887</v>
      </c>
      <c r="C457" s="614" t="s">
        <v>838</v>
      </c>
      <c r="D457" s="1140">
        <v>211.07</v>
      </c>
    </row>
    <row r="458" spans="1:4" s="617" customFormat="1" ht="14.45" customHeight="1" x14ac:dyDescent="0.2">
      <c r="A458" s="1134">
        <v>10237</v>
      </c>
      <c r="B458" s="616" t="s">
        <v>2888</v>
      </c>
      <c r="C458" s="614" t="s">
        <v>838</v>
      </c>
      <c r="D458" s="1140">
        <v>201.42</v>
      </c>
    </row>
    <row r="459" spans="1:4" s="617" customFormat="1" ht="14.45" customHeight="1" x14ac:dyDescent="0.2">
      <c r="A459" s="1134">
        <v>10240</v>
      </c>
      <c r="B459" s="616" t="s">
        <v>2889</v>
      </c>
      <c r="C459" s="614" t="s">
        <v>838</v>
      </c>
      <c r="D459" s="1140">
        <v>256.72000000000003</v>
      </c>
    </row>
    <row r="460" spans="1:4" s="617" customFormat="1" ht="14.45" customHeight="1" x14ac:dyDescent="0.2">
      <c r="A460" s="1134">
        <v>10222</v>
      </c>
      <c r="B460" s="616" t="s">
        <v>2890</v>
      </c>
      <c r="C460" s="614" t="s">
        <v>838</v>
      </c>
      <c r="D460" s="1140">
        <v>303.69</v>
      </c>
    </row>
    <row r="461" spans="1:4" s="617" customFormat="1" ht="14.45" customHeight="1" x14ac:dyDescent="0.2">
      <c r="A461" s="1134">
        <v>10227</v>
      </c>
      <c r="B461" s="616" t="s">
        <v>2891</v>
      </c>
      <c r="C461" s="614" t="s">
        <v>838</v>
      </c>
      <c r="D461" s="1140">
        <v>273.7</v>
      </c>
    </row>
    <row r="462" spans="1:4" s="617" customFormat="1" ht="14.45" customHeight="1" x14ac:dyDescent="0.2">
      <c r="A462" s="1134">
        <v>10233</v>
      </c>
      <c r="B462" s="616" t="s">
        <v>2892</v>
      </c>
      <c r="C462" s="614" t="s">
        <v>838</v>
      </c>
      <c r="D462" s="1140">
        <v>316.43</v>
      </c>
    </row>
    <row r="463" spans="1:4" s="617" customFormat="1" ht="14.45" customHeight="1" x14ac:dyDescent="0.2">
      <c r="A463" s="1134">
        <v>10238</v>
      </c>
      <c r="B463" s="616" t="s">
        <v>2893</v>
      </c>
      <c r="C463" s="614" t="s">
        <v>838</v>
      </c>
      <c r="D463" s="1140">
        <v>295.42</v>
      </c>
    </row>
    <row r="464" spans="1:4" s="617" customFormat="1" ht="14.45" customHeight="1" x14ac:dyDescent="0.2">
      <c r="A464" s="1134">
        <v>10241</v>
      </c>
      <c r="B464" s="616" t="s">
        <v>2894</v>
      </c>
      <c r="C464" s="614" t="s">
        <v>838</v>
      </c>
      <c r="D464" s="1140">
        <v>408.3</v>
      </c>
    </row>
    <row r="465" spans="1:4" s="617" customFormat="1" ht="14.45" customHeight="1" x14ac:dyDescent="0.2">
      <c r="A465" s="1134">
        <v>10223</v>
      </c>
      <c r="B465" s="616" t="s">
        <v>2895</v>
      </c>
      <c r="C465" s="614" t="s">
        <v>838</v>
      </c>
      <c r="D465" s="1140">
        <v>401.73</v>
      </c>
    </row>
    <row r="466" spans="1:4" s="617" customFormat="1" ht="14.45" customHeight="1" x14ac:dyDescent="0.2">
      <c r="A466" s="1134">
        <v>10228</v>
      </c>
      <c r="B466" s="616" t="s">
        <v>2896</v>
      </c>
      <c r="C466" s="614" t="s">
        <v>838</v>
      </c>
      <c r="D466" s="1140">
        <v>396.53</v>
      </c>
    </row>
    <row r="467" spans="1:4" s="617" customFormat="1" ht="14.45" customHeight="1" x14ac:dyDescent="0.2">
      <c r="A467" s="1134">
        <v>10234</v>
      </c>
      <c r="B467" s="616" t="s">
        <v>2897</v>
      </c>
      <c r="C467" s="614" t="s">
        <v>838</v>
      </c>
      <c r="D467" s="1140">
        <v>400.77</v>
      </c>
    </row>
    <row r="468" spans="1:4" s="617" customFormat="1" ht="14.45" customHeight="1" x14ac:dyDescent="0.2">
      <c r="A468" s="1134">
        <v>10239</v>
      </c>
      <c r="B468" s="616" t="s">
        <v>2898</v>
      </c>
      <c r="C468" s="614" t="s">
        <v>838</v>
      </c>
      <c r="D468" s="1140">
        <v>424.18</v>
      </c>
    </row>
    <row r="469" spans="1:4" s="617" customFormat="1" ht="14.45" customHeight="1" x14ac:dyDescent="0.2">
      <c r="A469" s="1134">
        <v>10242</v>
      </c>
      <c r="B469" s="616" t="s">
        <v>2899</v>
      </c>
      <c r="C469" s="614" t="s">
        <v>838</v>
      </c>
      <c r="D469" s="1140">
        <v>620.08000000000004</v>
      </c>
    </row>
    <row r="470" spans="1:4" s="617" customFormat="1" ht="14.45" customHeight="1" x14ac:dyDescent="0.2">
      <c r="A470" s="1134">
        <v>10249</v>
      </c>
      <c r="B470" s="616" t="s">
        <v>2900</v>
      </c>
      <c r="C470" s="614" t="s">
        <v>838</v>
      </c>
      <c r="D470" s="1140">
        <v>21.72</v>
      </c>
    </row>
    <row r="471" spans="1:4" s="617" customFormat="1" ht="14.45" customHeight="1" x14ac:dyDescent="0.2">
      <c r="A471" s="1134">
        <v>10209</v>
      </c>
      <c r="B471" s="616" t="s">
        <v>2901</v>
      </c>
      <c r="C471" s="614" t="s">
        <v>838</v>
      </c>
      <c r="D471" s="1140">
        <v>20.78</v>
      </c>
    </row>
    <row r="472" spans="1:4" s="617" customFormat="1" ht="14.45" customHeight="1" x14ac:dyDescent="0.2">
      <c r="A472" s="1134">
        <v>10213</v>
      </c>
      <c r="B472" s="616" t="s">
        <v>2902</v>
      </c>
      <c r="C472" s="614" t="s">
        <v>838</v>
      </c>
      <c r="D472" s="1140">
        <v>25.5</v>
      </c>
    </row>
    <row r="473" spans="1:4" s="617" customFormat="1" ht="14.45" customHeight="1" x14ac:dyDescent="0.2">
      <c r="A473" s="1134">
        <v>10210</v>
      </c>
      <c r="B473" s="616" t="s">
        <v>2903</v>
      </c>
      <c r="C473" s="614" t="s">
        <v>838</v>
      </c>
      <c r="D473" s="1140">
        <v>29.09</v>
      </c>
    </row>
    <row r="474" spans="1:4" s="617" customFormat="1" ht="14.45" customHeight="1" x14ac:dyDescent="0.2">
      <c r="A474" s="1134">
        <v>10214</v>
      </c>
      <c r="B474" s="616" t="s">
        <v>2904</v>
      </c>
      <c r="C474" s="614" t="s">
        <v>838</v>
      </c>
      <c r="D474" s="1140">
        <v>34.950000000000003</v>
      </c>
    </row>
    <row r="475" spans="1:4" s="617" customFormat="1" ht="14.45" customHeight="1" x14ac:dyDescent="0.2">
      <c r="A475" s="1134">
        <v>10211</v>
      </c>
      <c r="B475" s="616" t="s">
        <v>2905</v>
      </c>
      <c r="C475" s="614" t="s">
        <v>838</v>
      </c>
      <c r="D475" s="1140">
        <v>40.61</v>
      </c>
    </row>
    <row r="476" spans="1:4" s="617" customFormat="1" ht="14.45" customHeight="1" x14ac:dyDescent="0.2">
      <c r="A476" s="1134">
        <v>10215</v>
      </c>
      <c r="B476" s="616" t="s">
        <v>2906</v>
      </c>
      <c r="C476" s="614" t="s">
        <v>2551</v>
      </c>
      <c r="D476" s="1140">
        <v>41.3</v>
      </c>
    </row>
    <row r="477" spans="1:4" s="617" customFormat="1" ht="14.45" customHeight="1" x14ac:dyDescent="0.2">
      <c r="A477" s="1134">
        <v>10212</v>
      </c>
      <c r="B477" s="616" t="s">
        <v>2907</v>
      </c>
      <c r="C477" s="614" t="s">
        <v>838</v>
      </c>
      <c r="D477" s="1140">
        <v>67.98</v>
      </c>
    </row>
    <row r="478" spans="1:4" s="617" customFormat="1" ht="14.45" customHeight="1" x14ac:dyDescent="0.2">
      <c r="A478" s="1134">
        <v>10216</v>
      </c>
      <c r="B478" s="616" t="s">
        <v>2908</v>
      </c>
      <c r="C478" s="614" t="s">
        <v>2551</v>
      </c>
      <c r="D478" s="1140">
        <v>73.58</v>
      </c>
    </row>
    <row r="479" spans="1:4" s="617" customFormat="1" ht="14.45" customHeight="1" x14ac:dyDescent="0.2">
      <c r="A479" s="1134">
        <v>10813</v>
      </c>
      <c r="B479" s="616" t="s">
        <v>2909</v>
      </c>
      <c r="C479" s="614" t="s">
        <v>838</v>
      </c>
      <c r="D479" s="1140">
        <v>10.51</v>
      </c>
    </row>
    <row r="480" spans="1:4" s="617" customFormat="1" ht="14.45" customHeight="1" x14ac:dyDescent="0.2">
      <c r="A480" s="1134">
        <v>10661</v>
      </c>
      <c r="B480" s="616" t="s">
        <v>2910</v>
      </c>
      <c r="C480" s="614" t="s">
        <v>838</v>
      </c>
      <c r="D480" s="1140">
        <v>37.630000000000003</v>
      </c>
    </row>
    <row r="481" spans="1:4" s="617" customFormat="1" ht="14.45" customHeight="1" x14ac:dyDescent="0.2">
      <c r="A481" s="1134">
        <v>10658</v>
      </c>
      <c r="B481" s="616" t="s">
        <v>2911</v>
      </c>
      <c r="C481" s="614" t="s">
        <v>838</v>
      </c>
      <c r="D481" s="1140">
        <v>62.88</v>
      </c>
    </row>
    <row r="482" spans="1:4" s="617" customFormat="1" ht="14.45" customHeight="1" x14ac:dyDescent="0.2">
      <c r="A482" s="1134">
        <v>10688</v>
      </c>
      <c r="B482" s="616" t="s">
        <v>2912</v>
      </c>
      <c r="C482" s="614" t="s">
        <v>838</v>
      </c>
      <c r="D482" s="1140">
        <v>43.18</v>
      </c>
    </row>
    <row r="483" spans="1:4" s="617" customFormat="1" ht="14.45" customHeight="1" x14ac:dyDescent="0.2">
      <c r="A483" s="1134">
        <v>10687</v>
      </c>
      <c r="B483" s="616" t="s">
        <v>2913</v>
      </c>
      <c r="C483" s="614" t="s">
        <v>838</v>
      </c>
      <c r="D483" s="1140">
        <v>15.28</v>
      </c>
    </row>
    <row r="484" spans="1:4" s="617" customFormat="1" ht="14.45" customHeight="1" x14ac:dyDescent="0.2">
      <c r="A484" s="1134">
        <v>10306</v>
      </c>
      <c r="B484" s="616" t="s">
        <v>2914</v>
      </c>
      <c r="C484" s="614" t="s">
        <v>2629</v>
      </c>
      <c r="D484" s="1140">
        <v>94.32</v>
      </c>
    </row>
    <row r="485" spans="1:4" s="617" customFormat="1" ht="14.45" customHeight="1" x14ac:dyDescent="0.2">
      <c r="A485" s="1134">
        <v>10307</v>
      </c>
      <c r="B485" s="616" t="s">
        <v>2915</v>
      </c>
      <c r="C485" s="614" t="s">
        <v>2629</v>
      </c>
      <c r="D485" s="1140">
        <v>123.66</v>
      </c>
    </row>
    <row r="486" spans="1:4" s="617" customFormat="1" ht="14.45" customHeight="1" x14ac:dyDescent="0.2">
      <c r="A486" s="1134">
        <v>10308</v>
      </c>
      <c r="B486" s="616" t="s">
        <v>2916</v>
      </c>
      <c r="C486" s="614" t="s">
        <v>2629</v>
      </c>
      <c r="D486" s="1140">
        <v>63.06</v>
      </c>
    </row>
    <row r="487" spans="1:4" s="617" customFormat="1" ht="14.45" customHeight="1" x14ac:dyDescent="0.2">
      <c r="A487" s="1134">
        <v>10648</v>
      </c>
      <c r="B487" s="616" t="s">
        <v>2917</v>
      </c>
      <c r="C487" s="614" t="s">
        <v>734</v>
      </c>
      <c r="D487" s="1140">
        <v>47.16</v>
      </c>
    </row>
    <row r="488" spans="1:4" s="617" customFormat="1" ht="14.45" customHeight="1" x14ac:dyDescent="0.2">
      <c r="A488" s="1134">
        <v>10631</v>
      </c>
      <c r="B488" s="616" t="s">
        <v>2918</v>
      </c>
      <c r="C488" s="614" t="s">
        <v>734</v>
      </c>
      <c r="D488" s="1140">
        <v>66</v>
      </c>
    </row>
    <row r="489" spans="1:4" s="617" customFormat="1" ht="14.45" customHeight="1" x14ac:dyDescent="0.2">
      <c r="A489" s="1134">
        <v>10690</v>
      </c>
      <c r="B489" s="616" t="s">
        <v>2919</v>
      </c>
      <c r="C489" s="614" t="s">
        <v>838</v>
      </c>
      <c r="D489" s="1140">
        <v>36.1</v>
      </c>
    </row>
    <row r="490" spans="1:4" s="617" customFormat="1" ht="14.45" customHeight="1" x14ac:dyDescent="0.2">
      <c r="A490" s="1134">
        <v>10752</v>
      </c>
      <c r="B490" s="616" t="s">
        <v>2920</v>
      </c>
      <c r="C490" s="614" t="s">
        <v>838</v>
      </c>
      <c r="D490" s="1135">
        <v>2.4900000000000002</v>
      </c>
    </row>
    <row r="491" spans="1:4" s="617" customFormat="1" ht="14.45" customHeight="1" x14ac:dyDescent="0.2">
      <c r="A491" s="1134">
        <v>10753</v>
      </c>
      <c r="B491" s="616" t="s">
        <v>2921</v>
      </c>
      <c r="C491" s="614" t="s">
        <v>838</v>
      </c>
      <c r="D491" s="1135">
        <v>2.87</v>
      </c>
    </row>
    <row r="492" spans="1:4" s="617" customFormat="1" ht="14.45" customHeight="1" x14ac:dyDescent="0.2">
      <c r="A492" s="1134">
        <v>10754</v>
      </c>
      <c r="B492" s="616" t="s">
        <v>2922</v>
      </c>
      <c r="C492" s="614" t="s">
        <v>838</v>
      </c>
      <c r="D492" s="1135">
        <v>6.33</v>
      </c>
    </row>
    <row r="493" spans="1:4" s="617" customFormat="1" ht="14.45" customHeight="1" x14ac:dyDescent="0.2">
      <c r="A493" s="1134">
        <v>10303</v>
      </c>
      <c r="B493" s="616" t="s">
        <v>2923</v>
      </c>
      <c r="C493" s="614" t="s">
        <v>838</v>
      </c>
      <c r="D493" s="1135">
        <v>7.54</v>
      </c>
    </row>
    <row r="494" spans="1:4" s="617" customFormat="1" ht="14.45" customHeight="1" x14ac:dyDescent="0.2">
      <c r="A494" s="1134">
        <v>10684</v>
      </c>
      <c r="B494" s="616" t="s">
        <v>2924</v>
      </c>
      <c r="C494" s="614" t="s">
        <v>838</v>
      </c>
      <c r="D494" s="1135">
        <v>4.8600000000000003</v>
      </c>
    </row>
    <row r="495" spans="1:4" s="617" customFormat="1" ht="14.45" customHeight="1" x14ac:dyDescent="0.2">
      <c r="A495" s="1134">
        <v>10682</v>
      </c>
      <c r="B495" s="616" t="s">
        <v>2925</v>
      </c>
      <c r="C495" s="614" t="s">
        <v>838</v>
      </c>
      <c r="D495" s="1135">
        <v>4.43</v>
      </c>
    </row>
    <row r="496" spans="1:4" s="617" customFormat="1" ht="14.45" customHeight="1" x14ac:dyDescent="0.2">
      <c r="A496" s="1134">
        <v>10683</v>
      </c>
      <c r="B496" s="616" t="s">
        <v>2926</v>
      </c>
      <c r="C496" s="614" t="s">
        <v>838</v>
      </c>
      <c r="D496" s="1140">
        <v>11.43</v>
      </c>
    </row>
    <row r="497" spans="1:4" s="617" customFormat="1" ht="14.45" customHeight="1" x14ac:dyDescent="0.2">
      <c r="A497" s="1134">
        <v>10258</v>
      </c>
      <c r="B497" s="616" t="s">
        <v>2927</v>
      </c>
      <c r="C497" s="614" t="s">
        <v>838</v>
      </c>
      <c r="D497" s="1135">
        <v>6.49</v>
      </c>
    </row>
    <row r="498" spans="1:4" s="617" customFormat="1" ht="14.45" customHeight="1" x14ac:dyDescent="0.2">
      <c r="A498" s="1134">
        <v>10800</v>
      </c>
      <c r="B498" s="616" t="s">
        <v>2928</v>
      </c>
      <c r="C498" s="614" t="s">
        <v>838</v>
      </c>
      <c r="D498" s="1135">
        <v>4.04</v>
      </c>
    </row>
    <row r="499" spans="1:4" s="617" customFormat="1" ht="14.45" customHeight="1" x14ac:dyDescent="0.2">
      <c r="A499" s="1134">
        <v>10515</v>
      </c>
      <c r="B499" s="616" t="s">
        <v>2929</v>
      </c>
      <c r="C499" s="614" t="s">
        <v>2172</v>
      </c>
      <c r="D499" s="1135">
        <v>0</v>
      </c>
    </row>
    <row r="500" spans="1:4" s="617" customFormat="1" ht="14.45" customHeight="1" x14ac:dyDescent="0.2">
      <c r="A500" s="1134">
        <v>10516</v>
      </c>
      <c r="B500" s="616" t="s">
        <v>2930</v>
      </c>
      <c r="C500" s="614" t="s">
        <v>2172</v>
      </c>
      <c r="D500" s="1135">
        <v>0</v>
      </c>
    </row>
    <row r="501" spans="1:4" s="617" customFormat="1" ht="14.45" customHeight="1" x14ac:dyDescent="0.2">
      <c r="A501" s="1134">
        <v>10514</v>
      </c>
      <c r="B501" s="616" t="s">
        <v>2931</v>
      </c>
      <c r="C501" s="614" t="s">
        <v>2172</v>
      </c>
      <c r="D501" s="1135">
        <v>0</v>
      </c>
    </row>
    <row r="502" spans="1:4" s="617" customFormat="1" ht="14.45" customHeight="1" x14ac:dyDescent="0.2">
      <c r="A502" s="1134">
        <v>10513</v>
      </c>
      <c r="B502" s="616" t="s">
        <v>2932</v>
      </c>
      <c r="C502" s="614" t="s">
        <v>2172</v>
      </c>
      <c r="D502" s="1135">
        <v>0</v>
      </c>
    </row>
    <row r="503" spans="1:4" s="617" customFormat="1" ht="14.45" customHeight="1" x14ac:dyDescent="0.2">
      <c r="A503" s="1134">
        <v>10330</v>
      </c>
      <c r="B503" s="616" t="s">
        <v>2933</v>
      </c>
      <c r="C503" s="614" t="s">
        <v>734</v>
      </c>
      <c r="D503" s="1140">
        <v>10.15</v>
      </c>
    </row>
    <row r="504" spans="1:4" s="617" customFormat="1" ht="15.6" customHeight="1" x14ac:dyDescent="0.2">
      <c r="A504" s="1134">
        <v>10328</v>
      </c>
      <c r="B504" s="616" t="s">
        <v>2934</v>
      </c>
      <c r="C504" s="614" t="s">
        <v>2475</v>
      </c>
      <c r="D504" s="1140">
        <v>44.32</v>
      </c>
    </row>
    <row r="505" spans="1:4" s="617" customFormat="1" ht="14.45" customHeight="1" x14ac:dyDescent="0.2">
      <c r="A505" s="1134">
        <v>10790</v>
      </c>
      <c r="B505" s="616" t="s">
        <v>2935</v>
      </c>
      <c r="C505" s="614" t="s">
        <v>2196</v>
      </c>
      <c r="D505" s="1140">
        <v>28.03</v>
      </c>
    </row>
    <row r="506" spans="1:4" s="617" customFormat="1" ht="14.45" customHeight="1" x14ac:dyDescent="0.2">
      <c r="A506" s="631">
        <v>10845</v>
      </c>
      <c r="B506" s="616" t="s">
        <v>426</v>
      </c>
      <c r="C506" s="614" t="s">
        <v>425</v>
      </c>
      <c r="D506" s="615">
        <v>598.98</v>
      </c>
    </row>
    <row r="507" spans="1:4" s="617" customFormat="1" ht="14.45" customHeight="1" x14ac:dyDescent="0.2">
      <c r="A507" s="631">
        <v>10844</v>
      </c>
      <c r="B507" s="616" t="s">
        <v>427</v>
      </c>
      <c r="C507" s="614" t="s">
        <v>425</v>
      </c>
      <c r="D507" s="615">
        <v>486.53</v>
      </c>
    </row>
    <row r="508" spans="1:4" s="617" customFormat="1" ht="14.45" customHeight="1" x14ac:dyDescent="0.2">
      <c r="A508" s="631">
        <v>10846</v>
      </c>
      <c r="B508" s="616" t="s">
        <v>428</v>
      </c>
      <c r="C508" s="614" t="s">
        <v>425</v>
      </c>
      <c r="D508" s="615">
        <v>655.41</v>
      </c>
    </row>
    <row r="509" spans="1:4" s="617" customFormat="1" ht="14.45" customHeight="1" x14ac:dyDescent="0.2">
      <c r="A509" s="631">
        <v>10842</v>
      </c>
      <c r="B509" s="616" t="s">
        <v>429</v>
      </c>
      <c r="C509" s="614" t="s">
        <v>425</v>
      </c>
      <c r="D509" s="615">
        <v>587.08000000000004</v>
      </c>
    </row>
    <row r="510" spans="1:4" s="617" customFormat="1" ht="14.45" customHeight="1" x14ac:dyDescent="0.2">
      <c r="A510" s="631">
        <v>10843</v>
      </c>
      <c r="B510" s="616" t="s">
        <v>430</v>
      </c>
      <c r="C510" s="614" t="s">
        <v>425</v>
      </c>
      <c r="D510" s="615">
        <v>649.26</v>
      </c>
    </row>
    <row r="511" spans="1:4" s="617" customFormat="1" ht="14.45" customHeight="1" x14ac:dyDescent="0.2">
      <c r="A511" s="631">
        <v>11521</v>
      </c>
      <c r="B511" s="616" t="s">
        <v>431</v>
      </c>
      <c r="C511" s="614" t="s">
        <v>356</v>
      </c>
      <c r="D511" s="615">
        <v>47.14</v>
      </c>
    </row>
    <row r="512" spans="1:4" s="617" customFormat="1" ht="14.45" customHeight="1" x14ac:dyDescent="0.2">
      <c r="A512" s="631">
        <v>10648</v>
      </c>
      <c r="B512" s="616" t="s">
        <v>432</v>
      </c>
      <c r="C512" s="614" t="s">
        <v>396</v>
      </c>
      <c r="D512" s="615">
        <v>37.89</v>
      </c>
    </row>
    <row r="513" spans="1:4" s="617" customFormat="1" ht="14.45" customHeight="1" x14ac:dyDescent="0.2">
      <c r="A513" s="631">
        <v>10631</v>
      </c>
      <c r="B513" s="616" t="s">
        <v>433</v>
      </c>
      <c r="C513" s="614" t="s">
        <v>396</v>
      </c>
      <c r="D513" s="615">
        <v>53.4</v>
      </c>
    </row>
    <row r="514" spans="1:4" s="617" customFormat="1" ht="14.45" customHeight="1" x14ac:dyDescent="0.2">
      <c r="A514" s="631">
        <v>10690</v>
      </c>
      <c r="B514" s="616" t="s">
        <v>434</v>
      </c>
      <c r="C514" s="614" t="s">
        <v>397</v>
      </c>
      <c r="D514" s="615">
        <v>29</v>
      </c>
    </row>
    <row r="515" spans="1:4" s="617" customFormat="1" ht="9.4" customHeight="1" x14ac:dyDescent="0.2">
      <c r="A515" s="968"/>
      <c r="B515" s="969"/>
      <c r="C515" s="969"/>
      <c r="D515" s="970"/>
    </row>
    <row r="516" spans="1:4" s="617" customFormat="1" ht="9.4" customHeight="1" x14ac:dyDescent="0.2">
      <c r="A516" s="965" t="s">
        <v>693</v>
      </c>
      <c r="B516" s="966"/>
      <c r="C516" s="966"/>
      <c r="D516" s="967"/>
    </row>
    <row r="517" spans="1:4" s="617" customFormat="1" ht="27" customHeight="1" x14ac:dyDescent="0.2">
      <c r="A517" s="631">
        <v>10591</v>
      </c>
      <c r="B517" s="616" t="s">
        <v>694</v>
      </c>
      <c r="C517" s="614" t="s">
        <v>398</v>
      </c>
      <c r="D517" s="615">
        <v>272.5</v>
      </c>
    </row>
    <row r="518" spans="1:4" s="617" customFormat="1" ht="9.4" customHeight="1" x14ac:dyDescent="0.2">
      <c r="A518" s="631">
        <v>10634</v>
      </c>
      <c r="B518" s="616" t="s">
        <v>400</v>
      </c>
      <c r="C518" s="614" t="s">
        <v>398</v>
      </c>
      <c r="D518" s="615">
        <v>100</v>
      </c>
    </row>
    <row r="519" spans="1:4" s="617" customFormat="1" ht="9.4" customHeight="1" x14ac:dyDescent="0.2">
      <c r="A519" s="631">
        <v>10579</v>
      </c>
      <c r="B519" s="616" t="s">
        <v>401</v>
      </c>
      <c r="C519" s="614" t="s">
        <v>695</v>
      </c>
      <c r="D519" s="615">
        <v>29.3</v>
      </c>
    </row>
    <row r="520" spans="1:4" s="617" customFormat="1" ht="9.4" customHeight="1" x14ac:dyDescent="0.2">
      <c r="A520" s="631">
        <v>11490</v>
      </c>
      <c r="B520" s="616" t="s">
        <v>402</v>
      </c>
      <c r="C520" s="614" t="s">
        <v>398</v>
      </c>
      <c r="D520" s="615">
        <v>3767.18</v>
      </c>
    </row>
    <row r="521" spans="1:4" s="617" customFormat="1" ht="9.4" customHeight="1" x14ac:dyDescent="0.2">
      <c r="A521" s="631">
        <v>10587</v>
      </c>
      <c r="B521" s="616" t="s">
        <v>403</v>
      </c>
      <c r="C521" s="614" t="s">
        <v>398</v>
      </c>
      <c r="D521" s="615">
        <v>1978.02</v>
      </c>
    </row>
    <row r="522" spans="1:4" s="617" customFormat="1" ht="9.4" customHeight="1" x14ac:dyDescent="0.2">
      <c r="A522" s="631">
        <v>10589</v>
      </c>
      <c r="B522" s="616" t="s">
        <v>404</v>
      </c>
      <c r="C522" s="614" t="s">
        <v>398</v>
      </c>
      <c r="D522" s="615">
        <v>4070.28</v>
      </c>
    </row>
    <row r="523" spans="1:4" s="617" customFormat="1" ht="9.4" customHeight="1" x14ac:dyDescent="0.2">
      <c r="A523" s="631">
        <v>10590</v>
      </c>
      <c r="B523" s="616" t="s">
        <v>405</v>
      </c>
      <c r="C523" s="614" t="s">
        <v>398</v>
      </c>
      <c r="D523" s="615">
        <v>3198.44</v>
      </c>
    </row>
    <row r="524" spans="1:4" s="617" customFormat="1" ht="9.4" customHeight="1" x14ac:dyDescent="0.2">
      <c r="A524" s="631">
        <v>10588</v>
      </c>
      <c r="B524" s="616" t="s">
        <v>324</v>
      </c>
      <c r="C524" s="614" t="s">
        <v>398</v>
      </c>
      <c r="D524" s="615">
        <v>2669.17</v>
      </c>
    </row>
    <row r="525" spans="1:4" s="617" customFormat="1" ht="9.4" customHeight="1" x14ac:dyDescent="0.2">
      <c r="A525" s="631">
        <v>10582</v>
      </c>
      <c r="B525" s="616" t="s">
        <v>696</v>
      </c>
      <c r="C525" s="614" t="s">
        <v>697</v>
      </c>
      <c r="D525" s="615">
        <v>432.92</v>
      </c>
    </row>
    <row r="526" spans="1:4" s="617" customFormat="1" ht="9.4" customHeight="1" x14ac:dyDescent="0.2">
      <c r="A526" s="631">
        <v>10580</v>
      </c>
      <c r="B526" s="616" t="s">
        <v>698</v>
      </c>
      <c r="C526" s="614" t="s">
        <v>398</v>
      </c>
      <c r="D526" s="615">
        <v>1233.44</v>
      </c>
    </row>
    <row r="527" spans="1:4" s="617" customFormat="1" ht="9.4" customHeight="1" x14ac:dyDescent="0.2">
      <c r="A527" s="631">
        <v>10586</v>
      </c>
      <c r="B527" s="616" t="s">
        <v>406</v>
      </c>
      <c r="C527" s="614" t="s">
        <v>398</v>
      </c>
      <c r="D527" s="615">
        <v>4433</v>
      </c>
    </row>
    <row r="528" spans="1:4" s="617" customFormat="1" ht="9.4" customHeight="1" x14ac:dyDescent="0.2">
      <c r="A528" s="631">
        <v>10585</v>
      </c>
      <c r="B528" s="616" t="s">
        <v>699</v>
      </c>
      <c r="C528" s="614" t="s">
        <v>398</v>
      </c>
      <c r="D528" s="615">
        <v>1857.22</v>
      </c>
    </row>
    <row r="529" spans="1:4" s="617" customFormat="1" ht="9.4" customHeight="1" x14ac:dyDescent="0.2">
      <c r="A529" s="631">
        <v>10592</v>
      </c>
      <c r="B529" s="616" t="s">
        <v>700</v>
      </c>
      <c r="C529" s="614" t="s">
        <v>398</v>
      </c>
      <c r="D529" s="615">
        <v>320</v>
      </c>
    </row>
    <row r="530" spans="1:4" s="617" customFormat="1" ht="9.4" customHeight="1" x14ac:dyDescent="0.2">
      <c r="A530" s="968"/>
      <c r="B530" s="969"/>
      <c r="C530" s="969"/>
      <c r="D530" s="970"/>
    </row>
    <row r="531" spans="1:4" s="617" customFormat="1" ht="9.4" customHeight="1" x14ac:dyDescent="0.2">
      <c r="A531" s="965" t="s">
        <v>701</v>
      </c>
      <c r="B531" s="966"/>
      <c r="C531" s="966"/>
      <c r="D531" s="967"/>
    </row>
    <row r="532" spans="1:4" s="617" customFormat="1" ht="13.9" customHeight="1" x14ac:dyDescent="0.2">
      <c r="A532" s="631">
        <v>10605</v>
      </c>
      <c r="B532" s="616" t="s">
        <v>408</v>
      </c>
      <c r="C532" s="614" t="s">
        <v>397</v>
      </c>
      <c r="D532" s="615">
        <v>4534.93</v>
      </c>
    </row>
    <row r="533" spans="1:4" s="617" customFormat="1" ht="13.9" customHeight="1" x14ac:dyDescent="0.2">
      <c r="A533" s="631">
        <v>10606</v>
      </c>
      <c r="B533" s="616" t="s">
        <v>409</v>
      </c>
      <c r="C533" s="614" t="s">
        <v>397</v>
      </c>
      <c r="D533" s="615">
        <v>5111.46</v>
      </c>
    </row>
    <row r="534" spans="1:4" s="617" customFormat="1" ht="13.9" customHeight="1" x14ac:dyDescent="0.2">
      <c r="A534" s="631">
        <v>10607</v>
      </c>
      <c r="B534" s="616" t="s">
        <v>410</v>
      </c>
      <c r="C534" s="614" t="s">
        <v>397</v>
      </c>
      <c r="D534" s="615">
        <v>5955.44</v>
      </c>
    </row>
    <row r="535" spans="1:4" s="617" customFormat="1" ht="13.9" customHeight="1" x14ac:dyDescent="0.2">
      <c r="A535" s="631">
        <v>10608</v>
      </c>
      <c r="B535" s="616" t="s">
        <v>411</v>
      </c>
      <c r="C535" s="614" t="s">
        <v>397</v>
      </c>
      <c r="D535" s="615">
        <v>7492.84</v>
      </c>
    </row>
    <row r="536" spans="1:4" s="617" customFormat="1" ht="13.9" customHeight="1" x14ac:dyDescent="0.2">
      <c r="A536" s="631">
        <v>10609</v>
      </c>
      <c r="B536" s="616" t="s">
        <v>412</v>
      </c>
      <c r="C536" s="614" t="s">
        <v>397</v>
      </c>
      <c r="D536" s="615">
        <v>8338.81</v>
      </c>
    </row>
    <row r="537" spans="1:4" s="617" customFormat="1" ht="13.9" customHeight="1" x14ac:dyDescent="0.2">
      <c r="A537" s="631">
        <v>10610</v>
      </c>
      <c r="B537" s="616" t="s">
        <v>413</v>
      </c>
      <c r="C537" s="614" t="s">
        <v>397</v>
      </c>
      <c r="D537" s="615">
        <v>8990.6200000000008</v>
      </c>
    </row>
    <row r="538" spans="1:4" s="617" customFormat="1" ht="13.9" customHeight="1" x14ac:dyDescent="0.2">
      <c r="A538" s="631">
        <v>10611</v>
      </c>
      <c r="B538" s="616" t="s">
        <v>414</v>
      </c>
      <c r="C538" s="614" t="s">
        <v>397</v>
      </c>
      <c r="D538" s="615">
        <v>11847.49</v>
      </c>
    </row>
    <row r="539" spans="1:4" s="617" customFormat="1" ht="13.9" customHeight="1" x14ac:dyDescent="0.2">
      <c r="A539" s="631">
        <v>10597</v>
      </c>
      <c r="B539" s="616" t="s">
        <v>415</v>
      </c>
      <c r="C539" s="614" t="s">
        <v>397</v>
      </c>
      <c r="D539" s="615">
        <v>2267.4699999999998</v>
      </c>
    </row>
    <row r="540" spans="1:4" s="617" customFormat="1" ht="13.9" customHeight="1" x14ac:dyDescent="0.2">
      <c r="A540" s="631">
        <v>10598</v>
      </c>
      <c r="B540" s="616" t="s">
        <v>416</v>
      </c>
      <c r="C540" s="614" t="s">
        <v>397</v>
      </c>
      <c r="D540" s="615">
        <v>2555.73</v>
      </c>
    </row>
    <row r="541" spans="1:4" s="617" customFormat="1" ht="13.9" customHeight="1" x14ac:dyDescent="0.2">
      <c r="A541" s="631">
        <v>10599</v>
      </c>
      <c r="B541" s="616" t="s">
        <v>417</v>
      </c>
      <c r="C541" s="614" t="s">
        <v>397</v>
      </c>
      <c r="D541" s="615">
        <v>2977.72</v>
      </c>
    </row>
    <row r="542" spans="1:4" s="617" customFormat="1" ht="13.9" customHeight="1" x14ac:dyDescent="0.2">
      <c r="A542" s="631">
        <v>10600</v>
      </c>
      <c r="B542" s="616" t="s">
        <v>418</v>
      </c>
      <c r="C542" s="614" t="s">
        <v>397</v>
      </c>
      <c r="D542" s="615">
        <v>3746.42</v>
      </c>
    </row>
    <row r="543" spans="1:4" s="617" customFormat="1" ht="13.9" customHeight="1" x14ac:dyDescent="0.2">
      <c r="A543" s="631">
        <v>10601</v>
      </c>
      <c r="B543" s="616" t="s">
        <v>419</v>
      </c>
      <c r="C543" s="614" t="s">
        <v>397</v>
      </c>
      <c r="D543" s="615">
        <v>4169.3999999999996</v>
      </c>
    </row>
    <row r="544" spans="1:4" s="617" customFormat="1" ht="13.9" customHeight="1" x14ac:dyDescent="0.2">
      <c r="A544" s="631">
        <v>10602</v>
      </c>
      <c r="B544" s="616" t="s">
        <v>420</v>
      </c>
      <c r="C544" s="614" t="s">
        <v>397</v>
      </c>
      <c r="D544" s="615">
        <v>4495.3100000000004</v>
      </c>
    </row>
    <row r="545" spans="1:4" s="617" customFormat="1" ht="13.9" customHeight="1" x14ac:dyDescent="0.2">
      <c r="A545" s="631">
        <v>10603</v>
      </c>
      <c r="B545" s="616" t="s">
        <v>421</v>
      </c>
      <c r="C545" s="614" t="s">
        <v>397</v>
      </c>
      <c r="D545" s="615">
        <v>5923.74</v>
      </c>
    </row>
    <row r="546" spans="1:4" s="617" customFormat="1" ht="13.9" customHeight="1" x14ac:dyDescent="0.2">
      <c r="A546" s="631">
        <v>10604</v>
      </c>
      <c r="B546" s="616" t="s">
        <v>422</v>
      </c>
      <c r="C546" s="614" t="s">
        <v>397</v>
      </c>
      <c r="D546" s="615">
        <v>5629.54</v>
      </c>
    </row>
    <row r="547" spans="1:4" s="617" customFormat="1" ht="13.9" customHeight="1" x14ac:dyDescent="0.2">
      <c r="A547" s="631">
        <v>11266</v>
      </c>
      <c r="B547" s="616" t="s">
        <v>423</v>
      </c>
      <c r="C547" s="614" t="s">
        <v>397</v>
      </c>
      <c r="D547" s="615">
        <v>12352.69</v>
      </c>
    </row>
    <row r="548" spans="1:4" s="617" customFormat="1" ht="13.9" customHeight="1" x14ac:dyDescent="0.2">
      <c r="A548" s="631">
        <v>11265</v>
      </c>
      <c r="B548" s="616" t="s">
        <v>424</v>
      </c>
      <c r="C548" s="614" t="s">
        <v>397</v>
      </c>
      <c r="D548" s="615">
        <v>6176.35</v>
      </c>
    </row>
    <row r="550" spans="1:4" x14ac:dyDescent="0.25">
      <c r="A550" s="478"/>
      <c r="B550" s="478"/>
    </row>
    <row r="551" spans="1:4" x14ac:dyDescent="0.25">
      <c r="A551" s="478"/>
      <c r="B551" s="478"/>
    </row>
    <row r="552" spans="1:4" x14ac:dyDescent="0.25">
      <c r="A552" s="478"/>
      <c r="B552" s="478"/>
    </row>
    <row r="553" spans="1:4" x14ac:dyDescent="0.25">
      <c r="A553" s="478"/>
      <c r="B553" s="478"/>
    </row>
    <row r="554" spans="1:4" x14ac:dyDescent="0.25">
      <c r="A554" s="478"/>
      <c r="B554" s="478"/>
    </row>
    <row r="555" spans="1:4" x14ac:dyDescent="0.25">
      <c r="A555" s="478"/>
      <c r="B555" s="478"/>
    </row>
    <row r="556" spans="1:4" x14ac:dyDescent="0.25">
      <c r="A556" s="478"/>
      <c r="B556" s="478"/>
    </row>
    <row r="557" spans="1:4" x14ac:dyDescent="0.25">
      <c r="A557" s="478"/>
      <c r="B557" s="478"/>
    </row>
    <row r="558" spans="1:4" x14ac:dyDescent="0.25">
      <c r="A558" s="478"/>
      <c r="B558" s="478"/>
    </row>
    <row r="559" spans="1:4" x14ac:dyDescent="0.25">
      <c r="A559" s="478"/>
      <c r="B559" s="478"/>
    </row>
    <row r="560" spans="1:4" x14ac:dyDescent="0.25">
      <c r="A560" s="478"/>
      <c r="B560" s="478"/>
    </row>
    <row r="561" spans="1:4" x14ac:dyDescent="0.25">
      <c r="A561" s="478"/>
      <c r="B561" s="478"/>
    </row>
    <row r="562" spans="1:4" x14ac:dyDescent="0.25">
      <c r="A562" s="478"/>
      <c r="B562" s="478"/>
    </row>
    <row r="563" spans="1:4" x14ac:dyDescent="0.25">
      <c r="A563" s="478"/>
      <c r="B563" s="478"/>
      <c r="C563" s="198"/>
      <c r="D563" s="198"/>
    </row>
    <row r="564" spans="1:4" x14ac:dyDescent="0.25">
      <c r="A564" s="478"/>
      <c r="B564" s="478"/>
      <c r="C564" s="198"/>
      <c r="D564" s="198"/>
    </row>
    <row r="565" spans="1:4" x14ac:dyDescent="0.25">
      <c r="A565" s="478"/>
      <c r="B565" s="478"/>
      <c r="C565" s="198"/>
      <c r="D565" s="198"/>
    </row>
    <row r="566" spans="1:4" x14ac:dyDescent="0.25">
      <c r="A566" s="478"/>
      <c r="B566" s="478"/>
      <c r="C566" s="198"/>
      <c r="D566" s="198"/>
    </row>
    <row r="567" spans="1:4" x14ac:dyDescent="0.25">
      <c r="A567" s="478"/>
      <c r="B567" s="478"/>
      <c r="C567" s="198"/>
      <c r="D567" s="198"/>
    </row>
    <row r="568" spans="1:4" x14ac:dyDescent="0.25">
      <c r="A568" s="478"/>
      <c r="B568" s="478"/>
      <c r="C568" s="198"/>
      <c r="D568" s="198"/>
    </row>
    <row r="569" spans="1:4" x14ac:dyDescent="0.25">
      <c r="A569" s="478"/>
      <c r="B569" s="478"/>
      <c r="C569" s="198"/>
      <c r="D569" s="198"/>
    </row>
    <row r="570" spans="1:4" x14ac:dyDescent="0.25">
      <c r="A570" s="478"/>
      <c r="B570" s="478"/>
      <c r="C570" s="198"/>
      <c r="D570" s="198"/>
    </row>
    <row r="571" spans="1:4" x14ac:dyDescent="0.25">
      <c r="A571" s="478"/>
      <c r="B571" s="478"/>
      <c r="C571" s="198"/>
      <c r="D571" s="198"/>
    </row>
    <row r="572" spans="1:4" x14ac:dyDescent="0.25">
      <c r="A572" s="478"/>
      <c r="B572" s="478"/>
      <c r="C572" s="198"/>
      <c r="D572" s="198"/>
    </row>
    <row r="573" spans="1:4" x14ac:dyDescent="0.25">
      <c r="A573" s="478"/>
      <c r="B573" s="478"/>
      <c r="C573" s="198"/>
      <c r="D573" s="198"/>
    </row>
    <row r="574" spans="1:4" x14ac:dyDescent="0.25">
      <c r="A574" s="478"/>
      <c r="B574" s="478"/>
      <c r="C574" s="198"/>
      <c r="D574" s="198"/>
    </row>
    <row r="575" spans="1:4" x14ac:dyDescent="0.25">
      <c r="A575" s="478"/>
      <c r="B575" s="478"/>
      <c r="C575" s="198"/>
      <c r="D575" s="198"/>
    </row>
    <row r="576" spans="1:4" x14ac:dyDescent="0.25">
      <c r="A576" s="478"/>
      <c r="B576" s="478"/>
      <c r="C576" s="198"/>
      <c r="D576" s="198"/>
    </row>
    <row r="577" spans="1:4" x14ac:dyDescent="0.25">
      <c r="A577" s="478"/>
      <c r="B577" s="478"/>
      <c r="C577" s="198"/>
      <c r="D577" s="198"/>
    </row>
    <row r="578" spans="1:4" x14ac:dyDescent="0.25">
      <c r="A578" s="478"/>
      <c r="B578" s="478"/>
      <c r="C578" s="198"/>
      <c r="D578" s="198"/>
    </row>
    <row r="579" spans="1:4" x14ac:dyDescent="0.25">
      <c r="A579" s="478"/>
      <c r="B579" s="478"/>
      <c r="C579" s="198"/>
      <c r="D579" s="198"/>
    </row>
    <row r="580" spans="1:4" x14ac:dyDescent="0.25">
      <c r="A580" s="478"/>
      <c r="B580" s="478"/>
      <c r="C580" s="198"/>
      <c r="D580" s="198"/>
    </row>
    <row r="581" spans="1:4" x14ac:dyDescent="0.25">
      <c r="A581" s="478"/>
      <c r="B581" s="478"/>
      <c r="C581" s="198"/>
      <c r="D581" s="198"/>
    </row>
    <row r="582" spans="1:4" x14ac:dyDescent="0.25">
      <c r="A582" s="478"/>
      <c r="B582" s="478"/>
      <c r="C582" s="198"/>
      <c r="D582" s="198"/>
    </row>
    <row r="583" spans="1:4" x14ac:dyDescent="0.25">
      <c r="A583" s="478"/>
      <c r="B583" s="478"/>
      <c r="C583" s="198"/>
      <c r="D583" s="198"/>
    </row>
    <row r="584" spans="1:4" x14ac:dyDescent="0.25">
      <c r="A584" s="478"/>
      <c r="B584" s="478"/>
      <c r="C584" s="198"/>
      <c r="D584" s="198"/>
    </row>
    <row r="585" spans="1:4" x14ac:dyDescent="0.25">
      <c r="A585" s="478"/>
      <c r="B585" s="478"/>
      <c r="C585" s="198"/>
      <c r="D585" s="198"/>
    </row>
    <row r="586" spans="1:4" x14ac:dyDescent="0.25">
      <c r="A586" s="478"/>
      <c r="B586" s="478"/>
      <c r="C586" s="198"/>
      <c r="D586" s="198"/>
    </row>
    <row r="587" spans="1:4" x14ac:dyDescent="0.25">
      <c r="A587" s="478"/>
      <c r="B587" s="478"/>
      <c r="C587" s="198"/>
      <c r="D587" s="198"/>
    </row>
    <row r="588" spans="1:4" x14ac:dyDescent="0.25">
      <c r="A588" s="478"/>
      <c r="B588" s="478"/>
      <c r="C588" s="198"/>
      <c r="D588" s="198"/>
    </row>
    <row r="589" spans="1:4" x14ac:dyDescent="0.25">
      <c r="A589" s="478"/>
      <c r="B589" s="478"/>
      <c r="C589" s="198"/>
      <c r="D589" s="198"/>
    </row>
    <row r="590" spans="1:4" x14ac:dyDescent="0.25">
      <c r="A590" s="478"/>
      <c r="B590" s="478"/>
      <c r="C590" s="198"/>
      <c r="D590" s="198"/>
    </row>
    <row r="591" spans="1:4" x14ac:dyDescent="0.25">
      <c r="A591" s="478"/>
      <c r="B591" s="478"/>
      <c r="C591" s="198"/>
      <c r="D591" s="198"/>
    </row>
    <row r="592" spans="1:4" x14ac:dyDescent="0.25">
      <c r="A592" s="478"/>
      <c r="B592" s="478"/>
      <c r="C592" s="198"/>
      <c r="D592" s="198"/>
    </row>
    <row r="593" spans="1:4" x14ac:dyDescent="0.25">
      <c r="A593" s="478"/>
      <c r="B593" s="478"/>
      <c r="C593" s="198"/>
      <c r="D593" s="198"/>
    </row>
    <row r="594" spans="1:4" x14ac:dyDescent="0.25">
      <c r="A594" s="478"/>
      <c r="B594" s="478"/>
      <c r="C594" s="198"/>
      <c r="D594" s="198"/>
    </row>
    <row r="595" spans="1:4" x14ac:dyDescent="0.25">
      <c r="A595" s="478"/>
      <c r="B595" s="478"/>
      <c r="C595" s="198"/>
      <c r="D595" s="198"/>
    </row>
    <row r="596" spans="1:4" x14ac:dyDescent="0.25">
      <c r="A596" s="478"/>
      <c r="B596" s="478"/>
      <c r="C596" s="198"/>
      <c r="D596" s="198"/>
    </row>
    <row r="597" spans="1:4" x14ac:dyDescent="0.25">
      <c r="A597" s="478"/>
      <c r="B597" s="478"/>
      <c r="C597" s="198"/>
      <c r="D597" s="198"/>
    </row>
  </sheetData>
  <mergeCells count="4">
    <mergeCell ref="A531:D531"/>
    <mergeCell ref="A515:D515"/>
    <mergeCell ref="A516:D516"/>
    <mergeCell ref="A530:D530"/>
  </mergeCells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K56"/>
  <sheetViews>
    <sheetView view="pageBreakPreview" topLeftCell="C1" zoomScale="85" zoomScaleNormal="90" zoomScaleSheetLayoutView="85" workbookViewId="0">
      <selection activeCell="F355" sqref="F355"/>
    </sheetView>
  </sheetViews>
  <sheetFormatPr defaultColWidth="9" defaultRowHeight="15" x14ac:dyDescent="0.2"/>
  <cols>
    <col min="1" max="1" width="7.5" style="219" customWidth="1"/>
    <col min="2" max="2" width="73.25" style="219" customWidth="1"/>
    <col min="3" max="3" width="12.875" style="221" customWidth="1"/>
    <col min="4" max="4" width="27.625" style="219" customWidth="1"/>
    <col min="5" max="10" width="11.875" style="219" customWidth="1"/>
    <col min="11" max="11" width="93.25" style="219" customWidth="1"/>
    <col min="12" max="16384" width="9" style="219"/>
  </cols>
  <sheetData>
    <row r="1" spans="1:11" x14ac:dyDescent="0.2">
      <c r="A1" s="215" t="s">
        <v>2290</v>
      </c>
      <c r="B1" s="218"/>
      <c r="C1" s="217" t="s">
        <v>265</v>
      </c>
      <c r="D1" s="632"/>
      <c r="H1" s="219" t="s">
        <v>8</v>
      </c>
      <c r="I1" s="219" t="s">
        <v>8</v>
      </c>
      <c r="J1" s="219" t="s">
        <v>8</v>
      </c>
      <c r="K1" s="219" t="s">
        <v>393</v>
      </c>
    </row>
    <row r="2" spans="1:11" x14ac:dyDescent="0.2">
      <c r="A2" s="216" t="s">
        <v>264</v>
      </c>
      <c r="B2" s="218"/>
      <c r="C2" s="217" t="s">
        <v>148</v>
      </c>
      <c r="D2" s="218"/>
    </row>
    <row r="3" spans="1:11" ht="28.5" x14ac:dyDescent="0.2">
      <c r="A3" s="220" t="s">
        <v>343</v>
      </c>
      <c r="B3" s="490">
        <v>0.23319999999999999</v>
      </c>
      <c r="C3" s="217" t="s">
        <v>149</v>
      </c>
      <c r="D3" s="220"/>
    </row>
    <row r="4" spans="1:11" x14ac:dyDescent="0.2">
      <c r="A4" s="218"/>
      <c r="B4" s="218"/>
      <c r="C4" s="632"/>
      <c r="D4" s="218"/>
      <c r="E4" s="971" t="s">
        <v>150</v>
      </c>
      <c r="F4" s="971"/>
      <c r="G4" s="971"/>
      <c r="H4" s="972" t="s">
        <v>151</v>
      </c>
      <c r="I4" s="972"/>
      <c r="J4" s="972"/>
      <c r="K4" s="972" t="s">
        <v>392</v>
      </c>
    </row>
    <row r="5" spans="1:11" s="618" customFormat="1" x14ac:dyDescent="0.2">
      <c r="A5" s="222" t="s">
        <v>0</v>
      </c>
      <c r="B5" s="222" t="s">
        <v>260</v>
      </c>
      <c r="C5" s="222" t="s">
        <v>1</v>
      </c>
      <c r="D5" s="223" t="s">
        <v>263</v>
      </c>
      <c r="E5" s="297" t="s">
        <v>21</v>
      </c>
      <c r="F5" s="297" t="s">
        <v>20</v>
      </c>
      <c r="G5" s="297" t="s">
        <v>152</v>
      </c>
      <c r="H5" s="301" t="s">
        <v>21</v>
      </c>
      <c r="I5" s="301" t="s">
        <v>20</v>
      </c>
      <c r="J5" s="301" t="s">
        <v>152</v>
      </c>
      <c r="K5" s="972"/>
    </row>
    <row r="6" spans="1:11" s="618" customFormat="1" x14ac:dyDescent="0.2">
      <c r="A6" s="1141">
        <v>60019</v>
      </c>
      <c r="B6" s="1142" t="s">
        <v>384</v>
      </c>
      <c r="C6" s="1143" t="s">
        <v>374</v>
      </c>
      <c r="D6" s="1142" t="s">
        <v>2291</v>
      </c>
      <c r="E6" s="633">
        <v>0.92800000000000005</v>
      </c>
      <c r="F6" s="633">
        <v>1.026</v>
      </c>
      <c r="G6" s="633">
        <v>1.6279999999999999</v>
      </c>
      <c r="H6" s="620">
        <f>+TRUNC(E6*(1+$B$3),3)</f>
        <v>1.1439999999999999</v>
      </c>
      <c r="I6" s="620">
        <f t="shared" ref="H6:J20" si="0">+TRUNC(F6*(1+$B$3),3)</f>
        <v>1.2649999999999999</v>
      </c>
      <c r="J6" s="620">
        <f t="shared" si="0"/>
        <v>2.0070000000000001</v>
      </c>
      <c r="K6" s="621" t="str">
        <f>+CONCATENATE(B6,H6,$H$5,$I$1,I6,$I$5,$I$1,J6,K1)</f>
        <v>LOCAL COM DMT ATÉ 3,0 KM (Caminhão basculante)1,144XP+1,265XR+2,007 (Incluindo BDI= 23,32%)</v>
      </c>
    </row>
    <row r="7" spans="1:11" s="618" customFormat="1" x14ac:dyDescent="0.2">
      <c r="A7" s="1141">
        <v>60022</v>
      </c>
      <c r="B7" s="1142" t="s">
        <v>387</v>
      </c>
      <c r="C7" s="1143" t="s">
        <v>374</v>
      </c>
      <c r="D7" s="1142" t="s">
        <v>2292</v>
      </c>
      <c r="E7" s="633">
        <v>0.64</v>
      </c>
      <c r="F7" s="633">
        <v>0.67800000000000005</v>
      </c>
      <c r="G7" s="633">
        <v>1.44</v>
      </c>
      <c r="H7" s="620">
        <f t="shared" si="0"/>
        <v>0.78900000000000003</v>
      </c>
      <c r="I7" s="620">
        <f t="shared" si="0"/>
        <v>0.83599999999999997</v>
      </c>
      <c r="J7" s="620">
        <f t="shared" si="0"/>
        <v>1.7749999999999999</v>
      </c>
      <c r="K7" s="621" t="str">
        <f t="shared" ref="K7:K19" si="1">+CONCATENATE(B7,H7,$H$5,$I$1,I7,$I$5,$I$1,J7)</f>
        <v>LOCAL COM DMT DE 10,1 A 15,0 KM (Caminhão basculante)0,789XP+0,836XR+1,775</v>
      </c>
    </row>
    <row r="8" spans="1:11" s="618" customFormat="1" x14ac:dyDescent="0.2">
      <c r="A8" s="1141">
        <v>60020</v>
      </c>
      <c r="B8" s="1142" t="s">
        <v>385</v>
      </c>
      <c r="C8" s="1143" t="s">
        <v>374</v>
      </c>
      <c r="D8" s="1142" t="s">
        <v>2293</v>
      </c>
      <c r="E8" s="633">
        <v>0.83199999999999996</v>
      </c>
      <c r="F8" s="633">
        <v>0.93600000000000005</v>
      </c>
      <c r="G8" s="633">
        <v>1.56</v>
      </c>
      <c r="H8" s="620">
        <f t="shared" si="0"/>
        <v>1.026</v>
      </c>
      <c r="I8" s="620">
        <f t="shared" si="0"/>
        <v>1.1539999999999999</v>
      </c>
      <c r="J8" s="620">
        <f t="shared" si="0"/>
        <v>1.923</v>
      </c>
      <c r="K8" s="621" t="str">
        <f t="shared" si="1"/>
        <v>LOCAL COM DMT DE 3,1 A 5,0 KM (Caminhão basculante)1,026XP+1,154XR+1,923</v>
      </c>
    </row>
    <row r="9" spans="1:11" s="618" customFormat="1" x14ac:dyDescent="0.2">
      <c r="A9" s="1141">
        <v>60021</v>
      </c>
      <c r="B9" s="1142" t="s">
        <v>386</v>
      </c>
      <c r="C9" s="1143" t="s">
        <v>374</v>
      </c>
      <c r="D9" s="1142" t="s">
        <v>2294</v>
      </c>
      <c r="E9" s="633">
        <v>0.71899999999999997</v>
      </c>
      <c r="F9" s="633">
        <v>0.79900000000000004</v>
      </c>
      <c r="G9" s="633">
        <v>1.498</v>
      </c>
      <c r="H9" s="620">
        <f t="shared" si="0"/>
        <v>0.88600000000000001</v>
      </c>
      <c r="I9" s="620">
        <f t="shared" si="0"/>
        <v>0.98499999999999999</v>
      </c>
      <c r="J9" s="620">
        <f t="shared" si="0"/>
        <v>1.847</v>
      </c>
      <c r="K9" s="621" t="str">
        <f t="shared" si="1"/>
        <v>LOCAL COM DMT DE 5,1 A 10,0 KM (Caminhão basculante)0,886XP+0,985XR+1,847</v>
      </c>
    </row>
    <row r="10" spans="1:11" s="618" customFormat="1" x14ac:dyDescent="0.2">
      <c r="A10" s="1141">
        <v>60024</v>
      </c>
      <c r="B10" s="1142" t="s">
        <v>388</v>
      </c>
      <c r="C10" s="1143" t="s">
        <v>374</v>
      </c>
      <c r="D10" s="1142" t="s">
        <v>2295</v>
      </c>
      <c r="E10" s="633">
        <v>0.247</v>
      </c>
      <c r="F10" s="633">
        <v>0.26200000000000001</v>
      </c>
      <c r="G10" s="633">
        <v>9.4700000000000006</v>
      </c>
      <c r="H10" s="620">
        <f t="shared" si="0"/>
        <v>0.30399999999999999</v>
      </c>
      <c r="I10" s="620">
        <f t="shared" si="0"/>
        <v>0.32300000000000001</v>
      </c>
      <c r="J10" s="620">
        <f t="shared" si="0"/>
        <v>11.678000000000001</v>
      </c>
      <c r="K10" s="621" t="str">
        <f>+CONCATENATE(B10,H10,$H$5,$I$1,I10,$I$5,$I$1,J10,K1)</f>
        <v>Transporte de materiais para DMT acima de 15 KM (Caminhão basculante)0,304XP+0,323XR+11,678 (Incluindo BDI= 23,32%)</v>
      </c>
    </row>
    <row r="11" spans="1:11" s="618" customFormat="1" x14ac:dyDescent="0.2">
      <c r="A11" s="1141">
        <v>100849</v>
      </c>
      <c r="B11" s="1142" t="s">
        <v>349</v>
      </c>
      <c r="C11" s="1143" t="s">
        <v>374</v>
      </c>
      <c r="D11" s="1142" t="s">
        <v>2296</v>
      </c>
      <c r="E11" s="633">
        <v>0.48299999999999998</v>
      </c>
      <c r="F11" s="633">
        <v>0.56999999999999995</v>
      </c>
      <c r="G11" s="633">
        <v>51.46</v>
      </c>
      <c r="H11" s="620">
        <f t="shared" si="0"/>
        <v>0.59499999999999997</v>
      </c>
      <c r="I11" s="620">
        <f t="shared" si="0"/>
        <v>0.70199999999999996</v>
      </c>
      <c r="J11" s="620">
        <f t="shared" si="0"/>
        <v>63.46</v>
      </c>
      <c r="K11" s="621" t="str">
        <f t="shared" si="1"/>
        <v>Transporte de Material Asfáltico (DNIT), inclusive BDI diferenciado0,595XP+0,702XR+63,46</v>
      </c>
    </row>
    <row r="12" spans="1:11" s="618" customFormat="1" x14ac:dyDescent="0.2">
      <c r="A12" s="1141">
        <v>60010</v>
      </c>
      <c r="B12" s="1142" t="s">
        <v>380</v>
      </c>
      <c r="C12" s="1143" t="s">
        <v>3</v>
      </c>
      <c r="D12" s="1142" t="s">
        <v>2297</v>
      </c>
      <c r="E12" s="633">
        <v>1.123</v>
      </c>
      <c r="F12" s="633">
        <v>1.4970000000000001</v>
      </c>
      <c r="G12" s="633">
        <v>1.8720000000000001</v>
      </c>
      <c r="H12" s="620">
        <f t="shared" si="0"/>
        <v>1.3839999999999999</v>
      </c>
      <c r="I12" s="620">
        <f t="shared" si="0"/>
        <v>1.8460000000000001</v>
      </c>
      <c r="J12" s="620">
        <f t="shared" si="0"/>
        <v>2.3079999999999998</v>
      </c>
      <c r="K12" s="621" t="str">
        <f t="shared" si="1"/>
        <v>Transporte Local de Materiais (TR-101-01) (Vias urbanas - Caminhão basculante)1,384XP+1,846XR+2,308</v>
      </c>
    </row>
    <row r="13" spans="1:11" s="618" customFormat="1" x14ac:dyDescent="0.2">
      <c r="A13" s="1141">
        <v>60002</v>
      </c>
      <c r="B13" s="1142" t="s">
        <v>375</v>
      </c>
      <c r="C13" s="1143" t="s">
        <v>374</v>
      </c>
      <c r="D13" s="1142" t="s">
        <v>2298</v>
      </c>
      <c r="E13" s="633">
        <v>0.71899999999999997</v>
      </c>
      <c r="F13" s="633">
        <v>0.749</v>
      </c>
      <c r="G13" s="633">
        <v>2.9969999999999999</v>
      </c>
      <c r="H13" s="620">
        <f t="shared" si="0"/>
        <v>0.88600000000000001</v>
      </c>
      <c r="I13" s="620">
        <f t="shared" si="0"/>
        <v>0.92300000000000004</v>
      </c>
      <c r="J13" s="620">
        <f t="shared" si="0"/>
        <v>3.6949999999999998</v>
      </c>
      <c r="K13" s="621" t="str">
        <f t="shared" si="1"/>
        <v>TR-201-00 (Comercial - Caminhão basculante)0,886XP+0,923XR+3,695</v>
      </c>
    </row>
    <row r="14" spans="1:11" s="618" customFormat="1" x14ac:dyDescent="0.2">
      <c r="A14" s="1141">
        <v>60003</v>
      </c>
      <c r="B14" s="1142" t="s">
        <v>376</v>
      </c>
      <c r="C14" s="1143" t="s">
        <v>374</v>
      </c>
      <c r="D14" s="1142" t="s">
        <v>2299</v>
      </c>
      <c r="E14" s="633">
        <v>0.71899999999999997</v>
      </c>
      <c r="F14" s="633">
        <v>0.749</v>
      </c>
      <c r="G14" s="633">
        <v>0</v>
      </c>
      <c r="H14" s="620">
        <f t="shared" si="0"/>
        <v>0.88600000000000001</v>
      </c>
      <c r="I14" s="620">
        <f t="shared" si="0"/>
        <v>0.92300000000000004</v>
      </c>
      <c r="J14" s="620">
        <f t="shared" si="0"/>
        <v>0</v>
      </c>
      <c r="K14" s="621" t="str">
        <f t="shared" si="1"/>
        <v>TR-202-00 (Comercial - Caminhão basculante)0,886XP+0,923XR+0</v>
      </c>
    </row>
    <row r="15" spans="1:11" s="618" customFormat="1" x14ac:dyDescent="0.2">
      <c r="A15" s="1141">
        <v>60012</v>
      </c>
      <c r="B15" s="1142" t="s">
        <v>381</v>
      </c>
      <c r="C15" s="1143" t="s">
        <v>374</v>
      </c>
      <c r="D15" s="1142" t="s">
        <v>2299</v>
      </c>
      <c r="E15" s="633">
        <v>0.71899999999999997</v>
      </c>
      <c r="F15" s="633">
        <v>0.749</v>
      </c>
      <c r="G15" s="633">
        <v>0</v>
      </c>
      <c r="H15" s="620">
        <f t="shared" si="0"/>
        <v>0.88600000000000001</v>
      </c>
      <c r="I15" s="620">
        <f t="shared" si="0"/>
        <v>0.92300000000000004</v>
      </c>
      <c r="J15" s="620">
        <f t="shared" si="0"/>
        <v>0</v>
      </c>
      <c r="K15" s="621" t="str">
        <f>+CONCATENATE(B15,H15,$H$5,$I$1,I15,$I$5,$I$1,J15,K1)</f>
        <v>TR-202-01 (Comercial - Caminhão basculante)0,886XP+0,923XR+0 (Incluindo BDI= 23,32%)</v>
      </c>
    </row>
    <row r="16" spans="1:11" s="618" customFormat="1" x14ac:dyDescent="0.2">
      <c r="A16" s="1141">
        <v>60004</v>
      </c>
      <c r="B16" s="1142" t="s">
        <v>377</v>
      </c>
      <c r="C16" s="1143" t="s">
        <v>374</v>
      </c>
      <c r="D16" s="1142" t="s">
        <v>2300</v>
      </c>
      <c r="E16" s="633">
        <v>0.71599999999999997</v>
      </c>
      <c r="F16" s="633">
        <v>0.745</v>
      </c>
      <c r="G16" s="633">
        <v>0</v>
      </c>
      <c r="H16" s="620">
        <f t="shared" si="0"/>
        <v>0.88200000000000001</v>
      </c>
      <c r="I16" s="620">
        <f t="shared" si="0"/>
        <v>0.91800000000000004</v>
      </c>
      <c r="J16" s="620">
        <f t="shared" si="0"/>
        <v>0</v>
      </c>
      <c r="K16" s="621" t="str">
        <f>+CONCATENATE(B16,H16,$H$5,$I$1,I16,$I$5,$I$1,J16,K1)</f>
        <v>TR-203-00 (Comercial - Caminhão carroceria)0,882XP+0,918XR+0 (Incluindo BDI= 23,32%)</v>
      </c>
    </row>
    <row r="17" spans="1:11" s="618" customFormat="1" x14ac:dyDescent="0.2">
      <c r="A17" s="1141">
        <v>60013</v>
      </c>
      <c r="B17" s="1142" t="s">
        <v>382</v>
      </c>
      <c r="C17" s="1143" t="s">
        <v>374</v>
      </c>
      <c r="D17" s="1142" t="s">
        <v>2300</v>
      </c>
      <c r="E17" s="633">
        <v>0.71599999999999997</v>
      </c>
      <c r="F17" s="633">
        <v>0.745</v>
      </c>
      <c r="G17" s="633">
        <v>0</v>
      </c>
      <c r="H17" s="620">
        <f t="shared" si="0"/>
        <v>0.88200000000000001</v>
      </c>
      <c r="I17" s="620">
        <f t="shared" si="0"/>
        <v>0.91800000000000004</v>
      </c>
      <c r="J17" s="620">
        <f t="shared" si="0"/>
        <v>0</v>
      </c>
      <c r="K17" s="621" t="str">
        <f>+CONCATENATE(B17,H17,$H$5,$I$1,I17,$I$5,$I$1,J17,K1)</f>
        <v>TR-203-01 (Comercial - Caminhão carroceria)0,882XP+0,918XR+0 (Incluindo BDI= 23,32%)</v>
      </c>
    </row>
    <row r="18" spans="1:11" s="618" customFormat="1" x14ac:dyDescent="0.2">
      <c r="A18" s="1141">
        <v>60005</v>
      </c>
      <c r="B18" s="1142" t="s">
        <v>378</v>
      </c>
      <c r="C18" s="1143" t="s">
        <v>374</v>
      </c>
      <c r="D18" s="1142" t="s">
        <v>2301</v>
      </c>
      <c r="E18" s="633">
        <v>1.1890000000000001</v>
      </c>
      <c r="F18" s="633">
        <v>1.2390000000000001</v>
      </c>
      <c r="G18" s="633">
        <v>0</v>
      </c>
      <c r="H18" s="620">
        <f t="shared" si="0"/>
        <v>1.466</v>
      </c>
      <c r="I18" s="620">
        <f t="shared" si="0"/>
        <v>1.5269999999999999</v>
      </c>
      <c r="J18" s="620">
        <f t="shared" si="0"/>
        <v>0</v>
      </c>
      <c r="K18" s="621" t="str">
        <f>+CONCATENATE(B18,H18,$H$5,$I$1,I18,$I$5,$I$1,J18,K1)</f>
        <v>TR-204-00 (Comercial - Carreta prancha)1,466XP+1,527XR+0 (Incluindo BDI= 23,32%)</v>
      </c>
    </row>
    <row r="19" spans="1:11" s="618" customFormat="1" x14ac:dyDescent="0.2">
      <c r="A19" s="1141">
        <v>60014</v>
      </c>
      <c r="B19" s="1142" t="s">
        <v>383</v>
      </c>
      <c r="C19" s="1143" t="s">
        <v>374</v>
      </c>
      <c r="D19" s="1142" t="s">
        <v>2301</v>
      </c>
      <c r="E19" s="633">
        <v>1.1890000000000001</v>
      </c>
      <c r="F19" s="633">
        <v>1.2390000000000001</v>
      </c>
      <c r="G19" s="633">
        <v>0</v>
      </c>
      <c r="H19" s="620">
        <f t="shared" si="0"/>
        <v>1.466</v>
      </c>
      <c r="I19" s="620">
        <f t="shared" si="0"/>
        <v>1.5269999999999999</v>
      </c>
      <c r="J19" s="620">
        <f t="shared" si="0"/>
        <v>0</v>
      </c>
      <c r="K19" s="621" t="str">
        <f t="shared" si="1"/>
        <v>TR-204-01 (Comercial - Carreta com Prancha)1,466XP+1,527XR+0</v>
      </c>
    </row>
    <row r="20" spans="1:11" s="624" customFormat="1" x14ac:dyDescent="0.2">
      <c r="A20" s="1141">
        <v>60006</v>
      </c>
      <c r="B20" s="1142" t="s">
        <v>379</v>
      </c>
      <c r="C20" s="1143" t="s">
        <v>374</v>
      </c>
      <c r="D20" s="1142" t="s">
        <v>2302</v>
      </c>
      <c r="E20" s="634">
        <v>1.0820000000000001</v>
      </c>
      <c r="F20" s="634">
        <v>1.123</v>
      </c>
      <c r="G20" s="634">
        <v>8.3239999999999998</v>
      </c>
      <c r="H20" s="622">
        <f t="shared" si="0"/>
        <v>1.3340000000000001</v>
      </c>
      <c r="I20" s="622">
        <f t="shared" si="0"/>
        <v>1.3839999999999999</v>
      </c>
      <c r="J20" s="622">
        <f t="shared" si="0"/>
        <v>10.265000000000001</v>
      </c>
      <c r="K20" s="623" t="str">
        <f>+CONCATENATE(B20,H20,$H$5,$I$1,I20,$I$5,$I$1,J20)</f>
        <v>TR-301-00 (Massa Asfáltica)1,334XP+1,384XR+10,265</v>
      </c>
    </row>
    <row r="21" spans="1:11" s="618" customFormat="1" x14ac:dyDescent="0.2">
      <c r="C21" s="297"/>
    </row>
    <row r="22" spans="1:11" s="618" customFormat="1" x14ac:dyDescent="0.2">
      <c r="A22" s="884">
        <v>1091</v>
      </c>
      <c r="B22" s="227" t="s">
        <v>341</v>
      </c>
      <c r="C22" s="481" t="s">
        <v>262</v>
      </c>
      <c r="D22" s="619" t="s">
        <v>2300</v>
      </c>
      <c r="E22" s="633">
        <v>0.71599999999999997</v>
      </c>
      <c r="F22" s="633">
        <v>0.745</v>
      </c>
      <c r="G22" s="633">
        <v>0</v>
      </c>
      <c r="H22" s="620">
        <f t="shared" ref="H22:J23" si="2">+TRUNC(E22*(1+$B$3),3)</f>
        <v>0.88200000000000001</v>
      </c>
      <c r="I22" s="620">
        <f t="shared" si="2"/>
        <v>0.91800000000000004</v>
      </c>
      <c r="J22" s="620">
        <f t="shared" si="2"/>
        <v>0</v>
      </c>
      <c r="K22" s="621" t="str">
        <f t="shared" ref="K22:K23" si="3">+CONCATENATE(B22,H22,$H$5,$I$1,I22,$I$5,$I$1,J22)</f>
        <v>Transp. de Defensa (lâmina 4 m) - semi maleável0,882XP+0,918XR+0</v>
      </c>
    </row>
    <row r="23" spans="1:11" s="618" customFormat="1" x14ac:dyDescent="0.2">
      <c r="A23" s="884">
        <v>1116</v>
      </c>
      <c r="B23" s="227" t="s">
        <v>342</v>
      </c>
      <c r="C23" s="481" t="s">
        <v>262</v>
      </c>
      <c r="D23" s="619" t="s">
        <v>2300</v>
      </c>
      <c r="E23" s="633">
        <v>0.71599999999999997</v>
      </c>
      <c r="F23" s="633">
        <v>0.745</v>
      </c>
      <c r="G23" s="633">
        <v>0</v>
      </c>
      <c r="H23" s="620">
        <f t="shared" si="2"/>
        <v>0.88200000000000001</v>
      </c>
      <c r="I23" s="620">
        <f t="shared" si="2"/>
        <v>0.91800000000000004</v>
      </c>
      <c r="J23" s="620">
        <f t="shared" si="2"/>
        <v>0</v>
      </c>
      <c r="K23" s="621" t="str">
        <f t="shared" si="3"/>
        <v>Transp. de Ripao de 2.5 X 7.0 cm0,882XP+0,918XR+0</v>
      </c>
    </row>
    <row r="24" spans="1:11" s="618" customFormat="1" x14ac:dyDescent="0.2">
      <c r="C24" s="297"/>
      <c r="E24" s="633"/>
      <c r="F24" s="633"/>
      <c r="G24" s="633"/>
    </row>
    <row r="25" spans="1:11" s="618" customFormat="1" x14ac:dyDescent="0.2">
      <c r="A25" s="884">
        <v>1006</v>
      </c>
      <c r="B25" s="227" t="s">
        <v>300</v>
      </c>
      <c r="C25" s="481" t="s">
        <v>262</v>
      </c>
      <c r="D25" s="619" t="s">
        <v>2300</v>
      </c>
      <c r="E25" s="633">
        <v>0.71599999999999997</v>
      </c>
      <c r="F25" s="633">
        <v>0.745</v>
      </c>
      <c r="G25" s="633">
        <v>0</v>
      </c>
      <c r="H25" s="620">
        <f t="shared" ref="H25:J41" si="4">+TRUNC(E25*(1+$B$3),3)</f>
        <v>0.88200000000000001</v>
      </c>
      <c r="I25" s="620">
        <f t="shared" si="4"/>
        <v>0.91800000000000004</v>
      </c>
      <c r="J25" s="620">
        <f t="shared" si="4"/>
        <v>0</v>
      </c>
      <c r="K25" s="621" t="str">
        <f t="shared" ref="K25:K41" si="5">+CONCATENATE(B25,H25,$H$5,$I$1,I25,$I$5,$I$1,J25)</f>
        <v xml:space="preserve"> Transp. de Tubo de concreto armado D=0,80m CA-1 PB0,882XP+0,918XR+0</v>
      </c>
    </row>
    <row r="26" spans="1:11" s="618" customFormat="1" x14ac:dyDescent="0.2">
      <c r="A26" s="884">
        <v>1269</v>
      </c>
      <c r="B26" s="227" t="s">
        <v>333</v>
      </c>
      <c r="C26" s="481" t="s">
        <v>262</v>
      </c>
      <c r="D26" s="619" t="s">
        <v>2300</v>
      </c>
      <c r="E26" s="633">
        <v>0.71599999999999997</v>
      </c>
      <c r="F26" s="633">
        <v>0.745</v>
      </c>
      <c r="G26" s="633">
        <v>0</v>
      </c>
      <c r="H26" s="620">
        <f t="shared" si="4"/>
        <v>0.88200000000000001</v>
      </c>
      <c r="I26" s="620">
        <f t="shared" si="4"/>
        <v>0.91800000000000004</v>
      </c>
      <c r="J26" s="620">
        <f t="shared" si="4"/>
        <v>0</v>
      </c>
      <c r="K26" s="621" t="str">
        <f t="shared" si="5"/>
        <v>Transp. de Tubo de concreto armado D=1,00m CA-1 PB0,882XP+0,918XR+0</v>
      </c>
    </row>
    <row r="27" spans="1:11" s="618" customFormat="1" x14ac:dyDescent="0.2">
      <c r="A27" s="884">
        <v>1026</v>
      </c>
      <c r="B27" s="227" t="s">
        <v>310</v>
      </c>
      <c r="C27" s="481" t="s">
        <v>262</v>
      </c>
      <c r="D27" s="619" t="s">
        <v>2298</v>
      </c>
      <c r="E27" s="633">
        <v>0.71899999999999997</v>
      </c>
      <c r="F27" s="633">
        <v>0.749</v>
      </c>
      <c r="G27" s="633">
        <v>2.9969999999999999</v>
      </c>
      <c r="H27" s="620">
        <f t="shared" si="4"/>
        <v>0.88600000000000001</v>
      </c>
      <c r="I27" s="620">
        <f t="shared" si="4"/>
        <v>0.92300000000000004</v>
      </c>
      <c r="J27" s="620">
        <f t="shared" si="4"/>
        <v>3.6949999999999998</v>
      </c>
      <c r="K27" s="621" t="str">
        <f t="shared" si="5"/>
        <v>Transp. de Areia grossa jazida c/ carreg.mecânico0,886XP+0,923XR+3,695</v>
      </c>
    </row>
    <row r="28" spans="1:11" s="618" customFormat="1" x14ac:dyDescent="0.2">
      <c r="A28" s="884">
        <v>1083</v>
      </c>
      <c r="B28" s="227" t="s">
        <v>311</v>
      </c>
      <c r="C28" s="481" t="s">
        <v>262</v>
      </c>
      <c r="D28" s="619" t="s">
        <v>2300</v>
      </c>
      <c r="E28" s="633">
        <v>0.71599999999999997</v>
      </c>
      <c r="F28" s="633">
        <v>0.745</v>
      </c>
      <c r="G28" s="633">
        <v>0</v>
      </c>
      <c r="H28" s="620">
        <f t="shared" si="4"/>
        <v>0.88200000000000001</v>
      </c>
      <c r="I28" s="620">
        <f t="shared" si="4"/>
        <v>0.91800000000000004</v>
      </c>
      <c r="J28" s="620">
        <f t="shared" si="4"/>
        <v>0</v>
      </c>
      <c r="K28" s="621" t="str">
        <f t="shared" si="5"/>
        <v>Transp. de Tubo poroso D=0,20 m (preço médio)0,882XP+0,918XR+0</v>
      </c>
    </row>
    <row r="29" spans="1:11" s="618" customFormat="1" x14ac:dyDescent="0.2">
      <c r="A29" s="884">
        <v>1024</v>
      </c>
      <c r="B29" s="227" t="s">
        <v>334</v>
      </c>
      <c r="C29" s="481" t="s">
        <v>262</v>
      </c>
      <c r="D29" s="619" t="s">
        <v>2298</v>
      </c>
      <c r="E29" s="633">
        <v>0.71899999999999997</v>
      </c>
      <c r="F29" s="633">
        <v>0.749</v>
      </c>
      <c r="G29" s="633">
        <v>2.9969999999999999</v>
      </c>
      <c r="H29" s="620">
        <f t="shared" si="4"/>
        <v>0.88600000000000001</v>
      </c>
      <c r="I29" s="620">
        <f t="shared" si="4"/>
        <v>0.92300000000000004</v>
      </c>
      <c r="J29" s="620">
        <f t="shared" si="4"/>
        <v>3.6949999999999998</v>
      </c>
      <c r="K29" s="621" t="str">
        <f t="shared" si="5"/>
        <v>Transp. de Brita 0 (incl. 0% IUM) s/ frete0,886XP+0,923XR+3,695</v>
      </c>
    </row>
    <row r="30" spans="1:11" s="618" customFormat="1" x14ac:dyDescent="0.2">
      <c r="A30" s="884">
        <v>1025</v>
      </c>
      <c r="B30" s="227" t="s">
        <v>335</v>
      </c>
      <c r="C30" s="481" t="s">
        <v>262</v>
      </c>
      <c r="D30" s="619" t="s">
        <v>2298</v>
      </c>
      <c r="E30" s="633">
        <v>0.71899999999999997</v>
      </c>
      <c r="F30" s="633">
        <v>0.749</v>
      </c>
      <c r="G30" s="633">
        <v>2.9969999999999999</v>
      </c>
      <c r="H30" s="620">
        <f t="shared" si="4"/>
        <v>0.88600000000000001</v>
      </c>
      <c r="I30" s="620">
        <f t="shared" si="4"/>
        <v>0.92300000000000004</v>
      </c>
      <c r="J30" s="620">
        <f t="shared" si="4"/>
        <v>3.6949999999999998</v>
      </c>
      <c r="K30" s="621" t="str">
        <f t="shared" si="5"/>
        <v>Transp. de Brita 1 (incl. 0% IUM) s/ frete0,886XP+0,923XR+3,695</v>
      </c>
    </row>
    <row r="31" spans="1:11" s="618" customFormat="1" x14ac:dyDescent="0.2">
      <c r="A31" s="884">
        <v>1090</v>
      </c>
      <c r="B31" s="227" t="s">
        <v>218</v>
      </c>
      <c r="C31" s="481" t="s">
        <v>262</v>
      </c>
      <c r="D31" s="619" t="s">
        <v>2300</v>
      </c>
      <c r="E31" s="633">
        <v>0.71599999999999997</v>
      </c>
      <c r="F31" s="633">
        <v>0.745</v>
      </c>
      <c r="G31" s="633">
        <v>0</v>
      </c>
      <c r="H31" s="620">
        <f t="shared" si="4"/>
        <v>0.88200000000000001</v>
      </c>
      <c r="I31" s="620">
        <f t="shared" si="4"/>
        <v>0.91800000000000004</v>
      </c>
      <c r="J31" s="620">
        <f t="shared" si="4"/>
        <v>0</v>
      </c>
      <c r="K31" s="621" t="str">
        <f t="shared" si="5"/>
        <v>Transp. de Micro-esfera (preço médio)0,882XP+0,918XR+0</v>
      </c>
    </row>
    <row r="32" spans="1:11" s="618" customFormat="1" x14ac:dyDescent="0.2">
      <c r="A32" s="884">
        <v>1088</v>
      </c>
      <c r="B32" s="227" t="s">
        <v>219</v>
      </c>
      <c r="C32" s="481" t="s">
        <v>262</v>
      </c>
      <c r="D32" s="619" t="s">
        <v>2300</v>
      </c>
      <c r="E32" s="633">
        <v>0.71599999999999997</v>
      </c>
      <c r="F32" s="633">
        <v>0.745</v>
      </c>
      <c r="G32" s="633">
        <v>0</v>
      </c>
      <c r="H32" s="620">
        <f t="shared" si="4"/>
        <v>0.88200000000000001</v>
      </c>
      <c r="I32" s="620">
        <f t="shared" si="4"/>
        <v>0.91800000000000004</v>
      </c>
      <c r="J32" s="620">
        <f t="shared" si="4"/>
        <v>0</v>
      </c>
      <c r="K32" s="621" t="str">
        <f t="shared" si="5"/>
        <v>Transp. de Tinta0,882XP+0,918XR+0</v>
      </c>
    </row>
    <row r="33" spans="1:11" s="618" customFormat="1" x14ac:dyDescent="0.2">
      <c r="A33" s="884">
        <v>1089</v>
      </c>
      <c r="B33" s="227" t="s">
        <v>336</v>
      </c>
      <c r="C33" s="481" t="s">
        <v>262</v>
      </c>
      <c r="D33" s="619" t="s">
        <v>2300</v>
      </c>
      <c r="E33" s="633">
        <v>0.71599999999999997</v>
      </c>
      <c r="F33" s="633">
        <v>0.745</v>
      </c>
      <c r="G33" s="633">
        <v>0</v>
      </c>
      <c r="H33" s="620">
        <f t="shared" si="4"/>
        <v>0.88200000000000001</v>
      </c>
      <c r="I33" s="620">
        <f t="shared" si="4"/>
        <v>0.91800000000000004</v>
      </c>
      <c r="J33" s="620">
        <f t="shared" si="4"/>
        <v>0</v>
      </c>
      <c r="K33" s="621" t="str">
        <f t="shared" si="5"/>
        <v>Transp. de Tinta borracha clorada (preço médio)0,882XP+0,918XR+0</v>
      </c>
    </row>
    <row r="34" spans="1:11" s="618" customFormat="1" x14ac:dyDescent="0.2">
      <c r="A34" s="884">
        <v>1168</v>
      </c>
      <c r="B34" s="227" t="s">
        <v>337</v>
      </c>
      <c r="C34" s="481" t="s">
        <v>262</v>
      </c>
      <c r="D34" s="619" t="s">
        <v>2300</v>
      </c>
      <c r="E34" s="633">
        <v>0.71599999999999997</v>
      </c>
      <c r="F34" s="633">
        <v>0.745</v>
      </c>
      <c r="G34" s="633">
        <v>0</v>
      </c>
      <c r="H34" s="620">
        <f t="shared" si="4"/>
        <v>0.88200000000000001</v>
      </c>
      <c r="I34" s="620">
        <f t="shared" si="4"/>
        <v>0.91800000000000004</v>
      </c>
      <c r="J34" s="620">
        <f t="shared" si="4"/>
        <v>0</v>
      </c>
      <c r="K34" s="621" t="str">
        <f t="shared" si="5"/>
        <v>Transp. de Madeira roliça0,882XP+0,918XR+0</v>
      </c>
    </row>
    <row r="35" spans="1:11" s="618" customFormat="1" x14ac:dyDescent="0.2">
      <c r="A35" s="884">
        <v>1628</v>
      </c>
      <c r="B35" s="482" t="s">
        <v>338</v>
      </c>
      <c r="C35" s="481" t="s">
        <v>262</v>
      </c>
      <c r="D35" s="619" t="s">
        <v>2300</v>
      </c>
      <c r="E35" s="633">
        <v>0.71599999999999997</v>
      </c>
      <c r="F35" s="633">
        <v>0.745</v>
      </c>
      <c r="G35" s="633">
        <v>0</v>
      </c>
      <c r="H35" s="620">
        <f t="shared" si="4"/>
        <v>0.88200000000000001</v>
      </c>
      <c r="I35" s="620">
        <f t="shared" si="4"/>
        <v>0.91800000000000004</v>
      </c>
      <c r="J35" s="620">
        <f t="shared" si="4"/>
        <v>0</v>
      </c>
      <c r="K35" s="621" t="str">
        <f t="shared" si="5"/>
        <v>Transp. de Arame ovalado liso (cerca) 45 kg - 1000 m0,882XP+0,918XR+0</v>
      </c>
    </row>
    <row r="36" spans="1:11" s="618" customFormat="1" x14ac:dyDescent="0.2">
      <c r="A36" s="884">
        <v>1015</v>
      </c>
      <c r="B36" s="482" t="s">
        <v>339</v>
      </c>
      <c r="C36" s="481" t="s">
        <v>262</v>
      </c>
      <c r="D36" s="619" t="s">
        <v>2300</v>
      </c>
      <c r="E36" s="633">
        <v>0.71599999999999997</v>
      </c>
      <c r="F36" s="633">
        <v>0.745</v>
      </c>
      <c r="G36" s="633">
        <v>0</v>
      </c>
      <c r="H36" s="620">
        <f t="shared" si="4"/>
        <v>0.88200000000000001</v>
      </c>
      <c r="I36" s="620">
        <f t="shared" si="4"/>
        <v>0.91800000000000004</v>
      </c>
      <c r="J36" s="620">
        <f t="shared" si="4"/>
        <v>0</v>
      </c>
      <c r="K36" s="621" t="str">
        <f t="shared" si="5"/>
        <v>Transp. de Mourao p/ cerca (2,20m - D=0,10m) m. branca0,882XP+0,918XR+0</v>
      </c>
    </row>
    <row r="37" spans="1:11" s="618" customFormat="1" x14ac:dyDescent="0.2">
      <c r="A37" s="884">
        <v>1000</v>
      </c>
      <c r="B37" s="227" t="s">
        <v>340</v>
      </c>
      <c r="C37" s="481" t="s">
        <v>262</v>
      </c>
      <c r="D37" s="619" t="s">
        <v>2300</v>
      </c>
      <c r="E37" s="633">
        <v>0.71599999999999997</v>
      </c>
      <c r="F37" s="633">
        <v>0.745</v>
      </c>
      <c r="G37" s="633">
        <v>0</v>
      </c>
      <c r="H37" s="620">
        <f t="shared" si="4"/>
        <v>0.88200000000000001</v>
      </c>
      <c r="I37" s="620">
        <f t="shared" si="4"/>
        <v>0.91800000000000004</v>
      </c>
      <c r="J37" s="620">
        <f t="shared" si="4"/>
        <v>0</v>
      </c>
      <c r="K37" s="621" t="str">
        <f t="shared" si="5"/>
        <v>Transp. de Mourao p/ cerca (2,50m - D=0,20m) m. bran (estic.)0,882XP+0,918XR+0</v>
      </c>
    </row>
    <row r="38" spans="1:11" s="618" customFormat="1" x14ac:dyDescent="0.2">
      <c r="A38" s="884">
        <v>1153</v>
      </c>
      <c r="B38" s="227" t="s">
        <v>210</v>
      </c>
      <c r="C38" s="481" t="s">
        <v>262</v>
      </c>
      <c r="D38" s="619" t="s">
        <v>2300</v>
      </c>
      <c r="E38" s="633">
        <v>0.71599999999999997</v>
      </c>
      <c r="F38" s="633">
        <v>0.745</v>
      </c>
      <c r="G38" s="633">
        <v>0</v>
      </c>
      <c r="H38" s="620">
        <f t="shared" si="4"/>
        <v>0.88200000000000001</v>
      </c>
      <c r="I38" s="620">
        <f t="shared" si="4"/>
        <v>0.91800000000000004</v>
      </c>
      <c r="J38" s="620">
        <f t="shared" si="4"/>
        <v>0</v>
      </c>
      <c r="K38" s="621" t="str">
        <f t="shared" si="5"/>
        <v>Transp. de Cimento0,882XP+0,918XR+0</v>
      </c>
    </row>
    <row r="39" spans="1:11" s="618" customFormat="1" x14ac:dyDescent="0.2">
      <c r="A39" s="884">
        <v>1162</v>
      </c>
      <c r="B39" s="227" t="s">
        <v>211</v>
      </c>
      <c r="C39" s="481" t="s">
        <v>262</v>
      </c>
      <c r="D39" s="619" t="s">
        <v>2298</v>
      </c>
      <c r="E39" s="633">
        <v>0.71899999999999997</v>
      </c>
      <c r="F39" s="633">
        <v>0.749</v>
      </c>
      <c r="G39" s="633">
        <v>2.9969999999999999</v>
      </c>
      <c r="H39" s="620">
        <f t="shared" si="4"/>
        <v>0.88600000000000001</v>
      </c>
      <c r="I39" s="620">
        <f t="shared" si="4"/>
        <v>0.92300000000000004</v>
      </c>
      <c r="J39" s="620">
        <f t="shared" si="4"/>
        <v>3.6949999999999998</v>
      </c>
      <c r="K39" s="621" t="str">
        <f t="shared" si="5"/>
        <v>Transp. de Pedra britada p/ concreto0,886XP+0,923XR+3,695</v>
      </c>
    </row>
    <row r="40" spans="1:11" s="618" customFormat="1" x14ac:dyDescent="0.2">
      <c r="A40" s="884">
        <v>1115</v>
      </c>
      <c r="B40" s="227" t="s">
        <v>209</v>
      </c>
      <c r="C40" s="481" t="s">
        <v>262</v>
      </c>
      <c r="D40" s="619" t="s">
        <v>2300</v>
      </c>
      <c r="E40" s="633">
        <v>0.71599999999999997</v>
      </c>
      <c r="F40" s="633">
        <v>0.745</v>
      </c>
      <c r="G40" s="633">
        <v>0</v>
      </c>
      <c r="H40" s="620">
        <f t="shared" si="4"/>
        <v>0.88200000000000001</v>
      </c>
      <c r="I40" s="620">
        <f t="shared" si="4"/>
        <v>0.91800000000000004</v>
      </c>
      <c r="J40" s="620">
        <f t="shared" si="4"/>
        <v>0</v>
      </c>
      <c r="K40" s="621" t="str">
        <f t="shared" si="5"/>
        <v>Transp. de Taipá de 1ª com 2,5 cm0,882XP+0,918XR+0</v>
      </c>
    </row>
    <row r="41" spans="1:11" s="618" customFormat="1" x14ac:dyDescent="0.2">
      <c r="A41" s="884">
        <v>1239</v>
      </c>
      <c r="B41" s="227" t="s">
        <v>348</v>
      </c>
      <c r="C41" s="224" t="s">
        <v>3</v>
      </c>
      <c r="D41" s="619" t="s">
        <v>2298</v>
      </c>
      <c r="E41" s="633">
        <v>0.71899999999999997</v>
      </c>
      <c r="F41" s="633">
        <v>0.749</v>
      </c>
      <c r="G41" s="633">
        <v>2.9969999999999999</v>
      </c>
      <c r="H41" s="620">
        <f t="shared" si="4"/>
        <v>0.88600000000000001</v>
      </c>
      <c r="I41" s="620">
        <f t="shared" si="4"/>
        <v>0.92300000000000004</v>
      </c>
      <c r="J41" s="620">
        <f t="shared" si="4"/>
        <v>3.6949999999999998</v>
      </c>
      <c r="K41" s="621" t="str">
        <f t="shared" si="5"/>
        <v>Transp. De Brita 2 (incl. 0% IUM) s/ frete0,886XP+0,923XR+3,695</v>
      </c>
    </row>
    <row r="42" spans="1:11" s="618" customFormat="1" x14ac:dyDescent="0.2">
      <c r="A42" s="884">
        <v>1032</v>
      </c>
      <c r="B42" s="227" t="s">
        <v>706</v>
      </c>
      <c r="C42" s="224" t="s">
        <v>3</v>
      </c>
      <c r="D42" s="619" t="s">
        <v>2300</v>
      </c>
      <c r="E42" s="633">
        <v>0.71599999999999997</v>
      </c>
      <c r="F42" s="633">
        <v>0.745</v>
      </c>
      <c r="G42" s="633">
        <v>0</v>
      </c>
      <c r="H42" s="620">
        <f t="shared" ref="H42" si="6">+TRUNC(E42*(1+$B$3),3)</f>
        <v>0.88200000000000001</v>
      </c>
      <c r="I42" s="620">
        <f t="shared" ref="I42" si="7">+TRUNC(F42*(1+$B$3),3)</f>
        <v>0.91800000000000004</v>
      </c>
      <c r="J42" s="620">
        <f t="shared" ref="J42" si="8">+TRUNC(G42*(1+$B$3),3)</f>
        <v>0</v>
      </c>
      <c r="K42" s="621" t="str">
        <f t="shared" ref="K42" si="9">+CONCATENATE(B42,H42,$H$5,$I$1,I42,$I$5,$I$1,J42)</f>
        <v>Transp. De Filler0,882XP+0,918XR+0</v>
      </c>
    </row>
    <row r="43" spans="1:11" s="618" customFormat="1" x14ac:dyDescent="0.2">
      <c r="A43" s="226"/>
      <c r="B43" s="227"/>
      <c r="C43" s="224"/>
      <c r="D43" s="225"/>
      <c r="E43" s="633"/>
      <c r="F43" s="633"/>
      <c r="G43" s="633"/>
      <c r="H43" s="620"/>
      <c r="I43" s="620"/>
      <c r="J43" s="620"/>
      <c r="K43" s="621"/>
    </row>
    <row r="44" spans="1:11" s="618" customFormat="1" x14ac:dyDescent="0.2">
      <c r="A44" s="226"/>
      <c r="B44" s="227"/>
      <c r="C44" s="224"/>
      <c r="D44" s="225"/>
      <c r="E44" s="633"/>
      <c r="F44" s="633"/>
      <c r="G44" s="633"/>
      <c r="H44" s="620"/>
      <c r="I44" s="620"/>
      <c r="J44" s="620"/>
      <c r="K44" s="621"/>
    </row>
    <row r="45" spans="1:11" s="618" customFormat="1" x14ac:dyDescent="0.2">
      <c r="A45" s="884">
        <v>1028</v>
      </c>
      <c r="B45" s="883" t="s">
        <v>631</v>
      </c>
      <c r="C45" s="224" t="s">
        <v>262</v>
      </c>
      <c r="D45" s="619" t="s">
        <v>2298</v>
      </c>
      <c r="E45" s="633">
        <v>0.71899999999999997</v>
      </c>
      <c r="F45" s="633">
        <v>0.749</v>
      </c>
      <c r="G45" s="633">
        <v>2.9969999999999999</v>
      </c>
      <c r="H45" s="620">
        <f t="shared" ref="H45:J50" si="10">+TRUNC(E45*(1+$B$3),3)</f>
        <v>0.88600000000000001</v>
      </c>
      <c r="I45" s="620">
        <f t="shared" si="10"/>
        <v>0.92300000000000004</v>
      </c>
      <c r="J45" s="620">
        <f t="shared" si="10"/>
        <v>3.6949999999999998</v>
      </c>
      <c r="K45" s="621" t="str">
        <f t="shared" ref="K45:K50" si="11">+CONCATENATE(B45,H45,$H$5,$I$1,I45,$I$5,$I$1,J45)</f>
        <v>Transporte de Brita 00,886XP+0,923XR+3,695</v>
      </c>
    </row>
    <row r="46" spans="1:11" s="618" customFormat="1" x14ac:dyDescent="0.2">
      <c r="A46" s="884">
        <v>1029</v>
      </c>
      <c r="B46" s="227" t="s">
        <v>328</v>
      </c>
      <c r="C46" s="224" t="s">
        <v>262</v>
      </c>
      <c r="D46" s="619" t="s">
        <v>2298</v>
      </c>
      <c r="E46" s="633">
        <v>0.71899999999999997</v>
      </c>
      <c r="F46" s="633">
        <v>0.749</v>
      </c>
      <c r="G46" s="633">
        <v>2.9969999999999999</v>
      </c>
      <c r="H46" s="620">
        <f t="shared" si="10"/>
        <v>0.88600000000000001</v>
      </c>
      <c r="I46" s="620">
        <f t="shared" si="10"/>
        <v>0.92300000000000004</v>
      </c>
      <c r="J46" s="620">
        <f t="shared" si="10"/>
        <v>3.6949999999999998</v>
      </c>
      <c r="K46" s="621" t="str">
        <f t="shared" si="11"/>
        <v>Transporte de pó de pedra (Incl. 0% IUM) s/ frete0,886XP+0,923XR+3,695</v>
      </c>
    </row>
    <row r="47" spans="1:11" s="618" customFormat="1" x14ac:dyDescent="0.2">
      <c r="A47" s="884">
        <v>1150</v>
      </c>
      <c r="B47" s="227" t="s">
        <v>329</v>
      </c>
      <c r="C47" s="481" t="s">
        <v>262</v>
      </c>
      <c r="D47" s="619" t="s">
        <v>2299</v>
      </c>
      <c r="E47" s="633">
        <v>0.71899999999999997</v>
      </c>
      <c r="F47" s="633">
        <v>0.749</v>
      </c>
      <c r="G47" s="633">
        <v>0</v>
      </c>
      <c r="H47" s="620">
        <f t="shared" si="10"/>
        <v>0.88600000000000001</v>
      </c>
      <c r="I47" s="620">
        <f t="shared" si="10"/>
        <v>0.92300000000000004</v>
      </c>
      <c r="J47" s="620">
        <f t="shared" si="10"/>
        <v>0</v>
      </c>
      <c r="K47" s="621" t="str">
        <f t="shared" si="11"/>
        <v>Transporte de Pedra de mao (incl. 0% IUM) s/ frete0,886XP+0,923XR+0</v>
      </c>
    </row>
    <row r="48" spans="1:11" s="618" customFormat="1" x14ac:dyDescent="0.2">
      <c r="A48" s="884">
        <v>1095</v>
      </c>
      <c r="B48" s="227" t="s">
        <v>330</v>
      </c>
      <c r="C48" s="481" t="s">
        <v>262</v>
      </c>
      <c r="D48" s="619" t="s">
        <v>2300</v>
      </c>
      <c r="E48" s="633">
        <v>0.71599999999999997</v>
      </c>
      <c r="F48" s="633">
        <v>0.745</v>
      </c>
      <c r="G48" s="633">
        <v>0</v>
      </c>
      <c r="H48" s="620">
        <f t="shared" si="10"/>
        <v>0.88200000000000001</v>
      </c>
      <c r="I48" s="620">
        <f t="shared" si="10"/>
        <v>0.91800000000000004</v>
      </c>
      <c r="J48" s="620">
        <f t="shared" si="10"/>
        <v>0</v>
      </c>
      <c r="K48" s="621" t="str">
        <f t="shared" si="11"/>
        <v>Transporte de Caibros 8 X 8 cm (pontalete)0,882XP+0,918XR+0</v>
      </c>
    </row>
    <row r="49" spans="1:11" s="618" customFormat="1" x14ac:dyDescent="0.2">
      <c r="A49" s="884">
        <v>1096</v>
      </c>
      <c r="B49" s="227" t="s">
        <v>331</v>
      </c>
      <c r="C49" s="481" t="s">
        <v>262</v>
      </c>
      <c r="D49" s="619" t="s">
        <v>2300</v>
      </c>
      <c r="E49" s="633">
        <v>0.71599999999999997</v>
      </c>
      <c r="F49" s="633">
        <v>0.745</v>
      </c>
      <c r="G49" s="633">
        <v>0</v>
      </c>
      <c r="H49" s="620">
        <f t="shared" si="10"/>
        <v>0.88200000000000001</v>
      </c>
      <c r="I49" s="620">
        <f t="shared" si="10"/>
        <v>0.91800000000000004</v>
      </c>
      <c r="J49" s="620">
        <f t="shared" si="10"/>
        <v>0</v>
      </c>
      <c r="K49" s="621" t="str">
        <f t="shared" si="11"/>
        <v>Transporte de Sarrafo 10 X 2,5 cm0,882XP+0,918XR+0</v>
      </c>
    </row>
    <row r="50" spans="1:11" s="618" customFormat="1" x14ac:dyDescent="0.2">
      <c r="A50" s="884">
        <v>1094</v>
      </c>
      <c r="B50" s="227" t="s">
        <v>332</v>
      </c>
      <c r="C50" s="481" t="s">
        <v>262</v>
      </c>
      <c r="D50" s="619" t="s">
        <v>2300</v>
      </c>
      <c r="E50" s="633">
        <v>0.71599999999999997</v>
      </c>
      <c r="F50" s="633">
        <v>0.745</v>
      </c>
      <c r="G50" s="633">
        <v>0</v>
      </c>
      <c r="H50" s="620">
        <f t="shared" si="10"/>
        <v>0.88200000000000001</v>
      </c>
      <c r="I50" s="620">
        <f t="shared" si="10"/>
        <v>0.91800000000000004</v>
      </c>
      <c r="J50" s="620">
        <f t="shared" si="10"/>
        <v>0</v>
      </c>
      <c r="K50" s="621" t="str">
        <f t="shared" si="11"/>
        <v>Transporte de Tábuas de 2,5 cm0,882XP+0,918XR+0</v>
      </c>
    </row>
    <row r="51" spans="1:11" x14ac:dyDescent="0.2">
      <c r="E51" s="633"/>
      <c r="F51" s="633"/>
      <c r="G51" s="633"/>
    </row>
    <row r="52" spans="1:11" s="618" customFormat="1" x14ac:dyDescent="0.2">
      <c r="A52" s="884">
        <v>1273</v>
      </c>
      <c r="B52" s="227" t="s">
        <v>647</v>
      </c>
      <c r="C52" s="481" t="s">
        <v>262</v>
      </c>
      <c r="D52" s="619" t="s">
        <v>2300</v>
      </c>
      <c r="E52" s="633">
        <v>0.71599999999999997</v>
      </c>
      <c r="F52" s="633">
        <v>0.745</v>
      </c>
      <c r="G52" s="633">
        <v>0</v>
      </c>
      <c r="H52" s="620">
        <f t="shared" ref="H52:J52" si="12">+TRUNC(E52*(1+$B$3),3)</f>
        <v>0.88200000000000001</v>
      </c>
      <c r="I52" s="620">
        <f t="shared" si="12"/>
        <v>0.91800000000000004</v>
      </c>
      <c r="J52" s="620">
        <f t="shared" si="12"/>
        <v>0</v>
      </c>
      <c r="K52" s="621" t="str">
        <f t="shared" ref="K52" si="13">+CONCATENATE(B52,H52,$H$5,$I$1,I52,$I$5,$I$1,J52)</f>
        <v>Transp. de Tubo de concreto armado D=1,20m CA-1 PB0,882XP+0,918XR+0</v>
      </c>
    </row>
    <row r="53" spans="1:11" s="618" customFormat="1" x14ac:dyDescent="0.2">
      <c r="A53" s="884">
        <v>1295</v>
      </c>
      <c r="B53" s="227" t="s">
        <v>648</v>
      </c>
      <c r="C53" s="481" t="s">
        <v>262</v>
      </c>
      <c r="D53" s="619" t="s">
        <v>2300</v>
      </c>
      <c r="E53" s="633">
        <v>0.71599999999999997</v>
      </c>
      <c r="F53" s="633">
        <v>0.745</v>
      </c>
      <c r="G53" s="633">
        <v>0</v>
      </c>
      <c r="H53" s="620">
        <f>+TRUNC(E53*(1+$B$3),3)</f>
        <v>0.88200000000000001</v>
      </c>
      <c r="I53" s="620">
        <f>+TRUNC(F53*(1+$B$3),3)</f>
        <v>0.91800000000000004</v>
      </c>
      <c r="J53" s="620">
        <f>+TRUNC(G53*(1+$B$3),3)</f>
        <v>0</v>
      </c>
      <c r="K53" s="621" t="str">
        <f>+CONCATENATE(B53,H53,$H$5,$I$1,I53,$I$5,$I$1,J53)</f>
        <v>Transp. de Tubo de concreto armado D=1,50m CA-1 PB0,882XP+0,918XR+0</v>
      </c>
    </row>
    <row r="54" spans="1:11" s="618" customFormat="1" x14ac:dyDescent="0.2">
      <c r="A54" s="905"/>
      <c r="B54" s="227"/>
      <c r="C54" s="481"/>
      <c r="D54" s="619"/>
      <c r="E54" s="633"/>
      <c r="F54" s="633"/>
      <c r="G54" s="633"/>
      <c r="H54" s="620"/>
      <c r="I54" s="620"/>
      <c r="J54" s="620"/>
      <c r="K54" s="621"/>
    </row>
    <row r="55" spans="1:11" s="618" customFormat="1" x14ac:dyDescent="0.2">
      <c r="A55" s="884">
        <v>1036</v>
      </c>
      <c r="B55" s="227" t="s">
        <v>705</v>
      </c>
      <c r="C55" s="481" t="s">
        <v>262</v>
      </c>
      <c r="D55" s="619" t="s">
        <v>2940</v>
      </c>
      <c r="E55" s="633">
        <v>0.41899999999999998</v>
      </c>
      <c r="F55" s="633">
        <v>0.495</v>
      </c>
      <c r="G55" s="633">
        <v>44.64</v>
      </c>
      <c r="H55" s="620">
        <f t="shared" ref="H55" si="14">+TRUNC(E55*(1+$B$3),3)</f>
        <v>0.51600000000000001</v>
      </c>
      <c r="I55" s="620">
        <f t="shared" ref="I55" si="15">+TRUNC(F55*(1+$B$3),3)</f>
        <v>0.61</v>
      </c>
      <c r="J55" s="620">
        <f t="shared" ref="J55" si="16">+TRUNC(G55*(1+$B$3),3)</f>
        <v>55.05</v>
      </c>
      <c r="K55" s="621" t="str">
        <f t="shared" ref="K55" si="17">+CONCATENATE(B55,H55,$H$5,$I$1,I55,$I$5,$I$1,J55)</f>
        <v>Transporte de Oleo Combustível BPF - baixo pto fusao 0,516XP+0,61XR+55,05</v>
      </c>
    </row>
    <row r="56" spans="1:11" s="618" customFormat="1" x14ac:dyDescent="0.2">
      <c r="C56" s="297"/>
    </row>
  </sheetData>
  <mergeCells count="3">
    <mergeCell ref="E4:G4"/>
    <mergeCell ref="H4:J4"/>
    <mergeCell ref="K4:K5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43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K21"/>
  <sheetViews>
    <sheetView zoomScale="90" zoomScaleNormal="90" workbookViewId="0">
      <selection activeCell="K10" sqref="K10"/>
    </sheetView>
  </sheetViews>
  <sheetFormatPr defaultColWidth="9" defaultRowHeight="14.25" x14ac:dyDescent="0.2"/>
  <cols>
    <col min="1" max="1" width="9" style="391"/>
    <col min="2" max="2" width="25.5" style="391" customWidth="1"/>
    <col min="3" max="3" width="28.875" style="391" hidden="1" customWidth="1"/>
    <col min="4" max="4" width="19.5" style="391" customWidth="1"/>
    <col min="5" max="6" width="9" style="840"/>
    <col min="7" max="7" width="10.25" style="392" customWidth="1"/>
    <col min="8" max="16384" width="9" style="391"/>
  </cols>
  <sheetData>
    <row r="1" spans="2:11" ht="20.100000000000001" customHeight="1" x14ac:dyDescent="0.2"/>
    <row r="2" spans="2:11" ht="20.100000000000001" customHeight="1" x14ac:dyDescent="0.2">
      <c r="B2" s="973" t="s">
        <v>62</v>
      </c>
      <c r="C2" s="973" t="s">
        <v>112</v>
      </c>
      <c r="D2" s="973" t="s">
        <v>117</v>
      </c>
      <c r="E2" s="974" t="s">
        <v>288</v>
      </c>
      <c r="F2" s="974"/>
      <c r="G2" s="973" t="s">
        <v>212</v>
      </c>
    </row>
    <row r="3" spans="2:11" ht="20.100000000000001" customHeight="1" x14ac:dyDescent="0.2">
      <c r="B3" s="973"/>
      <c r="C3" s="973"/>
      <c r="D3" s="973"/>
      <c r="E3" s="841" t="s">
        <v>21</v>
      </c>
      <c r="F3" s="841" t="s">
        <v>20</v>
      </c>
      <c r="G3" s="973"/>
    </row>
    <row r="4" spans="2:11" s="535" customFormat="1" ht="20.100000000000001" customHeight="1" x14ac:dyDescent="0.2">
      <c r="B4" s="533" t="s">
        <v>113</v>
      </c>
      <c r="C4" s="533" t="s">
        <v>318</v>
      </c>
      <c r="D4" s="533" t="s">
        <v>320</v>
      </c>
      <c r="E4" s="842">
        <v>29.1</v>
      </c>
      <c r="F4" s="842">
        <v>5.5</v>
      </c>
      <c r="G4" s="534"/>
    </row>
    <row r="5" spans="2:11" s="535" customFormat="1" ht="20.100000000000001" customHeight="1" x14ac:dyDescent="0.2">
      <c r="B5" s="533" t="s">
        <v>666</v>
      </c>
      <c r="C5" s="533" t="s">
        <v>318</v>
      </c>
      <c r="D5" s="533" t="s">
        <v>320</v>
      </c>
      <c r="E5" s="842">
        <v>29.5</v>
      </c>
      <c r="F5" s="842">
        <v>7.89</v>
      </c>
      <c r="G5" s="534"/>
    </row>
    <row r="6" spans="2:11" s="457" customFormat="1" ht="20.100000000000001" customHeight="1" x14ac:dyDescent="0.2">
      <c r="B6" s="459" t="s">
        <v>297</v>
      </c>
      <c r="C6" s="459"/>
      <c r="D6" s="460" t="s">
        <v>321</v>
      </c>
      <c r="E6" s="461">
        <v>34.5</v>
      </c>
      <c r="F6" s="461">
        <v>2.34</v>
      </c>
      <c r="G6" s="462"/>
      <c r="I6" s="571"/>
      <c r="J6" s="571"/>
      <c r="K6" s="571"/>
    </row>
    <row r="7" spans="2:11" s="457" customFormat="1" ht="20.100000000000001" customHeight="1" x14ac:dyDescent="0.2">
      <c r="B7" s="460" t="s">
        <v>633</v>
      </c>
      <c r="C7" s="460" t="s">
        <v>295</v>
      </c>
      <c r="D7" s="460" t="s">
        <v>321</v>
      </c>
      <c r="E7" s="461">
        <v>12.9</v>
      </c>
      <c r="F7" s="461">
        <v>2.68</v>
      </c>
      <c r="G7" s="464"/>
    </row>
    <row r="8" spans="2:11" s="457" customFormat="1" ht="20.100000000000001" customHeight="1" x14ac:dyDescent="0.2">
      <c r="B8" s="460" t="s">
        <v>654</v>
      </c>
      <c r="C8" s="460" t="s">
        <v>295</v>
      </c>
      <c r="D8" s="460" t="s">
        <v>321</v>
      </c>
      <c r="E8" s="461">
        <v>28</v>
      </c>
      <c r="F8" s="461">
        <v>0</v>
      </c>
      <c r="G8" s="464"/>
    </row>
    <row r="9" spans="2:11" s="457" customFormat="1" ht="20.100000000000001" customHeight="1" x14ac:dyDescent="0.2">
      <c r="B9" s="460" t="s">
        <v>667</v>
      </c>
      <c r="C9" s="460" t="s">
        <v>295</v>
      </c>
      <c r="D9" s="460" t="s">
        <v>321</v>
      </c>
      <c r="E9" s="461">
        <v>12.9</v>
      </c>
      <c r="F9" s="461">
        <v>2.42</v>
      </c>
      <c r="G9" s="464"/>
    </row>
    <row r="10" spans="2:11" s="457" customFormat="1" ht="20.100000000000001" customHeight="1" x14ac:dyDescent="0.2">
      <c r="B10" s="460" t="s">
        <v>637</v>
      </c>
      <c r="C10" s="460" t="s">
        <v>295</v>
      </c>
      <c r="D10" s="460" t="s">
        <v>321</v>
      </c>
      <c r="E10" s="461">
        <v>12.9</v>
      </c>
      <c r="F10" s="461">
        <v>2.4500000000000002</v>
      </c>
      <c r="G10" s="464"/>
    </row>
    <row r="11" spans="2:11" s="457" customFormat="1" ht="20.100000000000001" customHeight="1" x14ac:dyDescent="0.2">
      <c r="B11" s="460" t="s">
        <v>294</v>
      </c>
      <c r="C11" s="460" t="s">
        <v>295</v>
      </c>
      <c r="D11" s="460" t="s">
        <v>321</v>
      </c>
      <c r="E11" s="461">
        <v>12.5</v>
      </c>
      <c r="F11" s="461">
        <v>0</v>
      </c>
      <c r="G11" s="464"/>
    </row>
    <row r="12" spans="2:11" s="457" customFormat="1" ht="20.100000000000001" customHeight="1" x14ac:dyDescent="0.2">
      <c r="B12" s="460" t="s">
        <v>159</v>
      </c>
      <c r="C12" s="460" t="s">
        <v>163</v>
      </c>
      <c r="D12" s="460" t="s">
        <v>321</v>
      </c>
      <c r="E12" s="461">
        <v>37</v>
      </c>
      <c r="F12" s="461">
        <v>4.83</v>
      </c>
      <c r="G12" s="464"/>
    </row>
    <row r="13" spans="2:11" s="457" customFormat="1" ht="20.100000000000001" customHeight="1" x14ac:dyDescent="0.2">
      <c r="B13" s="460" t="s">
        <v>653</v>
      </c>
      <c r="C13" s="460" t="s">
        <v>119</v>
      </c>
      <c r="D13" s="460"/>
      <c r="E13" s="461">
        <v>396.5</v>
      </c>
      <c r="F13" s="461">
        <v>2.34</v>
      </c>
      <c r="G13" s="464"/>
    </row>
    <row r="14" spans="2:11" s="457" customFormat="1" ht="20.100000000000001" customHeight="1" x14ac:dyDescent="0.2">
      <c r="B14" s="460" t="s">
        <v>116</v>
      </c>
      <c r="C14" s="460" t="s">
        <v>120</v>
      </c>
      <c r="D14" s="495" t="s">
        <v>118</v>
      </c>
      <c r="E14" s="463">
        <v>151.4</v>
      </c>
      <c r="F14" s="463">
        <v>2.34</v>
      </c>
      <c r="G14" s="464"/>
    </row>
    <row r="15" spans="2:11" s="457" customFormat="1" ht="20.100000000000001" customHeight="1" x14ac:dyDescent="0.2">
      <c r="B15" s="460" t="s">
        <v>115</v>
      </c>
      <c r="C15" s="460" t="s">
        <v>119</v>
      </c>
      <c r="D15" s="460" t="s">
        <v>321</v>
      </c>
      <c r="E15" s="461">
        <v>28.4</v>
      </c>
      <c r="F15" s="461">
        <v>2.34</v>
      </c>
      <c r="G15" s="464"/>
    </row>
    <row r="16" spans="2:11" s="457" customFormat="1" ht="20.100000000000001" customHeight="1" x14ac:dyDescent="0.2">
      <c r="B16" s="460" t="s">
        <v>296</v>
      </c>
      <c r="C16" s="460"/>
      <c r="D16" s="460" t="s">
        <v>321</v>
      </c>
      <c r="E16" s="461">
        <v>34.5</v>
      </c>
      <c r="F16" s="461">
        <v>2.34</v>
      </c>
      <c r="G16" s="464"/>
    </row>
    <row r="17" spans="2:7" s="457" customFormat="1" ht="20.100000000000001" customHeight="1" x14ac:dyDescent="0.2">
      <c r="B17" s="460" t="s">
        <v>635</v>
      </c>
      <c r="C17" s="460" t="s">
        <v>319</v>
      </c>
      <c r="D17" s="460" t="s">
        <v>321</v>
      </c>
      <c r="E17" s="461">
        <v>12.9</v>
      </c>
      <c r="F17" s="461">
        <v>2.93</v>
      </c>
      <c r="G17" s="464"/>
    </row>
    <row r="18" spans="2:7" s="457" customFormat="1" ht="20.100000000000001" customHeight="1" x14ac:dyDescent="0.2">
      <c r="B18" s="460" t="s">
        <v>638</v>
      </c>
      <c r="C18" s="460" t="s">
        <v>319</v>
      </c>
      <c r="D18" s="460" t="s">
        <v>321</v>
      </c>
      <c r="E18" s="461">
        <v>12.9</v>
      </c>
      <c r="F18" s="461">
        <v>2.4500000000000002</v>
      </c>
      <c r="G18" s="464"/>
    </row>
    <row r="19" spans="2:7" s="457" customFormat="1" ht="20.100000000000001" customHeight="1" x14ac:dyDescent="0.2">
      <c r="B19" s="460" t="s">
        <v>114</v>
      </c>
      <c r="C19" s="460"/>
      <c r="D19" s="460" t="s">
        <v>321</v>
      </c>
      <c r="E19" s="461">
        <v>27</v>
      </c>
      <c r="F19" s="461">
        <v>2.34</v>
      </c>
      <c r="G19" s="464"/>
    </row>
    <row r="20" spans="2:7" s="457" customFormat="1" ht="20.100000000000001" customHeight="1" x14ac:dyDescent="0.2">
      <c r="B20" s="465" t="s">
        <v>111</v>
      </c>
      <c r="C20" s="465" t="s">
        <v>319</v>
      </c>
      <c r="D20" s="465" t="s">
        <v>321</v>
      </c>
      <c r="E20" s="584">
        <v>12.5</v>
      </c>
      <c r="F20" s="584">
        <v>0</v>
      </c>
      <c r="G20" s="466"/>
    </row>
    <row r="21" spans="2:7" x14ac:dyDescent="0.2">
      <c r="E21" s="843"/>
    </row>
  </sheetData>
  <sortState ref="B6:G20">
    <sortCondition ref="B4"/>
  </sortState>
  <mergeCells count="5">
    <mergeCell ref="B2:B3"/>
    <mergeCell ref="C2:C3"/>
    <mergeCell ref="D2:D3"/>
    <mergeCell ref="E2:F2"/>
    <mergeCell ref="G2:G3"/>
  </mergeCells>
  <pageMargins left="0.511811024" right="0.511811024" top="0.78740157499999996" bottom="0.78740157499999996" header="0.31496062000000002" footer="0.31496062000000002"/>
  <pageSetup paperSize="9" orientation="portrait" horizontalDpi="1200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V65"/>
  <sheetViews>
    <sheetView showGridLines="0" topLeftCell="A19" workbookViewId="0">
      <selection activeCell="C55" sqref="C55"/>
    </sheetView>
  </sheetViews>
  <sheetFormatPr defaultColWidth="9" defaultRowHeight="12.75" x14ac:dyDescent="0.25"/>
  <cols>
    <col min="1" max="1" width="9" style="184"/>
    <col min="2" max="3" width="17" style="184" customWidth="1"/>
    <col min="4" max="4" width="9" style="184"/>
    <col min="5" max="10" width="6.875" style="184" customWidth="1"/>
    <col min="11" max="11" width="8.875" style="184" customWidth="1"/>
    <col min="12" max="12" width="49.25" style="184" customWidth="1"/>
    <col min="13" max="13" width="6.75" style="184" customWidth="1"/>
    <col min="14" max="14" width="9.25" style="184" customWidth="1"/>
    <col min="15" max="15" width="18.75" style="184" customWidth="1"/>
    <col min="16" max="16" width="7.75" style="184" customWidth="1"/>
    <col min="17" max="17" width="9.625" style="184" customWidth="1"/>
    <col min="18" max="18" width="12" style="184" customWidth="1"/>
    <col min="19" max="19" width="4.875" style="184" customWidth="1"/>
    <col min="20" max="20" width="8.625" style="184" customWidth="1"/>
    <col min="21" max="21" width="11.75" style="184" customWidth="1"/>
    <col min="22" max="16384" width="9" style="184"/>
  </cols>
  <sheetData>
    <row r="1" spans="1:22" ht="15" x14ac:dyDescent="0.25">
      <c r="A1" s="183" t="s">
        <v>69</v>
      </c>
      <c r="B1" s="172" t="s">
        <v>70</v>
      </c>
      <c r="C1" s="172"/>
      <c r="D1" s="172"/>
      <c r="E1" s="172"/>
      <c r="F1" s="172"/>
      <c r="G1" s="172"/>
      <c r="H1" s="172"/>
      <c r="I1" s="183" t="s">
        <v>71</v>
      </c>
      <c r="J1" s="183" t="s">
        <v>72</v>
      </c>
      <c r="L1"/>
      <c r="M1"/>
      <c r="N1"/>
      <c r="O1"/>
      <c r="P1"/>
      <c r="Q1"/>
      <c r="R1"/>
      <c r="S1"/>
      <c r="T1"/>
      <c r="U1"/>
      <c r="V1"/>
    </row>
    <row r="2" spans="1:22" ht="15" x14ac:dyDescent="0.25">
      <c r="A2" s="975" t="e">
        <f>+Planilha!#REF!</f>
        <v>#REF!</v>
      </c>
      <c r="B2" s="977" t="e">
        <f>+Planilha!#REF!</f>
        <v>#REF!</v>
      </c>
      <c r="C2" s="978"/>
      <c r="D2" s="978"/>
      <c r="E2" s="978"/>
      <c r="F2" s="978"/>
      <c r="G2" s="978"/>
      <c r="H2" s="979"/>
      <c r="I2" s="983" t="s">
        <v>61</v>
      </c>
      <c r="J2" s="984" t="s">
        <v>153</v>
      </c>
      <c r="L2"/>
      <c r="M2"/>
      <c r="N2"/>
      <c r="O2"/>
      <c r="P2"/>
      <c r="Q2"/>
      <c r="R2"/>
      <c r="S2"/>
      <c r="T2"/>
      <c r="U2"/>
      <c r="V2"/>
    </row>
    <row r="3" spans="1:22" ht="15" x14ac:dyDescent="0.25">
      <c r="A3" s="976"/>
      <c r="B3" s="980"/>
      <c r="C3" s="981"/>
      <c r="D3" s="981"/>
      <c r="E3" s="981"/>
      <c r="F3" s="981"/>
      <c r="G3" s="981"/>
      <c r="H3" s="982"/>
      <c r="I3" s="976"/>
      <c r="J3" s="985"/>
      <c r="L3"/>
      <c r="M3"/>
      <c r="N3"/>
      <c r="O3"/>
      <c r="P3"/>
      <c r="Q3"/>
      <c r="R3"/>
      <c r="S3"/>
      <c r="T3"/>
      <c r="U3"/>
      <c r="V3"/>
    </row>
    <row r="4" spans="1:22" ht="15" x14ac:dyDescent="0.25">
      <c r="A4" s="997" t="s">
        <v>73</v>
      </c>
      <c r="B4" s="997"/>
      <c r="C4" s="997"/>
      <c r="D4" s="987" t="s">
        <v>59</v>
      </c>
      <c r="E4" s="987" t="s">
        <v>74</v>
      </c>
      <c r="F4" s="989" t="s">
        <v>75</v>
      </c>
      <c r="G4" s="990"/>
      <c r="H4" s="989" t="s">
        <v>76</v>
      </c>
      <c r="I4" s="990"/>
      <c r="J4" s="986" t="s">
        <v>77</v>
      </c>
      <c r="L4"/>
      <c r="M4"/>
      <c r="N4"/>
      <c r="O4"/>
      <c r="P4"/>
      <c r="Q4"/>
      <c r="R4"/>
      <c r="S4"/>
      <c r="T4"/>
      <c r="U4"/>
      <c r="V4"/>
    </row>
    <row r="5" spans="1:22" ht="15" x14ac:dyDescent="0.25">
      <c r="A5" s="997"/>
      <c r="B5" s="997"/>
      <c r="C5" s="997"/>
      <c r="D5" s="988"/>
      <c r="E5" s="988"/>
      <c r="F5" s="120" t="s">
        <v>175</v>
      </c>
      <c r="G5" s="120" t="s">
        <v>176</v>
      </c>
      <c r="H5" s="120" t="s">
        <v>175</v>
      </c>
      <c r="I5" s="120" t="s">
        <v>176</v>
      </c>
      <c r="J5" s="986"/>
      <c r="L5"/>
      <c r="M5"/>
      <c r="N5"/>
      <c r="O5"/>
      <c r="P5"/>
      <c r="Q5"/>
      <c r="R5"/>
      <c r="S5"/>
      <c r="T5"/>
      <c r="U5"/>
      <c r="V5"/>
    </row>
    <row r="6" spans="1:22" ht="11.25" customHeight="1" x14ac:dyDescent="0.25">
      <c r="A6" s="158" t="str">
        <f>VLOOKUP(D6,equip.!A1:G154,2,FALSE)</f>
        <v>Retroescavadeira MF 86 TM (MASSEY FERGUSSON) ou equivalente</v>
      </c>
      <c r="B6" s="185"/>
      <c r="C6" s="186"/>
      <c r="D6" s="122">
        <v>30029</v>
      </c>
      <c r="E6" s="123">
        <v>1</v>
      </c>
      <c r="F6" s="123">
        <v>0.05</v>
      </c>
      <c r="G6" s="123">
        <v>0.95</v>
      </c>
      <c r="H6" s="184">
        <f>VLOOKUP(D6,equip.!A1:G130,6,FALSE)</f>
        <v>114.5</v>
      </c>
      <c r="I6" s="123">
        <f>VLOOKUP(D6,equip.!A1:AB130,7,FALSE)</f>
        <v>48.09</v>
      </c>
      <c r="J6" s="123">
        <f>TRUNC(E6*F6*H6+E6*G6*I6,2)</f>
        <v>51.41</v>
      </c>
      <c r="L6"/>
      <c r="M6"/>
      <c r="N6"/>
      <c r="O6"/>
      <c r="P6"/>
      <c r="Q6"/>
      <c r="R6"/>
      <c r="S6"/>
      <c r="T6"/>
      <c r="U6"/>
      <c r="V6"/>
    </row>
    <row r="7" spans="1:22" ht="15" x14ac:dyDescent="0.25">
      <c r="A7" s="149"/>
      <c r="B7" s="150"/>
      <c r="C7" s="151"/>
      <c r="D7" s="124"/>
      <c r="E7" s="123"/>
      <c r="F7" s="123"/>
      <c r="G7" s="123"/>
      <c r="H7" s="123"/>
      <c r="I7" s="123"/>
      <c r="J7" s="123"/>
      <c r="L7"/>
      <c r="M7"/>
      <c r="N7"/>
      <c r="O7"/>
      <c r="P7"/>
      <c r="Q7"/>
      <c r="R7"/>
      <c r="S7"/>
      <c r="T7"/>
      <c r="U7"/>
      <c r="V7"/>
    </row>
    <row r="8" spans="1:22" ht="15" x14ac:dyDescent="0.25">
      <c r="A8" s="129"/>
      <c r="B8" s="130"/>
      <c r="C8" s="131"/>
      <c r="D8" s="124"/>
      <c r="E8" s="123"/>
      <c r="F8" s="123"/>
      <c r="G8" s="123"/>
      <c r="H8" s="123"/>
      <c r="I8" s="123"/>
      <c r="J8" s="123"/>
      <c r="L8"/>
      <c r="M8"/>
      <c r="N8"/>
      <c r="O8"/>
      <c r="P8"/>
      <c r="Q8"/>
      <c r="R8"/>
      <c r="S8"/>
      <c r="T8"/>
      <c r="U8"/>
      <c r="V8"/>
    </row>
    <row r="9" spans="1:22" ht="15" x14ac:dyDescent="0.25">
      <c r="A9" s="991"/>
      <c r="B9" s="992"/>
      <c r="C9" s="993"/>
      <c r="D9" s="124"/>
      <c r="E9" s="123"/>
      <c r="F9" s="123"/>
      <c r="G9" s="123"/>
      <c r="H9" s="123"/>
      <c r="I9" s="123"/>
      <c r="J9" s="123"/>
      <c r="L9"/>
      <c r="M9"/>
      <c r="N9"/>
      <c r="O9"/>
      <c r="P9"/>
      <c r="Q9"/>
      <c r="R9"/>
      <c r="S9"/>
      <c r="T9"/>
      <c r="U9"/>
      <c r="V9"/>
    </row>
    <row r="10" spans="1:22" ht="15" x14ac:dyDescent="0.25">
      <c r="A10" s="991"/>
      <c r="B10" s="992"/>
      <c r="C10" s="993"/>
      <c r="D10" s="124"/>
      <c r="E10" s="123"/>
      <c r="F10" s="123"/>
      <c r="G10" s="123"/>
      <c r="H10" s="123"/>
      <c r="I10" s="123"/>
      <c r="J10" s="123"/>
      <c r="L10"/>
      <c r="M10"/>
      <c r="N10"/>
      <c r="O10"/>
      <c r="P10"/>
      <c r="Q10"/>
      <c r="R10"/>
      <c r="S10"/>
      <c r="T10"/>
      <c r="U10"/>
      <c r="V10"/>
    </row>
    <row r="11" spans="1:22" ht="15" x14ac:dyDescent="0.25">
      <c r="A11" s="991"/>
      <c r="B11" s="992"/>
      <c r="C11" s="993"/>
      <c r="D11" s="124"/>
      <c r="E11" s="123"/>
      <c r="F11" s="123"/>
      <c r="G11" s="123"/>
      <c r="H11" s="123"/>
      <c r="I11" s="123"/>
      <c r="J11" s="123"/>
      <c r="L11"/>
      <c r="M11"/>
      <c r="N11"/>
      <c r="O11"/>
      <c r="P11"/>
      <c r="Q11"/>
      <c r="R11"/>
      <c r="S11"/>
      <c r="T11"/>
      <c r="U11"/>
      <c r="V11"/>
    </row>
    <row r="12" spans="1:22" ht="15" x14ac:dyDescent="0.25">
      <c r="A12" s="129"/>
      <c r="B12" s="130"/>
      <c r="C12" s="131"/>
      <c r="D12" s="124"/>
      <c r="E12" s="123"/>
      <c r="F12" s="123"/>
      <c r="G12" s="123"/>
      <c r="H12" s="123"/>
      <c r="I12" s="123"/>
      <c r="J12" s="123"/>
      <c r="L12"/>
      <c r="M12"/>
      <c r="N12"/>
      <c r="O12"/>
      <c r="P12"/>
      <c r="Q12"/>
      <c r="R12"/>
      <c r="S12"/>
      <c r="T12"/>
      <c r="U12"/>
      <c r="V12"/>
    </row>
    <row r="13" spans="1:22" ht="15" x14ac:dyDescent="0.25">
      <c r="A13" s="994"/>
      <c r="B13" s="995"/>
      <c r="C13" s="996"/>
      <c r="D13" s="134"/>
      <c r="E13" s="135"/>
      <c r="F13" s="135"/>
      <c r="G13" s="123"/>
      <c r="H13" s="123"/>
      <c r="I13" s="123"/>
      <c r="J13" s="123"/>
      <c r="L13"/>
      <c r="M13"/>
      <c r="N13"/>
      <c r="O13"/>
      <c r="P13"/>
      <c r="Q13"/>
      <c r="R13"/>
      <c r="S13"/>
      <c r="T13"/>
      <c r="U13"/>
      <c r="V13"/>
    </row>
    <row r="14" spans="1:22" ht="15" x14ac:dyDescent="0.25">
      <c r="A14" s="998" t="s">
        <v>80</v>
      </c>
      <c r="B14" s="999"/>
      <c r="C14" s="999"/>
      <c r="D14" s="999"/>
      <c r="E14" s="999"/>
      <c r="F14" s="999"/>
      <c r="G14" s="999"/>
      <c r="H14" s="999"/>
      <c r="I14" s="1000"/>
      <c r="J14" s="136">
        <f>SUM(J6:J13)</f>
        <v>51.41</v>
      </c>
      <c r="L14"/>
      <c r="M14"/>
      <c r="N14"/>
      <c r="O14"/>
      <c r="P14"/>
      <c r="Q14"/>
      <c r="R14"/>
      <c r="S14"/>
      <c r="T14"/>
      <c r="U14"/>
      <c r="V14"/>
    </row>
    <row r="15" spans="1:22" ht="15" x14ac:dyDescent="0.25">
      <c r="A15" s="1001" t="s">
        <v>81</v>
      </c>
      <c r="B15" s="1002"/>
      <c r="C15" s="1002"/>
      <c r="D15" s="1002"/>
      <c r="E15" s="1003"/>
      <c r="F15" s="987" t="s">
        <v>59</v>
      </c>
      <c r="G15" s="987" t="s">
        <v>82</v>
      </c>
      <c r="H15" s="987" t="s">
        <v>74</v>
      </c>
      <c r="I15" s="986" t="s">
        <v>83</v>
      </c>
      <c r="J15" s="987" t="s">
        <v>77</v>
      </c>
      <c r="L15"/>
      <c r="M15"/>
      <c r="N15"/>
      <c r="O15"/>
      <c r="P15"/>
      <c r="Q15"/>
      <c r="R15"/>
      <c r="S15"/>
      <c r="T15"/>
      <c r="U15"/>
      <c r="V15"/>
    </row>
    <row r="16" spans="1:22" ht="15" x14ac:dyDescent="0.25">
      <c r="A16" s="1004"/>
      <c r="B16" s="1005"/>
      <c r="C16" s="1005"/>
      <c r="D16" s="1005"/>
      <c r="E16" s="1006"/>
      <c r="F16" s="988"/>
      <c r="G16" s="988"/>
      <c r="H16" s="988"/>
      <c r="I16" s="986"/>
      <c r="J16" s="988"/>
      <c r="L16"/>
      <c r="M16"/>
      <c r="N16"/>
      <c r="O16"/>
      <c r="P16"/>
      <c r="Q16"/>
      <c r="R16"/>
      <c r="S16"/>
      <c r="T16"/>
      <c r="U16"/>
      <c r="V16"/>
    </row>
    <row r="17" spans="1:22" ht="15" x14ac:dyDescent="0.25">
      <c r="A17" s="991" t="str">
        <f>VLOOKUP(F17,m.o.!A1:F153,2,FALSE)</f>
        <v>Encarregado de O.A.C.</v>
      </c>
      <c r="B17" s="992"/>
      <c r="C17" s="992"/>
      <c r="D17" s="992"/>
      <c r="E17" s="993"/>
      <c r="F17" s="137">
        <v>20060</v>
      </c>
      <c r="G17" s="138"/>
      <c r="H17" s="123">
        <v>0.2</v>
      </c>
      <c r="I17" s="123">
        <f>VLOOKUP(F17,m.o.!A1:F128,5,FALSE)</f>
        <v>11</v>
      </c>
      <c r="J17" s="123">
        <f>TRUNC(H17*I17,2)</f>
        <v>2.2000000000000002</v>
      </c>
      <c r="L17"/>
      <c r="M17"/>
      <c r="N17"/>
      <c r="O17"/>
      <c r="P17"/>
      <c r="Q17"/>
      <c r="R17"/>
      <c r="S17"/>
      <c r="T17"/>
      <c r="U17"/>
      <c r="V17"/>
    </row>
    <row r="18" spans="1:22" ht="15" x14ac:dyDescent="0.25">
      <c r="A18" s="991" t="str">
        <f>VLOOKUP(F18,m.o.!A2:F154,2,FALSE)</f>
        <v>Pedreiro de O.A.C.</v>
      </c>
      <c r="B18" s="992"/>
      <c r="C18" s="992"/>
      <c r="D18" s="992"/>
      <c r="E18" s="993"/>
      <c r="F18" s="137">
        <v>20109</v>
      </c>
      <c r="G18" s="138"/>
      <c r="H18" s="123">
        <v>0.5</v>
      </c>
      <c r="I18" s="123">
        <f>VLOOKUP(F18,m.o.!A2:F129,5,FALSE)</f>
        <v>6.03</v>
      </c>
      <c r="J18" s="123">
        <f>TRUNC(H18*I18,2)</f>
        <v>3.01</v>
      </c>
      <c r="L18"/>
      <c r="M18"/>
      <c r="N18"/>
      <c r="O18"/>
      <c r="P18"/>
      <c r="Q18"/>
      <c r="R18"/>
      <c r="S18"/>
      <c r="T18"/>
      <c r="U18"/>
      <c r="V18"/>
    </row>
    <row r="19" spans="1:22" ht="15" x14ac:dyDescent="0.25">
      <c r="A19" s="991" t="str">
        <f>VLOOKUP(F19,m.o.!A4:F155,2,FALSE)</f>
        <v>Servente</v>
      </c>
      <c r="B19" s="992"/>
      <c r="C19" s="992"/>
      <c r="D19" s="992"/>
      <c r="E19" s="993"/>
      <c r="F19" s="137">
        <v>20002</v>
      </c>
      <c r="G19" s="138"/>
      <c r="H19" s="123">
        <v>4</v>
      </c>
      <c r="I19" s="123">
        <f>VLOOKUP(F19,m.o.!A4:F130,5,FALSE)</f>
        <v>4.8600000000000003</v>
      </c>
      <c r="J19" s="123">
        <f>TRUNC(H19*I19,2)</f>
        <v>19.440000000000001</v>
      </c>
      <c r="L19"/>
      <c r="M19"/>
      <c r="N19"/>
      <c r="O19"/>
      <c r="P19"/>
      <c r="Q19"/>
      <c r="R19"/>
      <c r="S19"/>
      <c r="T19"/>
      <c r="U19"/>
      <c r="V19"/>
    </row>
    <row r="20" spans="1:22" ht="15" x14ac:dyDescent="0.25">
      <c r="A20" s="139"/>
      <c r="B20" s="140"/>
      <c r="C20" s="140"/>
      <c r="D20" s="140"/>
      <c r="E20" s="141"/>
      <c r="F20" s="137"/>
      <c r="G20" s="138"/>
      <c r="H20" s="123"/>
      <c r="I20" s="123"/>
      <c r="J20" s="123"/>
      <c r="L20"/>
      <c r="M20"/>
      <c r="N20"/>
      <c r="O20"/>
      <c r="P20"/>
      <c r="Q20"/>
      <c r="R20"/>
      <c r="S20"/>
      <c r="T20"/>
      <c r="U20"/>
      <c r="V20"/>
    </row>
    <row r="21" spans="1:22" ht="15" x14ac:dyDescent="0.25">
      <c r="A21" s="139"/>
      <c r="B21" s="140"/>
      <c r="C21" s="140"/>
      <c r="D21" s="140"/>
      <c r="E21" s="141"/>
      <c r="F21" s="137"/>
      <c r="G21" s="142"/>
      <c r="H21" s="123"/>
      <c r="I21" s="123"/>
      <c r="J21" s="123"/>
      <c r="L21"/>
      <c r="M21"/>
      <c r="N21"/>
      <c r="O21"/>
      <c r="P21"/>
      <c r="Q21"/>
      <c r="R21"/>
      <c r="S21"/>
      <c r="T21"/>
      <c r="U21"/>
      <c r="V21"/>
    </row>
    <row r="22" spans="1:22" ht="15" x14ac:dyDescent="0.25">
      <c r="A22" s="129"/>
      <c r="B22" s="130"/>
      <c r="C22" s="130"/>
      <c r="D22" s="130"/>
      <c r="E22" s="131"/>
      <c r="F22" s="137"/>
      <c r="G22" s="142"/>
      <c r="H22" s="123"/>
      <c r="I22" s="123"/>
      <c r="J22" s="123"/>
      <c r="L22"/>
      <c r="M22"/>
      <c r="N22"/>
      <c r="O22"/>
      <c r="P22"/>
      <c r="Q22"/>
      <c r="R22"/>
      <c r="S22"/>
      <c r="T22"/>
      <c r="U22"/>
      <c r="V22"/>
    </row>
    <row r="23" spans="1:22" ht="15" x14ac:dyDescent="0.25">
      <c r="A23" s="139"/>
      <c r="B23" s="140"/>
      <c r="C23" s="140"/>
      <c r="D23" s="140"/>
      <c r="E23" s="141"/>
      <c r="F23" s="137"/>
      <c r="G23" s="142"/>
      <c r="H23" s="123"/>
      <c r="I23" s="123"/>
      <c r="J23" s="123"/>
      <c r="L23"/>
      <c r="M23"/>
      <c r="N23"/>
      <c r="O23"/>
      <c r="P23"/>
      <c r="Q23"/>
      <c r="R23"/>
      <c r="S23"/>
      <c r="T23"/>
      <c r="U23"/>
      <c r="V23"/>
    </row>
    <row r="24" spans="1:22" ht="15" x14ac:dyDescent="0.25">
      <c r="A24" s="139"/>
      <c r="B24" s="140"/>
      <c r="C24" s="140"/>
      <c r="D24" s="140"/>
      <c r="E24" s="141"/>
      <c r="F24" s="137"/>
      <c r="G24" s="142"/>
      <c r="H24" s="123"/>
      <c r="I24" s="123"/>
      <c r="J24" s="123"/>
      <c r="L24"/>
      <c r="M24"/>
      <c r="N24"/>
      <c r="O24"/>
      <c r="P24"/>
      <c r="Q24"/>
      <c r="R24"/>
      <c r="S24"/>
      <c r="T24"/>
      <c r="U24"/>
      <c r="V24"/>
    </row>
    <row r="25" spans="1:22" x14ac:dyDescent="0.25">
      <c r="A25" s="994"/>
      <c r="B25" s="995"/>
      <c r="C25" s="995"/>
      <c r="D25" s="995"/>
      <c r="E25" s="996"/>
      <c r="F25" s="134"/>
      <c r="G25" s="143"/>
      <c r="H25" s="135"/>
      <c r="I25" s="135"/>
      <c r="J25" s="123"/>
    </row>
    <row r="26" spans="1:22" x14ac:dyDescent="0.25">
      <c r="A26" s="132"/>
      <c r="B26" s="133"/>
      <c r="C26" s="133"/>
      <c r="D26" s="133"/>
      <c r="E26" s="133"/>
      <c r="F26" s="187"/>
      <c r="G26" s="188"/>
      <c r="H26" s="189"/>
      <c r="I26" s="190"/>
      <c r="J26" s="123"/>
    </row>
    <row r="27" spans="1:22" x14ac:dyDescent="0.25">
      <c r="A27" s="132"/>
      <c r="B27" s="133"/>
      <c r="C27" s="133"/>
      <c r="D27" s="133"/>
      <c r="E27" s="133"/>
      <c r="F27" s="187"/>
      <c r="G27" s="188"/>
      <c r="H27" s="189"/>
      <c r="I27" s="190"/>
      <c r="J27" s="123"/>
    </row>
    <row r="28" spans="1:22" x14ac:dyDescent="0.25">
      <c r="A28" s="132"/>
      <c r="B28" s="133"/>
      <c r="C28" s="133"/>
      <c r="D28" s="133"/>
      <c r="E28" s="133"/>
      <c r="F28" s="187"/>
      <c r="G28" s="188"/>
      <c r="H28" s="189"/>
      <c r="I28" s="190"/>
      <c r="J28" s="123"/>
    </row>
    <row r="29" spans="1:22" x14ac:dyDescent="0.25">
      <c r="A29" s="132"/>
      <c r="B29" s="133"/>
      <c r="C29" s="133"/>
      <c r="D29" s="133"/>
      <c r="E29" s="133"/>
      <c r="F29" s="187"/>
      <c r="G29" s="188"/>
      <c r="H29" s="189"/>
      <c r="I29" s="190"/>
      <c r="J29" s="123"/>
    </row>
    <row r="30" spans="1:22" x14ac:dyDescent="0.25">
      <c r="A30" s="132"/>
      <c r="B30" s="133"/>
      <c r="C30" s="133"/>
      <c r="D30" s="133"/>
      <c r="E30" s="133"/>
      <c r="F30" s="187"/>
      <c r="G30" s="188"/>
      <c r="H30" s="189"/>
      <c r="I30" s="190"/>
      <c r="J30" s="123"/>
    </row>
    <row r="31" spans="1:22" x14ac:dyDescent="0.25">
      <c r="A31" s="132"/>
      <c r="B31" s="133"/>
      <c r="C31" s="133"/>
      <c r="D31" s="133"/>
      <c r="E31" s="133"/>
      <c r="F31" s="187"/>
      <c r="G31" s="188"/>
      <c r="H31" s="189"/>
      <c r="I31" s="190"/>
      <c r="J31" s="123"/>
    </row>
    <row r="32" spans="1:22" x14ac:dyDescent="0.25">
      <c r="A32" s="132"/>
      <c r="B32" s="133"/>
      <c r="C32" s="133"/>
      <c r="D32" s="133"/>
      <c r="E32" s="133"/>
      <c r="F32" s="187"/>
      <c r="G32" s="188"/>
      <c r="H32" s="189"/>
      <c r="I32" s="190"/>
      <c r="J32" s="123"/>
    </row>
    <row r="33" spans="1:10" x14ac:dyDescent="0.25">
      <c r="A33" s="132"/>
      <c r="B33" s="133"/>
      <c r="C33" s="133"/>
      <c r="D33" s="133"/>
      <c r="E33" s="133"/>
      <c r="F33" s="187"/>
      <c r="G33" s="188"/>
      <c r="H33" s="189"/>
      <c r="I33" s="190"/>
      <c r="J33" s="123"/>
    </row>
    <row r="34" spans="1:10" x14ac:dyDescent="0.25">
      <c r="A34" s="132"/>
      <c r="B34" s="133"/>
      <c r="C34" s="133"/>
      <c r="D34" s="133"/>
      <c r="E34" s="133"/>
      <c r="F34" s="187"/>
      <c r="G34" s="188"/>
      <c r="H34" s="189"/>
      <c r="I34" s="190"/>
      <c r="J34" s="123"/>
    </row>
    <row r="35" spans="1:10" x14ac:dyDescent="0.25">
      <c r="A35" s="132"/>
      <c r="B35" s="133"/>
      <c r="C35" s="133"/>
      <c r="D35" s="133"/>
      <c r="E35" s="133"/>
      <c r="F35" s="187"/>
      <c r="G35" s="188"/>
      <c r="H35" s="189"/>
      <c r="I35" s="190"/>
      <c r="J35" s="123"/>
    </row>
    <row r="36" spans="1:10" x14ac:dyDescent="0.25">
      <c r="A36" s="132"/>
      <c r="B36" s="133"/>
      <c r="C36" s="133"/>
      <c r="D36" s="133"/>
      <c r="E36" s="133"/>
      <c r="F36" s="187"/>
      <c r="G36" s="188"/>
      <c r="H36" s="189"/>
      <c r="I36" s="190"/>
      <c r="J36" s="123"/>
    </row>
    <row r="37" spans="1:10" x14ac:dyDescent="0.25">
      <c r="A37" s="998" t="s">
        <v>84</v>
      </c>
      <c r="B37" s="999"/>
      <c r="C37" s="999"/>
      <c r="D37" s="999"/>
      <c r="E37" s="999"/>
      <c r="F37" s="999"/>
      <c r="G37" s="999"/>
      <c r="H37" s="999"/>
      <c r="I37" s="1000"/>
      <c r="J37" s="136">
        <f>ROUND(SUM(J17:J25),2)</f>
        <v>24.65</v>
      </c>
    </row>
    <row r="38" spans="1:10" x14ac:dyDescent="0.25">
      <c r="A38" s="1007" t="s">
        <v>85</v>
      </c>
      <c r="B38" s="1008"/>
      <c r="C38" s="1008"/>
      <c r="D38" s="1008"/>
      <c r="E38" s="1008"/>
      <c r="F38" s="135">
        <v>0.83</v>
      </c>
      <c r="G38" s="1007" t="s">
        <v>86</v>
      </c>
      <c r="H38" s="1008"/>
      <c r="I38" s="1008"/>
      <c r="J38" s="144">
        <f>+J37+J14</f>
        <v>76.06</v>
      </c>
    </row>
    <row r="39" spans="1:10" x14ac:dyDescent="0.25">
      <c r="A39" s="1009" t="s">
        <v>87</v>
      </c>
      <c r="B39" s="1010"/>
      <c r="C39" s="1010"/>
      <c r="D39" s="1010"/>
      <c r="E39" s="1010"/>
      <c r="F39" s="1010"/>
      <c r="G39" s="1010"/>
      <c r="H39" s="1010"/>
      <c r="I39" s="1011"/>
      <c r="J39" s="136">
        <f>TRUNC(J38/F38,2)</f>
        <v>91.63</v>
      </c>
    </row>
    <row r="40" spans="1:10" x14ac:dyDescent="0.25">
      <c r="A40" s="1025" t="s">
        <v>88</v>
      </c>
      <c r="B40" s="1026"/>
      <c r="C40" s="1026"/>
      <c r="D40" s="1026"/>
      <c r="E40" s="1027"/>
      <c r="F40" s="987" t="s">
        <v>59</v>
      </c>
      <c r="G40" s="987" t="s">
        <v>1</v>
      </c>
      <c r="H40" s="986" t="s">
        <v>63</v>
      </c>
      <c r="I40" s="987" t="s">
        <v>89</v>
      </c>
      <c r="J40" s="987" t="s">
        <v>90</v>
      </c>
    </row>
    <row r="41" spans="1:10" x14ac:dyDescent="0.25">
      <c r="A41" s="1028"/>
      <c r="B41" s="1029"/>
      <c r="C41" s="1029"/>
      <c r="D41" s="1029"/>
      <c r="E41" s="1030"/>
      <c r="F41" s="988"/>
      <c r="G41" s="988"/>
      <c r="H41" s="986"/>
      <c r="I41" s="988"/>
      <c r="J41" s="988"/>
    </row>
    <row r="42" spans="1:10" x14ac:dyDescent="0.25">
      <c r="A42" s="158"/>
      <c r="B42" s="191"/>
      <c r="C42" s="191"/>
      <c r="D42" s="191"/>
      <c r="E42" s="186"/>
      <c r="F42" s="148"/>
      <c r="G42" s="152"/>
      <c r="H42" s="145"/>
      <c r="I42" s="146"/>
      <c r="J42" s="123"/>
    </row>
    <row r="43" spans="1:10" ht="12.95" customHeight="1" x14ac:dyDescent="0.25">
      <c r="A43" s="1022"/>
      <c r="B43" s="1023"/>
      <c r="C43" s="1023"/>
      <c r="D43" s="1023"/>
      <c r="E43" s="1024"/>
      <c r="F43" s="148"/>
      <c r="G43" s="152"/>
      <c r="H43" s="145"/>
      <c r="I43" s="146"/>
      <c r="J43" s="123"/>
    </row>
    <row r="44" spans="1:10" ht="12.95" customHeight="1" x14ac:dyDescent="0.25">
      <c r="A44" s="991"/>
      <c r="B44" s="992"/>
      <c r="C44" s="992"/>
      <c r="D44" s="992"/>
      <c r="E44" s="993"/>
      <c r="F44" s="148"/>
      <c r="G44" s="152"/>
      <c r="H44" s="145"/>
      <c r="I44" s="146"/>
      <c r="J44" s="123"/>
    </row>
    <row r="45" spans="1:10" ht="12.95" customHeight="1" x14ac:dyDescent="0.25">
      <c r="A45" s="991"/>
      <c r="B45" s="992"/>
      <c r="C45" s="992"/>
      <c r="D45" s="992"/>
      <c r="E45" s="993"/>
      <c r="F45" s="148"/>
      <c r="G45" s="152"/>
      <c r="H45" s="145"/>
      <c r="I45" s="146"/>
      <c r="J45" s="123"/>
    </row>
    <row r="46" spans="1:10" ht="12.95" customHeight="1" x14ac:dyDescent="0.25">
      <c r="A46" s="991"/>
      <c r="B46" s="992"/>
      <c r="C46" s="992"/>
      <c r="D46" s="992"/>
      <c r="E46" s="993"/>
      <c r="F46" s="148"/>
      <c r="G46" s="152"/>
      <c r="H46" s="145"/>
      <c r="I46" s="146"/>
      <c r="J46" s="123"/>
    </row>
    <row r="47" spans="1:10" ht="12.95" customHeight="1" x14ac:dyDescent="0.25">
      <c r="A47" s="1022"/>
      <c r="B47" s="1023"/>
      <c r="C47" s="1023"/>
      <c r="D47" s="1023"/>
      <c r="E47" s="1024"/>
      <c r="F47" s="148"/>
      <c r="G47" s="152"/>
      <c r="H47" s="145"/>
      <c r="I47" s="146"/>
      <c r="J47" s="123"/>
    </row>
    <row r="48" spans="1:10" ht="12.95" customHeight="1" x14ac:dyDescent="0.25">
      <c r="A48" s="129"/>
      <c r="B48" s="153"/>
      <c r="C48" s="153"/>
      <c r="D48" s="153"/>
      <c r="E48" s="154"/>
      <c r="F48" s="148"/>
      <c r="G48" s="152"/>
      <c r="H48" s="145"/>
      <c r="I48" s="146"/>
      <c r="J48" s="123"/>
    </row>
    <row r="49" spans="1:13" ht="12.95" customHeight="1" x14ac:dyDescent="0.25">
      <c r="A49" s="991"/>
      <c r="B49" s="992"/>
      <c r="C49" s="992"/>
      <c r="D49" s="992"/>
      <c r="E49" s="993"/>
      <c r="F49" s="148"/>
      <c r="G49" s="152"/>
      <c r="H49" s="145"/>
      <c r="I49" s="146"/>
      <c r="J49" s="123"/>
    </row>
    <row r="50" spans="1:13" ht="12.95" customHeight="1" x14ac:dyDescent="0.25">
      <c r="A50" s="991"/>
      <c r="B50" s="992"/>
      <c r="C50" s="992"/>
      <c r="D50" s="992"/>
      <c r="E50" s="993"/>
      <c r="F50" s="148"/>
      <c r="G50" s="152"/>
      <c r="H50" s="145"/>
      <c r="I50" s="146"/>
      <c r="J50" s="123"/>
    </row>
    <row r="51" spans="1:13" ht="12.95" customHeight="1" x14ac:dyDescent="0.25">
      <c r="A51" s="994"/>
      <c r="B51" s="995"/>
      <c r="C51" s="995"/>
      <c r="D51" s="995"/>
      <c r="E51" s="996"/>
      <c r="F51" s="155"/>
      <c r="G51" s="156"/>
      <c r="H51" s="157"/>
      <c r="I51" s="146"/>
      <c r="J51" s="123"/>
    </row>
    <row r="52" spans="1:13" x14ac:dyDescent="0.25">
      <c r="A52" s="998" t="s">
        <v>91</v>
      </c>
      <c r="B52" s="999"/>
      <c r="C52" s="999"/>
      <c r="D52" s="999"/>
      <c r="E52" s="999"/>
      <c r="F52" s="999"/>
      <c r="G52" s="999"/>
      <c r="H52" s="999"/>
      <c r="I52" s="1000"/>
      <c r="J52" s="136">
        <f>ROUND(SUM(J42:J51),2)</f>
        <v>0</v>
      </c>
    </row>
    <row r="53" spans="1:13" x14ac:dyDescent="0.25">
      <c r="A53" s="1001" t="s">
        <v>92</v>
      </c>
      <c r="B53" s="1002"/>
      <c r="C53" s="1002"/>
      <c r="D53" s="1002"/>
      <c r="E53" s="1015" t="s">
        <v>59</v>
      </c>
      <c r="F53" s="989" t="s">
        <v>93</v>
      </c>
      <c r="G53" s="990"/>
      <c r="H53" s="1017" t="s">
        <v>94</v>
      </c>
      <c r="I53" s="1017" t="s">
        <v>95</v>
      </c>
      <c r="J53" s="987" t="s">
        <v>63</v>
      </c>
    </row>
    <row r="54" spans="1:13" x14ac:dyDescent="0.25">
      <c r="A54" s="1004"/>
      <c r="B54" s="1005"/>
      <c r="C54" s="1005"/>
      <c r="D54" s="1005"/>
      <c r="E54" s="1016"/>
      <c r="F54" s="120" t="s">
        <v>21</v>
      </c>
      <c r="G54" s="120" t="s">
        <v>20</v>
      </c>
      <c r="H54" s="1017"/>
      <c r="I54" s="1017"/>
      <c r="J54" s="988"/>
    </row>
    <row r="55" spans="1:13" x14ac:dyDescent="0.25">
      <c r="A55" s="158" t="str">
        <f>VLOOKUP(E55,transp.!A4:J30,4,FALSE)</f>
        <v>0,483XP + 0,570XR + 51,460</v>
      </c>
      <c r="B55" s="159"/>
      <c r="C55" s="159" t="s">
        <v>154</v>
      </c>
      <c r="D55" s="160"/>
      <c r="E55" s="161">
        <f>+transp.!A11</f>
        <v>100849</v>
      </c>
      <c r="F55" s="162">
        <v>11.8</v>
      </c>
      <c r="G55" s="123">
        <v>0.2</v>
      </c>
      <c r="H55" s="123">
        <f>TRUNC(F55*K55+G55*L55+M55,2)</f>
        <v>57.27</v>
      </c>
      <c r="I55" s="163">
        <v>1.9179999999999999</v>
      </c>
      <c r="J55" s="123">
        <f>TRUNC(I55*H55,2)</f>
        <v>109.84</v>
      </c>
      <c r="K55" s="184">
        <f>VLOOKUP(E55,transp.!A4:K21,5,FALSE)</f>
        <v>0.48299999999999998</v>
      </c>
      <c r="L55" s="184">
        <f>VLOOKUP(E55,transp.!A5:G19,6,FALSE)</f>
        <v>0.56999999999999995</v>
      </c>
      <c r="M55" s="184">
        <f>VLOOKUP(E55,transp.!A5:G19,7,FALSE)</f>
        <v>51.46</v>
      </c>
    </row>
    <row r="56" spans="1:13" x14ac:dyDescent="0.25">
      <c r="A56" s="991"/>
      <c r="B56" s="992"/>
      <c r="C56" s="992"/>
      <c r="D56" s="993"/>
      <c r="E56" s="145"/>
      <c r="F56" s="145"/>
      <c r="G56" s="145"/>
      <c r="H56" s="145"/>
      <c r="I56" s="165"/>
      <c r="J56" s="145">
        <f>+I56*H56</f>
        <v>0</v>
      </c>
    </row>
    <row r="57" spans="1:13" x14ac:dyDescent="0.25">
      <c r="A57" s="991"/>
      <c r="B57" s="992"/>
      <c r="C57" s="992"/>
      <c r="D57" s="993"/>
      <c r="E57" s="123"/>
      <c r="F57" s="123"/>
      <c r="G57" s="123"/>
      <c r="H57" s="123"/>
      <c r="I57" s="163"/>
      <c r="J57" s="145"/>
    </row>
    <row r="58" spans="1:13" x14ac:dyDescent="0.25">
      <c r="A58" s="991"/>
      <c r="B58" s="992"/>
      <c r="C58" s="992"/>
      <c r="D58" s="993"/>
      <c r="E58" s="123"/>
      <c r="F58" s="123"/>
      <c r="G58" s="123"/>
      <c r="H58" s="123"/>
      <c r="I58" s="163"/>
      <c r="J58" s="145"/>
    </row>
    <row r="59" spans="1:13" x14ac:dyDescent="0.25">
      <c r="A59" s="1012" t="s">
        <v>96</v>
      </c>
      <c r="B59" s="1013"/>
      <c r="C59" s="1013"/>
      <c r="D59" s="1013"/>
      <c r="E59" s="1013"/>
      <c r="F59" s="1013"/>
      <c r="G59" s="1013"/>
      <c r="H59" s="1013"/>
      <c r="I59" s="1014"/>
      <c r="J59" s="170">
        <f>SUM(J55:J58)</f>
        <v>109.84</v>
      </c>
    </row>
    <row r="60" spans="1:13" x14ac:dyDescent="0.25">
      <c r="A60" s="1018" t="s">
        <v>97</v>
      </c>
      <c r="B60" s="1019"/>
      <c r="C60" s="1019"/>
      <c r="D60" s="1019"/>
      <c r="E60" s="1019"/>
      <c r="F60" s="1019"/>
      <c r="G60" s="171" t="s">
        <v>98</v>
      </c>
      <c r="H60" s="172"/>
      <c r="I60" s="173" t="s">
        <v>99</v>
      </c>
      <c r="J60" s="162">
        <f>J59+J52+J39</f>
        <v>201.47</v>
      </c>
    </row>
    <row r="61" spans="1:13" x14ac:dyDescent="0.25">
      <c r="A61" s="1020" t="s">
        <v>100</v>
      </c>
      <c r="B61" s="1021"/>
      <c r="C61" s="1021"/>
      <c r="D61" s="1021"/>
      <c r="E61" s="1021"/>
      <c r="F61" s="1021"/>
      <c r="G61" s="174">
        <v>0.35</v>
      </c>
      <c r="H61" s="175"/>
      <c r="I61" s="176" t="s">
        <v>99</v>
      </c>
      <c r="J61" s="144">
        <f>+J60*G61</f>
        <v>70.510000000000005</v>
      </c>
    </row>
    <row r="62" spans="1:13" x14ac:dyDescent="0.25">
      <c r="A62" s="1009" t="s">
        <v>101</v>
      </c>
      <c r="B62" s="1010"/>
      <c r="C62" s="1010"/>
      <c r="D62" s="1010"/>
      <c r="E62" s="1010"/>
      <c r="F62" s="1010"/>
      <c r="G62" s="177"/>
      <c r="H62" s="178"/>
      <c r="I62" s="179" t="s">
        <v>99</v>
      </c>
      <c r="J62" s="136">
        <f>+J61+J60</f>
        <v>271.98</v>
      </c>
    </row>
    <row r="63" spans="1:13" x14ac:dyDescent="0.25">
      <c r="A63" s="180" t="s">
        <v>102</v>
      </c>
      <c r="B63" s="172"/>
      <c r="C63" s="172"/>
      <c r="D63" s="172"/>
      <c r="E63" s="172"/>
      <c r="F63" s="172"/>
      <c r="G63" s="172"/>
      <c r="H63" s="181"/>
      <c r="I63" s="181"/>
      <c r="J63" s="182"/>
    </row>
    <row r="64" spans="1:13" x14ac:dyDescent="0.25">
      <c r="A64" s="192"/>
      <c r="B64" s="193" t="str">
        <f>+transp.!B11</f>
        <v>Transporte de Material Asfáltico (DNIT), inclusive BDI diferenciado</v>
      </c>
      <c r="C64" s="193"/>
      <c r="D64" s="193"/>
      <c r="E64" s="193"/>
      <c r="F64" s="193"/>
      <c r="G64" s="193"/>
      <c r="H64" s="194"/>
      <c r="I64" s="194"/>
      <c r="J64" s="182"/>
    </row>
    <row r="65" spans="1:10" x14ac:dyDescent="0.25">
      <c r="A65" s="195"/>
      <c r="B65" s="188"/>
      <c r="C65" s="188"/>
      <c r="D65" s="196"/>
      <c r="E65" s="196"/>
      <c r="F65" s="196"/>
      <c r="G65" s="196"/>
      <c r="H65" s="196"/>
      <c r="I65" s="196"/>
      <c r="J65" s="197"/>
    </row>
  </sheetData>
  <mergeCells count="57">
    <mergeCell ref="A60:F60"/>
    <mergeCell ref="A61:F61"/>
    <mergeCell ref="A62:F62"/>
    <mergeCell ref="A19:E19"/>
    <mergeCell ref="A50:E50"/>
    <mergeCell ref="A51:E51"/>
    <mergeCell ref="A52:I52"/>
    <mergeCell ref="A43:E43"/>
    <mergeCell ref="A44:E44"/>
    <mergeCell ref="A45:E45"/>
    <mergeCell ref="A46:E46"/>
    <mergeCell ref="A47:E47"/>
    <mergeCell ref="A49:E49"/>
    <mergeCell ref="A40:E41"/>
    <mergeCell ref="F40:F41"/>
    <mergeCell ref="G40:G41"/>
    <mergeCell ref="J53:J54"/>
    <mergeCell ref="A56:D56"/>
    <mergeCell ref="A57:D57"/>
    <mergeCell ref="A58:D58"/>
    <mergeCell ref="A59:I59"/>
    <mergeCell ref="A53:D54"/>
    <mergeCell ref="E53:E54"/>
    <mergeCell ref="F53:G53"/>
    <mergeCell ref="H53:H54"/>
    <mergeCell ref="I53:I54"/>
    <mergeCell ref="H40:H41"/>
    <mergeCell ref="I40:I41"/>
    <mergeCell ref="J40:J41"/>
    <mergeCell ref="A25:E25"/>
    <mergeCell ref="A37:I37"/>
    <mergeCell ref="A38:E38"/>
    <mergeCell ref="G38:I38"/>
    <mergeCell ref="A39:I39"/>
    <mergeCell ref="J15:J16"/>
    <mergeCell ref="A17:E17"/>
    <mergeCell ref="A18:E18"/>
    <mergeCell ref="A14:I14"/>
    <mergeCell ref="A15:E16"/>
    <mergeCell ref="F15:F16"/>
    <mergeCell ref="G15:G16"/>
    <mergeCell ref="H15:H16"/>
    <mergeCell ref="I15:I16"/>
    <mergeCell ref="A9:C9"/>
    <mergeCell ref="A10:C10"/>
    <mergeCell ref="A11:C11"/>
    <mergeCell ref="A13:C13"/>
    <mergeCell ref="A4:C5"/>
    <mergeCell ref="A2:A3"/>
    <mergeCell ref="B2:H3"/>
    <mergeCell ref="I2:I3"/>
    <mergeCell ref="J2:J3"/>
    <mergeCell ref="J4:J5"/>
    <mergeCell ref="D4:D5"/>
    <mergeCell ref="E4:E5"/>
    <mergeCell ref="F4:G4"/>
    <mergeCell ref="H4:I4"/>
  </mergeCells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55"/>
  <sheetViews>
    <sheetView workbookViewId="0">
      <selection activeCell="C55" sqref="C55"/>
    </sheetView>
  </sheetViews>
  <sheetFormatPr defaultColWidth="9" defaultRowHeight="11.25" x14ac:dyDescent="0.2"/>
  <cols>
    <col min="1" max="2" width="9" style="22"/>
    <col min="3" max="3" width="10.875" style="22" customWidth="1"/>
    <col min="4" max="16384" width="9" style="22"/>
  </cols>
  <sheetData>
    <row r="1" spans="1:10" ht="15.75" x14ac:dyDescent="0.2">
      <c r="A1" s="1034" t="s">
        <v>68</v>
      </c>
      <c r="B1" s="1035"/>
      <c r="C1" s="1035"/>
      <c r="D1" s="1035"/>
      <c r="E1" s="1035"/>
      <c r="F1" s="1035"/>
      <c r="G1" s="1035"/>
      <c r="H1" s="1035"/>
      <c r="I1" s="1035"/>
      <c r="J1" s="1036"/>
    </row>
    <row r="2" spans="1:10" x14ac:dyDescent="0.2">
      <c r="A2" s="32" t="s">
        <v>69</v>
      </c>
      <c r="B2" s="25" t="s">
        <v>70</v>
      </c>
      <c r="C2" s="25"/>
      <c r="D2" s="25"/>
      <c r="E2" s="25"/>
      <c r="F2" s="25"/>
      <c r="G2" s="25"/>
      <c r="H2" s="25"/>
      <c r="I2" s="32" t="s">
        <v>71</v>
      </c>
      <c r="J2" s="32" t="s">
        <v>72</v>
      </c>
    </row>
    <row r="3" spans="1:10" x14ac:dyDescent="0.2">
      <c r="A3" s="1037" t="e">
        <f>+Planilha!#REF!</f>
        <v>#REF!</v>
      </c>
      <c r="B3" s="1039" t="e">
        <f>+Planilha!#REF!</f>
        <v>#REF!</v>
      </c>
      <c r="C3" s="1040"/>
      <c r="D3" s="1040"/>
      <c r="E3" s="1040"/>
      <c r="F3" s="1040"/>
      <c r="G3" s="1040"/>
      <c r="H3" s="1041"/>
      <c r="I3" s="1045" t="e">
        <f>+Planilha!#REF!</f>
        <v>#REF!</v>
      </c>
      <c r="J3" s="1046" t="s">
        <v>153</v>
      </c>
    </row>
    <row r="4" spans="1:10" x14ac:dyDescent="0.2">
      <c r="A4" s="1038"/>
      <c r="B4" s="1042"/>
      <c r="C4" s="1043"/>
      <c r="D4" s="1043"/>
      <c r="E4" s="1043"/>
      <c r="F4" s="1043"/>
      <c r="G4" s="1043"/>
      <c r="H4" s="1044"/>
      <c r="I4" s="1038"/>
      <c r="J4" s="1047"/>
    </row>
    <row r="5" spans="1:10" x14ac:dyDescent="0.2">
      <c r="A5" s="1048" t="s">
        <v>73</v>
      </c>
      <c r="B5" s="1048"/>
      <c r="C5" s="1048"/>
      <c r="D5" s="1049" t="s">
        <v>59</v>
      </c>
      <c r="E5" s="1049" t="s">
        <v>74</v>
      </c>
      <c r="F5" s="1051" t="s">
        <v>75</v>
      </c>
      <c r="G5" s="1052"/>
      <c r="H5" s="1051" t="s">
        <v>76</v>
      </c>
      <c r="I5" s="1052"/>
      <c r="J5" s="1053" t="s">
        <v>77</v>
      </c>
    </row>
    <row r="6" spans="1:10" x14ac:dyDescent="0.2">
      <c r="A6" s="1048"/>
      <c r="B6" s="1048"/>
      <c r="C6" s="1048"/>
      <c r="D6" s="1050"/>
      <c r="E6" s="1050"/>
      <c r="F6" s="103" t="s">
        <v>78</v>
      </c>
      <c r="G6" s="34" t="s">
        <v>79</v>
      </c>
      <c r="H6" s="103" t="s">
        <v>78</v>
      </c>
      <c r="I6" s="103" t="s">
        <v>79</v>
      </c>
      <c r="J6" s="1053"/>
    </row>
    <row r="7" spans="1:10" x14ac:dyDescent="0.2">
      <c r="A7" s="1054" t="s">
        <v>127</v>
      </c>
      <c r="B7" s="1055"/>
      <c r="C7" s="1056"/>
      <c r="D7" s="35"/>
      <c r="E7" s="110">
        <v>0.05</v>
      </c>
      <c r="F7" s="36"/>
      <c r="G7" s="36"/>
      <c r="H7" s="36">
        <f>+J27</f>
        <v>11.95</v>
      </c>
      <c r="I7" s="36"/>
      <c r="J7" s="36">
        <f>TRUNC(H7*E7)</f>
        <v>0</v>
      </c>
    </row>
    <row r="8" spans="1:10" x14ac:dyDescent="0.2">
      <c r="A8" s="1057"/>
      <c r="B8" s="1058"/>
      <c r="C8" s="1059"/>
      <c r="D8" s="40"/>
      <c r="E8" s="36"/>
      <c r="F8" s="36"/>
      <c r="G8" s="36"/>
      <c r="H8" s="36"/>
      <c r="I8" s="36"/>
      <c r="J8" s="36"/>
    </row>
    <row r="9" spans="1:10" x14ac:dyDescent="0.2">
      <c r="A9" s="94"/>
      <c r="B9" s="95"/>
      <c r="C9" s="96"/>
      <c r="D9" s="40"/>
      <c r="E9" s="36"/>
      <c r="F9" s="36"/>
      <c r="G9" s="36"/>
      <c r="H9" s="36"/>
      <c r="I9" s="36"/>
      <c r="J9" s="36"/>
    </row>
    <row r="10" spans="1:10" x14ac:dyDescent="0.2">
      <c r="A10" s="1060"/>
      <c r="B10" s="1061"/>
      <c r="C10" s="1062"/>
      <c r="D10" s="40"/>
      <c r="E10" s="36"/>
      <c r="F10" s="36"/>
      <c r="G10" s="36"/>
      <c r="H10" s="36"/>
      <c r="I10" s="36"/>
      <c r="J10" s="36"/>
    </row>
    <row r="11" spans="1:10" x14ac:dyDescent="0.2">
      <c r="A11" s="1060"/>
      <c r="B11" s="1061"/>
      <c r="C11" s="1062"/>
      <c r="D11" s="40"/>
      <c r="E11" s="36"/>
      <c r="F11" s="36"/>
      <c r="G11" s="36"/>
      <c r="H11" s="36"/>
      <c r="I11" s="36"/>
      <c r="J11" s="36"/>
    </row>
    <row r="12" spans="1:10" x14ac:dyDescent="0.2">
      <c r="A12" s="1060"/>
      <c r="B12" s="1061"/>
      <c r="C12" s="1062"/>
      <c r="D12" s="40"/>
      <c r="E12" s="36"/>
      <c r="F12" s="36"/>
      <c r="G12" s="36"/>
      <c r="H12" s="36"/>
      <c r="I12" s="36"/>
      <c r="J12" s="36"/>
    </row>
    <row r="13" spans="1:10" x14ac:dyDescent="0.2">
      <c r="A13" s="94"/>
      <c r="B13" s="95"/>
      <c r="C13" s="96"/>
      <c r="D13" s="40"/>
      <c r="E13" s="36"/>
      <c r="F13" s="36"/>
      <c r="G13" s="36"/>
      <c r="H13" s="36"/>
      <c r="I13" s="36"/>
      <c r="J13" s="36"/>
    </row>
    <row r="14" spans="1:10" x14ac:dyDescent="0.2">
      <c r="A14" s="1031"/>
      <c r="B14" s="1032"/>
      <c r="C14" s="1033"/>
      <c r="D14" s="41"/>
      <c r="E14" s="42"/>
      <c r="F14" s="42"/>
      <c r="G14" s="36"/>
      <c r="H14" s="36"/>
      <c r="I14" s="36"/>
      <c r="J14" s="36"/>
    </row>
    <row r="15" spans="1:10" x14ac:dyDescent="0.2">
      <c r="A15" s="1063" t="s">
        <v>80</v>
      </c>
      <c r="B15" s="1064"/>
      <c r="C15" s="1064"/>
      <c r="D15" s="1064"/>
      <c r="E15" s="1064"/>
      <c r="F15" s="1064"/>
      <c r="G15" s="1064"/>
      <c r="H15" s="1064"/>
      <c r="I15" s="1065"/>
      <c r="J15" s="43">
        <f>SUM(J7:J14)</f>
        <v>0</v>
      </c>
    </row>
    <row r="16" spans="1:10" x14ac:dyDescent="0.2">
      <c r="A16" s="1066" t="s">
        <v>81</v>
      </c>
      <c r="B16" s="1067"/>
      <c r="C16" s="1067"/>
      <c r="D16" s="1067"/>
      <c r="E16" s="1068"/>
      <c r="F16" s="1049" t="s">
        <v>59</v>
      </c>
      <c r="G16" s="1049" t="s">
        <v>82</v>
      </c>
      <c r="H16" s="1049" t="s">
        <v>74</v>
      </c>
      <c r="I16" s="1053" t="s">
        <v>83</v>
      </c>
      <c r="J16" s="1049" t="s">
        <v>77</v>
      </c>
    </row>
    <row r="17" spans="1:10" x14ac:dyDescent="0.2">
      <c r="A17" s="1069"/>
      <c r="B17" s="1070"/>
      <c r="C17" s="1070"/>
      <c r="D17" s="1070"/>
      <c r="E17" s="1071"/>
      <c r="F17" s="1050"/>
      <c r="G17" s="1050"/>
      <c r="H17" s="1050"/>
      <c r="I17" s="1053"/>
      <c r="J17" s="1050"/>
    </row>
    <row r="18" spans="1:10" x14ac:dyDescent="0.2">
      <c r="A18" s="1060" t="str">
        <f>VLOOKUP(F18,m.o.!A1:F153,2,FALSE)</f>
        <v>Ajudante de carpinteiro</v>
      </c>
      <c r="B18" s="1061"/>
      <c r="C18" s="1061"/>
      <c r="D18" s="1061"/>
      <c r="E18" s="1062"/>
      <c r="F18" s="44">
        <v>20039</v>
      </c>
      <c r="G18" s="45"/>
      <c r="H18" s="36">
        <v>0.8</v>
      </c>
      <c r="I18" s="36">
        <f>VLOOKUP(F18,m.o.!A1:F128,5,FALSE)</f>
        <v>4.91</v>
      </c>
      <c r="J18" s="36">
        <f>TRUNC(H18*I18,2)</f>
        <v>3.92</v>
      </c>
    </row>
    <row r="19" spans="1:10" x14ac:dyDescent="0.2">
      <c r="A19" s="1060" t="str">
        <f>VLOOKUP(F19,m.o.!A2:F154,2,FALSE)</f>
        <v>Carpinteiro de O.A.E.</v>
      </c>
      <c r="B19" s="1061"/>
      <c r="C19" s="1061"/>
      <c r="D19" s="1061"/>
      <c r="E19" s="1062"/>
      <c r="F19" s="44">
        <v>20040</v>
      </c>
      <c r="G19" s="45"/>
      <c r="H19" s="36">
        <v>1</v>
      </c>
      <c r="I19" s="36">
        <f>VLOOKUP(F19,m.o.!A2:F129,5,FALSE)</f>
        <v>8.0299999999999994</v>
      </c>
      <c r="J19" s="36">
        <f>TRUNC(H19*I19,2)</f>
        <v>8.0299999999999994</v>
      </c>
    </row>
    <row r="20" spans="1:10" x14ac:dyDescent="0.2">
      <c r="A20" s="1060"/>
      <c r="B20" s="1061"/>
      <c r="C20" s="1061"/>
      <c r="D20" s="1061"/>
      <c r="E20" s="1062"/>
      <c r="F20" s="44"/>
      <c r="G20" s="45"/>
      <c r="H20" s="36"/>
      <c r="I20" s="36"/>
      <c r="J20" s="36"/>
    </row>
    <row r="21" spans="1:10" x14ac:dyDescent="0.2">
      <c r="A21" s="107"/>
      <c r="B21" s="108"/>
      <c r="C21" s="108"/>
      <c r="D21" s="108"/>
      <c r="E21" s="109"/>
      <c r="F21" s="44"/>
      <c r="G21" s="45"/>
      <c r="H21" s="36"/>
      <c r="I21" s="36"/>
      <c r="J21" s="36"/>
    </row>
    <row r="22" spans="1:10" x14ac:dyDescent="0.2">
      <c r="A22" s="107"/>
      <c r="B22" s="108"/>
      <c r="C22" s="108"/>
      <c r="D22" s="108"/>
      <c r="E22" s="109"/>
      <c r="F22" s="44"/>
      <c r="G22" s="46"/>
      <c r="H22" s="36"/>
      <c r="I22" s="36"/>
      <c r="J22" s="36"/>
    </row>
    <row r="23" spans="1:10" x14ac:dyDescent="0.2">
      <c r="A23" s="94"/>
      <c r="B23" s="95"/>
      <c r="C23" s="95"/>
      <c r="D23" s="95"/>
      <c r="E23" s="96"/>
      <c r="F23" s="44"/>
      <c r="G23" s="46"/>
      <c r="H23" s="36"/>
      <c r="I23" s="36"/>
      <c r="J23" s="36"/>
    </row>
    <row r="24" spans="1:10" x14ac:dyDescent="0.2">
      <c r="A24" s="107"/>
      <c r="B24" s="108"/>
      <c r="C24" s="108"/>
      <c r="D24" s="108"/>
      <c r="E24" s="109"/>
      <c r="F24" s="44"/>
      <c r="G24" s="46"/>
      <c r="H24" s="36"/>
      <c r="I24" s="36"/>
      <c r="J24" s="36"/>
    </row>
    <row r="25" spans="1:10" x14ac:dyDescent="0.2">
      <c r="A25" s="107"/>
      <c r="B25" s="108"/>
      <c r="C25" s="108"/>
      <c r="D25" s="108"/>
      <c r="E25" s="109"/>
      <c r="F25" s="44"/>
      <c r="G25" s="46"/>
      <c r="H25" s="36"/>
      <c r="I25" s="36"/>
      <c r="J25" s="36"/>
    </row>
    <row r="26" spans="1:10" x14ac:dyDescent="0.2">
      <c r="A26" s="1031"/>
      <c r="B26" s="1032"/>
      <c r="C26" s="1032"/>
      <c r="D26" s="1032"/>
      <c r="E26" s="1033"/>
      <c r="F26" s="41"/>
      <c r="G26" s="47"/>
      <c r="H26" s="42"/>
      <c r="I26" s="42"/>
      <c r="J26" s="36"/>
    </row>
    <row r="27" spans="1:10" x14ac:dyDescent="0.2">
      <c r="A27" s="1063" t="s">
        <v>84</v>
      </c>
      <c r="B27" s="1064"/>
      <c r="C27" s="1064"/>
      <c r="D27" s="1064"/>
      <c r="E27" s="1064"/>
      <c r="F27" s="1064"/>
      <c r="G27" s="1064"/>
      <c r="H27" s="1064"/>
      <c r="I27" s="1065"/>
      <c r="J27" s="43">
        <f>ROUND(SUM(J18:J26),2)</f>
        <v>11.95</v>
      </c>
    </row>
    <row r="28" spans="1:10" x14ac:dyDescent="0.2">
      <c r="A28" s="1072" t="s">
        <v>85</v>
      </c>
      <c r="B28" s="1073"/>
      <c r="C28" s="1073"/>
      <c r="D28" s="1073"/>
      <c r="E28" s="1073"/>
      <c r="F28" s="42">
        <v>0.83</v>
      </c>
      <c r="G28" s="1072" t="s">
        <v>86</v>
      </c>
      <c r="H28" s="1073"/>
      <c r="I28" s="1073"/>
      <c r="J28" s="48">
        <f>+J27+J15</f>
        <v>11.95</v>
      </c>
    </row>
    <row r="29" spans="1:10" x14ac:dyDescent="0.2">
      <c r="A29" s="1074" t="s">
        <v>87</v>
      </c>
      <c r="B29" s="1075"/>
      <c r="C29" s="1075"/>
      <c r="D29" s="1075"/>
      <c r="E29" s="1075"/>
      <c r="F29" s="1075"/>
      <c r="G29" s="1075"/>
      <c r="H29" s="1075"/>
      <c r="I29" s="1076"/>
      <c r="J29" s="43">
        <f>TRUNC(J28/F28,2)</f>
        <v>14.39</v>
      </c>
    </row>
    <row r="30" spans="1:10" x14ac:dyDescent="0.2">
      <c r="A30" s="1077" t="s">
        <v>88</v>
      </c>
      <c r="B30" s="1078"/>
      <c r="C30" s="1078"/>
      <c r="D30" s="1078"/>
      <c r="E30" s="1079"/>
      <c r="F30" s="1049" t="s">
        <v>59</v>
      </c>
      <c r="G30" s="1049" t="s">
        <v>1</v>
      </c>
      <c r="H30" s="1053" t="s">
        <v>63</v>
      </c>
      <c r="I30" s="1049" t="s">
        <v>89</v>
      </c>
      <c r="J30" s="1049" t="s">
        <v>90</v>
      </c>
    </row>
    <row r="31" spans="1:10" x14ac:dyDescent="0.2">
      <c r="A31" s="1080"/>
      <c r="B31" s="1081"/>
      <c r="C31" s="1081"/>
      <c r="D31" s="1081"/>
      <c r="E31" s="1082"/>
      <c r="F31" s="1050"/>
      <c r="G31" s="1050"/>
      <c r="H31" s="1053"/>
      <c r="I31" s="1050"/>
      <c r="J31" s="1050"/>
    </row>
    <row r="32" spans="1:10" x14ac:dyDescent="0.2">
      <c r="A32" s="1060" t="str">
        <f>VLOOKUP(F32,mat.!$A$3:$D$646,2,FALSE)</f>
        <v>Caibros 7 X 7 cm</v>
      </c>
      <c r="B32" s="1061"/>
      <c r="C32" s="1061"/>
      <c r="D32" s="1061"/>
      <c r="E32" s="1062"/>
      <c r="F32" s="44">
        <v>10062</v>
      </c>
      <c r="G32" s="54" t="str">
        <f>VLOOKUP(F32,mat.!$A$3:$D$642,3,FALSE)</f>
        <v>m</v>
      </c>
      <c r="H32" s="54">
        <f>VLOOKUP(F32,mat.!$A$3:$E$642,4,FALSE)</f>
        <v>7.15</v>
      </c>
      <c r="I32" s="55">
        <v>3</v>
      </c>
      <c r="J32" s="36">
        <f>TRUNC(I32*H32,2)</f>
        <v>21.45</v>
      </c>
    </row>
    <row r="33" spans="1:13" ht="12.95" customHeight="1" x14ac:dyDescent="0.2">
      <c r="A33" s="1060" t="str">
        <f>VLOOKUP(F33,mat.!$A$3:$D$646,2,FALSE)</f>
        <v>Madeira roliça (aprox. 8,00m - D=0,15m)</v>
      </c>
      <c r="B33" s="1061"/>
      <c r="C33" s="1061"/>
      <c r="D33" s="1061"/>
      <c r="E33" s="1062"/>
      <c r="F33" s="114">
        <v>10071</v>
      </c>
      <c r="G33" s="54" t="str">
        <f>VLOOKUP(F33,mat.!$A$3:$D$642,3,FALSE)</f>
        <v>m</v>
      </c>
      <c r="H33" s="54">
        <f>VLOOKUP(F33,mat.!$A$3:$E$642,4,FALSE)</f>
        <v>34.619999999999997</v>
      </c>
      <c r="I33" s="55">
        <v>3</v>
      </c>
      <c r="J33" s="36">
        <f>TRUNC(I33*H33,2)</f>
        <v>103.86</v>
      </c>
    </row>
    <row r="34" spans="1:13" ht="12.95" customHeight="1" x14ac:dyDescent="0.2">
      <c r="A34" s="1060" t="str">
        <f>VLOOKUP(F34,mat.!$A$3:$D$646,2,FALSE)</f>
        <v>Prego 18 X 24</v>
      </c>
      <c r="B34" s="1061"/>
      <c r="C34" s="1061"/>
      <c r="D34" s="1061"/>
      <c r="E34" s="1062"/>
      <c r="F34" s="114">
        <v>10135</v>
      </c>
      <c r="G34" s="54" t="str">
        <f>VLOOKUP(F34,mat.!$A$3:$D$642,3,FALSE)</f>
        <v>kg</v>
      </c>
      <c r="H34" s="54">
        <f>VLOOKUP(F34,mat.!$A$3:$E$642,4,FALSE)</f>
        <v>15.85</v>
      </c>
      <c r="I34" s="55">
        <v>0.2</v>
      </c>
      <c r="J34" s="36">
        <f>TRUNC(I34*H34,2)</f>
        <v>3.17</v>
      </c>
    </row>
    <row r="35" spans="1:13" ht="12.95" customHeight="1" x14ac:dyDescent="0.2">
      <c r="A35" s="1060" t="str">
        <f>VLOOKUP(F35,mat.!$A$3:$D$646,2,FALSE)</f>
        <v>Taipá de 1ª com 2,5 cm</v>
      </c>
      <c r="B35" s="1061"/>
      <c r="C35" s="1061"/>
      <c r="D35" s="1061"/>
      <c r="E35" s="1062"/>
      <c r="F35" s="114">
        <v>10057</v>
      </c>
      <c r="G35" s="54" t="str">
        <f>VLOOKUP(F35,mat.!$A$3:$D$642,3,FALSE)</f>
        <v>m3</v>
      </c>
      <c r="H35" s="54">
        <f>VLOOKUP(F35,mat.!$A$3:$E$642,4,FALSE)</f>
        <v>1301.2</v>
      </c>
      <c r="I35" s="55">
        <v>2.5000000000000001E-2</v>
      </c>
      <c r="J35" s="36">
        <f>TRUNC(I35*H35,2)</f>
        <v>32.53</v>
      </c>
    </row>
    <row r="36" spans="1:13" ht="12.95" customHeight="1" x14ac:dyDescent="0.2">
      <c r="A36" s="107"/>
      <c r="B36" s="108"/>
      <c r="C36" s="108"/>
      <c r="D36" s="108"/>
      <c r="E36" s="109"/>
      <c r="F36" s="52"/>
      <c r="G36" s="54"/>
      <c r="H36" s="54"/>
      <c r="I36" s="55"/>
      <c r="J36" s="36"/>
    </row>
    <row r="37" spans="1:13" ht="12.95" customHeight="1" x14ac:dyDescent="0.2">
      <c r="A37" s="111"/>
      <c r="B37" s="112"/>
      <c r="C37" s="112"/>
      <c r="D37" s="112"/>
      <c r="E37" s="113"/>
      <c r="F37" s="52"/>
      <c r="G37" s="53"/>
      <c r="H37" s="54"/>
      <c r="I37" s="55"/>
      <c r="J37" s="36"/>
    </row>
    <row r="38" spans="1:13" ht="12.95" customHeight="1" x14ac:dyDescent="0.2">
      <c r="A38" s="94"/>
      <c r="B38" s="100"/>
      <c r="C38" s="100"/>
      <c r="D38" s="100"/>
      <c r="E38" s="101"/>
      <c r="F38" s="52"/>
      <c r="G38" s="53"/>
      <c r="H38" s="54"/>
      <c r="I38" s="55"/>
      <c r="J38" s="36"/>
    </row>
    <row r="39" spans="1:13" ht="12.95" customHeight="1" x14ac:dyDescent="0.2">
      <c r="A39" s="1060"/>
      <c r="B39" s="1061"/>
      <c r="C39" s="1061"/>
      <c r="D39" s="1061"/>
      <c r="E39" s="1062"/>
      <c r="F39" s="52"/>
      <c r="G39" s="53"/>
      <c r="H39" s="54"/>
      <c r="I39" s="55"/>
      <c r="J39" s="36"/>
    </row>
    <row r="40" spans="1:13" ht="12.95" customHeight="1" x14ac:dyDescent="0.2">
      <c r="A40" s="1060"/>
      <c r="B40" s="1061"/>
      <c r="C40" s="1061"/>
      <c r="D40" s="1061"/>
      <c r="E40" s="1062"/>
      <c r="F40" s="52"/>
      <c r="G40" s="53"/>
      <c r="H40" s="54"/>
      <c r="I40" s="55"/>
      <c r="J40" s="36"/>
    </row>
    <row r="41" spans="1:13" ht="12.95" customHeight="1" x14ac:dyDescent="0.2">
      <c r="A41" s="1031"/>
      <c r="B41" s="1032"/>
      <c r="C41" s="1032"/>
      <c r="D41" s="1032"/>
      <c r="E41" s="1033"/>
      <c r="F41" s="58"/>
      <c r="G41" s="59"/>
      <c r="H41" s="60"/>
      <c r="I41" s="55"/>
      <c r="J41" s="36"/>
    </row>
    <row r="42" spans="1:13" x14ac:dyDescent="0.2">
      <c r="A42" s="1063" t="s">
        <v>91</v>
      </c>
      <c r="B42" s="1064"/>
      <c r="C42" s="1064"/>
      <c r="D42" s="1064"/>
      <c r="E42" s="1064"/>
      <c r="F42" s="1064"/>
      <c r="G42" s="1064"/>
      <c r="H42" s="1064"/>
      <c r="I42" s="1065"/>
      <c r="J42" s="43">
        <f>ROUND(SUM(J32:J41),2)</f>
        <v>161.01</v>
      </c>
    </row>
    <row r="43" spans="1:13" x14ac:dyDescent="0.2">
      <c r="A43" s="1066" t="s">
        <v>92</v>
      </c>
      <c r="B43" s="1067"/>
      <c r="C43" s="1067"/>
      <c r="D43" s="1067"/>
      <c r="E43" s="1090" t="s">
        <v>59</v>
      </c>
      <c r="F43" s="1051" t="s">
        <v>93</v>
      </c>
      <c r="G43" s="1052"/>
      <c r="H43" s="1092" t="s">
        <v>94</v>
      </c>
      <c r="I43" s="1092" t="s">
        <v>95</v>
      </c>
      <c r="J43" s="1049" t="s">
        <v>63</v>
      </c>
    </row>
    <row r="44" spans="1:13" x14ac:dyDescent="0.2">
      <c r="A44" s="1069"/>
      <c r="B44" s="1070"/>
      <c r="C44" s="1070"/>
      <c r="D44" s="1070"/>
      <c r="E44" s="1091"/>
      <c r="F44" s="103" t="s">
        <v>21</v>
      </c>
      <c r="G44" s="103" t="s">
        <v>20</v>
      </c>
      <c r="H44" s="1092"/>
      <c r="I44" s="1092"/>
      <c r="J44" s="1050"/>
    </row>
    <row r="45" spans="1:13" x14ac:dyDescent="0.2">
      <c r="A45" s="49" t="str">
        <f>VLOOKUP(E45,transp.!A4:J30,4,FALSE)</f>
        <v>0,716XP + 0,745XR</v>
      </c>
      <c r="B45" s="104"/>
      <c r="C45" s="104" t="s">
        <v>155</v>
      </c>
      <c r="D45" s="105"/>
      <c r="E45" s="106">
        <v>60013</v>
      </c>
      <c r="F45" s="61">
        <v>24</v>
      </c>
      <c r="G45" s="36">
        <v>0</v>
      </c>
      <c r="H45" s="36">
        <f>TRUNC(F45*K45+G45*L45+M45,2)</f>
        <v>17.18</v>
      </c>
      <c r="I45" s="62">
        <v>0.154</v>
      </c>
      <c r="J45" s="36">
        <f>TRUNC(I45*H45,2)</f>
        <v>2.64</v>
      </c>
      <c r="K45" s="22">
        <f>VLOOKUP(E45,transp.!A4:K21,5,FALSE)</f>
        <v>0.71599999999999997</v>
      </c>
      <c r="L45" s="22">
        <f>VLOOKUP(E45,transp.!A5:G19,6,FALSE)</f>
        <v>0.745</v>
      </c>
      <c r="M45" s="22">
        <f>VLOOKUP(E45,transp.!A5:G19,7,FALSE)</f>
        <v>0</v>
      </c>
    </row>
    <row r="46" spans="1:13" x14ac:dyDescent="0.2">
      <c r="A46" s="107" t="str">
        <f>VLOOKUP(E46,transp.!A5:J30,4,FALSE)</f>
        <v>0,716XP + 0,745XR</v>
      </c>
      <c r="B46" s="108"/>
      <c r="C46" s="108" t="s">
        <v>156</v>
      </c>
      <c r="D46" s="109"/>
      <c r="E46" s="118">
        <v>60013</v>
      </c>
      <c r="F46" s="54">
        <v>24</v>
      </c>
      <c r="G46" s="54">
        <v>0</v>
      </c>
      <c r="H46" s="36">
        <f>TRUNC(F46*K46+G46*L46+M46,2)</f>
        <v>17.18</v>
      </c>
      <c r="I46" s="63">
        <v>0.42399999999999999</v>
      </c>
      <c r="J46" s="54">
        <f>+I46*H46</f>
        <v>7.28</v>
      </c>
      <c r="K46" s="22">
        <f>VLOOKUP(E46,transp.!A5:K25,5,FALSE)</f>
        <v>0.71599999999999997</v>
      </c>
      <c r="L46" s="22">
        <f>VLOOKUP(E46,transp.!A6:G21,6,FALSE)</f>
        <v>0.745</v>
      </c>
      <c r="M46" s="22">
        <f>VLOOKUP(E46,transp.!A6:G21,7,FALSE)</f>
        <v>0</v>
      </c>
    </row>
    <row r="47" spans="1:13" x14ac:dyDescent="0.2">
      <c r="A47" s="107" t="str">
        <f>VLOOKUP(E47,transp.!A6:J30,4,FALSE)</f>
        <v>0,716XP + 0,745XR</v>
      </c>
      <c r="B47" s="108"/>
      <c r="C47" s="108" t="s">
        <v>157</v>
      </c>
      <c r="D47" s="109"/>
      <c r="E47" s="119">
        <v>60013</v>
      </c>
      <c r="F47" s="36">
        <v>24</v>
      </c>
      <c r="G47" s="36">
        <v>0</v>
      </c>
      <c r="H47" s="36">
        <f>TRUNC(F47*K47+G47*L47+M47,2)</f>
        <v>17.18</v>
      </c>
      <c r="I47" s="62">
        <v>0.02</v>
      </c>
      <c r="J47" s="54">
        <f>+I47*H47</f>
        <v>0.34</v>
      </c>
      <c r="K47" s="22">
        <f>VLOOKUP(E47,transp.!A6:K26,5,FALSE)</f>
        <v>0.71599999999999997</v>
      </c>
      <c r="L47" s="22">
        <f>VLOOKUP(E47,transp.!A7:G25,6,FALSE)</f>
        <v>0.745</v>
      </c>
      <c r="M47" s="22">
        <f>VLOOKUP(E47,transp.!A7:G25,7,FALSE)</f>
        <v>0</v>
      </c>
    </row>
    <row r="48" spans="1:13" x14ac:dyDescent="0.2">
      <c r="A48" s="115"/>
      <c r="B48" s="116"/>
      <c r="C48" s="116"/>
      <c r="D48" s="117"/>
      <c r="E48" s="36"/>
      <c r="F48" s="36"/>
      <c r="G48" s="36"/>
      <c r="H48" s="36"/>
      <c r="I48" s="62"/>
      <c r="J48" s="54"/>
    </row>
    <row r="49" spans="1:10" x14ac:dyDescent="0.2">
      <c r="A49" s="1085" t="s">
        <v>96</v>
      </c>
      <c r="B49" s="1086"/>
      <c r="C49" s="1086"/>
      <c r="D49" s="1086"/>
      <c r="E49" s="1086"/>
      <c r="F49" s="1086"/>
      <c r="G49" s="1086"/>
      <c r="H49" s="1086"/>
      <c r="I49" s="1087"/>
      <c r="J49" s="64">
        <f>SUM(J45:J48)</f>
        <v>10.26</v>
      </c>
    </row>
    <row r="50" spans="1:10" x14ac:dyDescent="0.2">
      <c r="A50" s="1088" t="s">
        <v>97</v>
      </c>
      <c r="B50" s="1089"/>
      <c r="C50" s="1089"/>
      <c r="D50" s="1089"/>
      <c r="E50" s="1089"/>
      <c r="F50" s="1089"/>
      <c r="G50" s="102" t="s">
        <v>98</v>
      </c>
      <c r="H50" s="25"/>
      <c r="I50" s="66" t="s">
        <v>99</v>
      </c>
      <c r="J50" s="61">
        <f>J49+J42+J29</f>
        <v>185.66</v>
      </c>
    </row>
    <row r="51" spans="1:10" x14ac:dyDescent="0.2">
      <c r="A51" s="1083" t="s">
        <v>100</v>
      </c>
      <c r="B51" s="1084"/>
      <c r="C51" s="1084"/>
      <c r="D51" s="1084"/>
      <c r="E51" s="1084"/>
      <c r="F51" s="1084"/>
      <c r="G51" s="67">
        <v>0.35</v>
      </c>
      <c r="H51" s="68"/>
      <c r="I51" s="69" t="s">
        <v>99</v>
      </c>
      <c r="J51" s="48">
        <f>+J50*G51</f>
        <v>64.98</v>
      </c>
    </row>
    <row r="52" spans="1:10" x14ac:dyDescent="0.2">
      <c r="A52" s="1074" t="s">
        <v>101</v>
      </c>
      <c r="B52" s="1075"/>
      <c r="C52" s="1075"/>
      <c r="D52" s="1075"/>
      <c r="E52" s="1075"/>
      <c r="F52" s="1075"/>
      <c r="G52" s="98"/>
      <c r="H52" s="71"/>
      <c r="I52" s="97" t="s">
        <v>99</v>
      </c>
      <c r="J52" s="43">
        <f>+J51+J50</f>
        <v>250.64</v>
      </c>
    </row>
    <row r="53" spans="1:10" x14ac:dyDescent="0.2">
      <c r="A53" s="23" t="s">
        <v>102</v>
      </c>
      <c r="B53" s="25"/>
      <c r="C53" s="25"/>
      <c r="D53" s="25"/>
      <c r="E53" s="25"/>
      <c r="F53" s="25"/>
      <c r="G53" s="25"/>
      <c r="H53" s="24"/>
      <c r="I53" s="24"/>
      <c r="J53" s="73"/>
    </row>
    <row r="54" spans="1:10" x14ac:dyDescent="0.2">
      <c r="A54" s="26"/>
      <c r="B54" s="27"/>
      <c r="C54" s="27"/>
      <c r="D54" s="27"/>
      <c r="E54" s="27"/>
      <c r="F54" s="27"/>
      <c r="G54" s="27"/>
      <c r="H54" s="28"/>
      <c r="I54" s="28"/>
      <c r="J54" s="73"/>
    </row>
    <row r="55" spans="1:10" x14ac:dyDescent="0.2">
      <c r="A55" s="29"/>
      <c r="B55" s="31"/>
      <c r="C55" s="31"/>
      <c r="D55" s="30"/>
      <c r="E55" s="30"/>
      <c r="F55" s="30"/>
      <c r="G55" s="30"/>
      <c r="H55" s="30"/>
      <c r="I55" s="30"/>
      <c r="J55" s="74"/>
    </row>
  </sheetData>
  <mergeCells count="55">
    <mergeCell ref="A51:F51"/>
    <mergeCell ref="A52:F52"/>
    <mergeCell ref="A32:E32"/>
    <mergeCell ref="J43:J44"/>
    <mergeCell ref="A49:I49"/>
    <mergeCell ref="A50:F50"/>
    <mergeCell ref="A39:E39"/>
    <mergeCell ref="A40:E40"/>
    <mergeCell ref="A41:E41"/>
    <mergeCell ref="A42:I42"/>
    <mergeCell ref="A43:D44"/>
    <mergeCell ref="E43:E44"/>
    <mergeCell ref="F43:G43"/>
    <mergeCell ref="H43:H44"/>
    <mergeCell ref="I43:I44"/>
    <mergeCell ref="J30:J31"/>
    <mergeCell ref="A33:E33"/>
    <mergeCell ref="A34:E34"/>
    <mergeCell ref="A35:E35"/>
    <mergeCell ref="A28:E28"/>
    <mergeCell ref="G28:I28"/>
    <mergeCell ref="A29:I29"/>
    <mergeCell ref="A30:E31"/>
    <mergeCell ref="F30:F31"/>
    <mergeCell ref="G30:G31"/>
    <mergeCell ref="H30:H31"/>
    <mergeCell ref="I30:I31"/>
    <mergeCell ref="J16:J17"/>
    <mergeCell ref="A18:E18"/>
    <mergeCell ref="A19:E19"/>
    <mergeCell ref="A20:E20"/>
    <mergeCell ref="A26:E26"/>
    <mergeCell ref="A27:I27"/>
    <mergeCell ref="A15:I15"/>
    <mergeCell ref="A16:E17"/>
    <mergeCell ref="F16:F17"/>
    <mergeCell ref="G16:G17"/>
    <mergeCell ref="H16:H17"/>
    <mergeCell ref="I16:I17"/>
    <mergeCell ref="A14:C14"/>
    <mergeCell ref="A1:J1"/>
    <mergeCell ref="A3:A4"/>
    <mergeCell ref="B3:H4"/>
    <mergeCell ref="I3:I4"/>
    <mergeCell ref="J3:J4"/>
    <mergeCell ref="A5:C6"/>
    <mergeCell ref="D5:D6"/>
    <mergeCell ref="E5:E6"/>
    <mergeCell ref="F5:G5"/>
    <mergeCell ref="H5:I5"/>
    <mergeCell ref="J5:J6"/>
    <mergeCell ref="A7:C8"/>
    <mergeCell ref="A10:C10"/>
    <mergeCell ref="A11:C11"/>
    <mergeCell ref="A12:C12"/>
  </mergeCells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55"/>
  <sheetViews>
    <sheetView topLeftCell="A13" workbookViewId="0">
      <selection activeCell="C55" sqref="C55"/>
    </sheetView>
  </sheetViews>
  <sheetFormatPr defaultColWidth="9" defaultRowHeight="11.25" x14ac:dyDescent="0.2"/>
  <cols>
    <col min="1" max="2" width="9" style="22"/>
    <col min="3" max="3" width="10.875" style="22" customWidth="1"/>
    <col min="4" max="16384" width="9" style="22"/>
  </cols>
  <sheetData>
    <row r="1" spans="1:10" ht="15.75" x14ac:dyDescent="0.2">
      <c r="A1" s="1034" t="s">
        <v>68</v>
      </c>
      <c r="B1" s="1035"/>
      <c r="C1" s="1035"/>
      <c r="D1" s="1035"/>
      <c r="E1" s="1035"/>
      <c r="F1" s="1035"/>
      <c r="G1" s="1035"/>
      <c r="H1" s="1035"/>
      <c r="I1" s="1035"/>
      <c r="J1" s="1036"/>
    </row>
    <row r="2" spans="1:10" x14ac:dyDescent="0.2">
      <c r="A2" s="32" t="s">
        <v>69</v>
      </c>
      <c r="B2" s="25" t="s">
        <v>70</v>
      </c>
      <c r="C2" s="25"/>
      <c r="D2" s="25"/>
      <c r="E2" s="25"/>
      <c r="F2" s="25"/>
      <c r="G2" s="25"/>
      <c r="H2" s="25"/>
      <c r="I2" s="32" t="s">
        <v>71</v>
      </c>
      <c r="J2" s="32" t="s">
        <v>72</v>
      </c>
    </row>
    <row r="3" spans="1:10" x14ac:dyDescent="0.2">
      <c r="A3" s="1037" t="e">
        <f>+Planilha!#REF!</f>
        <v>#REF!</v>
      </c>
      <c r="B3" s="1039" t="e">
        <f>+Planilha!#REF!</f>
        <v>#REF!</v>
      </c>
      <c r="C3" s="1040"/>
      <c r="D3" s="1040"/>
      <c r="E3" s="1040"/>
      <c r="F3" s="1040"/>
      <c r="G3" s="1040"/>
      <c r="H3" s="1041"/>
      <c r="I3" s="1045" t="e">
        <f>+Planilha!#REF!</f>
        <v>#REF!</v>
      </c>
      <c r="J3" s="1046" t="s">
        <v>153</v>
      </c>
    </row>
    <row r="4" spans="1:10" x14ac:dyDescent="0.2">
      <c r="A4" s="1038"/>
      <c r="B4" s="1042"/>
      <c r="C4" s="1043"/>
      <c r="D4" s="1043"/>
      <c r="E4" s="1043"/>
      <c r="F4" s="1043"/>
      <c r="G4" s="1043"/>
      <c r="H4" s="1044"/>
      <c r="I4" s="1038"/>
      <c r="J4" s="1047"/>
    </row>
    <row r="5" spans="1:10" x14ac:dyDescent="0.2">
      <c r="A5" s="1048" t="s">
        <v>73</v>
      </c>
      <c r="B5" s="1048"/>
      <c r="C5" s="1048"/>
      <c r="D5" s="1049" t="s">
        <v>59</v>
      </c>
      <c r="E5" s="1049" t="s">
        <v>74</v>
      </c>
      <c r="F5" s="1051" t="s">
        <v>75</v>
      </c>
      <c r="G5" s="1052"/>
      <c r="H5" s="1051" t="s">
        <v>76</v>
      </c>
      <c r="I5" s="1052"/>
      <c r="J5" s="1053" t="s">
        <v>77</v>
      </c>
    </row>
    <row r="6" spans="1:10" x14ac:dyDescent="0.2">
      <c r="A6" s="1048"/>
      <c r="B6" s="1048"/>
      <c r="C6" s="1048"/>
      <c r="D6" s="1050"/>
      <c r="E6" s="1050"/>
      <c r="F6" s="103" t="s">
        <v>78</v>
      </c>
      <c r="G6" s="34" t="s">
        <v>79</v>
      </c>
      <c r="H6" s="103" t="s">
        <v>78</v>
      </c>
      <c r="I6" s="103" t="s">
        <v>79</v>
      </c>
      <c r="J6" s="1053"/>
    </row>
    <row r="7" spans="1:10" ht="15" customHeight="1" x14ac:dyDescent="0.2">
      <c r="A7" s="1093" t="str">
        <f>VLOOKUP(D7,equip.!A1:G154,2,FALSE)</f>
        <v>Betoneira 600 l com carregador (elétrica)</v>
      </c>
      <c r="B7" s="1094"/>
      <c r="C7" s="1095"/>
      <c r="D7" s="35">
        <v>30070</v>
      </c>
      <c r="E7" s="36">
        <v>1</v>
      </c>
      <c r="F7" s="36">
        <v>1</v>
      </c>
      <c r="G7" s="36">
        <v>0</v>
      </c>
      <c r="H7" s="36">
        <f>VLOOKUP(D7,equip.!A1:G130,6,FALSE)</f>
        <v>26.5</v>
      </c>
      <c r="I7" s="36">
        <f>VLOOKUP(D7,equip.!A1:AB130,7,FALSE)</f>
        <v>21.55</v>
      </c>
      <c r="J7" s="36">
        <f>TRUNC(E7*F7*H7+E7*G7*I7,2)</f>
        <v>26.5</v>
      </c>
    </row>
    <row r="8" spans="1:10" ht="15" customHeight="1" x14ac:dyDescent="0.2">
      <c r="A8" s="1096" t="str">
        <f>VLOOKUP(D8,equip.!A2:G155,2,FALSE)</f>
        <v>Carrinho de mão</v>
      </c>
      <c r="B8" s="1097"/>
      <c r="C8" s="1098"/>
      <c r="D8" s="40">
        <v>30076</v>
      </c>
      <c r="E8" s="36">
        <v>3</v>
      </c>
      <c r="F8" s="36">
        <v>1</v>
      </c>
      <c r="G8" s="36">
        <v>0</v>
      </c>
      <c r="H8" s="36">
        <f>VLOOKUP(D8,equip.!A2:G131,6,FALSE)</f>
        <v>0.19</v>
      </c>
      <c r="I8" s="36">
        <f>VLOOKUP(D8,equip.!A2:AB131,7,FALSE)</f>
        <v>0.13</v>
      </c>
      <c r="J8" s="36">
        <f>TRUNC(E8*F8*H8+E8*G8*I8,2)</f>
        <v>0.56999999999999995</v>
      </c>
    </row>
    <row r="9" spans="1:10" ht="30" customHeight="1" x14ac:dyDescent="0.2">
      <c r="A9" s="1096" t="str">
        <f>VLOOKUP(D9,equip.!A3:G156,2,FALSE)</f>
        <v>Vibrador de imersao AA67 c/ mangote, marca de referência ATLAS COPCO ou equivalente</v>
      </c>
      <c r="B9" s="1097"/>
      <c r="C9" s="1098"/>
      <c r="D9" s="40">
        <v>30071</v>
      </c>
      <c r="E9" s="36">
        <v>2</v>
      </c>
      <c r="F9" s="36">
        <v>1</v>
      </c>
      <c r="G9" s="36">
        <v>0</v>
      </c>
      <c r="H9" s="36">
        <f>VLOOKUP(D9,equip.!A3:G132,6,FALSE)</f>
        <v>15.98</v>
      </c>
      <c r="I9" s="36">
        <f>VLOOKUP(D9,equip.!A3:AB132,7,FALSE)</f>
        <v>13.16</v>
      </c>
      <c r="J9" s="36">
        <f>TRUNC(E9*F9*H9+E9*G9*I9,2)</f>
        <v>31.96</v>
      </c>
    </row>
    <row r="10" spans="1:10" x14ac:dyDescent="0.2">
      <c r="A10" s="94" t="s">
        <v>158</v>
      </c>
      <c r="B10" s="95"/>
      <c r="C10" s="96"/>
      <c r="D10" s="35"/>
      <c r="E10" s="110">
        <v>0.05</v>
      </c>
      <c r="F10" s="36"/>
      <c r="G10" s="36"/>
      <c r="H10" s="36">
        <f>+J27</f>
        <v>72.66</v>
      </c>
      <c r="I10" s="36"/>
      <c r="J10" s="36">
        <f>TRUNC(H10*E10,2)</f>
        <v>3.63</v>
      </c>
    </row>
    <row r="11" spans="1:10" ht="15" customHeight="1" x14ac:dyDescent="0.2">
      <c r="A11" s="1060"/>
      <c r="B11" s="1061"/>
      <c r="C11" s="1062"/>
      <c r="D11" s="40"/>
      <c r="E11" s="36"/>
      <c r="F11" s="36"/>
      <c r="G11" s="36"/>
      <c r="H11" s="36"/>
      <c r="I11" s="36"/>
      <c r="J11" s="36"/>
    </row>
    <row r="12" spans="1:10" ht="15" customHeight="1" x14ac:dyDescent="0.2">
      <c r="A12" s="1060"/>
      <c r="B12" s="1061"/>
      <c r="C12" s="1062"/>
      <c r="D12" s="40"/>
      <c r="E12" s="36"/>
      <c r="F12" s="36"/>
      <c r="G12" s="36"/>
      <c r="H12" s="36"/>
      <c r="I12" s="36"/>
      <c r="J12" s="36"/>
    </row>
    <row r="13" spans="1:10" ht="15" customHeight="1" x14ac:dyDescent="0.2">
      <c r="A13" s="94"/>
      <c r="B13" s="95"/>
      <c r="C13" s="96"/>
      <c r="D13" s="40"/>
      <c r="E13" s="36"/>
      <c r="F13" s="36"/>
      <c r="G13" s="36"/>
      <c r="H13" s="36"/>
      <c r="I13" s="36"/>
      <c r="J13" s="36"/>
    </row>
    <row r="14" spans="1:10" ht="15" customHeight="1" x14ac:dyDescent="0.2">
      <c r="A14" s="1031"/>
      <c r="B14" s="1032"/>
      <c r="C14" s="1033"/>
      <c r="D14" s="41"/>
      <c r="E14" s="42"/>
      <c r="F14" s="42"/>
      <c r="G14" s="36"/>
      <c r="H14" s="36"/>
      <c r="I14" s="36"/>
      <c r="J14" s="36"/>
    </row>
    <row r="15" spans="1:10" x14ac:dyDescent="0.2">
      <c r="A15" s="1063" t="s">
        <v>80</v>
      </c>
      <c r="B15" s="1064"/>
      <c r="C15" s="1064"/>
      <c r="D15" s="1064"/>
      <c r="E15" s="1064"/>
      <c r="F15" s="1064"/>
      <c r="G15" s="1064"/>
      <c r="H15" s="1064"/>
      <c r="I15" s="1065"/>
      <c r="J15" s="43">
        <f>SUM(J7:J14)</f>
        <v>62.66</v>
      </c>
    </row>
    <row r="16" spans="1:10" x14ac:dyDescent="0.2">
      <c r="A16" s="1066" t="s">
        <v>81</v>
      </c>
      <c r="B16" s="1067"/>
      <c r="C16" s="1067"/>
      <c r="D16" s="1067"/>
      <c r="E16" s="1068"/>
      <c r="F16" s="1049" t="s">
        <v>59</v>
      </c>
      <c r="G16" s="1049" t="s">
        <v>82</v>
      </c>
      <c r="H16" s="1049" t="s">
        <v>74</v>
      </c>
      <c r="I16" s="1053" t="s">
        <v>83</v>
      </c>
      <c r="J16" s="1049" t="s">
        <v>77</v>
      </c>
    </row>
    <row r="17" spans="1:10" x14ac:dyDescent="0.2">
      <c r="A17" s="1069"/>
      <c r="B17" s="1070"/>
      <c r="C17" s="1070"/>
      <c r="D17" s="1070"/>
      <c r="E17" s="1071"/>
      <c r="F17" s="1050"/>
      <c r="G17" s="1050"/>
      <c r="H17" s="1050"/>
      <c r="I17" s="1053"/>
      <c r="J17" s="1050"/>
    </row>
    <row r="18" spans="1:10" x14ac:dyDescent="0.2">
      <c r="A18" s="1060" t="str">
        <f>VLOOKUP(F18,m.o.!A1:F153,2,FALSE)</f>
        <v>Encarregado de O.A.C.</v>
      </c>
      <c r="B18" s="1061"/>
      <c r="C18" s="1061"/>
      <c r="D18" s="1061"/>
      <c r="E18" s="1062"/>
      <c r="F18" s="44">
        <v>20060</v>
      </c>
      <c r="G18" s="45"/>
      <c r="H18" s="36">
        <v>1</v>
      </c>
      <c r="I18" s="36">
        <f>VLOOKUP(F18,m.o.!A1:F128,5,FALSE)</f>
        <v>11</v>
      </c>
      <c r="J18" s="36">
        <f>TRUNC(H18*I18,2)</f>
        <v>11</v>
      </c>
    </row>
    <row r="19" spans="1:10" x14ac:dyDescent="0.2">
      <c r="A19" s="1060" t="str">
        <f>VLOOKUP(F19,m.o.!A2:F154,2,FALSE)</f>
        <v>Operário braçal</v>
      </c>
      <c r="B19" s="1061"/>
      <c r="C19" s="1061"/>
      <c r="D19" s="1061"/>
      <c r="E19" s="1062"/>
      <c r="F19" s="44">
        <v>20107</v>
      </c>
      <c r="G19" s="45"/>
      <c r="H19" s="36">
        <v>10</v>
      </c>
      <c r="I19" s="36">
        <f>VLOOKUP(F19,m.o.!A2:F129,5,FALSE)</f>
        <v>4.96</v>
      </c>
      <c r="J19" s="36">
        <f>TRUNC(H19*I19,2)</f>
        <v>49.6</v>
      </c>
    </row>
    <row r="20" spans="1:10" ht="15" customHeight="1" x14ac:dyDescent="0.2">
      <c r="A20" s="1060" t="str">
        <f>VLOOKUP(F20,m.o.!A4:F155,2,FALSE)</f>
        <v>Pedreiro de O.A.C.</v>
      </c>
      <c r="B20" s="1061"/>
      <c r="C20" s="1061"/>
      <c r="D20" s="1061"/>
      <c r="E20" s="1062"/>
      <c r="F20" s="44">
        <v>20109</v>
      </c>
      <c r="G20" s="45"/>
      <c r="H20" s="36">
        <v>2</v>
      </c>
      <c r="I20" s="36">
        <f>VLOOKUP(F20,m.o.!A4:F130,5,FALSE)</f>
        <v>6.03</v>
      </c>
      <c r="J20" s="36">
        <f>TRUNC(H20*I20,2)</f>
        <v>12.06</v>
      </c>
    </row>
    <row r="21" spans="1:10" x14ac:dyDescent="0.2">
      <c r="A21" s="107"/>
      <c r="B21" s="108"/>
      <c r="C21" s="108"/>
      <c r="D21" s="108"/>
      <c r="E21" s="109"/>
      <c r="F21" s="44"/>
      <c r="G21" s="45"/>
      <c r="H21" s="36"/>
      <c r="I21" s="36"/>
      <c r="J21" s="36"/>
    </row>
    <row r="22" spans="1:10" x14ac:dyDescent="0.2">
      <c r="A22" s="107"/>
      <c r="B22" s="108"/>
      <c r="C22" s="108"/>
      <c r="D22" s="108"/>
      <c r="E22" s="109"/>
      <c r="F22" s="44"/>
      <c r="G22" s="46"/>
      <c r="H22" s="36"/>
      <c r="I22" s="36"/>
      <c r="J22" s="36"/>
    </row>
    <row r="23" spans="1:10" x14ac:dyDescent="0.2">
      <c r="A23" s="94"/>
      <c r="B23" s="95"/>
      <c r="C23" s="95"/>
      <c r="D23" s="95"/>
      <c r="E23" s="96"/>
      <c r="F23" s="44"/>
      <c r="G23" s="46"/>
      <c r="H23" s="36"/>
      <c r="I23" s="36"/>
      <c r="J23" s="36"/>
    </row>
    <row r="24" spans="1:10" hidden="1" x14ac:dyDescent="0.2">
      <c r="A24" s="107"/>
      <c r="B24" s="108"/>
      <c r="C24" s="108"/>
      <c r="D24" s="108"/>
      <c r="E24" s="109"/>
      <c r="F24" s="44"/>
      <c r="G24" s="46"/>
      <c r="H24" s="36"/>
      <c r="I24" s="36"/>
      <c r="J24" s="36"/>
    </row>
    <row r="25" spans="1:10" x14ac:dyDescent="0.2">
      <c r="A25" s="107"/>
      <c r="B25" s="108"/>
      <c r="C25" s="108"/>
      <c r="D25" s="108"/>
      <c r="E25" s="109"/>
      <c r="F25" s="44"/>
      <c r="G25" s="46"/>
      <c r="H25" s="36"/>
      <c r="I25" s="36"/>
      <c r="J25" s="36"/>
    </row>
    <row r="26" spans="1:10" x14ac:dyDescent="0.2">
      <c r="A26" s="1031"/>
      <c r="B26" s="1032"/>
      <c r="C26" s="1032"/>
      <c r="D26" s="1032"/>
      <c r="E26" s="1033"/>
      <c r="F26" s="41"/>
      <c r="G26" s="47"/>
      <c r="H26" s="42"/>
      <c r="I26" s="42"/>
      <c r="J26" s="36"/>
    </row>
    <row r="27" spans="1:10" x14ac:dyDescent="0.2">
      <c r="A27" s="1063" t="s">
        <v>84</v>
      </c>
      <c r="B27" s="1064"/>
      <c r="C27" s="1064"/>
      <c r="D27" s="1064"/>
      <c r="E27" s="1064"/>
      <c r="F27" s="1064"/>
      <c r="G27" s="1064"/>
      <c r="H27" s="1064"/>
      <c r="I27" s="1065"/>
      <c r="J27" s="43">
        <f>ROUND(SUM(J18:J26),2)</f>
        <v>72.66</v>
      </c>
    </row>
    <row r="28" spans="1:10" x14ac:dyDescent="0.2">
      <c r="A28" s="1072" t="s">
        <v>85</v>
      </c>
      <c r="B28" s="1073"/>
      <c r="C28" s="1073"/>
      <c r="D28" s="1073"/>
      <c r="E28" s="1073"/>
      <c r="F28" s="42">
        <v>1</v>
      </c>
      <c r="G28" s="1072" t="s">
        <v>86</v>
      </c>
      <c r="H28" s="1073"/>
      <c r="I28" s="1073"/>
      <c r="J28" s="48">
        <f>+J27+J15</f>
        <v>135.32</v>
      </c>
    </row>
    <row r="29" spans="1:10" x14ac:dyDescent="0.2">
      <c r="A29" s="1074" t="s">
        <v>87</v>
      </c>
      <c r="B29" s="1075"/>
      <c r="C29" s="1075"/>
      <c r="D29" s="1075"/>
      <c r="E29" s="1075"/>
      <c r="F29" s="1075"/>
      <c r="G29" s="1075"/>
      <c r="H29" s="1075"/>
      <c r="I29" s="1076"/>
      <c r="J29" s="43">
        <f>TRUNC(J28/F28,2)</f>
        <v>135.32</v>
      </c>
    </row>
    <row r="30" spans="1:10" x14ac:dyDescent="0.2">
      <c r="A30" s="1077" t="s">
        <v>88</v>
      </c>
      <c r="B30" s="1078"/>
      <c r="C30" s="1078"/>
      <c r="D30" s="1078"/>
      <c r="E30" s="1079"/>
      <c r="F30" s="1049" t="s">
        <v>59</v>
      </c>
      <c r="G30" s="1049" t="s">
        <v>1</v>
      </c>
      <c r="H30" s="1053" t="s">
        <v>63</v>
      </c>
      <c r="I30" s="1049" t="s">
        <v>89</v>
      </c>
      <c r="J30" s="1049" t="s">
        <v>90</v>
      </c>
    </row>
    <row r="31" spans="1:10" x14ac:dyDescent="0.2">
      <c r="A31" s="1080"/>
      <c r="B31" s="1081"/>
      <c r="C31" s="1081"/>
      <c r="D31" s="1081"/>
      <c r="E31" s="1082"/>
      <c r="F31" s="1050"/>
      <c r="G31" s="1050"/>
      <c r="H31" s="1053"/>
      <c r="I31" s="1050"/>
      <c r="J31" s="1050"/>
    </row>
    <row r="32" spans="1:10" x14ac:dyDescent="0.2">
      <c r="A32" s="1060" t="str">
        <f>VLOOKUP(F32,mat.!$A$3:$D$646,2,FALSE)</f>
        <v>Areia grossa jazida com carregamento mecânico</v>
      </c>
      <c r="B32" s="1061"/>
      <c r="C32" s="1061"/>
      <c r="D32" s="1061"/>
      <c r="E32" s="1062"/>
      <c r="F32" s="44">
        <v>10109</v>
      </c>
      <c r="G32" s="54" t="str">
        <f>VLOOKUP(F32,mat.!$A$3:$D$642,3,FALSE)</f>
        <v>m3</v>
      </c>
      <c r="H32" s="54">
        <f>VLOOKUP(F32,mat.!$A$3:$E$642,4,FALSE)</f>
        <v>60</v>
      </c>
      <c r="I32" s="55">
        <v>3</v>
      </c>
      <c r="J32" s="36">
        <f>TRUNC(I32*H32,2)</f>
        <v>180</v>
      </c>
    </row>
    <row r="33" spans="1:13" x14ac:dyDescent="0.2">
      <c r="A33" s="1060" t="str">
        <f>VLOOKUP(F33,mat.!$A$3:$D$646,2,FALSE)</f>
        <v>Cimento CP III</v>
      </c>
      <c r="B33" s="1061"/>
      <c r="C33" s="1061"/>
      <c r="D33" s="1061"/>
      <c r="E33" s="1062"/>
      <c r="F33" s="114">
        <v>10092</v>
      </c>
      <c r="G33" s="54" t="str">
        <f>VLOOKUP(F33,mat.!$A$3:$D$642,3,FALSE)</f>
        <v>kg</v>
      </c>
      <c r="H33" s="54">
        <f>VLOOKUP(F33,mat.!$A$3:$E$642,4,FALSE)</f>
        <v>0.41</v>
      </c>
      <c r="I33" s="55">
        <v>3</v>
      </c>
      <c r="J33" s="36">
        <f>TRUNC(I33*H33,2)</f>
        <v>1.23</v>
      </c>
    </row>
    <row r="34" spans="1:13" x14ac:dyDescent="0.2">
      <c r="A34" s="1060" t="str">
        <f>VLOOKUP(F34,mat.!$A$3:$D$646,2,FALSE)</f>
        <v>Pedra britada p/ concreto, sem frete</v>
      </c>
      <c r="B34" s="1061"/>
      <c r="C34" s="1061"/>
      <c r="D34" s="1061"/>
      <c r="E34" s="1062"/>
      <c r="F34" s="114">
        <v>10125</v>
      </c>
      <c r="G34" s="54" t="str">
        <f>VLOOKUP(F34,mat.!$A$3:$D$642,3,FALSE)</f>
        <v>m3</v>
      </c>
      <c r="H34" s="54">
        <f>VLOOKUP(F34,mat.!$A$3:$E$642,4,FALSE)</f>
        <v>70.75</v>
      </c>
      <c r="I34" s="55">
        <v>0.2</v>
      </c>
      <c r="J34" s="36">
        <f>TRUNC(I34*H34,2)</f>
        <v>14.15</v>
      </c>
    </row>
    <row r="35" spans="1:13" x14ac:dyDescent="0.2">
      <c r="A35" s="1060"/>
      <c r="B35" s="1061"/>
      <c r="C35" s="1061"/>
      <c r="D35" s="1061"/>
      <c r="E35" s="1062"/>
      <c r="F35" s="114"/>
      <c r="G35" s="54"/>
      <c r="H35" s="54"/>
      <c r="I35" s="55"/>
      <c r="J35" s="36"/>
    </row>
    <row r="36" spans="1:13" x14ac:dyDescent="0.2">
      <c r="A36" s="107"/>
      <c r="B36" s="108"/>
      <c r="C36" s="108"/>
      <c r="D36" s="108"/>
      <c r="E36" s="109"/>
      <c r="F36" s="52"/>
      <c r="G36" s="54"/>
      <c r="H36" s="54"/>
      <c r="I36" s="55"/>
      <c r="J36" s="36"/>
    </row>
    <row r="37" spans="1:13" x14ac:dyDescent="0.2">
      <c r="A37" s="111"/>
      <c r="B37" s="112"/>
      <c r="C37" s="112"/>
      <c r="D37" s="112"/>
      <c r="E37" s="113"/>
      <c r="F37" s="52"/>
      <c r="G37" s="53"/>
      <c r="H37" s="54"/>
      <c r="I37" s="55"/>
      <c r="J37" s="36"/>
    </row>
    <row r="38" spans="1:13" x14ac:dyDescent="0.2">
      <c r="A38" s="94"/>
      <c r="B38" s="100"/>
      <c r="C38" s="100"/>
      <c r="D38" s="100"/>
      <c r="E38" s="101"/>
      <c r="F38" s="52"/>
      <c r="G38" s="53"/>
      <c r="H38" s="54"/>
      <c r="I38" s="55"/>
      <c r="J38" s="36"/>
    </row>
    <row r="39" spans="1:13" x14ac:dyDescent="0.2">
      <c r="A39" s="1060"/>
      <c r="B39" s="1061"/>
      <c r="C39" s="1061"/>
      <c r="D39" s="1061"/>
      <c r="E39" s="1062"/>
      <c r="F39" s="52"/>
      <c r="G39" s="53"/>
      <c r="H39" s="54"/>
      <c r="I39" s="55"/>
      <c r="J39" s="36"/>
    </row>
    <row r="40" spans="1:13" x14ac:dyDescent="0.2">
      <c r="A40" s="1060"/>
      <c r="B40" s="1061"/>
      <c r="C40" s="1061"/>
      <c r="D40" s="1061"/>
      <c r="E40" s="1062"/>
      <c r="F40" s="52"/>
      <c r="G40" s="53"/>
      <c r="H40" s="54"/>
      <c r="I40" s="55"/>
      <c r="J40" s="36"/>
    </row>
    <row r="41" spans="1:13" x14ac:dyDescent="0.2">
      <c r="A41" s="1031"/>
      <c r="B41" s="1032"/>
      <c r="C41" s="1032"/>
      <c r="D41" s="1032"/>
      <c r="E41" s="1033"/>
      <c r="F41" s="58"/>
      <c r="G41" s="59"/>
      <c r="H41" s="60"/>
      <c r="I41" s="55"/>
      <c r="J41" s="36"/>
    </row>
    <row r="42" spans="1:13" x14ac:dyDescent="0.2">
      <c r="A42" s="1063" t="s">
        <v>91</v>
      </c>
      <c r="B42" s="1064"/>
      <c r="C42" s="1064"/>
      <c r="D42" s="1064"/>
      <c r="E42" s="1064"/>
      <c r="F42" s="1064"/>
      <c r="G42" s="1064"/>
      <c r="H42" s="1064"/>
      <c r="I42" s="1065"/>
      <c r="J42" s="43">
        <f>ROUND(SUM(J32:J41),2)</f>
        <v>195.38</v>
      </c>
    </row>
    <row r="43" spans="1:13" x14ac:dyDescent="0.2">
      <c r="A43" s="1066" t="s">
        <v>92</v>
      </c>
      <c r="B43" s="1067"/>
      <c r="C43" s="1067"/>
      <c r="D43" s="1067"/>
      <c r="E43" s="1090" t="s">
        <v>59</v>
      </c>
      <c r="F43" s="1051" t="s">
        <v>93</v>
      </c>
      <c r="G43" s="1052"/>
      <c r="H43" s="1092" t="s">
        <v>94</v>
      </c>
      <c r="I43" s="1092" t="s">
        <v>95</v>
      </c>
      <c r="J43" s="1049" t="s">
        <v>63</v>
      </c>
    </row>
    <row r="44" spans="1:13" x14ac:dyDescent="0.2">
      <c r="A44" s="1069"/>
      <c r="B44" s="1070"/>
      <c r="C44" s="1070"/>
      <c r="D44" s="1070"/>
      <c r="E44" s="1091"/>
      <c r="F44" s="103" t="s">
        <v>21</v>
      </c>
      <c r="G44" s="103" t="s">
        <v>20</v>
      </c>
      <c r="H44" s="1092"/>
      <c r="I44" s="1092"/>
      <c r="J44" s="1050"/>
    </row>
    <row r="45" spans="1:13" x14ac:dyDescent="0.2">
      <c r="A45" s="49" t="str">
        <f>VLOOKUP(E45,transp.!A4:J30,4,FALSE)</f>
        <v>0,719XP + 0,749XR + 2,997</v>
      </c>
      <c r="B45" s="104"/>
      <c r="C45" s="104" t="s">
        <v>113</v>
      </c>
      <c r="D45" s="105"/>
      <c r="E45" s="106">
        <v>60002</v>
      </c>
      <c r="F45" s="61">
        <v>28</v>
      </c>
      <c r="G45" s="36">
        <v>0</v>
      </c>
      <c r="H45" s="36">
        <f>TRUNC(F45*K45+G45*L45+M45,2)</f>
        <v>23.12</v>
      </c>
      <c r="I45" s="62">
        <v>0.154</v>
      </c>
      <c r="J45" s="36">
        <f>TRUNC(I45*H45,2)</f>
        <v>3.56</v>
      </c>
      <c r="K45" s="22">
        <f>VLOOKUP(E45,transp.!$A$4:$K$21,5,FALSE)</f>
        <v>0.71899999999999997</v>
      </c>
      <c r="L45" s="22">
        <f>VLOOKUP(E45,transp.!$A$4:$G$19,6,FALSE)</f>
        <v>0.749</v>
      </c>
      <c r="M45" s="22">
        <f>VLOOKUP(E45,transp.!$A$4:$G$19,7,FALSE)</f>
        <v>2.9969999999999999</v>
      </c>
    </row>
    <row r="46" spans="1:13" x14ac:dyDescent="0.2">
      <c r="A46" s="107" t="str">
        <f>VLOOKUP(E46,transp.!A5:J30,4,FALSE)</f>
        <v>0,716XP + 0,745XR</v>
      </c>
      <c r="B46" s="108"/>
      <c r="C46" s="108" t="s">
        <v>159</v>
      </c>
      <c r="D46" s="109"/>
      <c r="E46" s="118">
        <v>60013</v>
      </c>
      <c r="F46" s="54">
        <v>141</v>
      </c>
      <c r="G46" s="54">
        <v>0</v>
      </c>
      <c r="H46" s="36">
        <f>TRUNC(F46*K46+G46*L46+M46,2)</f>
        <v>100.95</v>
      </c>
      <c r="I46" s="63">
        <v>0.42399999999999999</v>
      </c>
      <c r="J46" s="54">
        <f>+I46*H46</f>
        <v>42.8</v>
      </c>
      <c r="K46" s="22">
        <f>VLOOKUP(E46,transp.!$A$4:$K$21,5,FALSE)</f>
        <v>0.71599999999999997</v>
      </c>
      <c r="L46" s="22">
        <f>VLOOKUP(E46,transp.!$A$4:$G$19,6,FALSE)</f>
        <v>0.745</v>
      </c>
      <c r="M46" s="22">
        <f>VLOOKUP(E46,transp.!$A$4:$G$19,7,FALSE)</f>
        <v>0</v>
      </c>
    </row>
    <row r="47" spans="1:13" x14ac:dyDescent="0.2">
      <c r="A47" s="107" t="str">
        <f>VLOOKUP(E47,transp.!A6:J30,4,FALSE)</f>
        <v>0,719XP + 0,749XR + 2,997</v>
      </c>
      <c r="B47" s="108"/>
      <c r="C47" s="108" t="s">
        <v>160</v>
      </c>
      <c r="D47" s="109"/>
      <c r="E47" s="119">
        <v>60002</v>
      </c>
      <c r="F47" s="36">
        <v>7.5</v>
      </c>
      <c r="G47" s="36">
        <v>1</v>
      </c>
      <c r="H47" s="36">
        <f>TRUNC(F47*K47+G47*L47+M47,2)</f>
        <v>9.1300000000000008</v>
      </c>
      <c r="I47" s="62">
        <v>0.02</v>
      </c>
      <c r="J47" s="54">
        <f>+I47*H47</f>
        <v>0.18</v>
      </c>
      <c r="K47" s="22">
        <f>VLOOKUP(E47,transp.!$A$4:$K$21,5,FALSE)</f>
        <v>0.71899999999999997</v>
      </c>
      <c r="L47" s="22">
        <f>VLOOKUP(E47,transp.!$A$4:$G$19,6,FALSE)</f>
        <v>0.749</v>
      </c>
      <c r="M47" s="22">
        <f>VLOOKUP(E47,transp.!$A$4:$G$19,7,FALSE)</f>
        <v>2.9969999999999999</v>
      </c>
    </row>
    <row r="48" spans="1:13" x14ac:dyDescent="0.2">
      <c r="A48" s="115"/>
      <c r="B48" s="116"/>
      <c r="C48" s="116"/>
      <c r="D48" s="117"/>
      <c r="E48" s="36"/>
      <c r="F48" s="36"/>
      <c r="G48" s="36"/>
      <c r="H48" s="36"/>
      <c r="I48" s="62"/>
      <c r="J48" s="54"/>
    </row>
    <row r="49" spans="1:10" x14ac:dyDescent="0.2">
      <c r="A49" s="1085" t="s">
        <v>96</v>
      </c>
      <c r="B49" s="1086"/>
      <c r="C49" s="1086"/>
      <c r="D49" s="1086"/>
      <c r="E49" s="1086"/>
      <c r="F49" s="1086"/>
      <c r="G49" s="1086"/>
      <c r="H49" s="1086"/>
      <c r="I49" s="1087"/>
      <c r="J49" s="64">
        <f>SUM(J45:J48)</f>
        <v>46.54</v>
      </c>
    </row>
    <row r="50" spans="1:10" x14ac:dyDescent="0.2">
      <c r="A50" s="1088" t="s">
        <v>97</v>
      </c>
      <c r="B50" s="1089"/>
      <c r="C50" s="1089"/>
      <c r="D50" s="1089"/>
      <c r="E50" s="1089"/>
      <c r="F50" s="1089"/>
      <c r="G50" s="102" t="s">
        <v>98</v>
      </c>
      <c r="H50" s="25"/>
      <c r="I50" s="66" t="s">
        <v>99</v>
      </c>
      <c r="J50" s="61">
        <f>J49+J42+J29</f>
        <v>377.24</v>
      </c>
    </row>
    <row r="51" spans="1:10" x14ac:dyDescent="0.2">
      <c r="A51" s="1083" t="s">
        <v>100</v>
      </c>
      <c r="B51" s="1084"/>
      <c r="C51" s="1084"/>
      <c r="D51" s="1084"/>
      <c r="E51" s="1084"/>
      <c r="F51" s="1084"/>
      <c r="G51" s="67">
        <v>0.35</v>
      </c>
      <c r="H51" s="68"/>
      <c r="I51" s="69" t="s">
        <v>99</v>
      </c>
      <c r="J51" s="48">
        <f>+J50*G51</f>
        <v>132.03</v>
      </c>
    </row>
    <row r="52" spans="1:10" x14ac:dyDescent="0.2">
      <c r="A52" s="1074" t="s">
        <v>101</v>
      </c>
      <c r="B52" s="1075"/>
      <c r="C52" s="1075"/>
      <c r="D52" s="1075"/>
      <c r="E52" s="1075"/>
      <c r="F52" s="1075"/>
      <c r="G52" s="98"/>
      <c r="H52" s="71"/>
      <c r="I52" s="97" t="s">
        <v>99</v>
      </c>
      <c r="J52" s="43">
        <f>+J51+J50</f>
        <v>509.27</v>
      </c>
    </row>
    <row r="53" spans="1:10" x14ac:dyDescent="0.2">
      <c r="A53" s="23" t="s">
        <v>102</v>
      </c>
      <c r="B53" s="25"/>
      <c r="C53" s="25"/>
      <c r="D53" s="25"/>
      <c r="E53" s="25"/>
      <c r="F53" s="25"/>
      <c r="G53" s="25"/>
      <c r="H53" s="24"/>
      <c r="I53" s="24"/>
      <c r="J53" s="73"/>
    </row>
    <row r="54" spans="1:10" x14ac:dyDescent="0.2">
      <c r="A54" s="26"/>
      <c r="B54" s="27"/>
      <c r="C54" s="27"/>
      <c r="D54" s="27"/>
      <c r="E54" s="27"/>
      <c r="F54" s="27"/>
      <c r="G54" s="27"/>
      <c r="H54" s="28"/>
      <c r="I54" s="28"/>
      <c r="J54" s="73"/>
    </row>
    <row r="55" spans="1:10" x14ac:dyDescent="0.2">
      <c r="A55" s="29"/>
      <c r="B55" s="31"/>
      <c r="C55" s="31"/>
      <c r="D55" s="30"/>
      <c r="E55" s="30"/>
      <c r="F55" s="30"/>
      <c r="G55" s="30"/>
      <c r="H55" s="30"/>
      <c r="I55" s="30"/>
      <c r="J55" s="74"/>
    </row>
  </sheetData>
  <mergeCells count="56">
    <mergeCell ref="J43:J44"/>
    <mergeCell ref="A49:I49"/>
    <mergeCell ref="A50:F50"/>
    <mergeCell ref="A51:F51"/>
    <mergeCell ref="A52:F52"/>
    <mergeCell ref="A9:C9"/>
    <mergeCell ref="A40:E40"/>
    <mergeCell ref="A41:E41"/>
    <mergeCell ref="A39:E39"/>
    <mergeCell ref="A28:E28"/>
    <mergeCell ref="A27:I27"/>
    <mergeCell ref="A15:I15"/>
    <mergeCell ref="G28:I28"/>
    <mergeCell ref="A29:I29"/>
    <mergeCell ref="A42:I42"/>
    <mergeCell ref="A43:D44"/>
    <mergeCell ref="E43:E44"/>
    <mergeCell ref="F43:G43"/>
    <mergeCell ref="H43:H44"/>
    <mergeCell ref="I43:I44"/>
    <mergeCell ref="J30:J31"/>
    <mergeCell ref="A32:E32"/>
    <mergeCell ref="A33:E33"/>
    <mergeCell ref="A34:E34"/>
    <mergeCell ref="A35:E35"/>
    <mergeCell ref="A30:E31"/>
    <mergeCell ref="F30:F31"/>
    <mergeCell ref="G30:G31"/>
    <mergeCell ref="H30:H31"/>
    <mergeCell ref="I30:I31"/>
    <mergeCell ref="J16:J17"/>
    <mergeCell ref="A18:E18"/>
    <mergeCell ref="A19:E19"/>
    <mergeCell ref="A20:E20"/>
    <mergeCell ref="A26:E26"/>
    <mergeCell ref="A16:E17"/>
    <mergeCell ref="F16:F17"/>
    <mergeCell ref="G16:G17"/>
    <mergeCell ref="H16:H17"/>
    <mergeCell ref="I16:I17"/>
    <mergeCell ref="J5:J6"/>
    <mergeCell ref="A11:C11"/>
    <mergeCell ref="A12:C12"/>
    <mergeCell ref="A14:C14"/>
    <mergeCell ref="A1:J1"/>
    <mergeCell ref="A3:A4"/>
    <mergeCell ref="B3:H4"/>
    <mergeCell ref="I3:I4"/>
    <mergeCell ref="J3:J4"/>
    <mergeCell ref="A5:C6"/>
    <mergeCell ref="D5:D6"/>
    <mergeCell ref="E5:E6"/>
    <mergeCell ref="F5:G5"/>
    <mergeCell ref="H5:I5"/>
    <mergeCell ref="A7:C7"/>
    <mergeCell ref="A8:C8"/>
  </mergeCells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55"/>
  <sheetViews>
    <sheetView topLeftCell="A16" workbookViewId="0">
      <selection activeCell="C55" sqref="C55"/>
    </sheetView>
  </sheetViews>
  <sheetFormatPr defaultColWidth="9" defaultRowHeight="11.25" x14ac:dyDescent="0.2"/>
  <cols>
    <col min="1" max="2" width="9" style="22"/>
    <col min="3" max="3" width="10.875" style="22" customWidth="1"/>
    <col min="4" max="16384" width="9" style="22"/>
  </cols>
  <sheetData>
    <row r="1" spans="1:10" ht="15.75" x14ac:dyDescent="0.2">
      <c r="A1" s="1034" t="s">
        <v>68</v>
      </c>
      <c r="B1" s="1035"/>
      <c r="C1" s="1035"/>
      <c r="D1" s="1035"/>
      <c r="E1" s="1035"/>
      <c r="F1" s="1035"/>
      <c r="G1" s="1035"/>
      <c r="H1" s="1035"/>
      <c r="I1" s="1035"/>
      <c r="J1" s="1036"/>
    </row>
    <row r="2" spans="1:10" x14ac:dyDescent="0.2">
      <c r="A2" s="32" t="s">
        <v>69</v>
      </c>
      <c r="B2" s="25" t="s">
        <v>70</v>
      </c>
      <c r="C2" s="25"/>
      <c r="D2" s="25"/>
      <c r="E2" s="25"/>
      <c r="F2" s="25"/>
      <c r="G2" s="25"/>
      <c r="H2" s="25"/>
      <c r="I2" s="32" t="s">
        <v>71</v>
      </c>
      <c r="J2" s="32" t="s">
        <v>72</v>
      </c>
    </row>
    <row r="3" spans="1:10" x14ac:dyDescent="0.2">
      <c r="A3" s="1037">
        <f>+Planilha!B46</f>
        <v>40230</v>
      </c>
      <c r="B3" s="1039" t="str">
        <f>+Planilha!C46</f>
        <v>Escavação e carga de material de 1ª categoria com escavadeira</v>
      </c>
      <c r="C3" s="1040"/>
      <c r="D3" s="1040"/>
      <c r="E3" s="1040"/>
      <c r="F3" s="1040"/>
      <c r="G3" s="1040"/>
      <c r="H3" s="1041"/>
      <c r="I3" s="1045" t="s">
        <v>61</v>
      </c>
      <c r="J3" s="1046" t="s">
        <v>153</v>
      </c>
    </row>
    <row r="4" spans="1:10" x14ac:dyDescent="0.2">
      <c r="A4" s="1038"/>
      <c r="B4" s="1042"/>
      <c r="C4" s="1043"/>
      <c r="D4" s="1043"/>
      <c r="E4" s="1043"/>
      <c r="F4" s="1043"/>
      <c r="G4" s="1043"/>
      <c r="H4" s="1044"/>
      <c r="I4" s="1038"/>
      <c r="J4" s="1047"/>
    </row>
    <row r="5" spans="1:10" x14ac:dyDescent="0.2">
      <c r="A5" s="1048" t="s">
        <v>73</v>
      </c>
      <c r="B5" s="1048"/>
      <c r="C5" s="1048"/>
      <c r="D5" s="1049" t="s">
        <v>59</v>
      </c>
      <c r="E5" s="1049" t="s">
        <v>74</v>
      </c>
      <c r="F5" s="1051" t="s">
        <v>75</v>
      </c>
      <c r="G5" s="1052"/>
      <c r="H5" s="1051" t="s">
        <v>76</v>
      </c>
      <c r="I5" s="1052"/>
      <c r="J5" s="1053" t="s">
        <v>77</v>
      </c>
    </row>
    <row r="6" spans="1:10" x14ac:dyDescent="0.2">
      <c r="A6" s="1048"/>
      <c r="B6" s="1048"/>
      <c r="C6" s="1048"/>
      <c r="D6" s="1050"/>
      <c r="E6" s="1050"/>
      <c r="F6" s="103" t="s">
        <v>78</v>
      </c>
      <c r="G6" s="34" t="s">
        <v>79</v>
      </c>
      <c r="H6" s="103" t="s">
        <v>78</v>
      </c>
      <c r="I6" s="103" t="s">
        <v>79</v>
      </c>
      <c r="J6" s="1053"/>
    </row>
    <row r="7" spans="1:10" ht="30" customHeight="1" x14ac:dyDescent="0.2">
      <c r="A7" s="1093" t="str">
        <f>VLOOKUP(D7,equip.!A1:G154,2,FALSE)</f>
        <v>Guindaste de esteira para 40.0t (KOEHRING BANTAM) ou equivalente</v>
      </c>
      <c r="B7" s="1094"/>
      <c r="C7" s="1095"/>
      <c r="D7" s="35">
        <v>30028</v>
      </c>
      <c r="E7" s="36">
        <v>1</v>
      </c>
      <c r="F7" s="36">
        <v>0.9</v>
      </c>
      <c r="G7" s="36">
        <v>0.1</v>
      </c>
      <c r="H7" s="36">
        <f>VLOOKUP(D7,equip.!A1:G130,6,FALSE)</f>
        <v>342.73</v>
      </c>
      <c r="I7" s="36">
        <f>VLOOKUP(D7,equip.!A1:AB130,7,FALSE)</f>
        <v>162.94</v>
      </c>
      <c r="J7" s="36">
        <f>TRUNC(E7*F7*H7+E7*G7*I7,2)</f>
        <v>324.75</v>
      </c>
    </row>
    <row r="8" spans="1:10" ht="15" customHeight="1" x14ac:dyDescent="0.2">
      <c r="A8" s="1096" t="str">
        <f>VLOOKUP(D8,equip.!A2:G155,2,FALSE)</f>
        <v>Carrinho de mão</v>
      </c>
      <c r="B8" s="1097"/>
      <c r="C8" s="1098"/>
      <c r="D8" s="40">
        <v>30076</v>
      </c>
      <c r="E8" s="36">
        <v>3</v>
      </c>
      <c r="F8" s="36">
        <v>1</v>
      </c>
      <c r="G8" s="36">
        <v>0</v>
      </c>
      <c r="H8" s="36">
        <f>VLOOKUP(D8,equip.!A2:G131,6,FALSE)</f>
        <v>0.19</v>
      </c>
      <c r="I8" s="36">
        <f>VLOOKUP(D8,equip.!A2:AB131,7,FALSE)</f>
        <v>0.13</v>
      </c>
      <c r="J8" s="36">
        <f>TRUNC(E8*F8*H8+E8*G8*I8,2)</f>
        <v>0.56999999999999995</v>
      </c>
    </row>
    <row r="9" spans="1:10" ht="30" hidden="1" customHeight="1" x14ac:dyDescent="0.2">
      <c r="A9" s="1096"/>
      <c r="B9" s="1097"/>
      <c r="C9" s="1098"/>
      <c r="D9" s="40"/>
      <c r="E9" s="36"/>
      <c r="F9" s="36"/>
      <c r="G9" s="36"/>
      <c r="H9" s="36"/>
      <c r="I9" s="36"/>
      <c r="J9" s="36"/>
    </row>
    <row r="10" spans="1:10" x14ac:dyDescent="0.2">
      <c r="A10" s="94" t="s">
        <v>158</v>
      </c>
      <c r="B10" s="95"/>
      <c r="C10" s="96"/>
      <c r="D10" s="35"/>
      <c r="E10" s="110">
        <v>0.05</v>
      </c>
      <c r="F10" s="36"/>
      <c r="G10" s="36"/>
      <c r="H10" s="36">
        <f>+J27</f>
        <v>29.8</v>
      </c>
      <c r="I10" s="36"/>
      <c r="J10" s="36">
        <f>TRUNC(H10*E10,2)</f>
        <v>1.49</v>
      </c>
    </row>
    <row r="11" spans="1:10" ht="15" customHeight="1" x14ac:dyDescent="0.2">
      <c r="A11" s="1060"/>
      <c r="B11" s="1061"/>
      <c r="C11" s="1062"/>
      <c r="D11" s="40"/>
      <c r="E11" s="36"/>
      <c r="F11" s="36"/>
      <c r="G11" s="36"/>
      <c r="H11" s="36"/>
      <c r="I11" s="36"/>
      <c r="J11" s="36"/>
    </row>
    <row r="12" spans="1:10" ht="15" customHeight="1" x14ac:dyDescent="0.2">
      <c r="A12" s="1060"/>
      <c r="B12" s="1061"/>
      <c r="C12" s="1062"/>
      <c r="D12" s="40"/>
      <c r="E12" s="36"/>
      <c r="F12" s="36"/>
      <c r="G12" s="36"/>
      <c r="H12" s="36"/>
      <c r="I12" s="36"/>
      <c r="J12" s="36"/>
    </row>
    <row r="13" spans="1:10" ht="15" customHeight="1" x14ac:dyDescent="0.2">
      <c r="A13" s="94"/>
      <c r="B13" s="95"/>
      <c r="C13" s="96"/>
      <c r="D13" s="40"/>
      <c r="E13" s="36"/>
      <c r="F13" s="36"/>
      <c r="G13" s="36"/>
      <c r="H13" s="36"/>
      <c r="I13" s="36"/>
      <c r="J13" s="36"/>
    </row>
    <row r="14" spans="1:10" ht="15" customHeight="1" x14ac:dyDescent="0.2">
      <c r="A14" s="1031"/>
      <c r="B14" s="1032"/>
      <c r="C14" s="1033"/>
      <c r="D14" s="41"/>
      <c r="E14" s="42"/>
      <c r="F14" s="42"/>
      <c r="G14" s="36"/>
      <c r="H14" s="36"/>
      <c r="I14" s="36"/>
      <c r="J14" s="36"/>
    </row>
    <row r="15" spans="1:10" x14ac:dyDescent="0.2">
      <c r="A15" s="1063" t="s">
        <v>80</v>
      </c>
      <c r="B15" s="1064"/>
      <c r="C15" s="1064"/>
      <c r="D15" s="1064"/>
      <c r="E15" s="1064"/>
      <c r="F15" s="1064"/>
      <c r="G15" s="1064"/>
      <c r="H15" s="1064"/>
      <c r="I15" s="1065"/>
      <c r="J15" s="43">
        <f>SUM(J7:J14)</f>
        <v>326.81</v>
      </c>
    </row>
    <row r="16" spans="1:10" x14ac:dyDescent="0.2">
      <c r="A16" s="1066" t="s">
        <v>81</v>
      </c>
      <c r="B16" s="1067"/>
      <c r="C16" s="1067"/>
      <c r="D16" s="1067"/>
      <c r="E16" s="1068"/>
      <c r="F16" s="1049" t="s">
        <v>59</v>
      </c>
      <c r="G16" s="1049" t="s">
        <v>82</v>
      </c>
      <c r="H16" s="1049" t="s">
        <v>74</v>
      </c>
      <c r="I16" s="1053" t="s">
        <v>83</v>
      </c>
      <c r="J16" s="1049" t="s">
        <v>77</v>
      </c>
    </row>
    <row r="17" spans="1:10" x14ac:dyDescent="0.2">
      <c r="A17" s="1069"/>
      <c r="B17" s="1070"/>
      <c r="C17" s="1070"/>
      <c r="D17" s="1070"/>
      <c r="E17" s="1071"/>
      <c r="F17" s="1050"/>
      <c r="G17" s="1050"/>
      <c r="H17" s="1050"/>
      <c r="I17" s="1053"/>
      <c r="J17" s="1050"/>
    </row>
    <row r="18" spans="1:10" x14ac:dyDescent="0.2">
      <c r="A18" s="1060" t="str">
        <f>VLOOKUP(F18,m.o.!A1:F153,2,FALSE)</f>
        <v>Encarregado de O.A.C.</v>
      </c>
      <c r="B18" s="1061"/>
      <c r="C18" s="1061"/>
      <c r="D18" s="1061"/>
      <c r="E18" s="1062"/>
      <c r="F18" s="44">
        <v>20060</v>
      </c>
      <c r="G18" s="45"/>
      <c r="H18" s="36">
        <v>0.5</v>
      </c>
      <c r="I18" s="36">
        <f>VLOOKUP(F18,m.o.!A1:F128,5,FALSE)</f>
        <v>11</v>
      </c>
      <c r="J18" s="36">
        <f>TRUNC(H18*I18,2)</f>
        <v>5.5</v>
      </c>
    </row>
    <row r="19" spans="1:10" x14ac:dyDescent="0.2">
      <c r="A19" s="1060" t="str">
        <f>VLOOKUP(F19,m.o.!A2:F154,2,FALSE)</f>
        <v>Servente</v>
      </c>
      <c r="B19" s="1061"/>
      <c r="C19" s="1061"/>
      <c r="D19" s="1061"/>
      <c r="E19" s="1062"/>
      <c r="F19" s="44">
        <v>20002</v>
      </c>
      <c r="G19" s="45"/>
      <c r="H19" s="36">
        <v>5</v>
      </c>
      <c r="I19" s="36">
        <f>VLOOKUP(F19,m.o.!A2:F129,5,FALSE)</f>
        <v>4.8600000000000003</v>
      </c>
      <c r="J19" s="36">
        <f>TRUNC(H19*I19,2)</f>
        <v>24.3</v>
      </c>
    </row>
    <row r="20" spans="1:10" x14ac:dyDescent="0.2">
      <c r="A20" s="1060"/>
      <c r="B20" s="1061"/>
      <c r="C20" s="1061"/>
      <c r="D20" s="1061"/>
      <c r="E20" s="1062"/>
      <c r="F20" s="44"/>
      <c r="G20" s="45"/>
      <c r="H20" s="36"/>
      <c r="I20" s="36"/>
      <c r="J20" s="36"/>
    </row>
    <row r="21" spans="1:10" x14ac:dyDescent="0.2">
      <c r="A21" s="107"/>
      <c r="B21" s="108"/>
      <c r="C21" s="108"/>
      <c r="D21" s="108"/>
      <c r="E21" s="109"/>
      <c r="F21" s="44"/>
      <c r="G21" s="45"/>
      <c r="H21" s="36"/>
      <c r="I21" s="36"/>
      <c r="J21" s="36"/>
    </row>
    <row r="22" spans="1:10" x14ac:dyDescent="0.2">
      <c r="A22" s="107"/>
      <c r="B22" s="108"/>
      <c r="C22" s="108"/>
      <c r="D22" s="108"/>
      <c r="E22" s="109"/>
      <c r="F22" s="44"/>
      <c r="G22" s="46"/>
      <c r="H22" s="36"/>
      <c r="I22" s="36"/>
      <c r="J22" s="36"/>
    </row>
    <row r="23" spans="1:10" x14ac:dyDescent="0.2">
      <c r="A23" s="94"/>
      <c r="B23" s="95"/>
      <c r="C23" s="95"/>
      <c r="D23" s="95"/>
      <c r="E23" s="96"/>
      <c r="F23" s="44"/>
      <c r="G23" s="46"/>
      <c r="H23" s="36"/>
      <c r="I23" s="36"/>
      <c r="J23" s="36"/>
    </row>
    <row r="24" spans="1:10" x14ac:dyDescent="0.2">
      <c r="A24" s="107"/>
      <c r="B24" s="108"/>
      <c r="C24" s="108"/>
      <c r="D24" s="108"/>
      <c r="E24" s="109"/>
      <c r="F24" s="44"/>
      <c r="G24" s="46"/>
      <c r="H24" s="36"/>
      <c r="I24" s="36"/>
      <c r="J24" s="36"/>
    </row>
    <row r="25" spans="1:10" x14ac:dyDescent="0.2">
      <c r="A25" s="107"/>
      <c r="B25" s="108"/>
      <c r="C25" s="108"/>
      <c r="D25" s="108"/>
      <c r="E25" s="109"/>
      <c r="F25" s="44"/>
      <c r="G25" s="46"/>
      <c r="H25" s="36"/>
      <c r="I25" s="36"/>
      <c r="J25" s="36"/>
    </row>
    <row r="26" spans="1:10" x14ac:dyDescent="0.2">
      <c r="A26" s="1031"/>
      <c r="B26" s="1032"/>
      <c r="C26" s="1032"/>
      <c r="D26" s="1032"/>
      <c r="E26" s="1033"/>
      <c r="F26" s="41"/>
      <c r="G26" s="47"/>
      <c r="H26" s="42"/>
      <c r="I26" s="42"/>
      <c r="J26" s="36"/>
    </row>
    <row r="27" spans="1:10" x14ac:dyDescent="0.2">
      <c r="A27" s="1063" t="s">
        <v>84</v>
      </c>
      <c r="B27" s="1064"/>
      <c r="C27" s="1064"/>
      <c r="D27" s="1064"/>
      <c r="E27" s="1064"/>
      <c r="F27" s="1064"/>
      <c r="G27" s="1064"/>
      <c r="H27" s="1064"/>
      <c r="I27" s="1065"/>
      <c r="J27" s="43">
        <f>ROUND(SUM(J18:J26),2)</f>
        <v>29.8</v>
      </c>
    </row>
    <row r="28" spans="1:10" x14ac:dyDescent="0.2">
      <c r="A28" s="1072" t="s">
        <v>85</v>
      </c>
      <c r="B28" s="1073"/>
      <c r="C28" s="1073"/>
      <c r="D28" s="1073"/>
      <c r="E28" s="1073"/>
      <c r="F28" s="42">
        <v>1</v>
      </c>
      <c r="G28" s="1072" t="s">
        <v>86</v>
      </c>
      <c r="H28" s="1073"/>
      <c r="I28" s="1073"/>
      <c r="J28" s="48">
        <f>+J27+J15</f>
        <v>356.61</v>
      </c>
    </row>
    <row r="29" spans="1:10" x14ac:dyDescent="0.2">
      <c r="A29" s="1074" t="s">
        <v>87</v>
      </c>
      <c r="B29" s="1075"/>
      <c r="C29" s="1075"/>
      <c r="D29" s="1075"/>
      <c r="E29" s="1075"/>
      <c r="F29" s="1075"/>
      <c r="G29" s="1075"/>
      <c r="H29" s="1075"/>
      <c r="I29" s="1076"/>
      <c r="J29" s="43">
        <f>TRUNC(J28/F28,2)</f>
        <v>356.61</v>
      </c>
    </row>
    <row r="30" spans="1:10" x14ac:dyDescent="0.2">
      <c r="A30" s="1077" t="s">
        <v>88</v>
      </c>
      <c r="B30" s="1078"/>
      <c r="C30" s="1078"/>
      <c r="D30" s="1078"/>
      <c r="E30" s="1079"/>
      <c r="F30" s="1049" t="s">
        <v>59</v>
      </c>
      <c r="G30" s="1049" t="s">
        <v>1</v>
      </c>
      <c r="H30" s="1053" t="s">
        <v>63</v>
      </c>
      <c r="I30" s="1049" t="s">
        <v>89</v>
      </c>
      <c r="J30" s="1049" t="s">
        <v>90</v>
      </c>
    </row>
    <row r="31" spans="1:10" x14ac:dyDescent="0.2">
      <c r="A31" s="1080"/>
      <c r="B31" s="1081"/>
      <c r="C31" s="1081"/>
      <c r="D31" s="1081"/>
      <c r="E31" s="1082"/>
      <c r="F31" s="1050"/>
      <c r="G31" s="1050"/>
      <c r="H31" s="1053"/>
      <c r="I31" s="1050"/>
      <c r="J31" s="1050"/>
    </row>
    <row r="32" spans="1:10" x14ac:dyDescent="0.2">
      <c r="A32" s="49" t="s">
        <v>146</v>
      </c>
      <c r="B32" s="50"/>
      <c r="C32" s="50"/>
      <c r="D32" s="50"/>
      <c r="E32" s="51"/>
      <c r="F32" s="52" t="s">
        <v>103</v>
      </c>
      <c r="G32" s="53" t="s">
        <v>104</v>
      </c>
      <c r="H32" s="54">
        <f>1523*1.05</f>
        <v>1599.15</v>
      </c>
      <c r="I32" s="55">
        <v>1</v>
      </c>
      <c r="J32" s="36">
        <f>+I32*H32</f>
        <v>1599.15</v>
      </c>
    </row>
    <row r="33" spans="1:13" x14ac:dyDescent="0.2">
      <c r="A33" s="1096" t="s">
        <v>58</v>
      </c>
      <c r="B33" s="1097"/>
      <c r="C33" s="1097"/>
      <c r="D33" s="1097"/>
      <c r="E33" s="1098"/>
      <c r="F33" s="52" t="s">
        <v>161</v>
      </c>
      <c r="G33" s="53" t="s">
        <v>67</v>
      </c>
      <c r="H33" s="54">
        <f>+'42714'!J50</f>
        <v>377.24</v>
      </c>
      <c r="I33" s="55">
        <v>0.28000000000000003</v>
      </c>
      <c r="J33" s="36">
        <f>+I33*H33</f>
        <v>105.63</v>
      </c>
    </row>
    <row r="34" spans="1:13" x14ac:dyDescent="0.2">
      <c r="A34" s="1060"/>
      <c r="B34" s="1061"/>
      <c r="C34" s="1061"/>
      <c r="D34" s="1061"/>
      <c r="E34" s="1062"/>
      <c r="F34" s="114"/>
      <c r="G34" s="54"/>
      <c r="H34" s="54"/>
      <c r="I34" s="55"/>
      <c r="J34" s="36"/>
    </row>
    <row r="35" spans="1:13" x14ac:dyDescent="0.2">
      <c r="A35" s="1060"/>
      <c r="B35" s="1061"/>
      <c r="C35" s="1061"/>
      <c r="D35" s="1061"/>
      <c r="E35" s="1062"/>
      <c r="F35" s="114"/>
      <c r="G35" s="54"/>
      <c r="H35" s="54"/>
      <c r="I35" s="55"/>
      <c r="J35" s="36"/>
    </row>
    <row r="36" spans="1:13" x14ac:dyDescent="0.2">
      <c r="A36" s="107"/>
      <c r="B36" s="108"/>
      <c r="C36" s="108"/>
      <c r="D36" s="108"/>
      <c r="E36" s="109"/>
      <c r="F36" s="52"/>
      <c r="G36" s="54"/>
      <c r="H36" s="54"/>
      <c r="I36" s="55"/>
      <c r="J36" s="36"/>
    </row>
    <row r="37" spans="1:13" x14ac:dyDescent="0.2">
      <c r="A37" s="111"/>
      <c r="B37" s="112"/>
      <c r="C37" s="112"/>
      <c r="D37" s="112"/>
      <c r="E37" s="113"/>
      <c r="F37" s="52"/>
      <c r="G37" s="53"/>
      <c r="H37" s="54"/>
      <c r="I37" s="55"/>
      <c r="J37" s="36"/>
    </row>
    <row r="38" spans="1:13" x14ac:dyDescent="0.2">
      <c r="A38" s="94"/>
      <c r="B38" s="100"/>
      <c r="C38" s="100"/>
      <c r="D38" s="100"/>
      <c r="E38" s="101"/>
      <c r="F38" s="52"/>
      <c r="G38" s="53"/>
      <c r="H38" s="54"/>
      <c r="I38" s="55"/>
      <c r="J38" s="36"/>
    </row>
    <row r="39" spans="1:13" x14ac:dyDescent="0.2">
      <c r="A39" s="1060"/>
      <c r="B39" s="1061"/>
      <c r="C39" s="1061"/>
      <c r="D39" s="1061"/>
      <c r="E39" s="1062"/>
      <c r="F39" s="52"/>
      <c r="G39" s="53"/>
      <c r="H39" s="54"/>
      <c r="I39" s="55"/>
      <c r="J39" s="36"/>
    </row>
    <row r="40" spans="1:13" x14ac:dyDescent="0.2">
      <c r="A40" s="1060"/>
      <c r="B40" s="1061"/>
      <c r="C40" s="1061"/>
      <c r="D40" s="1061"/>
      <c r="E40" s="1062"/>
      <c r="F40" s="52"/>
      <c r="G40" s="53"/>
      <c r="H40" s="54"/>
      <c r="I40" s="55"/>
      <c r="J40" s="36"/>
    </row>
    <row r="41" spans="1:13" x14ac:dyDescent="0.2">
      <c r="A41" s="1031"/>
      <c r="B41" s="1032"/>
      <c r="C41" s="1032"/>
      <c r="D41" s="1032"/>
      <c r="E41" s="1033"/>
      <c r="F41" s="58"/>
      <c r="G41" s="59"/>
      <c r="H41" s="60"/>
      <c r="I41" s="55"/>
      <c r="J41" s="36"/>
    </row>
    <row r="42" spans="1:13" x14ac:dyDescent="0.2">
      <c r="A42" s="1063" t="s">
        <v>91</v>
      </c>
      <c r="B42" s="1064"/>
      <c r="C42" s="1064"/>
      <c r="D42" s="1064"/>
      <c r="E42" s="1064"/>
      <c r="F42" s="1064"/>
      <c r="G42" s="1064"/>
      <c r="H42" s="1064"/>
      <c r="I42" s="1065"/>
      <c r="J42" s="43">
        <f>ROUND(SUM(J32:J41),2)</f>
        <v>1704.78</v>
      </c>
    </row>
    <row r="43" spans="1:13" x14ac:dyDescent="0.2">
      <c r="A43" s="1066" t="s">
        <v>92</v>
      </c>
      <c r="B43" s="1067"/>
      <c r="C43" s="1067"/>
      <c r="D43" s="1067"/>
      <c r="E43" s="1090" t="s">
        <v>59</v>
      </c>
      <c r="F43" s="1051" t="s">
        <v>93</v>
      </c>
      <c r="G43" s="1052"/>
      <c r="H43" s="1092" t="s">
        <v>94</v>
      </c>
      <c r="I43" s="1092" t="s">
        <v>95</v>
      </c>
      <c r="J43" s="1049" t="s">
        <v>63</v>
      </c>
    </row>
    <row r="44" spans="1:13" x14ac:dyDescent="0.2">
      <c r="A44" s="1069"/>
      <c r="B44" s="1070"/>
      <c r="C44" s="1070"/>
      <c r="D44" s="1070"/>
      <c r="E44" s="1091"/>
      <c r="F44" s="103" t="s">
        <v>21</v>
      </c>
      <c r="G44" s="103" t="s">
        <v>20</v>
      </c>
      <c r="H44" s="1092"/>
      <c r="I44" s="1092"/>
      <c r="J44" s="1050"/>
    </row>
    <row r="45" spans="1:13" x14ac:dyDescent="0.2">
      <c r="A45" s="49" t="str">
        <f>VLOOKUP(E45,transp.!A4:J30,4,FALSE)</f>
        <v>0,716XP + 0,745XR</v>
      </c>
      <c r="B45" s="104"/>
      <c r="C45" s="104" t="s">
        <v>162</v>
      </c>
      <c r="D45" s="105"/>
      <c r="E45" s="106">
        <v>60004</v>
      </c>
      <c r="F45" s="61">
        <v>141</v>
      </c>
      <c r="G45" s="36">
        <v>0</v>
      </c>
      <c r="H45" s="36">
        <f>TRUNC(F45*K45+G45*L45+M45,2)</f>
        <v>100.95</v>
      </c>
      <c r="I45" s="62">
        <v>3.5750000000000002</v>
      </c>
      <c r="J45" s="36">
        <f>TRUNC(I45*H45,2)</f>
        <v>360.89</v>
      </c>
      <c r="K45" s="22">
        <f>VLOOKUP(E45,transp.!$A$4:$K$21,5,FALSE)</f>
        <v>0.71599999999999997</v>
      </c>
      <c r="L45" s="22">
        <f>VLOOKUP(E45,transp.!$A$4:$G$19,6,FALSE)</f>
        <v>0.745</v>
      </c>
      <c r="M45" s="22">
        <f>VLOOKUP(E45,transp.!$A$4:$G$19,7,FALSE)</f>
        <v>0</v>
      </c>
    </row>
    <row r="46" spans="1:13" x14ac:dyDescent="0.2">
      <c r="A46" s="107"/>
      <c r="B46" s="108"/>
      <c r="C46" s="108"/>
      <c r="D46" s="109"/>
      <c r="E46" s="118"/>
      <c r="F46" s="54"/>
      <c r="G46" s="54"/>
      <c r="H46" s="36"/>
      <c r="I46" s="63"/>
      <c r="J46" s="54"/>
    </row>
    <row r="47" spans="1:13" x14ac:dyDescent="0.2">
      <c r="A47" s="107"/>
      <c r="B47" s="108"/>
      <c r="C47" s="108"/>
      <c r="D47" s="109"/>
      <c r="E47" s="119"/>
      <c r="F47" s="36"/>
      <c r="G47" s="36"/>
      <c r="H47" s="36"/>
      <c r="I47" s="62"/>
      <c r="J47" s="54"/>
    </row>
    <row r="48" spans="1:13" x14ac:dyDescent="0.2">
      <c r="A48" s="115"/>
      <c r="B48" s="116"/>
      <c r="C48" s="116"/>
      <c r="D48" s="117"/>
      <c r="E48" s="36"/>
      <c r="F48" s="36"/>
      <c r="G48" s="36"/>
      <c r="H48" s="36"/>
      <c r="I48" s="62"/>
      <c r="J48" s="54"/>
    </row>
    <row r="49" spans="1:10" x14ac:dyDescent="0.2">
      <c r="A49" s="1085" t="s">
        <v>96</v>
      </c>
      <c r="B49" s="1086"/>
      <c r="C49" s="1086"/>
      <c r="D49" s="1086"/>
      <c r="E49" s="1086"/>
      <c r="F49" s="1086"/>
      <c r="G49" s="1086"/>
      <c r="H49" s="1086"/>
      <c r="I49" s="1087"/>
      <c r="J49" s="64">
        <f>SUM(J45:J48)</f>
        <v>360.89</v>
      </c>
    </row>
    <row r="50" spans="1:10" x14ac:dyDescent="0.2">
      <c r="A50" s="1088" t="s">
        <v>97</v>
      </c>
      <c r="B50" s="1089"/>
      <c r="C50" s="1089"/>
      <c r="D50" s="1089"/>
      <c r="E50" s="1089"/>
      <c r="F50" s="1089"/>
      <c r="G50" s="102" t="s">
        <v>98</v>
      </c>
      <c r="H50" s="25"/>
      <c r="I50" s="66" t="s">
        <v>99</v>
      </c>
      <c r="J50" s="61">
        <f>J49+J42+J29</f>
        <v>2422.2800000000002</v>
      </c>
    </row>
    <row r="51" spans="1:10" x14ac:dyDescent="0.2">
      <c r="A51" s="1083" t="s">
        <v>100</v>
      </c>
      <c r="B51" s="1084"/>
      <c r="C51" s="1084"/>
      <c r="D51" s="1084"/>
      <c r="E51" s="1084"/>
      <c r="F51" s="1084"/>
      <c r="G51" s="67">
        <v>0.35</v>
      </c>
      <c r="H51" s="68"/>
      <c r="I51" s="69" t="s">
        <v>99</v>
      </c>
      <c r="J51" s="48">
        <f>+J50*G51</f>
        <v>847.8</v>
      </c>
    </row>
    <row r="52" spans="1:10" x14ac:dyDescent="0.2">
      <c r="A52" s="1074" t="s">
        <v>101</v>
      </c>
      <c r="B52" s="1075"/>
      <c r="C52" s="1075"/>
      <c r="D52" s="1075"/>
      <c r="E52" s="1075"/>
      <c r="F52" s="1075"/>
      <c r="G52" s="98"/>
      <c r="H52" s="71"/>
      <c r="I52" s="97" t="s">
        <v>99</v>
      </c>
      <c r="J52" s="43">
        <f>+J51+J50</f>
        <v>3270.08</v>
      </c>
    </row>
    <row r="53" spans="1:10" x14ac:dyDescent="0.2">
      <c r="A53" s="23" t="s">
        <v>102</v>
      </c>
      <c r="B53" s="25"/>
      <c r="C53" s="25"/>
      <c r="D53" s="25"/>
      <c r="E53" s="25"/>
      <c r="F53" s="25"/>
      <c r="G53" s="25"/>
      <c r="H53" s="24"/>
      <c r="I53" s="24"/>
      <c r="J53" s="73"/>
    </row>
    <row r="54" spans="1:10" x14ac:dyDescent="0.2">
      <c r="A54" s="26"/>
      <c r="B54" s="27" t="s">
        <v>105</v>
      </c>
      <c r="C54" s="27"/>
      <c r="D54" s="27"/>
      <c r="E54" s="27"/>
      <c r="F54" s="27"/>
      <c r="G54" s="27"/>
      <c r="H54" s="28"/>
      <c r="I54" s="28"/>
      <c r="J54" s="73"/>
    </row>
    <row r="55" spans="1:10" x14ac:dyDescent="0.2">
      <c r="A55" s="29"/>
      <c r="B55" s="31"/>
      <c r="C55" s="31"/>
      <c r="D55" s="30"/>
      <c r="E55" s="30"/>
      <c r="F55" s="30"/>
      <c r="G55" s="30"/>
      <c r="H55" s="30"/>
      <c r="I55" s="30"/>
      <c r="J55" s="74"/>
    </row>
  </sheetData>
  <mergeCells count="55">
    <mergeCell ref="J43:J44"/>
    <mergeCell ref="A49:I49"/>
    <mergeCell ref="A50:F50"/>
    <mergeCell ref="A51:F51"/>
    <mergeCell ref="A52:F52"/>
    <mergeCell ref="A40:E40"/>
    <mergeCell ref="A41:E41"/>
    <mergeCell ref="A42:I42"/>
    <mergeCell ref="A43:D44"/>
    <mergeCell ref="E43:E44"/>
    <mergeCell ref="F43:G43"/>
    <mergeCell ref="H43:H44"/>
    <mergeCell ref="I43:I44"/>
    <mergeCell ref="J30:J31"/>
    <mergeCell ref="A33:E33"/>
    <mergeCell ref="A34:E34"/>
    <mergeCell ref="A35:E35"/>
    <mergeCell ref="A39:E39"/>
    <mergeCell ref="A28:E28"/>
    <mergeCell ref="G28:I28"/>
    <mergeCell ref="A29:I29"/>
    <mergeCell ref="A30:E31"/>
    <mergeCell ref="F30:F31"/>
    <mergeCell ref="G30:G31"/>
    <mergeCell ref="H30:H31"/>
    <mergeCell ref="I30:I31"/>
    <mergeCell ref="J16:J17"/>
    <mergeCell ref="A18:E18"/>
    <mergeCell ref="A19:E19"/>
    <mergeCell ref="A20:E20"/>
    <mergeCell ref="A26:E26"/>
    <mergeCell ref="A27:I27"/>
    <mergeCell ref="A14:C14"/>
    <mergeCell ref="A15:I15"/>
    <mergeCell ref="A16:E17"/>
    <mergeCell ref="F16:F17"/>
    <mergeCell ref="G16:G17"/>
    <mergeCell ref="H16:H17"/>
    <mergeCell ref="I16:I17"/>
    <mergeCell ref="A12:C12"/>
    <mergeCell ref="A1:J1"/>
    <mergeCell ref="A3:A4"/>
    <mergeCell ref="B3:H4"/>
    <mergeCell ref="I3:I4"/>
    <mergeCell ref="J3:J4"/>
    <mergeCell ref="A5:C6"/>
    <mergeCell ref="D5:D6"/>
    <mergeCell ref="E5:E6"/>
    <mergeCell ref="F5:G5"/>
    <mergeCell ref="H5:I5"/>
    <mergeCell ref="J5:J6"/>
    <mergeCell ref="A7:C7"/>
    <mergeCell ref="A8:C8"/>
    <mergeCell ref="A9:C9"/>
    <mergeCell ref="A11:C11"/>
  </mergeCells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55"/>
  <sheetViews>
    <sheetView workbookViewId="0">
      <selection activeCell="C55" sqref="C55"/>
    </sheetView>
  </sheetViews>
  <sheetFormatPr defaultColWidth="9" defaultRowHeight="11.25" x14ac:dyDescent="0.2"/>
  <cols>
    <col min="1" max="2" width="9" style="22"/>
    <col min="3" max="3" width="10.875" style="22" customWidth="1"/>
    <col min="4" max="16384" width="9" style="22"/>
  </cols>
  <sheetData>
    <row r="1" spans="1:10" ht="15.75" x14ac:dyDescent="0.2">
      <c r="A1" s="1034" t="s">
        <v>68</v>
      </c>
      <c r="B1" s="1035"/>
      <c r="C1" s="1035"/>
      <c r="D1" s="1035"/>
      <c r="E1" s="1035"/>
      <c r="F1" s="1035"/>
      <c r="G1" s="1035"/>
      <c r="H1" s="1035"/>
      <c r="I1" s="1035"/>
      <c r="J1" s="1036"/>
    </row>
    <row r="2" spans="1:10" x14ac:dyDescent="0.2">
      <c r="A2" s="32" t="s">
        <v>69</v>
      </c>
      <c r="B2" s="25" t="s">
        <v>70</v>
      </c>
      <c r="C2" s="25"/>
      <c r="D2" s="25"/>
      <c r="E2" s="25"/>
      <c r="F2" s="25"/>
      <c r="G2" s="25"/>
      <c r="H2" s="25"/>
      <c r="I2" s="32" t="s">
        <v>71</v>
      </c>
      <c r="J2" s="32" t="s">
        <v>72</v>
      </c>
    </row>
    <row r="3" spans="1:10" x14ac:dyDescent="0.2">
      <c r="A3" s="1037">
        <f>+Planilha!B49</f>
        <v>60019</v>
      </c>
      <c r="B3" s="1039" t="str">
        <f>+Planilha!C51</f>
        <v xml:space="preserve">LOCAL COM DMT ATÉ 3,0 KM (Caminhão basculante)1,144XP+1,265XR+2,007 (Incluindo BDI= 23,32%) -  XP=0,00 / XR=0,28 </v>
      </c>
      <c r="C3" s="1040"/>
      <c r="D3" s="1040"/>
      <c r="E3" s="1040"/>
      <c r="F3" s="1040"/>
      <c r="G3" s="1040"/>
      <c r="H3" s="1041"/>
      <c r="I3" s="1045" t="s">
        <v>61</v>
      </c>
      <c r="J3" s="1046" t="s">
        <v>153</v>
      </c>
    </row>
    <row r="4" spans="1:10" x14ac:dyDescent="0.2">
      <c r="A4" s="1038"/>
      <c r="B4" s="1042"/>
      <c r="C4" s="1043"/>
      <c r="D4" s="1043"/>
      <c r="E4" s="1043"/>
      <c r="F4" s="1043"/>
      <c r="G4" s="1043"/>
      <c r="H4" s="1044"/>
      <c r="I4" s="1038"/>
      <c r="J4" s="1047"/>
    </row>
    <row r="5" spans="1:10" x14ac:dyDescent="0.2">
      <c r="A5" s="1048" t="s">
        <v>73</v>
      </c>
      <c r="B5" s="1048"/>
      <c r="C5" s="1048"/>
      <c r="D5" s="1049" t="s">
        <v>59</v>
      </c>
      <c r="E5" s="1049" t="s">
        <v>74</v>
      </c>
      <c r="F5" s="1051" t="s">
        <v>75</v>
      </c>
      <c r="G5" s="1052"/>
      <c r="H5" s="1051" t="s">
        <v>76</v>
      </c>
      <c r="I5" s="1052"/>
      <c r="J5" s="1053" t="s">
        <v>77</v>
      </c>
    </row>
    <row r="6" spans="1:10" x14ac:dyDescent="0.2">
      <c r="A6" s="1048"/>
      <c r="B6" s="1048"/>
      <c r="C6" s="1048"/>
      <c r="D6" s="1050"/>
      <c r="E6" s="1050"/>
      <c r="F6" s="103" t="s">
        <v>78</v>
      </c>
      <c r="G6" s="34" t="s">
        <v>79</v>
      </c>
      <c r="H6" s="103" t="s">
        <v>78</v>
      </c>
      <c r="I6" s="103" t="s">
        <v>79</v>
      </c>
      <c r="J6" s="1053"/>
    </row>
    <row r="7" spans="1:10" ht="30" customHeight="1" x14ac:dyDescent="0.2">
      <c r="A7" s="1093" t="str">
        <f>VLOOKUP(D7,equip.!A1:G154,2,FALSE)</f>
        <v>Guindaste de esteira para 40.0t (KOEHRING BANTAM) ou equivalente</v>
      </c>
      <c r="B7" s="1094"/>
      <c r="C7" s="1095"/>
      <c r="D7" s="35">
        <v>30028</v>
      </c>
      <c r="E7" s="36">
        <v>1</v>
      </c>
      <c r="F7" s="36">
        <v>0.9</v>
      </c>
      <c r="G7" s="36">
        <v>0.1</v>
      </c>
      <c r="H7" s="36">
        <f>VLOOKUP(D7,equip.!A1:G130,6,FALSE)</f>
        <v>342.73</v>
      </c>
      <c r="I7" s="36">
        <f>VLOOKUP(D7,equip.!A1:AB130,7,FALSE)</f>
        <v>162.94</v>
      </c>
      <c r="J7" s="36">
        <f>TRUNC(E7*F7*H7+E7*G7*I7,2)</f>
        <v>324.75</v>
      </c>
    </row>
    <row r="8" spans="1:10" ht="15" customHeight="1" x14ac:dyDescent="0.2">
      <c r="A8" s="1096" t="str">
        <f>VLOOKUP(D8,equip.!A2:G155,2,FALSE)</f>
        <v>Carrinho de mão</v>
      </c>
      <c r="B8" s="1097"/>
      <c r="C8" s="1098"/>
      <c r="D8" s="40">
        <v>30076</v>
      </c>
      <c r="E8" s="36">
        <v>3</v>
      </c>
      <c r="F8" s="36">
        <v>1</v>
      </c>
      <c r="G8" s="36">
        <v>0</v>
      </c>
      <c r="H8" s="36">
        <f>VLOOKUP(D8,equip.!A2:G131,6,FALSE)</f>
        <v>0.19</v>
      </c>
      <c r="I8" s="36">
        <f>VLOOKUP(D8,equip.!A2:AB131,7,FALSE)</f>
        <v>0.13</v>
      </c>
      <c r="J8" s="36">
        <f>TRUNC(E8*F8*H8+E8*G8*I8,2)</f>
        <v>0.56999999999999995</v>
      </c>
    </row>
    <row r="9" spans="1:10" ht="30" hidden="1" customHeight="1" x14ac:dyDescent="0.2">
      <c r="A9" s="1096"/>
      <c r="B9" s="1097"/>
      <c r="C9" s="1098"/>
      <c r="D9" s="40"/>
      <c r="E9" s="36"/>
      <c r="F9" s="36"/>
      <c r="G9" s="36"/>
      <c r="H9" s="36"/>
      <c r="I9" s="36"/>
      <c r="J9" s="36"/>
    </row>
    <row r="10" spans="1:10" x14ac:dyDescent="0.2">
      <c r="A10" s="94" t="s">
        <v>158</v>
      </c>
      <c r="B10" s="95"/>
      <c r="C10" s="96"/>
      <c r="D10" s="35"/>
      <c r="E10" s="110">
        <v>0.05</v>
      </c>
      <c r="F10" s="36"/>
      <c r="G10" s="36"/>
      <c r="H10" s="36">
        <f>+J27</f>
        <v>29.8</v>
      </c>
      <c r="I10" s="36"/>
      <c r="J10" s="36">
        <f>TRUNC(H10*E10,2)</f>
        <v>1.49</v>
      </c>
    </row>
    <row r="11" spans="1:10" ht="15" customHeight="1" x14ac:dyDescent="0.2">
      <c r="A11" s="1060"/>
      <c r="B11" s="1061"/>
      <c r="C11" s="1062"/>
      <c r="D11" s="40"/>
      <c r="E11" s="36"/>
      <c r="F11" s="36"/>
      <c r="G11" s="36"/>
      <c r="H11" s="36"/>
      <c r="I11" s="36"/>
      <c r="J11" s="36"/>
    </row>
    <row r="12" spans="1:10" ht="15" customHeight="1" x14ac:dyDescent="0.2">
      <c r="A12" s="1060"/>
      <c r="B12" s="1061"/>
      <c r="C12" s="1062"/>
      <c r="D12" s="40"/>
      <c r="E12" s="36"/>
      <c r="F12" s="36"/>
      <c r="G12" s="36"/>
      <c r="H12" s="36"/>
      <c r="I12" s="36"/>
      <c r="J12" s="36"/>
    </row>
    <row r="13" spans="1:10" ht="15" customHeight="1" x14ac:dyDescent="0.2">
      <c r="A13" s="94"/>
      <c r="B13" s="95"/>
      <c r="C13" s="96"/>
      <c r="D13" s="40"/>
      <c r="E13" s="36"/>
      <c r="F13" s="36"/>
      <c r="G13" s="36"/>
      <c r="H13" s="36"/>
      <c r="I13" s="36"/>
      <c r="J13" s="36"/>
    </row>
    <row r="14" spans="1:10" ht="15" customHeight="1" x14ac:dyDescent="0.2">
      <c r="A14" s="1031"/>
      <c r="B14" s="1032"/>
      <c r="C14" s="1033"/>
      <c r="D14" s="41"/>
      <c r="E14" s="42"/>
      <c r="F14" s="42"/>
      <c r="G14" s="36"/>
      <c r="H14" s="36"/>
      <c r="I14" s="36"/>
      <c r="J14" s="36"/>
    </row>
    <row r="15" spans="1:10" x14ac:dyDescent="0.2">
      <c r="A15" s="1063" t="s">
        <v>80</v>
      </c>
      <c r="B15" s="1064"/>
      <c r="C15" s="1064"/>
      <c r="D15" s="1064"/>
      <c r="E15" s="1064"/>
      <c r="F15" s="1064"/>
      <c r="G15" s="1064"/>
      <c r="H15" s="1064"/>
      <c r="I15" s="1065"/>
      <c r="J15" s="43">
        <f>SUM(J7:J14)</f>
        <v>326.81</v>
      </c>
    </row>
    <row r="16" spans="1:10" x14ac:dyDescent="0.2">
      <c r="A16" s="1066" t="s">
        <v>81</v>
      </c>
      <c r="B16" s="1067"/>
      <c r="C16" s="1067"/>
      <c r="D16" s="1067"/>
      <c r="E16" s="1068"/>
      <c r="F16" s="1049" t="s">
        <v>59</v>
      </c>
      <c r="G16" s="1049" t="s">
        <v>82</v>
      </c>
      <c r="H16" s="1049" t="s">
        <v>74</v>
      </c>
      <c r="I16" s="1053" t="s">
        <v>83</v>
      </c>
      <c r="J16" s="1049" t="s">
        <v>77</v>
      </c>
    </row>
    <row r="17" spans="1:10" x14ac:dyDescent="0.2">
      <c r="A17" s="1069"/>
      <c r="B17" s="1070"/>
      <c r="C17" s="1070"/>
      <c r="D17" s="1070"/>
      <c r="E17" s="1071"/>
      <c r="F17" s="1050"/>
      <c r="G17" s="1050"/>
      <c r="H17" s="1050"/>
      <c r="I17" s="1053"/>
      <c r="J17" s="1050"/>
    </row>
    <row r="18" spans="1:10" x14ac:dyDescent="0.2">
      <c r="A18" s="1060" t="str">
        <f>VLOOKUP(F18,m.o.!A1:F153,2,FALSE)</f>
        <v>Encarregado de O.A.C.</v>
      </c>
      <c r="B18" s="1061"/>
      <c r="C18" s="1061"/>
      <c r="D18" s="1061"/>
      <c r="E18" s="1062"/>
      <c r="F18" s="44">
        <v>20060</v>
      </c>
      <c r="G18" s="45"/>
      <c r="H18" s="36">
        <v>0.5</v>
      </c>
      <c r="I18" s="36">
        <f>VLOOKUP(F18,m.o.!A1:F128,5,FALSE)</f>
        <v>11</v>
      </c>
      <c r="J18" s="36">
        <f>TRUNC(H18*I18,2)</f>
        <v>5.5</v>
      </c>
    </row>
    <row r="19" spans="1:10" x14ac:dyDescent="0.2">
      <c r="A19" s="1060" t="str">
        <f>VLOOKUP(F19,m.o.!A2:F154,2,FALSE)</f>
        <v>Servente</v>
      </c>
      <c r="B19" s="1061"/>
      <c r="C19" s="1061"/>
      <c r="D19" s="1061"/>
      <c r="E19" s="1062"/>
      <c r="F19" s="44">
        <v>20002</v>
      </c>
      <c r="G19" s="45"/>
      <c r="H19" s="36">
        <v>5</v>
      </c>
      <c r="I19" s="36">
        <f>VLOOKUP(F19,m.o.!A2:F129,5,FALSE)</f>
        <v>4.8600000000000003</v>
      </c>
      <c r="J19" s="36">
        <f>TRUNC(H19*I19,2)</f>
        <v>24.3</v>
      </c>
    </row>
    <row r="20" spans="1:10" x14ac:dyDescent="0.2">
      <c r="A20" s="1060"/>
      <c r="B20" s="1061"/>
      <c r="C20" s="1061"/>
      <c r="D20" s="1061"/>
      <c r="E20" s="1062"/>
      <c r="F20" s="44"/>
      <c r="G20" s="45"/>
      <c r="H20" s="36"/>
      <c r="I20" s="36"/>
      <c r="J20" s="36"/>
    </row>
    <row r="21" spans="1:10" x14ac:dyDescent="0.2">
      <c r="A21" s="107"/>
      <c r="B21" s="108"/>
      <c r="C21" s="108"/>
      <c r="D21" s="108"/>
      <c r="E21" s="109"/>
      <c r="F21" s="44"/>
      <c r="G21" s="45"/>
      <c r="H21" s="36"/>
      <c r="I21" s="36"/>
      <c r="J21" s="36"/>
    </row>
    <row r="22" spans="1:10" x14ac:dyDescent="0.2">
      <c r="A22" s="107"/>
      <c r="B22" s="108"/>
      <c r="C22" s="108"/>
      <c r="D22" s="108"/>
      <c r="E22" s="109"/>
      <c r="F22" s="44"/>
      <c r="G22" s="46"/>
      <c r="H22" s="36"/>
      <c r="I22" s="36"/>
      <c r="J22" s="36"/>
    </row>
    <row r="23" spans="1:10" x14ac:dyDescent="0.2">
      <c r="A23" s="94"/>
      <c r="B23" s="95"/>
      <c r="C23" s="95"/>
      <c r="D23" s="95"/>
      <c r="E23" s="96"/>
      <c r="F23" s="44"/>
      <c r="G23" s="46"/>
      <c r="H23" s="36"/>
      <c r="I23" s="36"/>
      <c r="J23" s="36"/>
    </row>
    <row r="24" spans="1:10" x14ac:dyDescent="0.2">
      <c r="A24" s="107"/>
      <c r="B24" s="108"/>
      <c r="C24" s="108"/>
      <c r="D24" s="108"/>
      <c r="E24" s="109"/>
      <c r="F24" s="44"/>
      <c r="G24" s="46"/>
      <c r="H24" s="36"/>
      <c r="I24" s="36"/>
      <c r="J24" s="36"/>
    </row>
    <row r="25" spans="1:10" x14ac:dyDescent="0.2">
      <c r="A25" s="107"/>
      <c r="B25" s="108"/>
      <c r="C25" s="108"/>
      <c r="D25" s="108"/>
      <c r="E25" s="109"/>
      <c r="F25" s="44"/>
      <c r="G25" s="46"/>
      <c r="H25" s="36"/>
      <c r="I25" s="36"/>
      <c r="J25" s="36"/>
    </row>
    <row r="26" spans="1:10" x14ac:dyDescent="0.2">
      <c r="A26" s="1031"/>
      <c r="B26" s="1032"/>
      <c r="C26" s="1032"/>
      <c r="D26" s="1032"/>
      <c r="E26" s="1033"/>
      <c r="F26" s="41"/>
      <c r="G26" s="47"/>
      <c r="H26" s="42"/>
      <c r="I26" s="42"/>
      <c r="J26" s="36"/>
    </row>
    <row r="27" spans="1:10" x14ac:dyDescent="0.2">
      <c r="A27" s="1063" t="s">
        <v>84</v>
      </c>
      <c r="B27" s="1064"/>
      <c r="C27" s="1064"/>
      <c r="D27" s="1064"/>
      <c r="E27" s="1064"/>
      <c r="F27" s="1064"/>
      <c r="G27" s="1064"/>
      <c r="H27" s="1064"/>
      <c r="I27" s="1065"/>
      <c r="J27" s="43">
        <f>ROUND(SUM(J18:J26),2)</f>
        <v>29.8</v>
      </c>
    </row>
    <row r="28" spans="1:10" x14ac:dyDescent="0.2">
      <c r="A28" s="1072" t="s">
        <v>85</v>
      </c>
      <c r="B28" s="1073"/>
      <c r="C28" s="1073"/>
      <c r="D28" s="1073"/>
      <c r="E28" s="1073"/>
      <c r="F28" s="42">
        <v>0.5</v>
      </c>
      <c r="G28" s="1072" t="s">
        <v>86</v>
      </c>
      <c r="H28" s="1073"/>
      <c r="I28" s="1073"/>
      <c r="J28" s="48">
        <f>+J27+J15</f>
        <v>356.61</v>
      </c>
    </row>
    <row r="29" spans="1:10" x14ac:dyDescent="0.2">
      <c r="A29" s="1074" t="s">
        <v>87</v>
      </c>
      <c r="B29" s="1075"/>
      <c r="C29" s="1075"/>
      <c r="D29" s="1075"/>
      <c r="E29" s="1075"/>
      <c r="F29" s="1075"/>
      <c r="G29" s="1075"/>
      <c r="H29" s="1075"/>
      <c r="I29" s="1076"/>
      <c r="J29" s="43">
        <f>TRUNC(J28/F28,2)</f>
        <v>713.22</v>
      </c>
    </row>
    <row r="30" spans="1:10" x14ac:dyDescent="0.2">
      <c r="A30" s="1077" t="s">
        <v>88</v>
      </c>
      <c r="B30" s="1078"/>
      <c r="C30" s="1078"/>
      <c r="D30" s="1078"/>
      <c r="E30" s="1079"/>
      <c r="F30" s="1049" t="s">
        <v>59</v>
      </c>
      <c r="G30" s="1049" t="s">
        <v>1</v>
      </c>
      <c r="H30" s="1053" t="s">
        <v>63</v>
      </c>
      <c r="I30" s="1049" t="s">
        <v>89</v>
      </c>
      <c r="J30" s="1049" t="s">
        <v>90</v>
      </c>
    </row>
    <row r="31" spans="1:10" x14ac:dyDescent="0.2">
      <c r="A31" s="1080"/>
      <c r="B31" s="1081"/>
      <c r="C31" s="1081"/>
      <c r="D31" s="1081"/>
      <c r="E31" s="1082"/>
      <c r="F31" s="1050"/>
      <c r="G31" s="1050"/>
      <c r="H31" s="1053"/>
      <c r="I31" s="1050"/>
      <c r="J31" s="1050"/>
    </row>
    <row r="32" spans="1:10" x14ac:dyDescent="0.2">
      <c r="A32" s="49" t="s">
        <v>107</v>
      </c>
      <c r="B32" s="50"/>
      <c r="C32" s="50"/>
      <c r="D32" s="50"/>
      <c r="E32" s="51"/>
      <c r="F32" s="52" t="s">
        <v>106</v>
      </c>
      <c r="G32" s="53" t="s">
        <v>104</v>
      </c>
      <c r="H32" s="54">
        <v>3312.2</v>
      </c>
      <c r="I32" s="55">
        <v>2</v>
      </c>
      <c r="J32" s="36">
        <f>+I32*H32</f>
        <v>6624.4</v>
      </c>
    </row>
    <row r="33" spans="1:13" x14ac:dyDescent="0.2">
      <c r="A33" s="1096" t="s">
        <v>58</v>
      </c>
      <c r="B33" s="1097"/>
      <c r="C33" s="1097"/>
      <c r="D33" s="1097"/>
      <c r="E33" s="1098"/>
      <c r="F33" s="52" t="s">
        <v>161</v>
      </c>
      <c r="G33" s="53" t="s">
        <v>67</v>
      </c>
      <c r="H33" s="54">
        <f>+'42714'!J50</f>
        <v>377.24</v>
      </c>
      <c r="I33" s="55">
        <v>0.55000000000000004</v>
      </c>
      <c r="J33" s="36">
        <f>+I33*H33</f>
        <v>207.48</v>
      </c>
    </row>
    <row r="34" spans="1:13" x14ac:dyDescent="0.2">
      <c r="A34" s="1060"/>
      <c r="B34" s="1061"/>
      <c r="C34" s="1061"/>
      <c r="D34" s="1061"/>
      <c r="E34" s="1062"/>
      <c r="F34" s="114"/>
      <c r="G34" s="54"/>
      <c r="H34" s="54"/>
      <c r="I34" s="55"/>
      <c r="J34" s="36"/>
    </row>
    <row r="35" spans="1:13" x14ac:dyDescent="0.2">
      <c r="A35" s="1060"/>
      <c r="B35" s="1061"/>
      <c r="C35" s="1061"/>
      <c r="D35" s="1061"/>
      <c r="E35" s="1062"/>
      <c r="F35" s="114"/>
      <c r="G35" s="54"/>
      <c r="H35" s="54"/>
      <c r="I35" s="55"/>
      <c r="J35" s="36"/>
    </row>
    <row r="36" spans="1:13" x14ac:dyDescent="0.2">
      <c r="A36" s="107"/>
      <c r="B36" s="108"/>
      <c r="C36" s="108"/>
      <c r="D36" s="108"/>
      <c r="E36" s="109"/>
      <c r="F36" s="52"/>
      <c r="G36" s="54"/>
      <c r="H36" s="54"/>
      <c r="I36" s="55"/>
      <c r="J36" s="36"/>
    </row>
    <row r="37" spans="1:13" x14ac:dyDescent="0.2">
      <c r="A37" s="111"/>
      <c r="B37" s="112"/>
      <c r="C37" s="112"/>
      <c r="D37" s="112"/>
      <c r="E37" s="113"/>
      <c r="F37" s="52"/>
      <c r="G37" s="53"/>
      <c r="H37" s="54"/>
      <c r="I37" s="55"/>
      <c r="J37" s="36"/>
    </row>
    <row r="38" spans="1:13" x14ac:dyDescent="0.2">
      <c r="A38" s="94"/>
      <c r="B38" s="100"/>
      <c r="C38" s="100"/>
      <c r="D38" s="100"/>
      <c r="E38" s="101"/>
      <c r="F38" s="52"/>
      <c r="G38" s="53"/>
      <c r="H38" s="54"/>
      <c r="I38" s="55"/>
      <c r="J38" s="36"/>
    </row>
    <row r="39" spans="1:13" x14ac:dyDescent="0.2">
      <c r="A39" s="1060"/>
      <c r="B39" s="1061"/>
      <c r="C39" s="1061"/>
      <c r="D39" s="1061"/>
      <c r="E39" s="1062"/>
      <c r="F39" s="52"/>
      <c r="G39" s="53"/>
      <c r="H39" s="54"/>
      <c r="I39" s="55"/>
      <c r="J39" s="36"/>
    </row>
    <row r="40" spans="1:13" x14ac:dyDescent="0.2">
      <c r="A40" s="1060"/>
      <c r="B40" s="1061"/>
      <c r="C40" s="1061"/>
      <c r="D40" s="1061"/>
      <c r="E40" s="1062"/>
      <c r="F40" s="52"/>
      <c r="G40" s="53"/>
      <c r="H40" s="54"/>
      <c r="I40" s="55"/>
      <c r="J40" s="36"/>
    </row>
    <row r="41" spans="1:13" x14ac:dyDescent="0.2">
      <c r="A41" s="1031"/>
      <c r="B41" s="1032"/>
      <c r="C41" s="1032"/>
      <c r="D41" s="1032"/>
      <c r="E41" s="1033"/>
      <c r="F41" s="58"/>
      <c r="G41" s="59"/>
      <c r="H41" s="60"/>
      <c r="I41" s="55"/>
      <c r="J41" s="36"/>
    </row>
    <row r="42" spans="1:13" x14ac:dyDescent="0.2">
      <c r="A42" s="1063" t="s">
        <v>91</v>
      </c>
      <c r="B42" s="1064"/>
      <c r="C42" s="1064"/>
      <c r="D42" s="1064"/>
      <c r="E42" s="1064"/>
      <c r="F42" s="1064"/>
      <c r="G42" s="1064"/>
      <c r="H42" s="1064"/>
      <c r="I42" s="1065"/>
      <c r="J42" s="43">
        <f>ROUND(SUM(J32:J41),2)</f>
        <v>6831.88</v>
      </c>
    </row>
    <row r="43" spans="1:13" x14ac:dyDescent="0.2">
      <c r="A43" s="1066" t="s">
        <v>92</v>
      </c>
      <c r="B43" s="1067"/>
      <c r="C43" s="1067"/>
      <c r="D43" s="1067"/>
      <c r="E43" s="1090" t="s">
        <v>59</v>
      </c>
      <c r="F43" s="1051" t="s">
        <v>93</v>
      </c>
      <c r="G43" s="1052"/>
      <c r="H43" s="1092" t="s">
        <v>94</v>
      </c>
      <c r="I43" s="1092" t="s">
        <v>95</v>
      </c>
      <c r="J43" s="1049" t="s">
        <v>63</v>
      </c>
    </row>
    <row r="44" spans="1:13" x14ac:dyDescent="0.2">
      <c r="A44" s="1069"/>
      <c r="B44" s="1070"/>
      <c r="C44" s="1070"/>
      <c r="D44" s="1070"/>
      <c r="E44" s="1091"/>
      <c r="F44" s="103" t="s">
        <v>21</v>
      </c>
      <c r="G44" s="103" t="s">
        <v>20</v>
      </c>
      <c r="H44" s="1092"/>
      <c r="I44" s="1092"/>
      <c r="J44" s="1050"/>
    </row>
    <row r="45" spans="1:13" x14ac:dyDescent="0.2">
      <c r="A45" s="49" t="str">
        <f>VLOOKUP(E45,transp.!A4:J30,4,FALSE)</f>
        <v>0,716XP + 0,745XR</v>
      </c>
      <c r="B45" s="104"/>
      <c r="C45" s="104" t="s">
        <v>162</v>
      </c>
      <c r="D45" s="105"/>
      <c r="E45" s="106">
        <v>60004</v>
      </c>
      <c r="F45" s="61">
        <v>141</v>
      </c>
      <c r="G45" s="36">
        <v>0</v>
      </c>
      <c r="H45" s="36">
        <f>TRUNC(F45*K45+G45*L45+M45,2)</f>
        <v>100.95</v>
      </c>
      <c r="I45" s="62">
        <v>7.74</v>
      </c>
      <c r="J45" s="36">
        <f>TRUNC(I45*H45,2)</f>
        <v>781.35</v>
      </c>
      <c r="K45" s="22">
        <f>VLOOKUP(E45,transp.!$A$4:$K$21,5,FALSE)</f>
        <v>0.71599999999999997</v>
      </c>
      <c r="L45" s="22">
        <f>VLOOKUP(E45,transp.!$A$4:$G$19,6,FALSE)</f>
        <v>0.745</v>
      </c>
      <c r="M45" s="22">
        <f>VLOOKUP(E45,transp.!$A$4:$G$19,7,FALSE)</f>
        <v>0</v>
      </c>
    </row>
    <row r="46" spans="1:13" x14ac:dyDescent="0.2">
      <c r="A46" s="107"/>
      <c r="B46" s="108"/>
      <c r="C46" s="108"/>
      <c r="D46" s="109"/>
      <c r="E46" s="118"/>
      <c r="F46" s="54"/>
      <c r="G46" s="54"/>
      <c r="H46" s="36"/>
      <c r="I46" s="63"/>
      <c r="J46" s="54"/>
    </row>
    <row r="47" spans="1:13" x14ac:dyDescent="0.2">
      <c r="A47" s="107"/>
      <c r="B47" s="108"/>
      <c r="C47" s="108"/>
      <c r="D47" s="109"/>
      <c r="E47" s="119"/>
      <c r="F47" s="36"/>
      <c r="G47" s="36"/>
      <c r="H47" s="36"/>
      <c r="I47" s="62"/>
      <c r="J47" s="54"/>
    </row>
    <row r="48" spans="1:13" x14ac:dyDescent="0.2">
      <c r="A48" s="115"/>
      <c r="B48" s="116"/>
      <c r="C48" s="116"/>
      <c r="D48" s="117"/>
      <c r="E48" s="36"/>
      <c r="F48" s="36"/>
      <c r="G48" s="36"/>
      <c r="H48" s="36"/>
      <c r="I48" s="62"/>
      <c r="J48" s="54"/>
    </row>
    <row r="49" spans="1:10" x14ac:dyDescent="0.2">
      <c r="A49" s="1085" t="s">
        <v>96</v>
      </c>
      <c r="B49" s="1086"/>
      <c r="C49" s="1086"/>
      <c r="D49" s="1086"/>
      <c r="E49" s="1086"/>
      <c r="F49" s="1086"/>
      <c r="G49" s="1086"/>
      <c r="H49" s="1086"/>
      <c r="I49" s="1087"/>
      <c r="J49" s="64">
        <f>SUM(J45:J48)</f>
        <v>781.35</v>
      </c>
    </row>
    <row r="50" spans="1:10" x14ac:dyDescent="0.2">
      <c r="A50" s="1088" t="s">
        <v>97</v>
      </c>
      <c r="B50" s="1089"/>
      <c r="C50" s="1089"/>
      <c r="D50" s="1089"/>
      <c r="E50" s="1089"/>
      <c r="F50" s="1089"/>
      <c r="G50" s="102" t="s">
        <v>98</v>
      </c>
      <c r="H50" s="25"/>
      <c r="I50" s="66" t="s">
        <v>99</v>
      </c>
      <c r="J50" s="61">
        <f>J49+J42+J29</f>
        <v>8326.4500000000007</v>
      </c>
    </row>
    <row r="51" spans="1:10" x14ac:dyDescent="0.2">
      <c r="A51" s="1083" t="s">
        <v>100</v>
      </c>
      <c r="B51" s="1084"/>
      <c r="C51" s="1084"/>
      <c r="D51" s="1084"/>
      <c r="E51" s="1084"/>
      <c r="F51" s="1084"/>
      <c r="G51" s="67">
        <v>0.35</v>
      </c>
      <c r="H51" s="68"/>
      <c r="I51" s="69" t="s">
        <v>99</v>
      </c>
      <c r="J51" s="48">
        <f>+J50*G51</f>
        <v>2914.26</v>
      </c>
    </row>
    <row r="52" spans="1:10" x14ac:dyDescent="0.2">
      <c r="A52" s="1074" t="s">
        <v>101</v>
      </c>
      <c r="B52" s="1075"/>
      <c r="C52" s="1075"/>
      <c r="D52" s="1075"/>
      <c r="E52" s="1075"/>
      <c r="F52" s="1075"/>
      <c r="G52" s="98"/>
      <c r="H52" s="71"/>
      <c r="I52" s="97" t="s">
        <v>99</v>
      </c>
      <c r="J52" s="43">
        <f>+J51+J50</f>
        <v>11240.71</v>
      </c>
    </row>
    <row r="53" spans="1:10" x14ac:dyDescent="0.2">
      <c r="A53" s="23" t="s">
        <v>102</v>
      </c>
      <c r="B53" s="25"/>
      <c r="C53" s="25"/>
      <c r="D53" s="25"/>
      <c r="E53" s="25"/>
      <c r="F53" s="25"/>
      <c r="G53" s="25"/>
      <c r="H53" s="24"/>
      <c r="I53" s="24"/>
      <c r="J53" s="73"/>
    </row>
    <row r="54" spans="1:10" x14ac:dyDescent="0.2">
      <c r="A54" s="26"/>
      <c r="B54" s="27" t="s">
        <v>105</v>
      </c>
      <c r="C54" s="27"/>
      <c r="D54" s="27"/>
      <c r="E54" s="27"/>
      <c r="F54" s="27"/>
      <c r="G54" s="27"/>
      <c r="H54" s="28"/>
      <c r="I54" s="28"/>
      <c r="J54" s="73"/>
    </row>
    <row r="55" spans="1:10" x14ac:dyDescent="0.2">
      <c r="A55" s="29"/>
      <c r="B55" s="31"/>
      <c r="C55" s="31"/>
      <c r="D55" s="30"/>
      <c r="E55" s="30"/>
      <c r="F55" s="30"/>
      <c r="G55" s="30"/>
      <c r="H55" s="30"/>
      <c r="I55" s="30"/>
      <c r="J55" s="74"/>
    </row>
  </sheetData>
  <mergeCells count="55">
    <mergeCell ref="J43:J44"/>
    <mergeCell ref="A49:I49"/>
    <mergeCell ref="A50:F50"/>
    <mergeCell ref="A51:F51"/>
    <mergeCell ref="A52:F52"/>
    <mergeCell ref="A41:E41"/>
    <mergeCell ref="A42:I42"/>
    <mergeCell ref="A43:D44"/>
    <mergeCell ref="E43:E44"/>
    <mergeCell ref="F43:G43"/>
    <mergeCell ref="H43:H44"/>
    <mergeCell ref="I43:I44"/>
    <mergeCell ref="J30:J31"/>
    <mergeCell ref="A33:E33"/>
    <mergeCell ref="A34:E34"/>
    <mergeCell ref="A35:E35"/>
    <mergeCell ref="A39:E39"/>
    <mergeCell ref="A40:E40"/>
    <mergeCell ref="A28:E28"/>
    <mergeCell ref="G28:I28"/>
    <mergeCell ref="A29:I29"/>
    <mergeCell ref="A30:E31"/>
    <mergeCell ref="F30:F31"/>
    <mergeCell ref="G30:G31"/>
    <mergeCell ref="H30:H31"/>
    <mergeCell ref="I30:I31"/>
    <mergeCell ref="J16:J17"/>
    <mergeCell ref="A18:E18"/>
    <mergeCell ref="A19:E19"/>
    <mergeCell ref="A20:E20"/>
    <mergeCell ref="A26:E26"/>
    <mergeCell ref="A27:I27"/>
    <mergeCell ref="A14:C14"/>
    <mergeCell ref="A15:I15"/>
    <mergeCell ref="A16:E17"/>
    <mergeCell ref="F16:F17"/>
    <mergeCell ref="G16:G17"/>
    <mergeCell ref="H16:H17"/>
    <mergeCell ref="I16:I17"/>
    <mergeCell ref="A12:C12"/>
    <mergeCell ref="A1:J1"/>
    <mergeCell ref="A3:A4"/>
    <mergeCell ref="B3:H4"/>
    <mergeCell ref="I3:I4"/>
    <mergeCell ref="J3:J4"/>
    <mergeCell ref="A5:C6"/>
    <mergeCell ref="D5:D6"/>
    <mergeCell ref="E5:E6"/>
    <mergeCell ref="F5:G5"/>
    <mergeCell ref="H5:I5"/>
    <mergeCell ref="J5:J6"/>
    <mergeCell ref="A7:C7"/>
    <mergeCell ref="A8:C8"/>
    <mergeCell ref="A9:C9"/>
    <mergeCell ref="A11:C11"/>
  </mergeCells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55"/>
  <sheetViews>
    <sheetView workbookViewId="0">
      <selection activeCell="C55" sqref="C55"/>
    </sheetView>
  </sheetViews>
  <sheetFormatPr defaultColWidth="9" defaultRowHeight="11.25" x14ac:dyDescent="0.2"/>
  <cols>
    <col min="1" max="2" width="9" style="22"/>
    <col min="3" max="3" width="10.875" style="22" customWidth="1"/>
    <col min="4" max="16384" width="9" style="22"/>
  </cols>
  <sheetData>
    <row r="1" spans="1:10" ht="15.75" x14ac:dyDescent="0.2">
      <c r="A1" s="1034" t="s">
        <v>68</v>
      </c>
      <c r="B1" s="1035"/>
      <c r="C1" s="1035"/>
      <c r="D1" s="1035"/>
      <c r="E1" s="1035"/>
      <c r="F1" s="1035"/>
      <c r="G1" s="1035"/>
      <c r="H1" s="1035"/>
      <c r="I1" s="1035"/>
      <c r="J1" s="1036"/>
    </row>
    <row r="2" spans="1:10" x14ac:dyDescent="0.2">
      <c r="A2" s="32" t="s">
        <v>69</v>
      </c>
      <c r="B2" s="25" t="s">
        <v>70</v>
      </c>
      <c r="C2" s="25"/>
      <c r="D2" s="25"/>
      <c r="E2" s="25"/>
      <c r="F2" s="25"/>
      <c r="G2" s="25"/>
      <c r="H2" s="25"/>
      <c r="I2" s="32" t="s">
        <v>71</v>
      </c>
      <c r="J2" s="32" t="s">
        <v>72</v>
      </c>
    </row>
    <row r="3" spans="1:10" x14ac:dyDescent="0.2">
      <c r="A3" s="1037">
        <f>+Planilha!B50</f>
        <v>40230</v>
      </c>
      <c r="B3" s="1039" t="str">
        <f>+Planilha!C50</f>
        <v>Escavação e carga de material de 1ª categoria com escavadeira</v>
      </c>
      <c r="C3" s="1040"/>
      <c r="D3" s="1040"/>
      <c r="E3" s="1040"/>
      <c r="F3" s="1040"/>
      <c r="G3" s="1040"/>
      <c r="H3" s="1041"/>
      <c r="I3" s="1045" t="s">
        <v>61</v>
      </c>
      <c r="J3" s="1046" t="s">
        <v>153</v>
      </c>
    </row>
    <row r="4" spans="1:10" x14ac:dyDescent="0.2">
      <c r="A4" s="1038"/>
      <c r="B4" s="1042"/>
      <c r="C4" s="1043"/>
      <c r="D4" s="1043"/>
      <c r="E4" s="1043"/>
      <c r="F4" s="1043"/>
      <c r="G4" s="1043"/>
      <c r="H4" s="1044"/>
      <c r="I4" s="1038"/>
      <c r="J4" s="1047"/>
    </row>
    <row r="5" spans="1:10" x14ac:dyDescent="0.2">
      <c r="A5" s="1048" t="s">
        <v>73</v>
      </c>
      <c r="B5" s="1048"/>
      <c r="C5" s="1048"/>
      <c r="D5" s="1049" t="s">
        <v>59</v>
      </c>
      <c r="E5" s="1049" t="s">
        <v>74</v>
      </c>
      <c r="F5" s="1051" t="s">
        <v>75</v>
      </c>
      <c r="G5" s="1052"/>
      <c r="H5" s="1051" t="s">
        <v>76</v>
      </c>
      <c r="I5" s="1052"/>
      <c r="J5" s="1053" t="s">
        <v>77</v>
      </c>
    </row>
    <row r="6" spans="1:10" x14ac:dyDescent="0.2">
      <c r="A6" s="1048"/>
      <c r="B6" s="1048"/>
      <c r="C6" s="1048"/>
      <c r="D6" s="1050"/>
      <c r="E6" s="1050"/>
      <c r="F6" s="103" t="s">
        <v>78</v>
      </c>
      <c r="G6" s="34" t="s">
        <v>79</v>
      </c>
      <c r="H6" s="103" t="s">
        <v>78</v>
      </c>
      <c r="I6" s="103" t="s">
        <v>79</v>
      </c>
      <c r="J6" s="1053"/>
    </row>
    <row r="7" spans="1:10" x14ac:dyDescent="0.2">
      <c r="A7" s="1093"/>
      <c r="B7" s="1094"/>
      <c r="C7" s="1095"/>
      <c r="D7" s="35"/>
      <c r="E7" s="36"/>
      <c r="F7" s="36"/>
      <c r="G7" s="36"/>
      <c r="H7" s="36"/>
      <c r="I7" s="36"/>
      <c r="J7" s="36"/>
    </row>
    <row r="8" spans="1:10" x14ac:dyDescent="0.2">
      <c r="A8" s="1096"/>
      <c r="B8" s="1097"/>
      <c r="C8" s="1098"/>
      <c r="D8" s="40"/>
      <c r="E8" s="36"/>
      <c r="F8" s="36"/>
      <c r="G8" s="36"/>
      <c r="H8" s="36"/>
      <c r="I8" s="36"/>
      <c r="J8" s="36"/>
    </row>
    <row r="9" spans="1:10" x14ac:dyDescent="0.2">
      <c r="A9" s="1096"/>
      <c r="B9" s="1097"/>
      <c r="C9" s="1098"/>
      <c r="D9" s="40"/>
      <c r="E9" s="36"/>
      <c r="F9" s="36"/>
      <c r="G9" s="36"/>
      <c r="H9" s="36"/>
      <c r="I9" s="36"/>
      <c r="J9" s="36"/>
    </row>
    <row r="10" spans="1:10" x14ac:dyDescent="0.2">
      <c r="A10" s="94" t="s">
        <v>127</v>
      </c>
      <c r="B10" s="95"/>
      <c r="C10" s="96"/>
      <c r="D10" s="35"/>
      <c r="E10" s="110">
        <v>0.05</v>
      </c>
      <c r="F10" s="36"/>
      <c r="G10" s="36"/>
      <c r="H10" s="36">
        <f>+J27</f>
        <v>20.25</v>
      </c>
      <c r="I10" s="36"/>
      <c r="J10" s="36">
        <f>TRUNC(H10*E10,2)</f>
        <v>1.01</v>
      </c>
    </row>
    <row r="11" spans="1:10" x14ac:dyDescent="0.2">
      <c r="A11" s="1060"/>
      <c r="B11" s="1061"/>
      <c r="C11" s="1062"/>
      <c r="D11" s="40"/>
      <c r="E11" s="36"/>
      <c r="F11" s="36"/>
      <c r="G11" s="36"/>
      <c r="H11" s="36"/>
      <c r="I11" s="36"/>
      <c r="J11" s="36"/>
    </row>
    <row r="12" spans="1:10" x14ac:dyDescent="0.2">
      <c r="A12" s="1060"/>
      <c r="B12" s="1061"/>
      <c r="C12" s="1062"/>
      <c r="D12" s="40"/>
      <c r="E12" s="36"/>
      <c r="F12" s="36"/>
      <c r="G12" s="36"/>
      <c r="H12" s="36"/>
      <c r="I12" s="36"/>
      <c r="J12" s="36"/>
    </row>
    <row r="13" spans="1:10" x14ac:dyDescent="0.2">
      <c r="A13" s="94"/>
      <c r="B13" s="95"/>
      <c r="C13" s="96"/>
      <c r="D13" s="40"/>
      <c r="E13" s="36"/>
      <c r="F13" s="36"/>
      <c r="G13" s="36"/>
      <c r="H13" s="36"/>
      <c r="I13" s="36"/>
      <c r="J13" s="36"/>
    </row>
    <row r="14" spans="1:10" x14ac:dyDescent="0.2">
      <c r="A14" s="1031"/>
      <c r="B14" s="1032"/>
      <c r="C14" s="1033"/>
      <c r="D14" s="41"/>
      <c r="E14" s="42"/>
      <c r="F14" s="42"/>
      <c r="G14" s="36"/>
      <c r="H14" s="36"/>
      <c r="I14" s="36"/>
      <c r="J14" s="36"/>
    </row>
    <row r="15" spans="1:10" x14ac:dyDescent="0.2">
      <c r="A15" s="1063" t="s">
        <v>80</v>
      </c>
      <c r="B15" s="1064"/>
      <c r="C15" s="1064"/>
      <c r="D15" s="1064"/>
      <c r="E15" s="1064"/>
      <c r="F15" s="1064"/>
      <c r="G15" s="1064"/>
      <c r="H15" s="1064"/>
      <c r="I15" s="1065"/>
      <c r="J15" s="43">
        <f>SUM(J7:J14)</f>
        <v>1.01</v>
      </c>
    </row>
    <row r="16" spans="1:10" x14ac:dyDescent="0.2">
      <c r="A16" s="1066" t="s">
        <v>81</v>
      </c>
      <c r="B16" s="1067"/>
      <c r="C16" s="1067"/>
      <c r="D16" s="1067"/>
      <c r="E16" s="1068"/>
      <c r="F16" s="1049" t="s">
        <v>59</v>
      </c>
      <c r="G16" s="1049" t="s">
        <v>82</v>
      </c>
      <c r="H16" s="1049" t="s">
        <v>74</v>
      </c>
      <c r="I16" s="1053" t="s">
        <v>83</v>
      </c>
      <c r="J16" s="1049" t="s">
        <v>77</v>
      </c>
    </row>
    <row r="17" spans="1:10" x14ac:dyDescent="0.2">
      <c r="A17" s="1069"/>
      <c r="B17" s="1070"/>
      <c r="C17" s="1070"/>
      <c r="D17" s="1070"/>
      <c r="E17" s="1071"/>
      <c r="F17" s="1050"/>
      <c r="G17" s="1050"/>
      <c r="H17" s="1050"/>
      <c r="I17" s="1053"/>
      <c r="J17" s="1050"/>
    </row>
    <row r="18" spans="1:10" x14ac:dyDescent="0.2">
      <c r="A18" s="1060" t="str">
        <f>VLOOKUP(F18,m.o.!A1:F153,2,FALSE)</f>
        <v>Encarregado de O.A.C.</v>
      </c>
      <c r="B18" s="1061"/>
      <c r="C18" s="1061"/>
      <c r="D18" s="1061"/>
      <c r="E18" s="1062"/>
      <c r="F18" s="44">
        <v>20060</v>
      </c>
      <c r="G18" s="45"/>
      <c r="H18" s="36">
        <v>0.3</v>
      </c>
      <c r="I18" s="36">
        <f>VLOOKUP(F18,m.o.!A1:F128,5,FALSE)</f>
        <v>11</v>
      </c>
      <c r="J18" s="36">
        <f>TRUNC(H18*I18,2)</f>
        <v>3.3</v>
      </c>
    </row>
    <row r="19" spans="1:10" x14ac:dyDescent="0.2">
      <c r="A19" s="1060" t="str">
        <f>VLOOKUP(F19,m.o.!A2:F154,2,FALSE)</f>
        <v>Pedreiro de O.A.C.</v>
      </c>
      <c r="B19" s="1061"/>
      <c r="C19" s="1061"/>
      <c r="D19" s="1061"/>
      <c r="E19" s="1062"/>
      <c r="F19" s="44">
        <v>20109</v>
      </c>
      <c r="G19" s="45"/>
      <c r="H19" s="36">
        <v>1.2</v>
      </c>
      <c r="I19" s="36">
        <f>VLOOKUP(F19,m.o.!A2:F129,5,FALSE)</f>
        <v>6.03</v>
      </c>
      <c r="J19" s="36">
        <f>TRUNC(H19*I19,2)</f>
        <v>7.23</v>
      </c>
    </row>
    <row r="20" spans="1:10" x14ac:dyDescent="0.2">
      <c r="A20" s="1060" t="str">
        <f>VLOOKUP(F20,m.o.!A4:F155,2,FALSE)</f>
        <v>Servente</v>
      </c>
      <c r="B20" s="1061"/>
      <c r="C20" s="1061"/>
      <c r="D20" s="1061"/>
      <c r="E20" s="1062"/>
      <c r="F20" s="44">
        <v>20002</v>
      </c>
      <c r="G20" s="45"/>
      <c r="H20" s="36">
        <v>2</v>
      </c>
      <c r="I20" s="36">
        <f>VLOOKUP(F20,m.o.!A4:F130,5,FALSE)</f>
        <v>4.8600000000000003</v>
      </c>
      <c r="J20" s="36">
        <f>TRUNC(H20*I20,2)</f>
        <v>9.7200000000000006</v>
      </c>
    </row>
    <row r="21" spans="1:10" x14ac:dyDescent="0.2">
      <c r="A21" s="107"/>
      <c r="B21" s="108"/>
      <c r="C21" s="108"/>
      <c r="D21" s="108"/>
      <c r="E21" s="109"/>
      <c r="F21" s="44"/>
      <c r="G21" s="45"/>
      <c r="H21" s="36"/>
      <c r="I21" s="36"/>
      <c r="J21" s="36"/>
    </row>
    <row r="22" spans="1:10" x14ac:dyDescent="0.2">
      <c r="A22" s="107"/>
      <c r="B22" s="108"/>
      <c r="C22" s="108"/>
      <c r="D22" s="108"/>
      <c r="E22" s="109"/>
      <c r="F22" s="44"/>
      <c r="G22" s="46"/>
      <c r="H22" s="36"/>
      <c r="I22" s="36"/>
      <c r="J22" s="36"/>
    </row>
    <row r="23" spans="1:10" x14ac:dyDescent="0.2">
      <c r="A23" s="94"/>
      <c r="B23" s="95"/>
      <c r="C23" s="95"/>
      <c r="D23" s="95"/>
      <c r="E23" s="96"/>
      <c r="F23" s="44"/>
      <c r="G23" s="46"/>
      <c r="H23" s="36"/>
      <c r="I23" s="36"/>
      <c r="J23" s="36"/>
    </row>
    <row r="24" spans="1:10" x14ac:dyDescent="0.2">
      <c r="A24" s="107"/>
      <c r="B24" s="108"/>
      <c r="C24" s="108"/>
      <c r="D24" s="108"/>
      <c r="E24" s="109"/>
      <c r="F24" s="44"/>
      <c r="G24" s="46"/>
      <c r="H24" s="36"/>
      <c r="I24" s="36"/>
      <c r="J24" s="36"/>
    </row>
    <row r="25" spans="1:10" x14ac:dyDescent="0.2">
      <c r="A25" s="107"/>
      <c r="B25" s="108"/>
      <c r="C25" s="108"/>
      <c r="D25" s="108"/>
      <c r="E25" s="109"/>
      <c r="F25" s="44"/>
      <c r="G25" s="46"/>
      <c r="H25" s="36"/>
      <c r="I25" s="36"/>
      <c r="J25" s="36"/>
    </row>
    <row r="26" spans="1:10" x14ac:dyDescent="0.2">
      <c r="A26" s="1031"/>
      <c r="B26" s="1032"/>
      <c r="C26" s="1032"/>
      <c r="D26" s="1032"/>
      <c r="E26" s="1033"/>
      <c r="F26" s="41"/>
      <c r="G26" s="47"/>
      <c r="H26" s="42"/>
      <c r="I26" s="42"/>
      <c r="J26" s="36"/>
    </row>
    <row r="27" spans="1:10" x14ac:dyDescent="0.2">
      <c r="A27" s="1063" t="s">
        <v>84</v>
      </c>
      <c r="B27" s="1064"/>
      <c r="C27" s="1064"/>
      <c r="D27" s="1064"/>
      <c r="E27" s="1064"/>
      <c r="F27" s="1064"/>
      <c r="G27" s="1064"/>
      <c r="H27" s="1064"/>
      <c r="I27" s="1065"/>
      <c r="J27" s="43">
        <f>ROUND(SUM(J18:J26),2)</f>
        <v>20.25</v>
      </c>
    </row>
    <row r="28" spans="1:10" x14ac:dyDescent="0.2">
      <c r="A28" s="1072" t="s">
        <v>85</v>
      </c>
      <c r="B28" s="1073"/>
      <c r="C28" s="1073"/>
      <c r="D28" s="1073"/>
      <c r="E28" s="1073"/>
      <c r="F28" s="42">
        <v>0.83</v>
      </c>
      <c r="G28" s="1072" t="s">
        <v>86</v>
      </c>
      <c r="H28" s="1073"/>
      <c r="I28" s="1073"/>
      <c r="J28" s="48">
        <f>+J27+J15</f>
        <v>21.26</v>
      </c>
    </row>
    <row r="29" spans="1:10" x14ac:dyDescent="0.2">
      <c r="A29" s="1074" t="s">
        <v>87</v>
      </c>
      <c r="B29" s="1075"/>
      <c r="C29" s="1075"/>
      <c r="D29" s="1075"/>
      <c r="E29" s="1075"/>
      <c r="F29" s="1075"/>
      <c r="G29" s="1075"/>
      <c r="H29" s="1075"/>
      <c r="I29" s="1076"/>
      <c r="J29" s="43">
        <f>TRUNC(J28/F28,2)</f>
        <v>25.61</v>
      </c>
    </row>
    <row r="30" spans="1:10" x14ac:dyDescent="0.2">
      <c r="A30" s="1077" t="s">
        <v>88</v>
      </c>
      <c r="B30" s="1078"/>
      <c r="C30" s="1078"/>
      <c r="D30" s="1078"/>
      <c r="E30" s="1079"/>
      <c r="F30" s="1049" t="s">
        <v>59</v>
      </c>
      <c r="G30" s="1049" t="s">
        <v>1</v>
      </c>
      <c r="H30" s="1053" t="s">
        <v>63</v>
      </c>
      <c r="I30" s="1049" t="s">
        <v>89</v>
      </c>
      <c r="J30" s="1049" t="s">
        <v>90</v>
      </c>
    </row>
    <row r="31" spans="1:10" x14ac:dyDescent="0.2">
      <c r="A31" s="1080"/>
      <c r="B31" s="1081"/>
      <c r="C31" s="1081"/>
      <c r="D31" s="1081"/>
      <c r="E31" s="1082"/>
      <c r="F31" s="1050"/>
      <c r="G31" s="1050"/>
      <c r="H31" s="1053"/>
      <c r="I31" s="1050"/>
      <c r="J31" s="1050"/>
    </row>
    <row r="32" spans="1:10" x14ac:dyDescent="0.2">
      <c r="A32" s="1060" t="str">
        <f>VLOOKUP(F32,mat.!$A$3:$D$646,2,FALSE)</f>
        <v>Tubo de concreto armado D=0,60m CA-2 PB</v>
      </c>
      <c r="B32" s="1061"/>
      <c r="C32" s="1061"/>
      <c r="D32" s="1061"/>
      <c r="E32" s="1062"/>
      <c r="F32" s="44">
        <v>10235</v>
      </c>
      <c r="G32" s="54" t="str">
        <f>VLOOKUP(F32,mat.!$A$3:$D$642,3,FALSE)</f>
        <v>M</v>
      </c>
      <c r="H32" s="54">
        <f>VLOOKUP(F32,mat.!$A$3:$E$642,4,FALSE)</f>
        <v>81.55</v>
      </c>
      <c r="I32" s="55">
        <v>1</v>
      </c>
      <c r="J32" s="36">
        <f>TRUNC(I32*H32,2)</f>
        <v>81.55</v>
      </c>
    </row>
    <row r="33" spans="1:13" x14ac:dyDescent="0.2">
      <c r="A33" s="1060"/>
      <c r="B33" s="1061"/>
      <c r="C33" s="1061"/>
      <c r="D33" s="1061"/>
      <c r="E33" s="1062"/>
      <c r="F33" s="114"/>
      <c r="G33" s="54"/>
      <c r="H33" s="54"/>
      <c r="I33" s="55"/>
      <c r="J33" s="36"/>
    </row>
    <row r="34" spans="1:13" x14ac:dyDescent="0.2">
      <c r="A34" s="1060"/>
      <c r="B34" s="1061"/>
      <c r="C34" s="1061"/>
      <c r="D34" s="1061"/>
      <c r="E34" s="1062"/>
      <c r="F34" s="114"/>
      <c r="G34" s="54"/>
      <c r="H34" s="54"/>
      <c r="I34" s="55"/>
      <c r="J34" s="36"/>
    </row>
    <row r="35" spans="1:13" x14ac:dyDescent="0.2">
      <c r="A35" s="1060"/>
      <c r="B35" s="1061"/>
      <c r="C35" s="1061"/>
      <c r="D35" s="1061"/>
      <c r="E35" s="1062"/>
      <c r="F35" s="114"/>
      <c r="G35" s="54"/>
      <c r="H35" s="54"/>
      <c r="I35" s="55"/>
      <c r="J35" s="36"/>
    </row>
    <row r="36" spans="1:13" x14ac:dyDescent="0.2">
      <c r="A36" s="107"/>
      <c r="B36" s="108"/>
      <c r="C36" s="108"/>
      <c r="D36" s="108"/>
      <c r="E36" s="109"/>
      <c r="F36" s="52"/>
      <c r="G36" s="54"/>
      <c r="H36" s="54"/>
      <c r="I36" s="55"/>
      <c r="J36" s="36"/>
    </row>
    <row r="37" spans="1:13" x14ac:dyDescent="0.2">
      <c r="A37" s="111"/>
      <c r="B37" s="112"/>
      <c r="C37" s="112"/>
      <c r="D37" s="112"/>
      <c r="E37" s="113"/>
      <c r="F37" s="52"/>
      <c r="G37" s="53"/>
      <c r="H37" s="54"/>
      <c r="I37" s="55"/>
      <c r="J37" s="36"/>
    </row>
    <row r="38" spans="1:13" x14ac:dyDescent="0.2">
      <c r="A38" s="94"/>
      <c r="B38" s="100"/>
      <c r="C38" s="100"/>
      <c r="D38" s="100"/>
      <c r="E38" s="101"/>
      <c r="F38" s="52"/>
      <c r="G38" s="53"/>
      <c r="H38" s="54"/>
      <c r="I38" s="55"/>
      <c r="J38" s="36"/>
    </row>
    <row r="39" spans="1:13" x14ac:dyDescent="0.2">
      <c r="A39" s="1060" t="s">
        <v>147</v>
      </c>
      <c r="B39" s="1061"/>
      <c r="C39" s="1061"/>
      <c r="D39" s="1061"/>
      <c r="E39" s="1062"/>
      <c r="F39" s="52" t="s">
        <v>136</v>
      </c>
      <c r="G39" s="53" t="s">
        <v>67</v>
      </c>
      <c r="H39" s="54">
        <f>+'42611'!J50</f>
        <v>373.97</v>
      </c>
      <c r="I39" s="55">
        <v>1.4999999999999999E-2</v>
      </c>
      <c r="J39" s="36">
        <f>TRUNC(I39*H39,2)</f>
        <v>5.6</v>
      </c>
    </row>
    <row r="40" spans="1:13" x14ac:dyDescent="0.2">
      <c r="A40" s="1060"/>
      <c r="B40" s="1061"/>
      <c r="C40" s="1061"/>
      <c r="D40" s="1061"/>
      <c r="E40" s="1062"/>
      <c r="F40" s="52"/>
      <c r="G40" s="53"/>
      <c r="H40" s="54"/>
      <c r="I40" s="55"/>
      <c r="J40" s="36"/>
    </row>
    <row r="41" spans="1:13" x14ac:dyDescent="0.2">
      <c r="A41" s="1031"/>
      <c r="B41" s="1032"/>
      <c r="C41" s="1032"/>
      <c r="D41" s="1032"/>
      <c r="E41" s="1033"/>
      <c r="F41" s="58"/>
      <c r="G41" s="59"/>
      <c r="H41" s="60"/>
      <c r="I41" s="55"/>
      <c r="J41" s="36"/>
    </row>
    <row r="42" spans="1:13" x14ac:dyDescent="0.2">
      <c r="A42" s="1063" t="s">
        <v>91</v>
      </c>
      <c r="B42" s="1064"/>
      <c r="C42" s="1064"/>
      <c r="D42" s="1064"/>
      <c r="E42" s="1064"/>
      <c r="F42" s="1064"/>
      <c r="G42" s="1064"/>
      <c r="H42" s="1064"/>
      <c r="I42" s="1065"/>
      <c r="J42" s="43">
        <f>ROUND(SUM(J32:J41),2)</f>
        <v>87.15</v>
      </c>
    </row>
    <row r="43" spans="1:13" x14ac:dyDescent="0.2">
      <c r="A43" s="1066" t="s">
        <v>92</v>
      </c>
      <c r="B43" s="1067"/>
      <c r="C43" s="1067"/>
      <c r="D43" s="1067"/>
      <c r="E43" s="1090" t="s">
        <v>59</v>
      </c>
      <c r="F43" s="1051" t="s">
        <v>93</v>
      </c>
      <c r="G43" s="1052"/>
      <c r="H43" s="1092" t="s">
        <v>94</v>
      </c>
      <c r="I43" s="1092" t="s">
        <v>95</v>
      </c>
      <c r="J43" s="1049" t="s">
        <v>63</v>
      </c>
    </row>
    <row r="44" spans="1:13" x14ac:dyDescent="0.2">
      <c r="A44" s="1069"/>
      <c r="B44" s="1070"/>
      <c r="C44" s="1070"/>
      <c r="D44" s="1070"/>
      <c r="E44" s="1091"/>
      <c r="F44" s="103" t="s">
        <v>21</v>
      </c>
      <c r="G44" s="103" t="s">
        <v>20</v>
      </c>
      <c r="H44" s="1092"/>
      <c r="I44" s="1092"/>
      <c r="J44" s="1050"/>
    </row>
    <row r="45" spans="1:13" x14ac:dyDescent="0.2">
      <c r="A45" s="49" t="str">
        <f>VLOOKUP(E45,transp.!A4:J30,4,FALSE)</f>
        <v>0,716XP + 0,745XR</v>
      </c>
      <c r="B45" s="104"/>
      <c r="C45" s="104" t="s">
        <v>164</v>
      </c>
      <c r="D45" s="105"/>
      <c r="E45" s="106">
        <v>60004</v>
      </c>
      <c r="F45" s="61">
        <v>32</v>
      </c>
      <c r="G45" s="36">
        <v>0</v>
      </c>
      <c r="H45" s="36">
        <f>TRUNC(F45*K45+G45*L45+M45,2)</f>
        <v>22.91</v>
      </c>
      <c r="I45" s="62">
        <v>0.32500000000000001</v>
      </c>
      <c r="J45" s="36">
        <f>TRUNC(I45*H45,2)</f>
        <v>7.44</v>
      </c>
      <c r="K45" s="22">
        <f>VLOOKUP(E45,transp.!$A$4:$K$21,5,FALSE)</f>
        <v>0.71599999999999997</v>
      </c>
      <c r="L45" s="22">
        <f>VLOOKUP(E45,transp.!$A$4:$G$19,6,FALSE)</f>
        <v>0.745</v>
      </c>
      <c r="M45" s="22">
        <f>VLOOKUP(E45,transp.!$A$4:$G$19,7,FALSE)</f>
        <v>0</v>
      </c>
    </row>
    <row r="46" spans="1:13" x14ac:dyDescent="0.2">
      <c r="A46" s="107"/>
      <c r="B46" s="108"/>
      <c r="C46" s="108"/>
      <c r="D46" s="109"/>
      <c r="E46" s="118"/>
      <c r="F46" s="54"/>
      <c r="G46" s="54"/>
      <c r="H46" s="36"/>
      <c r="I46" s="63"/>
      <c r="J46" s="54"/>
    </row>
    <row r="47" spans="1:13" x14ac:dyDescent="0.2">
      <c r="A47" s="107"/>
      <c r="B47" s="108"/>
      <c r="C47" s="108"/>
      <c r="D47" s="109"/>
      <c r="E47" s="119"/>
      <c r="F47" s="36"/>
      <c r="G47" s="36"/>
      <c r="H47" s="36"/>
      <c r="I47" s="62"/>
      <c r="J47" s="54"/>
    </row>
    <row r="48" spans="1:13" x14ac:dyDescent="0.2">
      <c r="A48" s="115"/>
      <c r="B48" s="116"/>
      <c r="C48" s="116"/>
      <c r="D48" s="117"/>
      <c r="E48" s="36"/>
      <c r="F48" s="36"/>
      <c r="G48" s="36"/>
      <c r="H48" s="36"/>
      <c r="I48" s="62"/>
      <c r="J48" s="54"/>
    </row>
    <row r="49" spans="1:10" x14ac:dyDescent="0.2">
      <c r="A49" s="1085" t="s">
        <v>96</v>
      </c>
      <c r="B49" s="1086"/>
      <c r="C49" s="1086"/>
      <c r="D49" s="1086"/>
      <c r="E49" s="1086"/>
      <c r="F49" s="1086"/>
      <c r="G49" s="1086"/>
      <c r="H49" s="1086"/>
      <c r="I49" s="1087"/>
      <c r="J49" s="64">
        <f>SUM(J45:J48)</f>
        <v>7.44</v>
      </c>
    </row>
    <row r="50" spans="1:10" x14ac:dyDescent="0.2">
      <c r="A50" s="1088" t="s">
        <v>97</v>
      </c>
      <c r="B50" s="1089"/>
      <c r="C50" s="1089"/>
      <c r="D50" s="1089"/>
      <c r="E50" s="1089"/>
      <c r="F50" s="1089"/>
      <c r="G50" s="102" t="s">
        <v>98</v>
      </c>
      <c r="H50" s="25"/>
      <c r="I50" s="66" t="s">
        <v>99</v>
      </c>
      <c r="J50" s="61">
        <f>J49+J42+J29</f>
        <v>120.2</v>
      </c>
    </row>
    <row r="51" spans="1:10" x14ac:dyDescent="0.2">
      <c r="A51" s="1083" t="s">
        <v>100</v>
      </c>
      <c r="B51" s="1084"/>
      <c r="C51" s="1084"/>
      <c r="D51" s="1084"/>
      <c r="E51" s="1084"/>
      <c r="F51" s="1084"/>
      <c r="G51" s="67">
        <v>0.35</v>
      </c>
      <c r="H51" s="68"/>
      <c r="I51" s="69" t="s">
        <v>99</v>
      </c>
      <c r="J51" s="48">
        <f>+J50*G51</f>
        <v>42.07</v>
      </c>
    </row>
    <row r="52" spans="1:10" x14ac:dyDescent="0.2">
      <c r="A52" s="1074" t="s">
        <v>101</v>
      </c>
      <c r="B52" s="1075"/>
      <c r="C52" s="1075"/>
      <c r="D52" s="1075"/>
      <c r="E52" s="1075"/>
      <c r="F52" s="1075"/>
      <c r="G52" s="98"/>
      <c r="H52" s="71"/>
      <c r="I52" s="97" t="s">
        <v>99</v>
      </c>
      <c r="J52" s="43">
        <f>+J51+J50</f>
        <v>162.27000000000001</v>
      </c>
    </row>
    <row r="53" spans="1:10" x14ac:dyDescent="0.2">
      <c r="A53" s="23" t="s">
        <v>102</v>
      </c>
      <c r="B53" s="25"/>
      <c r="C53" s="25"/>
      <c r="D53" s="25"/>
      <c r="E53" s="25"/>
      <c r="F53" s="25"/>
      <c r="G53" s="25"/>
      <c r="H53" s="24"/>
      <c r="I53" s="24"/>
      <c r="J53" s="73"/>
    </row>
    <row r="54" spans="1:10" x14ac:dyDescent="0.2">
      <c r="A54" s="26"/>
      <c r="B54" s="27"/>
      <c r="C54" s="27"/>
      <c r="D54" s="27"/>
      <c r="E54" s="27"/>
      <c r="F54" s="27"/>
      <c r="G54" s="27"/>
      <c r="H54" s="28"/>
      <c r="I54" s="28"/>
      <c r="J54" s="73"/>
    </row>
    <row r="55" spans="1:10" x14ac:dyDescent="0.2">
      <c r="A55" s="29"/>
      <c r="B55" s="31"/>
      <c r="C55" s="31"/>
      <c r="D55" s="30"/>
      <c r="E55" s="30"/>
      <c r="F55" s="30"/>
      <c r="G55" s="30"/>
      <c r="H55" s="30"/>
      <c r="I55" s="30"/>
      <c r="J55" s="74"/>
    </row>
  </sheetData>
  <mergeCells count="56">
    <mergeCell ref="J43:J44"/>
    <mergeCell ref="A49:I49"/>
    <mergeCell ref="A50:F50"/>
    <mergeCell ref="A51:F51"/>
    <mergeCell ref="A52:F52"/>
    <mergeCell ref="A40:E40"/>
    <mergeCell ref="A41:E41"/>
    <mergeCell ref="A42:I42"/>
    <mergeCell ref="A43:D44"/>
    <mergeCell ref="E43:E44"/>
    <mergeCell ref="F43:G43"/>
    <mergeCell ref="H43:H44"/>
    <mergeCell ref="I43:I44"/>
    <mergeCell ref="J30:J31"/>
    <mergeCell ref="A32:E32"/>
    <mergeCell ref="A33:E33"/>
    <mergeCell ref="A34:E34"/>
    <mergeCell ref="A35:E35"/>
    <mergeCell ref="A39:E39"/>
    <mergeCell ref="A28:E28"/>
    <mergeCell ref="G28:I28"/>
    <mergeCell ref="A29:I29"/>
    <mergeCell ref="A30:E31"/>
    <mergeCell ref="F30:F31"/>
    <mergeCell ref="G30:G31"/>
    <mergeCell ref="H30:H31"/>
    <mergeCell ref="I30:I31"/>
    <mergeCell ref="J16:J17"/>
    <mergeCell ref="A18:E18"/>
    <mergeCell ref="A19:E19"/>
    <mergeCell ref="A20:E20"/>
    <mergeCell ref="A26:E26"/>
    <mergeCell ref="A27:I27"/>
    <mergeCell ref="A14:C14"/>
    <mergeCell ref="A15:I15"/>
    <mergeCell ref="A16:E17"/>
    <mergeCell ref="F16:F17"/>
    <mergeCell ref="G16:G17"/>
    <mergeCell ref="H16:H17"/>
    <mergeCell ref="I16:I17"/>
    <mergeCell ref="A12:C12"/>
    <mergeCell ref="A1:J1"/>
    <mergeCell ref="A3:A4"/>
    <mergeCell ref="B3:H4"/>
    <mergeCell ref="I3:I4"/>
    <mergeCell ref="J3:J4"/>
    <mergeCell ref="A5:C6"/>
    <mergeCell ref="D5:D6"/>
    <mergeCell ref="E5:E6"/>
    <mergeCell ref="F5:G5"/>
    <mergeCell ref="H5:I5"/>
    <mergeCell ref="J5:J6"/>
    <mergeCell ref="A7:C7"/>
    <mergeCell ref="A8:C8"/>
    <mergeCell ref="A9:C9"/>
    <mergeCell ref="A11:C11"/>
  </mergeCells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55"/>
  <sheetViews>
    <sheetView topLeftCell="A16" workbookViewId="0">
      <selection activeCell="C55" sqref="C55"/>
    </sheetView>
  </sheetViews>
  <sheetFormatPr defaultColWidth="9" defaultRowHeight="11.25" x14ac:dyDescent="0.2"/>
  <cols>
    <col min="1" max="2" width="9" style="22"/>
    <col min="3" max="3" width="10.875" style="22" customWidth="1"/>
    <col min="4" max="16384" width="9" style="22"/>
  </cols>
  <sheetData>
    <row r="1" spans="1:10" ht="15.75" x14ac:dyDescent="0.2">
      <c r="A1" s="1034" t="s">
        <v>68</v>
      </c>
      <c r="B1" s="1035"/>
      <c r="C1" s="1035"/>
      <c r="D1" s="1035"/>
      <c r="E1" s="1035"/>
      <c r="F1" s="1035"/>
      <c r="G1" s="1035"/>
      <c r="H1" s="1035"/>
      <c r="I1" s="1035"/>
      <c r="J1" s="1036"/>
    </row>
    <row r="2" spans="1:10" x14ac:dyDescent="0.2">
      <c r="A2" s="32" t="s">
        <v>69</v>
      </c>
      <c r="B2" s="25" t="s">
        <v>70</v>
      </c>
      <c r="C2" s="25"/>
      <c r="D2" s="25"/>
      <c r="E2" s="25"/>
      <c r="F2" s="25"/>
      <c r="G2" s="25"/>
      <c r="H2" s="25"/>
      <c r="I2" s="32" t="s">
        <v>71</v>
      </c>
      <c r="J2" s="32" t="s">
        <v>72</v>
      </c>
    </row>
    <row r="3" spans="1:10" x14ac:dyDescent="0.2">
      <c r="A3" s="1037">
        <f>+Planilha!B51</f>
        <v>60019</v>
      </c>
      <c r="B3" s="1039" t="str">
        <f>+Planilha!C51</f>
        <v xml:space="preserve">LOCAL COM DMT ATÉ 3,0 KM (Caminhão basculante)1,144XP+1,265XR+2,007 (Incluindo BDI= 23,32%) -  XP=0,00 / XR=0,28 </v>
      </c>
      <c r="C3" s="1040"/>
      <c r="D3" s="1040"/>
      <c r="E3" s="1040"/>
      <c r="F3" s="1040"/>
      <c r="G3" s="1040"/>
      <c r="H3" s="1041"/>
      <c r="I3" s="1045" t="s">
        <v>61</v>
      </c>
      <c r="J3" s="1046" t="s">
        <v>153</v>
      </c>
    </row>
    <row r="4" spans="1:10" x14ac:dyDescent="0.2">
      <c r="A4" s="1038"/>
      <c r="B4" s="1042"/>
      <c r="C4" s="1043"/>
      <c r="D4" s="1043"/>
      <c r="E4" s="1043"/>
      <c r="F4" s="1043"/>
      <c r="G4" s="1043"/>
      <c r="H4" s="1044"/>
      <c r="I4" s="1038"/>
      <c r="J4" s="1047"/>
    </row>
    <row r="5" spans="1:10" ht="12.75" x14ac:dyDescent="0.25">
      <c r="A5" s="997" t="s">
        <v>73</v>
      </c>
      <c r="B5" s="997"/>
      <c r="C5" s="997"/>
      <c r="D5" s="987" t="s">
        <v>59</v>
      </c>
      <c r="E5" s="987" t="s">
        <v>74</v>
      </c>
      <c r="F5" s="989" t="s">
        <v>75</v>
      </c>
      <c r="G5" s="990"/>
      <c r="H5" s="989" t="s">
        <v>76</v>
      </c>
      <c r="I5" s="990"/>
      <c r="J5" s="986" t="s">
        <v>77</v>
      </c>
    </row>
    <row r="6" spans="1:10" ht="12.75" x14ac:dyDescent="0.25">
      <c r="A6" s="997"/>
      <c r="B6" s="997"/>
      <c r="C6" s="997"/>
      <c r="D6" s="988"/>
      <c r="E6" s="988"/>
      <c r="F6" s="120" t="s">
        <v>78</v>
      </c>
      <c r="G6" s="121" t="s">
        <v>79</v>
      </c>
      <c r="H6" s="120" t="s">
        <v>78</v>
      </c>
      <c r="I6" s="120" t="s">
        <v>79</v>
      </c>
      <c r="J6" s="986"/>
    </row>
    <row r="7" spans="1:10" ht="30" customHeight="1" x14ac:dyDescent="0.25">
      <c r="A7" s="1099" t="str">
        <f>VLOOKUP(D7,equip.!A1:G154,2,FALSE)</f>
        <v>Carregadeira de rodas ref. Caterpillar modelo 924H (1,9 m3) ( cab + ar ) ou equivalente</v>
      </c>
      <c r="B7" s="1100"/>
      <c r="C7" s="1101"/>
      <c r="D7" s="122">
        <v>30023</v>
      </c>
      <c r="E7" s="123">
        <v>1</v>
      </c>
      <c r="F7" s="123">
        <v>0.1</v>
      </c>
      <c r="G7" s="123">
        <v>0.9</v>
      </c>
      <c r="H7" s="123">
        <f>VLOOKUP(D7,equip.!A1:G130,6,FALSE)</f>
        <v>201.89</v>
      </c>
      <c r="I7" s="123">
        <f>VLOOKUP(D7,equip.!A1:AB130,7,FALSE)</f>
        <v>68.959999999999994</v>
      </c>
      <c r="J7" s="123">
        <f>TRUNC(E7*F7*H7+E7*G7*I7,2)</f>
        <v>82.25</v>
      </c>
    </row>
    <row r="8" spans="1:10" ht="12.75" x14ac:dyDescent="0.25">
      <c r="A8" s="1022"/>
      <c r="B8" s="1023"/>
      <c r="C8" s="1024"/>
      <c r="D8" s="124"/>
      <c r="E8" s="123"/>
      <c r="F8" s="123"/>
      <c r="G8" s="123"/>
      <c r="H8" s="123"/>
      <c r="I8" s="123"/>
      <c r="J8" s="123"/>
    </row>
    <row r="9" spans="1:10" ht="12.75" x14ac:dyDescent="0.25">
      <c r="A9" s="1022"/>
      <c r="B9" s="1023"/>
      <c r="C9" s="1024"/>
      <c r="D9" s="124"/>
      <c r="E9" s="123"/>
      <c r="F9" s="123"/>
      <c r="G9" s="123"/>
      <c r="H9" s="123"/>
      <c r="I9" s="123"/>
      <c r="J9" s="123"/>
    </row>
    <row r="10" spans="1:10" ht="12.75" x14ac:dyDescent="0.25">
      <c r="A10" s="125" t="s">
        <v>127</v>
      </c>
      <c r="B10" s="126"/>
      <c r="C10" s="127"/>
      <c r="D10" s="122"/>
      <c r="E10" s="128">
        <v>0.05</v>
      </c>
      <c r="F10" s="123"/>
      <c r="G10" s="123"/>
      <c r="H10" s="123">
        <f>+J27</f>
        <v>30.93</v>
      </c>
      <c r="I10" s="123"/>
      <c r="J10" s="123">
        <f>TRUNC(H10*E10,2)</f>
        <v>1.54</v>
      </c>
    </row>
    <row r="11" spans="1:10" ht="12.75" x14ac:dyDescent="0.25">
      <c r="A11" s="991"/>
      <c r="B11" s="992"/>
      <c r="C11" s="993"/>
      <c r="D11" s="124"/>
      <c r="E11" s="123"/>
      <c r="F11" s="123"/>
      <c r="G11" s="123"/>
      <c r="H11" s="123"/>
      <c r="I11" s="123"/>
      <c r="J11" s="123"/>
    </row>
    <row r="12" spans="1:10" ht="12.75" hidden="1" x14ac:dyDescent="0.25">
      <c r="A12" s="991"/>
      <c r="B12" s="992"/>
      <c r="C12" s="993"/>
      <c r="D12" s="124"/>
      <c r="E12" s="123"/>
      <c r="F12" s="123"/>
      <c r="G12" s="123"/>
      <c r="H12" s="123"/>
      <c r="I12" s="123"/>
      <c r="J12" s="123"/>
    </row>
    <row r="13" spans="1:10" ht="12.75" x14ac:dyDescent="0.25">
      <c r="A13" s="125"/>
      <c r="B13" s="126"/>
      <c r="C13" s="127"/>
      <c r="D13" s="124"/>
      <c r="E13" s="123"/>
      <c r="F13" s="123"/>
      <c r="G13" s="123"/>
      <c r="H13" s="123"/>
      <c r="I13" s="123"/>
      <c r="J13" s="123"/>
    </row>
    <row r="14" spans="1:10" ht="12.75" x14ac:dyDescent="0.25">
      <c r="A14" s="994"/>
      <c r="B14" s="995"/>
      <c r="C14" s="996"/>
      <c r="D14" s="134"/>
      <c r="E14" s="135"/>
      <c r="F14" s="135"/>
      <c r="G14" s="123"/>
      <c r="H14" s="123"/>
      <c r="I14" s="123"/>
      <c r="J14" s="123"/>
    </row>
    <row r="15" spans="1:10" ht="12.75" x14ac:dyDescent="0.25">
      <c r="A15" s="998" t="s">
        <v>80</v>
      </c>
      <c r="B15" s="999"/>
      <c r="C15" s="999"/>
      <c r="D15" s="999"/>
      <c r="E15" s="999"/>
      <c r="F15" s="999"/>
      <c r="G15" s="999"/>
      <c r="H15" s="999"/>
      <c r="I15" s="1000"/>
      <c r="J15" s="136">
        <f>SUM(J7:J14)</f>
        <v>83.79</v>
      </c>
    </row>
    <row r="16" spans="1:10" x14ac:dyDescent="0.2">
      <c r="A16" s="1001" t="s">
        <v>81</v>
      </c>
      <c r="B16" s="1002"/>
      <c r="C16" s="1002"/>
      <c r="D16" s="1002"/>
      <c r="E16" s="1003"/>
      <c r="F16" s="987" t="s">
        <v>59</v>
      </c>
      <c r="G16" s="987" t="s">
        <v>82</v>
      </c>
      <c r="H16" s="987" t="s">
        <v>74</v>
      </c>
      <c r="I16" s="986" t="s">
        <v>83</v>
      </c>
      <c r="J16" s="987" t="s">
        <v>77</v>
      </c>
    </row>
    <row r="17" spans="1:10" x14ac:dyDescent="0.2">
      <c r="A17" s="1004"/>
      <c r="B17" s="1005"/>
      <c r="C17" s="1005"/>
      <c r="D17" s="1005"/>
      <c r="E17" s="1006"/>
      <c r="F17" s="988"/>
      <c r="G17" s="988"/>
      <c r="H17" s="988"/>
      <c r="I17" s="986"/>
      <c r="J17" s="988"/>
    </row>
    <row r="18" spans="1:10" ht="12.75" x14ac:dyDescent="0.25">
      <c r="A18" s="991" t="str">
        <f>VLOOKUP(F18,m.o.!A1:F153,2,FALSE)</f>
        <v>Encarregado de O.A.C.</v>
      </c>
      <c r="B18" s="992"/>
      <c r="C18" s="992"/>
      <c r="D18" s="992"/>
      <c r="E18" s="993"/>
      <c r="F18" s="137">
        <v>20060</v>
      </c>
      <c r="G18" s="138"/>
      <c r="H18" s="123">
        <v>0.5</v>
      </c>
      <c r="I18" s="123">
        <f>VLOOKUP(F18,m.o.!A1:F128,5,FALSE)</f>
        <v>11</v>
      </c>
      <c r="J18" s="123">
        <f>TRUNC(H18*I18,2)</f>
        <v>5.5</v>
      </c>
    </row>
    <row r="19" spans="1:10" ht="12.75" x14ac:dyDescent="0.25">
      <c r="A19" s="991" t="str">
        <f>VLOOKUP(F19,m.o.!A2:F154,2,FALSE)</f>
        <v>Pedreiro de O.A.C.</v>
      </c>
      <c r="B19" s="992"/>
      <c r="C19" s="992"/>
      <c r="D19" s="992"/>
      <c r="E19" s="993"/>
      <c r="F19" s="137">
        <v>20109</v>
      </c>
      <c r="G19" s="138"/>
      <c r="H19" s="123">
        <v>1.8</v>
      </c>
      <c r="I19" s="123">
        <f>VLOOKUP(F19,m.o.!A2:F129,5,FALSE)</f>
        <v>6.03</v>
      </c>
      <c r="J19" s="123">
        <f>TRUNC(H19*I19,2)</f>
        <v>10.85</v>
      </c>
    </row>
    <row r="20" spans="1:10" ht="12.75" x14ac:dyDescent="0.25">
      <c r="A20" s="991" t="str">
        <f>VLOOKUP(F20,m.o.!A4:F155,2,FALSE)</f>
        <v>Servente</v>
      </c>
      <c r="B20" s="992"/>
      <c r="C20" s="992"/>
      <c r="D20" s="992"/>
      <c r="E20" s="993"/>
      <c r="F20" s="137">
        <v>20002</v>
      </c>
      <c r="G20" s="138"/>
      <c r="H20" s="123">
        <v>3</v>
      </c>
      <c r="I20" s="123">
        <f>VLOOKUP(F20,m.o.!A4:F130,5,FALSE)</f>
        <v>4.8600000000000003</v>
      </c>
      <c r="J20" s="123">
        <f>TRUNC(H20*I20,2)</f>
        <v>14.58</v>
      </c>
    </row>
    <row r="21" spans="1:10" ht="12.75" x14ac:dyDescent="0.25">
      <c r="A21" s="139"/>
      <c r="B21" s="140"/>
      <c r="C21" s="140"/>
      <c r="D21" s="140"/>
      <c r="E21" s="141"/>
      <c r="F21" s="137"/>
      <c r="G21" s="138"/>
      <c r="H21" s="123"/>
      <c r="I21" s="123"/>
      <c r="J21" s="123"/>
    </row>
    <row r="22" spans="1:10" ht="12.75" x14ac:dyDescent="0.25">
      <c r="A22" s="139"/>
      <c r="B22" s="140"/>
      <c r="C22" s="140"/>
      <c r="D22" s="140"/>
      <c r="E22" s="141"/>
      <c r="F22" s="137"/>
      <c r="G22" s="142"/>
      <c r="H22" s="123"/>
      <c r="I22" s="123"/>
      <c r="J22" s="123"/>
    </row>
    <row r="23" spans="1:10" ht="12.75" x14ac:dyDescent="0.25">
      <c r="A23" s="125"/>
      <c r="B23" s="126"/>
      <c r="C23" s="126"/>
      <c r="D23" s="126"/>
      <c r="E23" s="127"/>
      <c r="F23" s="137"/>
      <c r="G23" s="142"/>
      <c r="H23" s="123"/>
      <c r="I23" s="123"/>
      <c r="J23" s="123"/>
    </row>
    <row r="24" spans="1:10" ht="12.75" x14ac:dyDescent="0.25">
      <c r="A24" s="139"/>
      <c r="B24" s="140"/>
      <c r="C24" s="140"/>
      <c r="D24" s="140"/>
      <c r="E24" s="141"/>
      <c r="F24" s="137"/>
      <c r="G24" s="142"/>
      <c r="H24" s="123"/>
      <c r="I24" s="123"/>
      <c r="J24" s="123"/>
    </row>
    <row r="25" spans="1:10" ht="12.75" x14ac:dyDescent="0.25">
      <c r="A25" s="139"/>
      <c r="B25" s="140"/>
      <c r="C25" s="140"/>
      <c r="D25" s="140"/>
      <c r="E25" s="141"/>
      <c r="F25" s="137"/>
      <c r="G25" s="142"/>
      <c r="H25" s="123"/>
      <c r="I25" s="123"/>
      <c r="J25" s="123"/>
    </row>
    <row r="26" spans="1:10" ht="12.75" x14ac:dyDescent="0.25">
      <c r="A26" s="994"/>
      <c r="B26" s="995"/>
      <c r="C26" s="995"/>
      <c r="D26" s="995"/>
      <c r="E26" s="996"/>
      <c r="F26" s="134"/>
      <c r="G26" s="143"/>
      <c r="H26" s="135"/>
      <c r="I26" s="135"/>
      <c r="J26" s="123"/>
    </row>
    <row r="27" spans="1:10" ht="12.75" x14ac:dyDescent="0.25">
      <c r="A27" s="998" t="s">
        <v>84</v>
      </c>
      <c r="B27" s="999"/>
      <c r="C27" s="999"/>
      <c r="D27" s="999"/>
      <c r="E27" s="999"/>
      <c r="F27" s="999"/>
      <c r="G27" s="999"/>
      <c r="H27" s="999"/>
      <c r="I27" s="1000"/>
      <c r="J27" s="136">
        <f>ROUND(SUM(J18:J26),2)</f>
        <v>30.93</v>
      </c>
    </row>
    <row r="28" spans="1:10" ht="12.75" x14ac:dyDescent="0.25">
      <c r="A28" s="1007" t="s">
        <v>85</v>
      </c>
      <c r="B28" s="1008"/>
      <c r="C28" s="1008"/>
      <c r="D28" s="1008"/>
      <c r="E28" s="1008"/>
      <c r="F28" s="135">
        <v>0.83</v>
      </c>
      <c r="G28" s="1007" t="s">
        <v>86</v>
      </c>
      <c r="H28" s="1008"/>
      <c r="I28" s="1008"/>
      <c r="J28" s="144">
        <f>+J27+J15</f>
        <v>114.72</v>
      </c>
    </row>
    <row r="29" spans="1:10" ht="12.75" x14ac:dyDescent="0.25">
      <c r="A29" s="1009" t="s">
        <v>87</v>
      </c>
      <c r="B29" s="1010"/>
      <c r="C29" s="1010"/>
      <c r="D29" s="1010"/>
      <c r="E29" s="1010"/>
      <c r="F29" s="1010"/>
      <c r="G29" s="1010"/>
      <c r="H29" s="1010"/>
      <c r="I29" s="1011"/>
      <c r="J29" s="136">
        <f>TRUNC(J28/F28,2)</f>
        <v>138.21</v>
      </c>
    </row>
    <row r="30" spans="1:10" x14ac:dyDescent="0.2">
      <c r="A30" s="1025" t="s">
        <v>88</v>
      </c>
      <c r="B30" s="1026"/>
      <c r="C30" s="1026"/>
      <c r="D30" s="1026"/>
      <c r="E30" s="1027"/>
      <c r="F30" s="987" t="s">
        <v>59</v>
      </c>
      <c r="G30" s="987" t="s">
        <v>1</v>
      </c>
      <c r="H30" s="986" t="s">
        <v>63</v>
      </c>
      <c r="I30" s="987" t="s">
        <v>89</v>
      </c>
      <c r="J30" s="987" t="s">
        <v>90</v>
      </c>
    </row>
    <row r="31" spans="1:10" x14ac:dyDescent="0.2">
      <c r="A31" s="1028"/>
      <c r="B31" s="1029"/>
      <c r="C31" s="1029"/>
      <c r="D31" s="1029"/>
      <c r="E31" s="1030"/>
      <c r="F31" s="988"/>
      <c r="G31" s="988"/>
      <c r="H31" s="986"/>
      <c r="I31" s="988"/>
      <c r="J31" s="988"/>
    </row>
    <row r="32" spans="1:10" ht="12.75" x14ac:dyDescent="0.25">
      <c r="A32" s="991" t="str">
        <f>VLOOKUP(F32,mat.!$A$3:$D$646,2,FALSE)</f>
        <v>Tubo de concreto armado D=0,80m CA-2 PB</v>
      </c>
      <c r="B32" s="992"/>
      <c r="C32" s="992"/>
      <c r="D32" s="992"/>
      <c r="E32" s="993"/>
      <c r="F32" s="137">
        <v>10236</v>
      </c>
      <c r="G32" s="145" t="str">
        <f>VLOOKUP(F32,mat.!$A$3:$D$642,3,FALSE)</f>
        <v>M</v>
      </c>
      <c r="H32" s="145">
        <f>VLOOKUP(F32,mat.!$A$3:$E$642,4,FALSE)</f>
        <v>152.05000000000001</v>
      </c>
      <c r="I32" s="146">
        <v>1</v>
      </c>
      <c r="J32" s="123">
        <f>TRUNC(I32*H32,2)</f>
        <v>152.05000000000001</v>
      </c>
    </row>
    <row r="33" spans="1:13" ht="12.75" x14ac:dyDescent="0.25">
      <c r="A33" s="991"/>
      <c r="B33" s="992"/>
      <c r="C33" s="992"/>
      <c r="D33" s="992"/>
      <c r="E33" s="993"/>
      <c r="F33" s="147"/>
      <c r="G33" s="145"/>
      <c r="H33" s="145"/>
      <c r="I33" s="146"/>
      <c r="J33" s="123"/>
    </row>
    <row r="34" spans="1:13" ht="12.75" x14ac:dyDescent="0.25">
      <c r="A34" s="991"/>
      <c r="B34" s="992"/>
      <c r="C34" s="992"/>
      <c r="D34" s="992"/>
      <c r="E34" s="993"/>
      <c r="F34" s="147"/>
      <c r="G34" s="145"/>
      <c r="H34" s="145"/>
      <c r="I34" s="146"/>
      <c r="J34" s="123"/>
    </row>
    <row r="35" spans="1:13" ht="12.75" x14ac:dyDescent="0.25">
      <c r="A35" s="991"/>
      <c r="B35" s="992"/>
      <c r="C35" s="992"/>
      <c r="D35" s="992"/>
      <c r="E35" s="993"/>
      <c r="F35" s="147"/>
      <c r="G35" s="145"/>
      <c r="H35" s="145"/>
      <c r="I35" s="146"/>
      <c r="J35" s="123"/>
    </row>
    <row r="36" spans="1:13" ht="12.75" x14ac:dyDescent="0.25">
      <c r="A36" s="139"/>
      <c r="B36" s="140"/>
      <c r="C36" s="140"/>
      <c r="D36" s="140"/>
      <c r="E36" s="141"/>
      <c r="F36" s="148"/>
      <c r="G36" s="145"/>
      <c r="H36" s="145"/>
      <c r="I36" s="146"/>
      <c r="J36" s="123"/>
    </row>
    <row r="37" spans="1:13" ht="12.75" x14ac:dyDescent="0.25">
      <c r="A37" s="149"/>
      <c r="B37" s="150"/>
      <c r="C37" s="150"/>
      <c r="D37" s="150"/>
      <c r="E37" s="151"/>
      <c r="F37" s="148"/>
      <c r="G37" s="152"/>
      <c r="H37" s="145"/>
      <c r="I37" s="146"/>
      <c r="J37" s="123"/>
    </row>
    <row r="38" spans="1:13" ht="12.75" x14ac:dyDescent="0.25">
      <c r="A38" s="125"/>
      <c r="B38" s="153"/>
      <c r="C38" s="153"/>
      <c r="D38" s="153"/>
      <c r="E38" s="154"/>
      <c r="F38" s="148"/>
      <c r="G38" s="152"/>
      <c r="H38" s="145"/>
      <c r="I38" s="146"/>
      <c r="J38" s="123"/>
    </row>
    <row r="39" spans="1:13" ht="12.75" x14ac:dyDescent="0.25">
      <c r="A39" s="991" t="s">
        <v>147</v>
      </c>
      <c r="B39" s="992"/>
      <c r="C39" s="992"/>
      <c r="D39" s="992"/>
      <c r="E39" s="993"/>
      <c r="F39" s="148" t="s">
        <v>136</v>
      </c>
      <c r="G39" s="152" t="s">
        <v>67</v>
      </c>
      <c r="H39" s="145">
        <f>+'42611'!J50</f>
        <v>373.97</v>
      </c>
      <c r="I39" s="146">
        <v>2.5000000000000001E-2</v>
      </c>
      <c r="J39" s="123">
        <f>TRUNC(I39*H39,2)</f>
        <v>9.34</v>
      </c>
    </row>
    <row r="40" spans="1:13" ht="12.75" x14ac:dyDescent="0.25">
      <c r="A40" s="991"/>
      <c r="B40" s="992"/>
      <c r="C40" s="992"/>
      <c r="D40" s="992"/>
      <c r="E40" s="993"/>
      <c r="F40" s="148"/>
      <c r="G40" s="152"/>
      <c r="H40" s="145"/>
      <c r="I40" s="146"/>
      <c r="J40" s="123"/>
    </row>
    <row r="41" spans="1:13" ht="12.75" x14ac:dyDescent="0.25">
      <c r="A41" s="994"/>
      <c r="B41" s="995"/>
      <c r="C41" s="995"/>
      <c r="D41" s="995"/>
      <c r="E41" s="996"/>
      <c r="F41" s="155"/>
      <c r="G41" s="156"/>
      <c r="H41" s="157"/>
      <c r="I41" s="146"/>
      <c r="J41" s="123"/>
    </row>
    <row r="42" spans="1:13" ht="12.75" x14ac:dyDescent="0.25">
      <c r="A42" s="998" t="s">
        <v>91</v>
      </c>
      <c r="B42" s="999"/>
      <c r="C42" s="999"/>
      <c r="D42" s="999"/>
      <c r="E42" s="999"/>
      <c r="F42" s="999"/>
      <c r="G42" s="999"/>
      <c r="H42" s="999"/>
      <c r="I42" s="1000"/>
      <c r="J42" s="136">
        <f>ROUND(SUM(J32:J41),2)</f>
        <v>161.38999999999999</v>
      </c>
    </row>
    <row r="43" spans="1:13" ht="12.75" x14ac:dyDescent="0.25">
      <c r="A43" s="1001" t="s">
        <v>92</v>
      </c>
      <c r="B43" s="1002"/>
      <c r="C43" s="1002"/>
      <c r="D43" s="1002"/>
      <c r="E43" s="1015" t="s">
        <v>59</v>
      </c>
      <c r="F43" s="989" t="s">
        <v>93</v>
      </c>
      <c r="G43" s="990"/>
      <c r="H43" s="1017" t="s">
        <v>94</v>
      </c>
      <c r="I43" s="1017" t="s">
        <v>95</v>
      </c>
      <c r="J43" s="987" t="s">
        <v>63</v>
      </c>
    </row>
    <row r="44" spans="1:13" ht="12.75" x14ac:dyDescent="0.25">
      <c r="A44" s="1004"/>
      <c r="B44" s="1005"/>
      <c r="C44" s="1005"/>
      <c r="D44" s="1005"/>
      <c r="E44" s="1016"/>
      <c r="F44" s="120" t="s">
        <v>21</v>
      </c>
      <c r="G44" s="120" t="s">
        <v>20</v>
      </c>
      <c r="H44" s="1017"/>
      <c r="I44" s="1017"/>
      <c r="J44" s="988"/>
    </row>
    <row r="45" spans="1:13" ht="12.75" x14ac:dyDescent="0.25">
      <c r="A45" s="158" t="str">
        <f>VLOOKUP(E45,transp.!A4:J30,4,FALSE)</f>
        <v>0,716XP + 0,745XR</v>
      </c>
      <c r="B45" s="159"/>
      <c r="C45" s="159" t="s">
        <v>164</v>
      </c>
      <c r="D45" s="160"/>
      <c r="E45" s="161">
        <v>60004</v>
      </c>
      <c r="F45" s="162">
        <v>32</v>
      </c>
      <c r="G45" s="123">
        <v>0</v>
      </c>
      <c r="H45" s="123">
        <f>TRUNC(F45*K45+G45*L45+M45,2)</f>
        <v>22.91</v>
      </c>
      <c r="I45" s="163">
        <v>0.66</v>
      </c>
      <c r="J45" s="123">
        <f>TRUNC(I45*H45,2)</f>
        <v>15.12</v>
      </c>
      <c r="K45" s="22">
        <f>VLOOKUP(E45,transp.!$A$4:$K$21,5,FALSE)</f>
        <v>0.71599999999999997</v>
      </c>
      <c r="L45" s="22">
        <f>VLOOKUP(E45,transp.!$A$4:$G$19,6,FALSE)</f>
        <v>0.745</v>
      </c>
      <c r="M45" s="22">
        <f>VLOOKUP(E45,transp.!$A$4:$G$19,7,FALSE)</f>
        <v>0</v>
      </c>
    </row>
    <row r="46" spans="1:13" ht="12.75" x14ac:dyDescent="0.25">
      <c r="A46" s="139"/>
      <c r="B46" s="140"/>
      <c r="C46" s="140"/>
      <c r="D46" s="141"/>
      <c r="E46" s="164"/>
      <c r="F46" s="145"/>
      <c r="G46" s="145"/>
      <c r="H46" s="123"/>
      <c r="I46" s="165"/>
      <c r="J46" s="145"/>
    </row>
    <row r="47" spans="1:13" ht="12.75" x14ac:dyDescent="0.25">
      <c r="A47" s="139"/>
      <c r="B47" s="140"/>
      <c r="C47" s="140"/>
      <c r="D47" s="141"/>
      <c r="E47" s="166"/>
      <c r="F47" s="123"/>
      <c r="G47" s="123"/>
      <c r="H47" s="123"/>
      <c r="I47" s="163"/>
      <c r="J47" s="145"/>
    </row>
    <row r="48" spans="1:13" ht="12.75" x14ac:dyDescent="0.25">
      <c r="A48" s="167"/>
      <c r="B48" s="168"/>
      <c r="C48" s="168"/>
      <c r="D48" s="169"/>
      <c r="E48" s="123"/>
      <c r="F48" s="123"/>
      <c r="G48" s="123"/>
      <c r="H48" s="123"/>
      <c r="I48" s="163"/>
      <c r="J48" s="145"/>
    </row>
    <row r="49" spans="1:10" ht="12.75" x14ac:dyDescent="0.25">
      <c r="A49" s="1012" t="s">
        <v>96</v>
      </c>
      <c r="B49" s="1013"/>
      <c r="C49" s="1013"/>
      <c r="D49" s="1013"/>
      <c r="E49" s="1013"/>
      <c r="F49" s="1013"/>
      <c r="G49" s="1013"/>
      <c r="H49" s="1013"/>
      <c r="I49" s="1014"/>
      <c r="J49" s="170">
        <f>SUM(J45:J48)</f>
        <v>15.12</v>
      </c>
    </row>
    <row r="50" spans="1:10" ht="12.75" x14ac:dyDescent="0.25">
      <c r="A50" s="1018" t="s">
        <v>97</v>
      </c>
      <c r="B50" s="1019"/>
      <c r="C50" s="1019"/>
      <c r="D50" s="1019"/>
      <c r="E50" s="1019"/>
      <c r="F50" s="1019"/>
      <c r="G50" s="171" t="s">
        <v>98</v>
      </c>
      <c r="H50" s="172"/>
      <c r="I50" s="173" t="s">
        <v>99</v>
      </c>
      <c r="J50" s="162">
        <f>J49+J42+J29</f>
        <v>314.72000000000003</v>
      </c>
    </row>
    <row r="51" spans="1:10" ht="12.75" x14ac:dyDescent="0.25">
      <c r="A51" s="1020" t="s">
        <v>100</v>
      </c>
      <c r="B51" s="1021"/>
      <c r="C51" s="1021"/>
      <c r="D51" s="1021"/>
      <c r="E51" s="1021"/>
      <c r="F51" s="1021"/>
      <c r="G51" s="174">
        <v>0.35</v>
      </c>
      <c r="H51" s="175"/>
      <c r="I51" s="176" t="s">
        <v>99</v>
      </c>
      <c r="J51" s="144">
        <f>+J50*G51</f>
        <v>110.15</v>
      </c>
    </row>
    <row r="52" spans="1:10" ht="12.75" x14ac:dyDescent="0.25">
      <c r="A52" s="1009" t="s">
        <v>101</v>
      </c>
      <c r="B52" s="1010"/>
      <c r="C52" s="1010"/>
      <c r="D52" s="1010"/>
      <c r="E52" s="1010"/>
      <c r="F52" s="1010"/>
      <c r="G52" s="177"/>
      <c r="H52" s="178"/>
      <c r="I52" s="179" t="s">
        <v>99</v>
      </c>
      <c r="J52" s="136">
        <f>+J51+J50</f>
        <v>424.87</v>
      </c>
    </row>
    <row r="53" spans="1:10" ht="12.75" x14ac:dyDescent="0.25">
      <c r="A53" s="180" t="s">
        <v>102</v>
      </c>
      <c r="B53" s="172"/>
      <c r="C53" s="172"/>
      <c r="D53" s="172"/>
      <c r="E53" s="172"/>
      <c r="F53" s="172"/>
      <c r="G53" s="172"/>
      <c r="H53" s="181"/>
      <c r="I53" s="181"/>
      <c r="J53" s="182"/>
    </row>
    <row r="54" spans="1:10" x14ac:dyDescent="0.2">
      <c r="A54" s="26"/>
      <c r="B54" s="27"/>
      <c r="C54" s="27"/>
      <c r="D54" s="27"/>
      <c r="E54" s="27"/>
      <c r="F54" s="27"/>
      <c r="G54" s="27"/>
      <c r="H54" s="28"/>
      <c r="I54" s="28"/>
      <c r="J54" s="73"/>
    </row>
    <row r="55" spans="1:10" x14ac:dyDescent="0.2">
      <c r="A55" s="29"/>
      <c r="B55" s="31"/>
      <c r="C55" s="31"/>
      <c r="D55" s="30"/>
      <c r="E55" s="30"/>
      <c r="F55" s="30"/>
      <c r="G55" s="30"/>
      <c r="H55" s="30"/>
      <c r="I55" s="30"/>
      <c r="J55" s="74"/>
    </row>
  </sheetData>
  <mergeCells count="56">
    <mergeCell ref="J43:J44"/>
    <mergeCell ref="A49:I49"/>
    <mergeCell ref="A50:F50"/>
    <mergeCell ref="A51:F51"/>
    <mergeCell ref="A52:F52"/>
    <mergeCell ref="A40:E40"/>
    <mergeCell ref="A41:E41"/>
    <mergeCell ref="A42:I42"/>
    <mergeCell ref="A43:D44"/>
    <mergeCell ref="E43:E44"/>
    <mergeCell ref="F43:G43"/>
    <mergeCell ref="H43:H44"/>
    <mergeCell ref="I43:I44"/>
    <mergeCell ref="J30:J31"/>
    <mergeCell ref="A32:E32"/>
    <mergeCell ref="A33:E33"/>
    <mergeCell ref="A34:E34"/>
    <mergeCell ref="A35:E35"/>
    <mergeCell ref="A39:E39"/>
    <mergeCell ref="A28:E28"/>
    <mergeCell ref="G28:I28"/>
    <mergeCell ref="A29:I29"/>
    <mergeCell ref="A30:E31"/>
    <mergeCell ref="F30:F31"/>
    <mergeCell ref="G30:G31"/>
    <mergeCell ref="H30:H31"/>
    <mergeCell ref="I30:I31"/>
    <mergeCell ref="J16:J17"/>
    <mergeCell ref="A18:E18"/>
    <mergeCell ref="A19:E19"/>
    <mergeCell ref="A20:E20"/>
    <mergeCell ref="A26:E26"/>
    <mergeCell ref="A27:I27"/>
    <mergeCell ref="A14:C14"/>
    <mergeCell ref="A15:I15"/>
    <mergeCell ref="A16:E17"/>
    <mergeCell ref="F16:F17"/>
    <mergeCell ref="G16:G17"/>
    <mergeCell ref="H16:H17"/>
    <mergeCell ref="I16:I17"/>
    <mergeCell ref="A12:C12"/>
    <mergeCell ref="A1:J1"/>
    <mergeCell ref="A3:A4"/>
    <mergeCell ref="B3:H4"/>
    <mergeCell ref="I3:I4"/>
    <mergeCell ref="J3:J4"/>
    <mergeCell ref="A5:C6"/>
    <mergeCell ref="D5:D6"/>
    <mergeCell ref="E5:E6"/>
    <mergeCell ref="F5:G5"/>
    <mergeCell ref="H5:I5"/>
    <mergeCell ref="J5:J6"/>
    <mergeCell ref="A7:C7"/>
    <mergeCell ref="A8:C8"/>
    <mergeCell ref="A9:C9"/>
    <mergeCell ref="A11:C11"/>
  </mergeCells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"/>
  <sheetViews>
    <sheetView tabSelected="1" view="pageBreakPreview" zoomScaleNormal="100" zoomScaleSheetLayoutView="100" workbookViewId="0">
      <selection activeCell="A19" sqref="A19"/>
    </sheetView>
  </sheetViews>
  <sheetFormatPr defaultColWidth="9" defaultRowHeight="14.25" x14ac:dyDescent="0.2"/>
  <cols>
    <col min="1" max="1" width="58.25" style="387" customWidth="1"/>
    <col min="2" max="2" width="14.625" style="387" customWidth="1"/>
    <col min="3" max="3" width="13.625" style="387" customWidth="1"/>
    <col min="4" max="4" width="15.125" style="387" customWidth="1"/>
    <col min="5" max="5" width="9" style="387"/>
    <col min="6" max="6" width="12.375" style="387" bestFit="1" customWidth="1"/>
    <col min="7" max="7" width="11.625" style="387" customWidth="1"/>
    <col min="8" max="8" width="13.75" style="387" bestFit="1" customWidth="1"/>
    <col min="9" max="16384" width="9" style="387"/>
  </cols>
  <sheetData>
    <row r="1" spans="1:8" x14ac:dyDescent="0.2">
      <c r="A1" s="916" t="str">
        <f>Memória!A2</f>
        <v>Trecho 06 - São Paulo - Água Pretinha</v>
      </c>
      <c r="B1" s="916"/>
      <c r="C1" s="916"/>
      <c r="D1" s="916"/>
    </row>
    <row r="2" spans="1:8" ht="15" x14ac:dyDescent="0.2">
      <c r="A2" s="915" t="s">
        <v>291</v>
      </c>
      <c r="B2" s="915" t="s">
        <v>289</v>
      </c>
      <c r="C2" s="915"/>
      <c r="D2" s="915" t="s">
        <v>17</v>
      </c>
    </row>
    <row r="3" spans="1:8" ht="15" x14ac:dyDescent="0.2">
      <c r="A3" s="915"/>
      <c r="B3" s="740" t="s">
        <v>290</v>
      </c>
      <c r="C3" s="740" t="s">
        <v>16</v>
      </c>
      <c r="D3" s="915"/>
    </row>
    <row r="4" spans="1:8" ht="21.6" customHeight="1" x14ac:dyDescent="0.2">
      <c r="A4" s="750" t="str">
        <f>Planilha!C5</f>
        <v>ADMINISTRAÇÃO LOCAL E SERVIÇOS AUXILIARES</v>
      </c>
      <c r="B4" s="746">
        <f>Planilha!G11</f>
        <v>392127</v>
      </c>
      <c r="C4" s="746">
        <f t="shared" ref="C4:C10" si="0">+B4/$C$12</f>
        <v>83431.28</v>
      </c>
      <c r="D4" s="747">
        <f>ROUND(B4/$B$11,4)</f>
        <v>2.29E-2</v>
      </c>
      <c r="E4" s="469"/>
      <c r="F4" s="588"/>
      <c r="H4" s="389"/>
    </row>
    <row r="5" spans="1:8" ht="21.6" customHeight="1" x14ac:dyDescent="0.2">
      <c r="A5" s="839" t="str">
        <f>Planilha!C12</f>
        <v>INSTALAÇÃO DE CANTEIRO. MOBILIZAÇÃO E DESMOBILIZAÇÃO</v>
      </c>
      <c r="B5" s="746">
        <f>Planilha!G42</f>
        <v>265198.69</v>
      </c>
      <c r="C5" s="746">
        <f t="shared" si="0"/>
        <v>56425.25</v>
      </c>
      <c r="D5" s="747">
        <f>ROUND(B5/$B$11,6)</f>
        <v>1.55E-2</v>
      </c>
      <c r="E5" s="469"/>
      <c r="F5" s="588"/>
      <c r="H5" s="389"/>
    </row>
    <row r="6" spans="1:8" ht="21.6" customHeight="1" x14ac:dyDescent="0.2">
      <c r="A6" s="745" t="str">
        <f>Planilha!C43</f>
        <v>TERRAPLENAGEM</v>
      </c>
      <c r="B6" s="746">
        <f>Planilha!G75</f>
        <v>5911968.0099999998</v>
      </c>
      <c r="C6" s="746">
        <f t="shared" si="0"/>
        <v>1257865.53</v>
      </c>
      <c r="D6" s="747">
        <f>ROUND(B6/$B$11,4)</f>
        <v>0.34510000000000002</v>
      </c>
      <c r="E6" s="469"/>
      <c r="F6" s="588"/>
      <c r="H6" s="389"/>
    </row>
    <row r="7" spans="1:8" ht="21.6" customHeight="1" x14ac:dyDescent="0.2">
      <c r="A7" s="745" t="str">
        <f>Planilha!C76</f>
        <v>PAVIMENTAÇÃO</v>
      </c>
      <c r="B7" s="746">
        <f>Planilha!G100</f>
        <v>4930486.5</v>
      </c>
      <c r="C7" s="746">
        <f t="shared" si="0"/>
        <v>1049039.68</v>
      </c>
      <c r="D7" s="747">
        <f>ROUND(B7/$B$11,4)</f>
        <v>0.2878</v>
      </c>
      <c r="E7" s="469"/>
      <c r="F7" s="588"/>
      <c r="H7" s="389"/>
    </row>
    <row r="8" spans="1:8" ht="21.6" customHeight="1" x14ac:dyDescent="0.2">
      <c r="A8" s="748" t="str">
        <f>Planilha!C101</f>
        <v>DRENAGEM E OAC</v>
      </c>
      <c r="B8" s="746">
        <f>Planilha!G179</f>
        <v>4137940.36</v>
      </c>
      <c r="C8" s="746">
        <f t="shared" si="0"/>
        <v>880412.84</v>
      </c>
      <c r="D8" s="747">
        <f>ROUND(B8/$B$11,4)</f>
        <v>0.24160000000000001</v>
      </c>
      <c r="E8" s="469"/>
      <c r="F8" s="588"/>
      <c r="H8" s="389"/>
    </row>
    <row r="9" spans="1:8" ht="21.6" customHeight="1" x14ac:dyDescent="0.2">
      <c r="A9" s="749" t="str">
        <f>Planilha!C180</f>
        <v>SINALIZAÇÃO</v>
      </c>
      <c r="B9" s="746">
        <f>Planilha!G210</f>
        <v>1141189.8500000001</v>
      </c>
      <c r="C9" s="746">
        <f t="shared" si="0"/>
        <v>242806.35</v>
      </c>
      <c r="D9" s="747">
        <f>ROUND(B9/$B$11,4)</f>
        <v>6.6600000000000006E-2</v>
      </c>
      <c r="E9" s="469"/>
      <c r="F9" s="588"/>
      <c r="H9" s="389"/>
    </row>
    <row r="10" spans="1:8" ht="21.6" customHeight="1" x14ac:dyDescent="0.2">
      <c r="A10" s="749" t="str">
        <f>Planilha!C211</f>
        <v>RECUPERAÇÃO AMBIENTAL</v>
      </c>
      <c r="B10" s="746">
        <f>Planilha!G217</f>
        <v>350816.22</v>
      </c>
      <c r="C10" s="746">
        <f t="shared" si="0"/>
        <v>74641.75</v>
      </c>
      <c r="D10" s="747">
        <f>ROUND(B10/$B$11,4)</f>
        <v>2.0500000000000001E-2</v>
      </c>
      <c r="E10" s="470"/>
      <c r="F10" s="588"/>
      <c r="H10" s="389"/>
    </row>
    <row r="11" spans="1:8" ht="21.6" customHeight="1" x14ac:dyDescent="0.25">
      <c r="A11" s="740" t="s">
        <v>18</v>
      </c>
      <c r="B11" s="436">
        <f>SUM(B4:B10)</f>
        <v>17129726.629999999</v>
      </c>
      <c r="C11" s="436">
        <f>SUM(C5:C10)</f>
        <v>3561191.4</v>
      </c>
      <c r="D11" s="437">
        <f>ROUND(SUM(D4:D10),2)</f>
        <v>1</v>
      </c>
      <c r="F11" s="589"/>
      <c r="H11" s="389"/>
    </row>
    <row r="12" spans="1:8" ht="15.6" hidden="1" customHeight="1" x14ac:dyDescent="0.2">
      <c r="B12" s="388">
        <f>+Planilha!G218</f>
        <v>17129726.629999999</v>
      </c>
      <c r="C12" s="389">
        <f>+Planilha!G219</f>
        <v>4.7</v>
      </c>
      <c r="D12" s="389">
        <f>+B12/C12</f>
        <v>3644622.69</v>
      </c>
    </row>
    <row r="13" spans="1:8" x14ac:dyDescent="0.2">
      <c r="B13" s="389">
        <f>Planilha!G218</f>
        <v>17129726.629999999</v>
      </c>
      <c r="C13" s="389">
        <f>Planilha!G219</f>
        <v>4.7</v>
      </c>
      <c r="D13" s="388">
        <f>B13/C13</f>
        <v>3644622.69</v>
      </c>
    </row>
  </sheetData>
  <mergeCells count="4">
    <mergeCell ref="A2:A3"/>
    <mergeCell ref="B2:C2"/>
    <mergeCell ref="D2:D3"/>
    <mergeCell ref="A1:D1"/>
  </mergeCells>
  <printOptions horizontalCentered="1"/>
  <pageMargins left="0.51181102362204722" right="0.51181102362204722" top="1.9685039370078741" bottom="0.78740157480314965" header="0.31496062992125984" footer="0.31496062992125984"/>
  <pageSetup paperSize="9" scale="83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55"/>
  <sheetViews>
    <sheetView workbookViewId="0">
      <selection activeCell="C55" sqref="C55"/>
    </sheetView>
  </sheetViews>
  <sheetFormatPr defaultColWidth="9" defaultRowHeight="11.25" x14ac:dyDescent="0.2"/>
  <cols>
    <col min="1" max="2" width="9" style="22"/>
    <col min="3" max="3" width="10.875" style="22" customWidth="1"/>
    <col min="4" max="16384" width="9" style="22"/>
  </cols>
  <sheetData>
    <row r="1" spans="1:10" ht="15.75" x14ac:dyDescent="0.2">
      <c r="A1" s="1034" t="s">
        <v>68</v>
      </c>
      <c r="B1" s="1035"/>
      <c r="C1" s="1035"/>
      <c r="D1" s="1035"/>
      <c r="E1" s="1035"/>
      <c r="F1" s="1035"/>
      <c r="G1" s="1035"/>
      <c r="H1" s="1035"/>
      <c r="I1" s="1035"/>
      <c r="J1" s="1036"/>
    </row>
    <row r="2" spans="1:10" x14ac:dyDescent="0.2">
      <c r="A2" s="32" t="s">
        <v>69</v>
      </c>
      <c r="B2" s="25" t="s">
        <v>70</v>
      </c>
      <c r="C2" s="25"/>
      <c r="D2" s="25"/>
      <c r="E2" s="25"/>
      <c r="F2" s="25"/>
      <c r="G2" s="25"/>
      <c r="H2" s="25"/>
      <c r="I2" s="32" t="s">
        <v>71</v>
      </c>
      <c r="J2" s="32" t="s">
        <v>72</v>
      </c>
    </row>
    <row r="3" spans="1:10" x14ac:dyDescent="0.2">
      <c r="A3" s="1037">
        <f>+Planilha!B52</f>
        <v>40230</v>
      </c>
      <c r="B3" s="1039" t="str">
        <f>+Planilha!C52</f>
        <v xml:space="preserve">Escavação e carga de material de 1ª categoria com escavadeira </v>
      </c>
      <c r="C3" s="1040"/>
      <c r="D3" s="1040"/>
      <c r="E3" s="1040"/>
      <c r="F3" s="1040"/>
      <c r="G3" s="1040"/>
      <c r="H3" s="1041"/>
      <c r="I3" s="1045" t="s">
        <v>61</v>
      </c>
      <c r="J3" s="1046" t="s">
        <v>153</v>
      </c>
    </row>
    <row r="4" spans="1:10" x14ac:dyDescent="0.2">
      <c r="A4" s="1038"/>
      <c r="B4" s="1042"/>
      <c r="C4" s="1043"/>
      <c r="D4" s="1043"/>
      <c r="E4" s="1043"/>
      <c r="F4" s="1043"/>
      <c r="G4" s="1043"/>
      <c r="H4" s="1044"/>
      <c r="I4" s="1038"/>
      <c r="J4" s="1047"/>
    </row>
    <row r="5" spans="1:10" ht="12.75" x14ac:dyDescent="0.25">
      <c r="A5" s="997" t="s">
        <v>73</v>
      </c>
      <c r="B5" s="997"/>
      <c r="C5" s="997"/>
      <c r="D5" s="987" t="s">
        <v>59</v>
      </c>
      <c r="E5" s="987" t="s">
        <v>74</v>
      </c>
      <c r="F5" s="989" t="s">
        <v>75</v>
      </c>
      <c r="G5" s="990"/>
      <c r="H5" s="989" t="s">
        <v>76</v>
      </c>
      <c r="I5" s="990"/>
      <c r="J5" s="986" t="s">
        <v>77</v>
      </c>
    </row>
    <row r="6" spans="1:10" ht="12.75" x14ac:dyDescent="0.25">
      <c r="A6" s="997"/>
      <c r="B6" s="997"/>
      <c r="C6" s="997"/>
      <c r="D6" s="988"/>
      <c r="E6" s="988"/>
      <c r="F6" s="120" t="s">
        <v>78</v>
      </c>
      <c r="G6" s="121" t="s">
        <v>79</v>
      </c>
      <c r="H6" s="120" t="s">
        <v>78</v>
      </c>
      <c r="I6" s="120" t="s">
        <v>79</v>
      </c>
      <c r="J6" s="986"/>
    </row>
    <row r="7" spans="1:10" ht="30" customHeight="1" x14ac:dyDescent="0.25">
      <c r="A7" s="1099"/>
      <c r="B7" s="1100"/>
      <c r="C7" s="1101"/>
      <c r="D7" s="122"/>
      <c r="E7" s="123"/>
      <c r="F7" s="123"/>
      <c r="G7" s="123"/>
      <c r="H7" s="123"/>
      <c r="I7" s="123"/>
      <c r="J7" s="123"/>
    </row>
    <row r="8" spans="1:10" ht="12.75" x14ac:dyDescent="0.25">
      <c r="A8" s="1022"/>
      <c r="B8" s="1023"/>
      <c r="C8" s="1024"/>
      <c r="D8" s="124"/>
      <c r="E8" s="123"/>
      <c r="F8" s="123"/>
      <c r="G8" s="123"/>
      <c r="H8" s="123"/>
      <c r="I8" s="123"/>
      <c r="J8" s="123"/>
    </row>
    <row r="9" spans="1:10" ht="12.75" x14ac:dyDescent="0.25">
      <c r="A9" s="1022"/>
      <c r="B9" s="1023"/>
      <c r="C9" s="1024"/>
      <c r="D9" s="124"/>
      <c r="E9" s="123"/>
      <c r="F9" s="123"/>
      <c r="G9" s="123"/>
      <c r="H9" s="123"/>
      <c r="I9" s="123"/>
      <c r="J9" s="123"/>
    </row>
    <row r="10" spans="1:10" ht="12.75" x14ac:dyDescent="0.25">
      <c r="A10" s="125" t="s">
        <v>127</v>
      </c>
      <c r="B10" s="126"/>
      <c r="C10" s="127"/>
      <c r="D10" s="122"/>
      <c r="E10" s="128">
        <v>0.05</v>
      </c>
      <c r="F10" s="123"/>
      <c r="G10" s="123"/>
      <c r="H10" s="123">
        <f>+J27</f>
        <v>0</v>
      </c>
      <c r="I10" s="123"/>
      <c r="J10" s="123">
        <f>TRUNC(H10*E10,2)</f>
        <v>0</v>
      </c>
    </row>
    <row r="11" spans="1:10" ht="12.75" x14ac:dyDescent="0.25">
      <c r="A11" s="991"/>
      <c r="B11" s="992"/>
      <c r="C11" s="993"/>
      <c r="D11" s="124"/>
      <c r="E11" s="123"/>
      <c r="F11" s="123"/>
      <c r="G11" s="123"/>
      <c r="H11" s="123"/>
      <c r="I11" s="123"/>
      <c r="J11" s="123"/>
    </row>
    <row r="12" spans="1:10" ht="12.75" x14ac:dyDescent="0.25">
      <c r="A12" s="991"/>
      <c r="B12" s="992"/>
      <c r="C12" s="993"/>
      <c r="D12" s="124"/>
      <c r="E12" s="123"/>
      <c r="F12" s="123"/>
      <c r="G12" s="123"/>
      <c r="H12" s="123"/>
      <c r="I12" s="123"/>
      <c r="J12" s="123"/>
    </row>
    <row r="13" spans="1:10" ht="12.75" x14ac:dyDescent="0.25">
      <c r="A13" s="125"/>
      <c r="B13" s="126"/>
      <c r="C13" s="127"/>
      <c r="D13" s="124"/>
      <c r="E13" s="123"/>
      <c r="F13" s="123"/>
      <c r="G13" s="123"/>
      <c r="H13" s="123"/>
      <c r="I13" s="123"/>
      <c r="J13" s="123"/>
    </row>
    <row r="14" spans="1:10" ht="12.75" x14ac:dyDescent="0.25">
      <c r="A14" s="994"/>
      <c r="B14" s="995"/>
      <c r="C14" s="996"/>
      <c r="D14" s="134"/>
      <c r="E14" s="135"/>
      <c r="F14" s="135"/>
      <c r="G14" s="123"/>
      <c r="H14" s="123"/>
      <c r="I14" s="123"/>
      <c r="J14" s="123"/>
    </row>
    <row r="15" spans="1:10" ht="12.75" x14ac:dyDescent="0.25">
      <c r="A15" s="998" t="s">
        <v>80</v>
      </c>
      <c r="B15" s="999"/>
      <c r="C15" s="999"/>
      <c r="D15" s="999"/>
      <c r="E15" s="999"/>
      <c r="F15" s="999"/>
      <c r="G15" s="999"/>
      <c r="H15" s="999"/>
      <c r="I15" s="1000"/>
      <c r="J15" s="136">
        <f>SUM(J7:J14)</f>
        <v>0</v>
      </c>
    </row>
    <row r="16" spans="1:10" x14ac:dyDescent="0.2">
      <c r="A16" s="1001" t="s">
        <v>81</v>
      </c>
      <c r="B16" s="1002"/>
      <c r="C16" s="1002"/>
      <c r="D16" s="1002"/>
      <c r="E16" s="1003"/>
      <c r="F16" s="987" t="s">
        <v>59</v>
      </c>
      <c r="G16" s="987" t="s">
        <v>82</v>
      </c>
      <c r="H16" s="987" t="s">
        <v>74</v>
      </c>
      <c r="I16" s="986" t="s">
        <v>83</v>
      </c>
      <c r="J16" s="987" t="s">
        <v>77</v>
      </c>
    </row>
    <row r="17" spans="1:10" x14ac:dyDescent="0.2">
      <c r="A17" s="1004"/>
      <c r="B17" s="1005"/>
      <c r="C17" s="1005"/>
      <c r="D17" s="1005"/>
      <c r="E17" s="1006"/>
      <c r="F17" s="988"/>
      <c r="G17" s="988"/>
      <c r="H17" s="988"/>
      <c r="I17" s="986"/>
      <c r="J17" s="988"/>
    </row>
    <row r="18" spans="1:10" ht="12.75" x14ac:dyDescent="0.25">
      <c r="A18" s="991"/>
      <c r="B18" s="992"/>
      <c r="C18" s="992"/>
      <c r="D18" s="992"/>
      <c r="E18" s="993"/>
      <c r="F18" s="137"/>
      <c r="G18" s="138"/>
      <c r="H18" s="123"/>
      <c r="I18" s="123"/>
      <c r="J18" s="123"/>
    </row>
    <row r="19" spans="1:10" ht="12.75" x14ac:dyDescent="0.25">
      <c r="A19" s="991"/>
      <c r="B19" s="992"/>
      <c r="C19" s="992"/>
      <c r="D19" s="992"/>
      <c r="E19" s="993"/>
      <c r="F19" s="137"/>
      <c r="G19" s="138"/>
      <c r="H19" s="123"/>
      <c r="I19" s="123"/>
      <c r="J19" s="123"/>
    </row>
    <row r="20" spans="1:10" ht="12.75" x14ac:dyDescent="0.25">
      <c r="A20" s="991"/>
      <c r="B20" s="992"/>
      <c r="C20" s="992"/>
      <c r="D20" s="992"/>
      <c r="E20" s="993"/>
      <c r="F20" s="137"/>
      <c r="G20" s="138"/>
      <c r="H20" s="123"/>
      <c r="I20" s="123"/>
      <c r="J20" s="123"/>
    </row>
    <row r="21" spans="1:10" ht="12.75" x14ac:dyDescent="0.25">
      <c r="A21" s="139"/>
      <c r="B21" s="140"/>
      <c r="C21" s="140"/>
      <c r="D21" s="140"/>
      <c r="E21" s="141"/>
      <c r="F21" s="137"/>
      <c r="G21" s="138"/>
      <c r="H21" s="123"/>
      <c r="I21" s="123"/>
      <c r="J21" s="123"/>
    </row>
    <row r="22" spans="1:10" ht="12.75" x14ac:dyDescent="0.25">
      <c r="A22" s="139"/>
      <c r="B22" s="140"/>
      <c r="C22" s="140"/>
      <c r="D22" s="140"/>
      <c r="E22" s="141"/>
      <c r="F22" s="137"/>
      <c r="G22" s="142"/>
      <c r="H22" s="123"/>
      <c r="I22" s="123"/>
      <c r="J22" s="123"/>
    </row>
    <row r="23" spans="1:10" ht="12.75" x14ac:dyDescent="0.25">
      <c r="A23" s="125"/>
      <c r="B23" s="126"/>
      <c r="C23" s="126"/>
      <c r="D23" s="126"/>
      <c r="E23" s="127"/>
      <c r="F23" s="137"/>
      <c r="G23" s="142"/>
      <c r="H23" s="123"/>
      <c r="I23" s="123"/>
      <c r="J23" s="123"/>
    </row>
    <row r="24" spans="1:10" ht="12.75" x14ac:dyDescent="0.25">
      <c r="A24" s="139"/>
      <c r="B24" s="140"/>
      <c r="C24" s="140"/>
      <c r="D24" s="140"/>
      <c r="E24" s="141"/>
      <c r="F24" s="137"/>
      <c r="G24" s="142"/>
      <c r="H24" s="123"/>
      <c r="I24" s="123"/>
      <c r="J24" s="123"/>
    </row>
    <row r="25" spans="1:10" ht="12.75" x14ac:dyDescent="0.25">
      <c r="A25" s="139"/>
      <c r="B25" s="140"/>
      <c r="C25" s="140"/>
      <c r="D25" s="140"/>
      <c r="E25" s="141"/>
      <c r="F25" s="137"/>
      <c r="G25" s="142"/>
      <c r="H25" s="123"/>
      <c r="I25" s="123"/>
      <c r="J25" s="123"/>
    </row>
    <row r="26" spans="1:10" ht="12.75" x14ac:dyDescent="0.25">
      <c r="A26" s="994"/>
      <c r="B26" s="995"/>
      <c r="C26" s="995"/>
      <c r="D26" s="995"/>
      <c r="E26" s="996"/>
      <c r="F26" s="134"/>
      <c r="G26" s="143"/>
      <c r="H26" s="135"/>
      <c r="I26" s="135"/>
      <c r="J26" s="123"/>
    </row>
    <row r="27" spans="1:10" ht="12.75" x14ac:dyDescent="0.25">
      <c r="A27" s="998" t="s">
        <v>84</v>
      </c>
      <c r="B27" s="999"/>
      <c r="C27" s="999"/>
      <c r="D27" s="999"/>
      <c r="E27" s="999"/>
      <c r="F27" s="999"/>
      <c r="G27" s="999"/>
      <c r="H27" s="999"/>
      <c r="I27" s="1000"/>
      <c r="J27" s="136">
        <f>ROUND(SUM(J18:J26),2)</f>
        <v>0</v>
      </c>
    </row>
    <row r="28" spans="1:10" ht="12.75" x14ac:dyDescent="0.25">
      <c r="A28" s="1007" t="s">
        <v>85</v>
      </c>
      <c r="B28" s="1008"/>
      <c r="C28" s="1008"/>
      <c r="D28" s="1008"/>
      <c r="E28" s="1008"/>
      <c r="F28" s="135">
        <v>0.83</v>
      </c>
      <c r="G28" s="1007" t="s">
        <v>86</v>
      </c>
      <c r="H28" s="1008"/>
      <c r="I28" s="1008"/>
      <c r="J28" s="144">
        <f>+J27+J15</f>
        <v>0</v>
      </c>
    </row>
    <row r="29" spans="1:10" ht="12.75" x14ac:dyDescent="0.25">
      <c r="A29" s="1009" t="s">
        <v>87</v>
      </c>
      <c r="B29" s="1010"/>
      <c r="C29" s="1010"/>
      <c r="D29" s="1010"/>
      <c r="E29" s="1010"/>
      <c r="F29" s="1010"/>
      <c r="G29" s="1010"/>
      <c r="H29" s="1010"/>
      <c r="I29" s="1011"/>
      <c r="J29" s="136">
        <f>TRUNC(J28/F28,2)</f>
        <v>0</v>
      </c>
    </row>
    <row r="30" spans="1:10" x14ac:dyDescent="0.2">
      <c r="A30" s="1025" t="s">
        <v>88</v>
      </c>
      <c r="B30" s="1026"/>
      <c r="C30" s="1026"/>
      <c r="D30" s="1026"/>
      <c r="E30" s="1027"/>
      <c r="F30" s="987" t="s">
        <v>59</v>
      </c>
      <c r="G30" s="987" t="s">
        <v>1</v>
      </c>
      <c r="H30" s="986" t="s">
        <v>63</v>
      </c>
      <c r="I30" s="987" t="s">
        <v>89</v>
      </c>
      <c r="J30" s="987" t="s">
        <v>90</v>
      </c>
    </row>
    <row r="31" spans="1:10" x14ac:dyDescent="0.2">
      <c r="A31" s="1028"/>
      <c r="B31" s="1029"/>
      <c r="C31" s="1029"/>
      <c r="D31" s="1029"/>
      <c r="E31" s="1030"/>
      <c r="F31" s="988"/>
      <c r="G31" s="988"/>
      <c r="H31" s="986"/>
      <c r="I31" s="988"/>
      <c r="J31" s="988"/>
    </row>
    <row r="32" spans="1:10" ht="12.75" x14ac:dyDescent="0.25">
      <c r="A32" s="991"/>
      <c r="B32" s="992"/>
      <c r="C32" s="992"/>
      <c r="D32" s="992"/>
      <c r="E32" s="993"/>
      <c r="F32" s="137"/>
      <c r="G32" s="145"/>
      <c r="H32" s="145"/>
      <c r="I32" s="146"/>
      <c r="J32" s="123"/>
    </row>
    <row r="33" spans="1:10" ht="12.75" x14ac:dyDescent="0.25">
      <c r="A33" s="991"/>
      <c r="B33" s="992"/>
      <c r="C33" s="992"/>
      <c r="D33" s="992"/>
      <c r="E33" s="993"/>
      <c r="F33" s="147"/>
      <c r="G33" s="145"/>
      <c r="H33" s="145"/>
      <c r="I33" s="146"/>
      <c r="J33" s="123"/>
    </row>
    <row r="34" spans="1:10" ht="12.75" x14ac:dyDescent="0.25">
      <c r="A34" s="991"/>
      <c r="B34" s="992"/>
      <c r="C34" s="992"/>
      <c r="D34" s="992"/>
      <c r="E34" s="993"/>
      <c r="F34" s="147"/>
      <c r="G34" s="145"/>
      <c r="H34" s="145"/>
      <c r="I34" s="146"/>
      <c r="J34" s="123"/>
    </row>
    <row r="35" spans="1:10" ht="12.75" x14ac:dyDescent="0.25">
      <c r="A35" s="991"/>
      <c r="B35" s="992"/>
      <c r="C35" s="992"/>
      <c r="D35" s="992"/>
      <c r="E35" s="993"/>
      <c r="F35" s="147"/>
      <c r="G35" s="145"/>
      <c r="H35" s="145"/>
      <c r="I35" s="146"/>
      <c r="J35" s="123"/>
    </row>
    <row r="36" spans="1:10" ht="12.75" hidden="1" x14ac:dyDescent="0.25">
      <c r="A36" s="139"/>
      <c r="B36" s="140"/>
      <c r="C36" s="140"/>
      <c r="D36" s="140"/>
      <c r="E36" s="141"/>
      <c r="F36" s="148"/>
      <c r="G36" s="145"/>
      <c r="H36" s="145"/>
      <c r="I36" s="146"/>
      <c r="J36" s="123"/>
    </row>
    <row r="37" spans="1:10" ht="12.75" hidden="1" x14ac:dyDescent="0.25">
      <c r="A37" s="149"/>
      <c r="B37" s="150"/>
      <c r="C37" s="150"/>
      <c r="D37" s="150"/>
      <c r="E37" s="151"/>
      <c r="F37" s="148"/>
      <c r="G37" s="152"/>
      <c r="H37" s="145"/>
      <c r="I37" s="146"/>
      <c r="J37" s="123"/>
    </row>
    <row r="38" spans="1:10" ht="12.75" x14ac:dyDescent="0.25">
      <c r="A38" s="125"/>
      <c r="B38" s="153"/>
      <c r="C38" s="153"/>
      <c r="D38" s="153"/>
      <c r="E38" s="154"/>
      <c r="F38" s="148"/>
      <c r="G38" s="152"/>
      <c r="H38" s="145"/>
      <c r="I38" s="146"/>
      <c r="J38" s="123"/>
    </row>
    <row r="39" spans="1:10" ht="24.95" customHeight="1" x14ac:dyDescent="0.25">
      <c r="A39" s="1022" t="s">
        <v>165</v>
      </c>
      <c r="B39" s="1023"/>
      <c r="C39" s="1023"/>
      <c r="D39" s="1023"/>
      <c r="E39" s="1024"/>
      <c r="F39" s="148" t="s">
        <v>174</v>
      </c>
      <c r="G39" s="152" t="s">
        <v>67</v>
      </c>
      <c r="H39" s="145">
        <f>+'40351'!J50</f>
        <v>412.98</v>
      </c>
      <c r="I39" s="146">
        <v>0.23799999999999999</v>
      </c>
      <c r="J39" s="123">
        <f>TRUNC(I39*H39,2)</f>
        <v>98.28</v>
      </c>
    </row>
    <row r="40" spans="1:10" ht="24.95" customHeight="1" x14ac:dyDescent="0.25">
      <c r="A40" s="1022" t="s">
        <v>173</v>
      </c>
      <c r="B40" s="1023"/>
      <c r="C40" s="1023"/>
      <c r="D40" s="1023"/>
      <c r="E40" s="1024"/>
      <c r="F40" s="148" t="s">
        <v>172</v>
      </c>
      <c r="G40" s="152" t="s">
        <v>66</v>
      </c>
      <c r="H40" s="145">
        <f>+'40313'!J50</f>
        <v>56.51</v>
      </c>
      <c r="I40" s="146">
        <v>0.68</v>
      </c>
      <c r="J40" s="123">
        <f>TRUNC(I40*H40,2)</f>
        <v>38.42</v>
      </c>
    </row>
    <row r="41" spans="1:10" ht="12.75" x14ac:dyDescent="0.25">
      <c r="A41" s="994"/>
      <c r="B41" s="995"/>
      <c r="C41" s="995"/>
      <c r="D41" s="995"/>
      <c r="E41" s="996"/>
      <c r="F41" s="155"/>
      <c r="G41" s="156"/>
      <c r="H41" s="157"/>
      <c r="I41" s="146"/>
      <c r="J41" s="123"/>
    </row>
    <row r="42" spans="1:10" ht="12.75" x14ac:dyDescent="0.25">
      <c r="A42" s="998" t="s">
        <v>91</v>
      </c>
      <c r="B42" s="999"/>
      <c r="C42" s="999"/>
      <c r="D42" s="999"/>
      <c r="E42" s="999"/>
      <c r="F42" s="999"/>
      <c r="G42" s="999"/>
      <c r="H42" s="999"/>
      <c r="I42" s="1000"/>
      <c r="J42" s="136">
        <f>ROUND(SUM(J32:J41),2)</f>
        <v>136.69999999999999</v>
      </c>
    </row>
    <row r="43" spans="1:10" ht="12.75" x14ac:dyDescent="0.25">
      <c r="A43" s="1001" t="s">
        <v>92</v>
      </c>
      <c r="B43" s="1002"/>
      <c r="C43" s="1002"/>
      <c r="D43" s="1002"/>
      <c r="E43" s="1015" t="s">
        <v>59</v>
      </c>
      <c r="F43" s="989" t="s">
        <v>93</v>
      </c>
      <c r="G43" s="990"/>
      <c r="H43" s="1017" t="s">
        <v>94</v>
      </c>
      <c r="I43" s="1017" t="s">
        <v>95</v>
      </c>
      <c r="J43" s="987" t="s">
        <v>63</v>
      </c>
    </row>
    <row r="44" spans="1:10" ht="12.75" x14ac:dyDescent="0.25">
      <c r="A44" s="1004"/>
      <c r="B44" s="1005"/>
      <c r="C44" s="1005"/>
      <c r="D44" s="1005"/>
      <c r="E44" s="1016"/>
      <c r="F44" s="120" t="s">
        <v>21</v>
      </c>
      <c r="G44" s="120" t="s">
        <v>20</v>
      </c>
      <c r="H44" s="1017"/>
      <c r="I44" s="1017"/>
      <c r="J44" s="988"/>
    </row>
    <row r="45" spans="1:10" ht="12.75" x14ac:dyDescent="0.25">
      <c r="A45" s="158"/>
      <c r="B45" s="159"/>
      <c r="C45" s="159"/>
      <c r="D45" s="160"/>
      <c r="E45" s="161"/>
      <c r="F45" s="162"/>
      <c r="G45" s="123"/>
      <c r="H45" s="123"/>
      <c r="I45" s="163"/>
      <c r="J45" s="123"/>
    </row>
    <row r="46" spans="1:10" ht="12.75" x14ac:dyDescent="0.25">
      <c r="A46" s="139"/>
      <c r="B46" s="140"/>
      <c r="C46" s="140"/>
      <c r="D46" s="141"/>
      <c r="E46" s="164"/>
      <c r="F46" s="145"/>
      <c r="G46" s="145"/>
      <c r="H46" s="123"/>
      <c r="I46" s="165"/>
      <c r="J46" s="145"/>
    </row>
    <row r="47" spans="1:10" ht="12.75" x14ac:dyDescent="0.25">
      <c r="A47" s="139"/>
      <c r="B47" s="140"/>
      <c r="C47" s="140"/>
      <c r="D47" s="141"/>
      <c r="E47" s="166"/>
      <c r="F47" s="123"/>
      <c r="G47" s="123"/>
      <c r="H47" s="123"/>
      <c r="I47" s="163"/>
      <c r="J47" s="145"/>
    </row>
    <row r="48" spans="1:10" ht="12.75" x14ac:dyDescent="0.25">
      <c r="A48" s="167"/>
      <c r="B48" s="168"/>
      <c r="C48" s="168"/>
      <c r="D48" s="169"/>
      <c r="E48" s="123"/>
      <c r="F48" s="123"/>
      <c r="G48" s="123"/>
      <c r="H48" s="123"/>
      <c r="I48" s="163"/>
      <c r="J48" s="145"/>
    </row>
    <row r="49" spans="1:10" ht="12.75" x14ac:dyDescent="0.25">
      <c r="A49" s="1012" t="s">
        <v>96</v>
      </c>
      <c r="B49" s="1013"/>
      <c r="C49" s="1013"/>
      <c r="D49" s="1013"/>
      <c r="E49" s="1013"/>
      <c r="F49" s="1013"/>
      <c r="G49" s="1013"/>
      <c r="H49" s="1013"/>
      <c r="I49" s="1014"/>
      <c r="J49" s="170">
        <f>SUM(J45:J48)</f>
        <v>0</v>
      </c>
    </row>
    <row r="50" spans="1:10" ht="12.75" x14ac:dyDescent="0.25">
      <c r="A50" s="1018" t="s">
        <v>97</v>
      </c>
      <c r="B50" s="1019"/>
      <c r="C50" s="1019"/>
      <c r="D50" s="1019"/>
      <c r="E50" s="1019"/>
      <c r="F50" s="1019"/>
      <c r="G50" s="171" t="s">
        <v>98</v>
      </c>
      <c r="H50" s="172"/>
      <c r="I50" s="173" t="s">
        <v>99</v>
      </c>
      <c r="J50" s="162">
        <f>J49+J42+J29</f>
        <v>136.69999999999999</v>
      </c>
    </row>
    <row r="51" spans="1:10" ht="12.75" x14ac:dyDescent="0.25">
      <c r="A51" s="1020" t="s">
        <v>100</v>
      </c>
      <c r="B51" s="1021"/>
      <c r="C51" s="1021"/>
      <c r="D51" s="1021"/>
      <c r="E51" s="1021"/>
      <c r="F51" s="1021"/>
      <c r="G51" s="174">
        <v>0.35</v>
      </c>
      <c r="H51" s="175"/>
      <c r="I51" s="176" t="s">
        <v>99</v>
      </c>
      <c r="J51" s="144">
        <f>+J50*G51</f>
        <v>47.85</v>
      </c>
    </row>
    <row r="52" spans="1:10" ht="12.75" x14ac:dyDescent="0.25">
      <c r="A52" s="1009" t="s">
        <v>101</v>
      </c>
      <c r="B52" s="1010"/>
      <c r="C52" s="1010"/>
      <c r="D52" s="1010"/>
      <c r="E52" s="1010"/>
      <c r="F52" s="1010"/>
      <c r="G52" s="177"/>
      <c r="H52" s="178"/>
      <c r="I52" s="179" t="s">
        <v>99</v>
      </c>
      <c r="J52" s="136">
        <f>+J51+J50</f>
        <v>184.55</v>
      </c>
    </row>
    <row r="53" spans="1:10" x14ac:dyDescent="0.2">
      <c r="A53" s="23" t="s">
        <v>102</v>
      </c>
      <c r="B53" s="25"/>
      <c r="C53" s="25"/>
      <c r="D53" s="25"/>
      <c r="E53" s="25"/>
      <c r="F53" s="25"/>
      <c r="G53" s="25"/>
      <c r="H53" s="24"/>
      <c r="I53" s="24"/>
      <c r="J53" s="73"/>
    </row>
    <row r="54" spans="1:10" x14ac:dyDescent="0.2">
      <c r="A54" s="26"/>
      <c r="B54" s="27"/>
      <c r="C54" s="27"/>
      <c r="D54" s="27"/>
      <c r="E54" s="27"/>
      <c r="F54" s="27"/>
      <c r="G54" s="27"/>
      <c r="H54" s="28"/>
      <c r="I54" s="28"/>
      <c r="J54" s="73"/>
    </row>
    <row r="55" spans="1:10" x14ac:dyDescent="0.2">
      <c r="A55" s="29"/>
      <c r="B55" s="31"/>
      <c r="C55" s="31"/>
      <c r="D55" s="30"/>
      <c r="E55" s="30"/>
      <c r="F55" s="30"/>
      <c r="G55" s="30"/>
      <c r="H55" s="30"/>
      <c r="I55" s="30"/>
      <c r="J55" s="74"/>
    </row>
  </sheetData>
  <mergeCells count="56">
    <mergeCell ref="J43:J44"/>
    <mergeCell ref="A49:I49"/>
    <mergeCell ref="A50:F50"/>
    <mergeCell ref="A51:F51"/>
    <mergeCell ref="A52:F52"/>
    <mergeCell ref="A40:E40"/>
    <mergeCell ref="A41:E41"/>
    <mergeCell ref="A42:I42"/>
    <mergeCell ref="A43:D44"/>
    <mergeCell ref="E43:E44"/>
    <mergeCell ref="F43:G43"/>
    <mergeCell ref="H43:H44"/>
    <mergeCell ref="I43:I44"/>
    <mergeCell ref="J30:J31"/>
    <mergeCell ref="A32:E32"/>
    <mergeCell ref="A33:E33"/>
    <mergeCell ref="A34:E34"/>
    <mergeCell ref="A35:E35"/>
    <mergeCell ref="A39:E39"/>
    <mergeCell ref="A28:E28"/>
    <mergeCell ref="G28:I28"/>
    <mergeCell ref="A29:I29"/>
    <mergeCell ref="A30:E31"/>
    <mergeCell ref="F30:F31"/>
    <mergeCell ref="G30:G31"/>
    <mergeCell ref="H30:H31"/>
    <mergeCell ref="I30:I31"/>
    <mergeCell ref="J16:J17"/>
    <mergeCell ref="A18:E18"/>
    <mergeCell ref="A19:E19"/>
    <mergeCell ref="A20:E20"/>
    <mergeCell ref="A26:E26"/>
    <mergeCell ref="A27:I27"/>
    <mergeCell ref="A14:C14"/>
    <mergeCell ref="A15:I15"/>
    <mergeCell ref="A16:E17"/>
    <mergeCell ref="F16:F17"/>
    <mergeCell ref="G16:G17"/>
    <mergeCell ref="H16:H17"/>
    <mergeCell ref="I16:I17"/>
    <mergeCell ref="A12:C12"/>
    <mergeCell ref="A1:J1"/>
    <mergeCell ref="A3:A4"/>
    <mergeCell ref="B3:H4"/>
    <mergeCell ref="I3:I4"/>
    <mergeCell ref="J3:J4"/>
    <mergeCell ref="A5:C6"/>
    <mergeCell ref="D5:D6"/>
    <mergeCell ref="E5:E6"/>
    <mergeCell ref="F5:G5"/>
    <mergeCell ref="H5:I5"/>
    <mergeCell ref="J5:J6"/>
    <mergeCell ref="A7:C7"/>
    <mergeCell ref="A8:C8"/>
    <mergeCell ref="A9:C9"/>
    <mergeCell ref="A11:C11"/>
  </mergeCells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55"/>
  <sheetViews>
    <sheetView workbookViewId="0">
      <selection activeCell="C55" sqref="C55"/>
    </sheetView>
  </sheetViews>
  <sheetFormatPr defaultColWidth="9" defaultRowHeight="11.25" x14ac:dyDescent="0.2"/>
  <cols>
    <col min="1" max="2" width="9" style="22"/>
    <col min="3" max="3" width="10.875" style="22" customWidth="1"/>
    <col min="4" max="16384" width="9" style="22"/>
  </cols>
  <sheetData>
    <row r="1" spans="1:10" ht="15.75" x14ac:dyDescent="0.2">
      <c r="A1" s="1034" t="s">
        <v>68</v>
      </c>
      <c r="B1" s="1035"/>
      <c r="C1" s="1035"/>
      <c r="D1" s="1035"/>
      <c r="E1" s="1035"/>
      <c r="F1" s="1035"/>
      <c r="G1" s="1035"/>
      <c r="H1" s="1035"/>
      <c r="I1" s="1035"/>
      <c r="J1" s="1036"/>
    </row>
    <row r="2" spans="1:10" x14ac:dyDescent="0.2">
      <c r="A2" s="32" t="s">
        <v>69</v>
      </c>
      <c r="B2" s="25" t="s">
        <v>70</v>
      </c>
      <c r="C2" s="25"/>
      <c r="D2" s="25"/>
      <c r="E2" s="25"/>
      <c r="F2" s="25"/>
      <c r="G2" s="25"/>
      <c r="H2" s="25"/>
      <c r="I2" s="32" t="s">
        <v>71</v>
      </c>
      <c r="J2" s="32" t="s">
        <v>72</v>
      </c>
    </row>
    <row r="3" spans="1:10" x14ac:dyDescent="0.2">
      <c r="A3" s="1037">
        <f>+Planilha!B53</f>
        <v>60019</v>
      </c>
      <c r="B3" s="1039" t="str">
        <f>+Planilha!C53</f>
        <v xml:space="preserve">LOCAL COM DMT ATÉ 3,0 KM (Caminhão basculante)1,144XP+1,265XR+2,007 (Incluindo BDI= 23,32%) -  XP=0,00 / XR=0,45 </v>
      </c>
      <c r="C3" s="1040"/>
      <c r="D3" s="1040"/>
      <c r="E3" s="1040"/>
      <c r="F3" s="1040"/>
      <c r="G3" s="1040"/>
      <c r="H3" s="1041"/>
      <c r="I3" s="1045" t="s">
        <v>61</v>
      </c>
      <c r="J3" s="1046" t="s">
        <v>153</v>
      </c>
    </row>
    <row r="4" spans="1:10" x14ac:dyDescent="0.2">
      <c r="A4" s="1038"/>
      <c r="B4" s="1042"/>
      <c r="C4" s="1043"/>
      <c r="D4" s="1043"/>
      <c r="E4" s="1043"/>
      <c r="F4" s="1043"/>
      <c r="G4" s="1043"/>
      <c r="H4" s="1044"/>
      <c r="I4" s="1038"/>
      <c r="J4" s="1047"/>
    </row>
    <row r="5" spans="1:10" ht="12.75" x14ac:dyDescent="0.25">
      <c r="A5" s="997" t="s">
        <v>73</v>
      </c>
      <c r="B5" s="997"/>
      <c r="C5" s="997"/>
      <c r="D5" s="987" t="s">
        <v>59</v>
      </c>
      <c r="E5" s="987" t="s">
        <v>74</v>
      </c>
      <c r="F5" s="989" t="s">
        <v>75</v>
      </c>
      <c r="G5" s="990"/>
      <c r="H5" s="989" t="s">
        <v>76</v>
      </c>
      <c r="I5" s="990"/>
      <c r="J5" s="986" t="s">
        <v>77</v>
      </c>
    </row>
    <row r="6" spans="1:10" ht="12.75" x14ac:dyDescent="0.25">
      <c r="A6" s="997"/>
      <c r="B6" s="997"/>
      <c r="C6" s="997"/>
      <c r="D6" s="988"/>
      <c r="E6" s="988"/>
      <c r="F6" s="120" t="s">
        <v>78</v>
      </c>
      <c r="G6" s="121" t="s">
        <v>79</v>
      </c>
      <c r="H6" s="120" t="s">
        <v>78</v>
      </c>
      <c r="I6" s="120" t="s">
        <v>79</v>
      </c>
      <c r="J6" s="986"/>
    </row>
    <row r="7" spans="1:10" ht="12.75" x14ac:dyDescent="0.25">
      <c r="A7" s="1099"/>
      <c r="B7" s="1100"/>
      <c r="C7" s="1101"/>
      <c r="D7" s="122"/>
      <c r="E7" s="123"/>
      <c r="F7" s="123"/>
      <c r="G7" s="123"/>
      <c r="H7" s="123"/>
      <c r="I7" s="123"/>
      <c r="J7" s="123"/>
    </row>
    <row r="8" spans="1:10" ht="12.75" x14ac:dyDescent="0.25">
      <c r="A8" s="1022"/>
      <c r="B8" s="1023"/>
      <c r="C8" s="1024"/>
      <c r="D8" s="124"/>
      <c r="E8" s="123"/>
      <c r="F8" s="123"/>
      <c r="G8" s="123"/>
      <c r="H8" s="123"/>
      <c r="I8" s="123"/>
      <c r="J8" s="123"/>
    </row>
    <row r="9" spans="1:10" ht="12.75" x14ac:dyDescent="0.25">
      <c r="A9" s="1022"/>
      <c r="B9" s="1023"/>
      <c r="C9" s="1024"/>
      <c r="D9" s="124"/>
      <c r="E9" s="123"/>
      <c r="F9" s="123"/>
      <c r="G9" s="123"/>
      <c r="H9" s="123"/>
      <c r="I9" s="123"/>
      <c r="J9" s="123"/>
    </row>
    <row r="10" spans="1:10" ht="12.75" x14ac:dyDescent="0.25">
      <c r="A10" s="125" t="s">
        <v>127</v>
      </c>
      <c r="B10" s="126"/>
      <c r="C10" s="127"/>
      <c r="D10" s="122"/>
      <c r="E10" s="128">
        <v>0.05</v>
      </c>
      <c r="F10" s="123"/>
      <c r="G10" s="123"/>
      <c r="H10" s="123">
        <f>+J27</f>
        <v>0</v>
      </c>
      <c r="I10" s="123"/>
      <c r="J10" s="123">
        <f>TRUNC(H10*E10,2)</f>
        <v>0</v>
      </c>
    </row>
    <row r="11" spans="1:10" ht="12.75" x14ac:dyDescent="0.25">
      <c r="A11" s="991"/>
      <c r="B11" s="992"/>
      <c r="C11" s="993"/>
      <c r="D11" s="124"/>
      <c r="E11" s="123"/>
      <c r="F11" s="123"/>
      <c r="G11" s="123"/>
      <c r="H11" s="123"/>
      <c r="I11" s="123"/>
      <c r="J11" s="123"/>
    </row>
    <row r="12" spans="1:10" ht="12.75" x14ac:dyDescent="0.25">
      <c r="A12" s="991"/>
      <c r="B12" s="992"/>
      <c r="C12" s="993"/>
      <c r="D12" s="124"/>
      <c r="E12" s="123"/>
      <c r="F12" s="123"/>
      <c r="G12" s="123"/>
      <c r="H12" s="123"/>
      <c r="I12" s="123"/>
      <c r="J12" s="123"/>
    </row>
    <row r="13" spans="1:10" ht="12.75" x14ac:dyDescent="0.25">
      <c r="A13" s="125"/>
      <c r="B13" s="126"/>
      <c r="C13" s="127"/>
      <c r="D13" s="124"/>
      <c r="E13" s="123"/>
      <c r="F13" s="123"/>
      <c r="G13" s="123"/>
      <c r="H13" s="123"/>
      <c r="I13" s="123"/>
      <c r="J13" s="123"/>
    </row>
    <row r="14" spans="1:10" ht="12.75" x14ac:dyDescent="0.25">
      <c r="A14" s="994"/>
      <c r="B14" s="995"/>
      <c r="C14" s="996"/>
      <c r="D14" s="134"/>
      <c r="E14" s="135"/>
      <c r="F14" s="135"/>
      <c r="G14" s="123"/>
      <c r="H14" s="123"/>
      <c r="I14" s="123"/>
      <c r="J14" s="123"/>
    </row>
    <row r="15" spans="1:10" ht="12.75" x14ac:dyDescent="0.25">
      <c r="A15" s="998" t="s">
        <v>80</v>
      </c>
      <c r="B15" s="999"/>
      <c r="C15" s="999"/>
      <c r="D15" s="999"/>
      <c r="E15" s="999"/>
      <c r="F15" s="999"/>
      <c r="G15" s="999"/>
      <c r="H15" s="999"/>
      <c r="I15" s="1000"/>
      <c r="J15" s="136">
        <f>SUM(J7:J14)</f>
        <v>0</v>
      </c>
    </row>
    <row r="16" spans="1:10" x14ac:dyDescent="0.2">
      <c r="A16" s="1001" t="s">
        <v>81</v>
      </c>
      <c r="B16" s="1002"/>
      <c r="C16" s="1002"/>
      <c r="D16" s="1002"/>
      <c r="E16" s="1003"/>
      <c r="F16" s="987" t="s">
        <v>59</v>
      </c>
      <c r="G16" s="987" t="s">
        <v>82</v>
      </c>
      <c r="H16" s="987" t="s">
        <v>74</v>
      </c>
      <c r="I16" s="986" t="s">
        <v>83</v>
      </c>
      <c r="J16" s="987" t="s">
        <v>77</v>
      </c>
    </row>
    <row r="17" spans="1:10" x14ac:dyDescent="0.2">
      <c r="A17" s="1004"/>
      <c r="B17" s="1005"/>
      <c r="C17" s="1005"/>
      <c r="D17" s="1005"/>
      <c r="E17" s="1006"/>
      <c r="F17" s="988"/>
      <c r="G17" s="988"/>
      <c r="H17" s="988"/>
      <c r="I17" s="986"/>
      <c r="J17" s="988"/>
    </row>
    <row r="18" spans="1:10" ht="12.75" x14ac:dyDescent="0.25">
      <c r="A18" s="991"/>
      <c r="B18" s="992"/>
      <c r="C18" s="992"/>
      <c r="D18" s="992"/>
      <c r="E18" s="993"/>
      <c r="F18" s="137"/>
      <c r="G18" s="138"/>
      <c r="H18" s="123"/>
      <c r="I18" s="123"/>
      <c r="J18" s="123"/>
    </row>
    <row r="19" spans="1:10" ht="12.75" x14ac:dyDescent="0.25">
      <c r="A19" s="991"/>
      <c r="B19" s="992"/>
      <c r="C19" s="992"/>
      <c r="D19" s="992"/>
      <c r="E19" s="993"/>
      <c r="F19" s="137"/>
      <c r="G19" s="138"/>
      <c r="H19" s="123"/>
      <c r="I19" s="123"/>
      <c r="J19" s="123"/>
    </row>
    <row r="20" spans="1:10" ht="12.75" x14ac:dyDescent="0.25">
      <c r="A20" s="991"/>
      <c r="B20" s="992"/>
      <c r="C20" s="992"/>
      <c r="D20" s="992"/>
      <c r="E20" s="993"/>
      <c r="F20" s="137"/>
      <c r="G20" s="138"/>
      <c r="H20" s="123"/>
      <c r="I20" s="123"/>
      <c r="J20" s="123"/>
    </row>
    <row r="21" spans="1:10" ht="12.75" x14ac:dyDescent="0.25">
      <c r="A21" s="139"/>
      <c r="B21" s="140"/>
      <c r="C21" s="140"/>
      <c r="D21" s="140"/>
      <c r="E21" s="141"/>
      <c r="F21" s="137"/>
      <c r="G21" s="138"/>
      <c r="H21" s="123"/>
      <c r="I21" s="123"/>
      <c r="J21" s="123"/>
    </row>
    <row r="22" spans="1:10" ht="12.75" x14ac:dyDescent="0.25">
      <c r="A22" s="139"/>
      <c r="B22" s="140"/>
      <c r="C22" s="140"/>
      <c r="D22" s="140"/>
      <c r="E22" s="141"/>
      <c r="F22" s="137"/>
      <c r="G22" s="142"/>
      <c r="H22" s="123"/>
      <c r="I22" s="123"/>
      <c r="J22" s="123"/>
    </row>
    <row r="23" spans="1:10" ht="12.75" x14ac:dyDescent="0.25">
      <c r="A23" s="125"/>
      <c r="B23" s="126"/>
      <c r="C23" s="126"/>
      <c r="D23" s="126"/>
      <c r="E23" s="127"/>
      <c r="F23" s="137"/>
      <c r="G23" s="142"/>
      <c r="H23" s="123"/>
      <c r="I23" s="123"/>
      <c r="J23" s="123"/>
    </row>
    <row r="24" spans="1:10" ht="12.75" x14ac:dyDescent="0.25">
      <c r="A24" s="139"/>
      <c r="B24" s="140"/>
      <c r="C24" s="140"/>
      <c r="D24" s="140"/>
      <c r="E24" s="141"/>
      <c r="F24" s="137"/>
      <c r="G24" s="142"/>
      <c r="H24" s="123"/>
      <c r="I24" s="123"/>
      <c r="J24" s="123"/>
    </row>
    <row r="25" spans="1:10" ht="12.75" x14ac:dyDescent="0.25">
      <c r="A25" s="139"/>
      <c r="B25" s="140"/>
      <c r="C25" s="140"/>
      <c r="D25" s="140"/>
      <c r="E25" s="141"/>
      <c r="F25" s="137"/>
      <c r="G25" s="142"/>
      <c r="H25" s="123"/>
      <c r="I25" s="123"/>
      <c r="J25" s="123"/>
    </row>
    <row r="26" spans="1:10" ht="12.75" x14ac:dyDescent="0.25">
      <c r="A26" s="994"/>
      <c r="B26" s="995"/>
      <c r="C26" s="995"/>
      <c r="D26" s="995"/>
      <c r="E26" s="996"/>
      <c r="F26" s="134"/>
      <c r="G26" s="143"/>
      <c r="H26" s="135"/>
      <c r="I26" s="135"/>
      <c r="J26" s="123"/>
    </row>
    <row r="27" spans="1:10" ht="12.75" x14ac:dyDescent="0.25">
      <c r="A27" s="998" t="s">
        <v>84</v>
      </c>
      <c r="B27" s="999"/>
      <c r="C27" s="999"/>
      <c r="D27" s="999"/>
      <c r="E27" s="999"/>
      <c r="F27" s="999"/>
      <c r="G27" s="999"/>
      <c r="H27" s="999"/>
      <c r="I27" s="1000"/>
      <c r="J27" s="136">
        <f>ROUND(SUM(J18:J26),2)</f>
        <v>0</v>
      </c>
    </row>
    <row r="28" spans="1:10" ht="12.75" x14ac:dyDescent="0.25">
      <c r="A28" s="1007" t="s">
        <v>85</v>
      </c>
      <c r="B28" s="1008"/>
      <c r="C28" s="1008"/>
      <c r="D28" s="1008"/>
      <c r="E28" s="1008"/>
      <c r="F28" s="135">
        <v>0.83</v>
      </c>
      <c r="G28" s="1007" t="s">
        <v>86</v>
      </c>
      <c r="H28" s="1008"/>
      <c r="I28" s="1008"/>
      <c r="J28" s="144">
        <f>+J27+J15</f>
        <v>0</v>
      </c>
    </row>
    <row r="29" spans="1:10" ht="12.75" x14ac:dyDescent="0.25">
      <c r="A29" s="1009" t="s">
        <v>87</v>
      </c>
      <c r="B29" s="1010"/>
      <c r="C29" s="1010"/>
      <c r="D29" s="1010"/>
      <c r="E29" s="1010"/>
      <c r="F29" s="1010"/>
      <c r="G29" s="1010"/>
      <c r="H29" s="1010"/>
      <c r="I29" s="1011"/>
      <c r="J29" s="136">
        <f>TRUNC(J28/F28,2)</f>
        <v>0</v>
      </c>
    </row>
    <row r="30" spans="1:10" x14ac:dyDescent="0.2">
      <c r="A30" s="1025" t="s">
        <v>88</v>
      </c>
      <c r="B30" s="1026"/>
      <c r="C30" s="1026"/>
      <c r="D30" s="1026"/>
      <c r="E30" s="1027"/>
      <c r="F30" s="987" t="s">
        <v>59</v>
      </c>
      <c r="G30" s="987" t="s">
        <v>1</v>
      </c>
      <c r="H30" s="986" t="s">
        <v>63</v>
      </c>
      <c r="I30" s="987" t="s">
        <v>89</v>
      </c>
      <c r="J30" s="987" t="s">
        <v>90</v>
      </c>
    </row>
    <row r="31" spans="1:10" x14ac:dyDescent="0.2">
      <c r="A31" s="1028"/>
      <c r="B31" s="1029"/>
      <c r="C31" s="1029"/>
      <c r="D31" s="1029"/>
      <c r="E31" s="1030"/>
      <c r="F31" s="988"/>
      <c r="G31" s="988"/>
      <c r="H31" s="986"/>
      <c r="I31" s="988"/>
      <c r="J31" s="988"/>
    </row>
    <row r="32" spans="1:10" ht="12.75" x14ac:dyDescent="0.25">
      <c r="A32" s="991"/>
      <c r="B32" s="992"/>
      <c r="C32" s="992"/>
      <c r="D32" s="992"/>
      <c r="E32" s="993"/>
      <c r="F32" s="137"/>
      <c r="G32" s="145"/>
      <c r="H32" s="145"/>
      <c r="I32" s="146"/>
      <c r="J32" s="123"/>
    </row>
    <row r="33" spans="1:10" ht="12.75" x14ac:dyDescent="0.25">
      <c r="A33" s="991"/>
      <c r="B33" s="992"/>
      <c r="C33" s="992"/>
      <c r="D33" s="992"/>
      <c r="E33" s="993"/>
      <c r="F33" s="147"/>
      <c r="G33" s="145"/>
      <c r="H33" s="145"/>
      <c r="I33" s="146"/>
      <c r="J33" s="123"/>
    </row>
    <row r="34" spans="1:10" ht="12.75" hidden="1" x14ac:dyDescent="0.25">
      <c r="A34" s="991"/>
      <c r="B34" s="992"/>
      <c r="C34" s="992"/>
      <c r="D34" s="992"/>
      <c r="E34" s="993"/>
      <c r="F34" s="147"/>
      <c r="G34" s="145"/>
      <c r="H34" s="145"/>
      <c r="I34" s="146"/>
      <c r="J34" s="123"/>
    </row>
    <row r="35" spans="1:10" ht="12.75" hidden="1" x14ac:dyDescent="0.25">
      <c r="A35" s="991"/>
      <c r="B35" s="992"/>
      <c r="C35" s="992"/>
      <c r="D35" s="992"/>
      <c r="E35" s="993"/>
      <c r="F35" s="147"/>
      <c r="G35" s="145"/>
      <c r="H35" s="145"/>
      <c r="I35" s="146"/>
      <c r="J35" s="123"/>
    </row>
    <row r="36" spans="1:10" ht="12.75" x14ac:dyDescent="0.25">
      <c r="A36" s="139"/>
      <c r="B36" s="140"/>
      <c r="C36" s="140"/>
      <c r="D36" s="140"/>
      <c r="E36" s="141"/>
      <c r="F36" s="148"/>
      <c r="G36" s="145"/>
      <c r="H36" s="145"/>
      <c r="I36" s="146"/>
      <c r="J36" s="123"/>
    </row>
    <row r="37" spans="1:10" ht="12.75" x14ac:dyDescent="0.25">
      <c r="A37" s="149"/>
      <c r="B37" s="150"/>
      <c r="C37" s="150"/>
      <c r="D37" s="150"/>
      <c r="E37" s="151"/>
      <c r="F37" s="148"/>
      <c r="G37" s="152"/>
      <c r="H37" s="145"/>
      <c r="I37" s="146"/>
      <c r="J37" s="123"/>
    </row>
    <row r="38" spans="1:10" ht="12.75" x14ac:dyDescent="0.25">
      <c r="A38" s="125"/>
      <c r="B38" s="153"/>
      <c r="C38" s="153"/>
      <c r="D38" s="153"/>
      <c r="E38" s="154"/>
      <c r="F38" s="148"/>
      <c r="G38" s="152"/>
      <c r="H38" s="145"/>
      <c r="I38" s="146"/>
      <c r="J38" s="123"/>
    </row>
    <row r="39" spans="1:10" ht="24.95" customHeight="1" x14ac:dyDescent="0.25">
      <c r="A39" s="1022" t="s">
        <v>165</v>
      </c>
      <c r="B39" s="1023"/>
      <c r="C39" s="1023"/>
      <c r="D39" s="1023"/>
      <c r="E39" s="1024"/>
      <c r="F39" s="148" t="s">
        <v>174</v>
      </c>
      <c r="G39" s="152" t="s">
        <v>67</v>
      </c>
      <c r="H39" s="145">
        <f>+'40351'!J50</f>
        <v>412.98</v>
      </c>
      <c r="I39" s="146">
        <v>0.38600000000000001</v>
      </c>
      <c r="J39" s="123">
        <f>TRUNC(I39*H39,2)</f>
        <v>159.41</v>
      </c>
    </row>
    <row r="40" spans="1:10" ht="24.95" customHeight="1" x14ac:dyDescent="0.25">
      <c r="A40" s="1022" t="s">
        <v>173</v>
      </c>
      <c r="B40" s="1023"/>
      <c r="C40" s="1023"/>
      <c r="D40" s="1023"/>
      <c r="E40" s="1024"/>
      <c r="F40" s="148" t="s">
        <v>172</v>
      </c>
      <c r="G40" s="152" t="s">
        <v>66</v>
      </c>
      <c r="H40" s="145">
        <f>+'40313'!J50</f>
        <v>56.51</v>
      </c>
      <c r="I40" s="146">
        <v>0.9</v>
      </c>
      <c r="J40" s="123">
        <f>TRUNC(I40*H40,2)</f>
        <v>50.85</v>
      </c>
    </row>
    <row r="41" spans="1:10" ht="12.75" x14ac:dyDescent="0.25">
      <c r="A41" s="994"/>
      <c r="B41" s="995"/>
      <c r="C41" s="995"/>
      <c r="D41" s="995"/>
      <c r="E41" s="996"/>
      <c r="F41" s="155"/>
      <c r="G41" s="156"/>
      <c r="H41" s="157"/>
      <c r="I41" s="146"/>
      <c r="J41" s="123"/>
    </row>
    <row r="42" spans="1:10" ht="12.75" x14ac:dyDescent="0.25">
      <c r="A42" s="998" t="s">
        <v>91</v>
      </c>
      <c r="B42" s="999"/>
      <c r="C42" s="999"/>
      <c r="D42" s="999"/>
      <c r="E42" s="999"/>
      <c r="F42" s="999"/>
      <c r="G42" s="999"/>
      <c r="H42" s="999"/>
      <c r="I42" s="1000"/>
      <c r="J42" s="136">
        <f>ROUND(SUM(J32:J41),2)</f>
        <v>210.26</v>
      </c>
    </row>
    <row r="43" spans="1:10" ht="12.75" x14ac:dyDescent="0.25">
      <c r="A43" s="1001" t="s">
        <v>92</v>
      </c>
      <c r="B43" s="1002"/>
      <c r="C43" s="1002"/>
      <c r="D43" s="1002"/>
      <c r="E43" s="1015" t="s">
        <v>59</v>
      </c>
      <c r="F43" s="989" t="s">
        <v>93</v>
      </c>
      <c r="G43" s="990"/>
      <c r="H43" s="1017" t="s">
        <v>94</v>
      </c>
      <c r="I43" s="1017" t="s">
        <v>95</v>
      </c>
      <c r="J43" s="987" t="s">
        <v>63</v>
      </c>
    </row>
    <row r="44" spans="1:10" ht="12.75" x14ac:dyDescent="0.25">
      <c r="A44" s="1004"/>
      <c r="B44" s="1005"/>
      <c r="C44" s="1005"/>
      <c r="D44" s="1005"/>
      <c r="E44" s="1016"/>
      <c r="F44" s="120" t="s">
        <v>21</v>
      </c>
      <c r="G44" s="120" t="s">
        <v>20</v>
      </c>
      <c r="H44" s="1017"/>
      <c r="I44" s="1017"/>
      <c r="J44" s="988"/>
    </row>
    <row r="45" spans="1:10" ht="12.75" x14ac:dyDescent="0.25">
      <c r="A45" s="158"/>
      <c r="B45" s="159"/>
      <c r="C45" s="159"/>
      <c r="D45" s="160"/>
      <c r="E45" s="161"/>
      <c r="F45" s="162"/>
      <c r="G45" s="123"/>
      <c r="H45" s="123"/>
      <c r="I45" s="163"/>
      <c r="J45" s="123"/>
    </row>
    <row r="46" spans="1:10" ht="12.75" x14ac:dyDescent="0.25">
      <c r="A46" s="139"/>
      <c r="B46" s="140"/>
      <c r="C46" s="140"/>
      <c r="D46" s="141"/>
      <c r="E46" s="164"/>
      <c r="F46" s="145"/>
      <c r="G46" s="145"/>
      <c r="H46" s="123"/>
      <c r="I46" s="165"/>
      <c r="J46" s="145"/>
    </row>
    <row r="47" spans="1:10" ht="12.75" x14ac:dyDescent="0.25">
      <c r="A47" s="139"/>
      <c r="B47" s="140"/>
      <c r="C47" s="140"/>
      <c r="D47" s="141"/>
      <c r="E47" s="166"/>
      <c r="F47" s="123"/>
      <c r="G47" s="123"/>
      <c r="H47" s="123"/>
      <c r="I47" s="163"/>
      <c r="J47" s="145"/>
    </row>
    <row r="48" spans="1:10" ht="12.75" x14ac:dyDescent="0.25">
      <c r="A48" s="167"/>
      <c r="B48" s="168"/>
      <c r="C48" s="168"/>
      <c r="D48" s="169"/>
      <c r="E48" s="123"/>
      <c r="F48" s="123"/>
      <c r="G48" s="123"/>
      <c r="H48" s="123"/>
      <c r="I48" s="163"/>
      <c r="J48" s="145"/>
    </row>
    <row r="49" spans="1:10" ht="12.75" x14ac:dyDescent="0.25">
      <c r="A49" s="1012" t="s">
        <v>96</v>
      </c>
      <c r="B49" s="1013"/>
      <c r="C49" s="1013"/>
      <c r="D49" s="1013"/>
      <c r="E49" s="1013"/>
      <c r="F49" s="1013"/>
      <c r="G49" s="1013"/>
      <c r="H49" s="1013"/>
      <c r="I49" s="1014"/>
      <c r="J49" s="170">
        <f>SUM(J45:J48)</f>
        <v>0</v>
      </c>
    </row>
    <row r="50" spans="1:10" ht="12.75" x14ac:dyDescent="0.25">
      <c r="A50" s="1018" t="s">
        <v>97</v>
      </c>
      <c r="B50" s="1019"/>
      <c r="C50" s="1019"/>
      <c r="D50" s="1019"/>
      <c r="E50" s="1019"/>
      <c r="F50" s="1019"/>
      <c r="G50" s="171" t="s">
        <v>98</v>
      </c>
      <c r="H50" s="172"/>
      <c r="I50" s="173" t="s">
        <v>99</v>
      </c>
      <c r="J50" s="162">
        <f>J49+J42+J29</f>
        <v>210.26</v>
      </c>
    </row>
    <row r="51" spans="1:10" ht="12.75" x14ac:dyDescent="0.25">
      <c r="A51" s="1020" t="s">
        <v>100</v>
      </c>
      <c r="B51" s="1021"/>
      <c r="C51" s="1021"/>
      <c r="D51" s="1021"/>
      <c r="E51" s="1021"/>
      <c r="F51" s="1021"/>
      <c r="G51" s="174">
        <v>0.35</v>
      </c>
      <c r="H51" s="175"/>
      <c r="I51" s="176" t="s">
        <v>99</v>
      </c>
      <c r="J51" s="144">
        <f>+J50*G51</f>
        <v>73.59</v>
      </c>
    </row>
    <row r="52" spans="1:10" ht="12.75" x14ac:dyDescent="0.25">
      <c r="A52" s="1009" t="s">
        <v>101</v>
      </c>
      <c r="B52" s="1010"/>
      <c r="C52" s="1010"/>
      <c r="D52" s="1010"/>
      <c r="E52" s="1010"/>
      <c r="F52" s="1010"/>
      <c r="G52" s="177"/>
      <c r="H52" s="178"/>
      <c r="I52" s="179" t="s">
        <v>99</v>
      </c>
      <c r="J52" s="136">
        <f>+J51+J50</f>
        <v>283.85000000000002</v>
      </c>
    </row>
    <row r="53" spans="1:10" x14ac:dyDescent="0.2">
      <c r="A53" s="23" t="s">
        <v>102</v>
      </c>
      <c r="B53" s="25"/>
      <c r="C53" s="25"/>
      <c r="D53" s="25"/>
      <c r="E53" s="25"/>
      <c r="F53" s="25"/>
      <c r="G53" s="25"/>
      <c r="H53" s="24"/>
      <c r="I53" s="24"/>
      <c r="J53" s="73"/>
    </row>
    <row r="54" spans="1:10" x14ac:dyDescent="0.2">
      <c r="A54" s="26"/>
      <c r="B54" s="27"/>
      <c r="C54" s="27"/>
      <c r="D54" s="27"/>
      <c r="E54" s="27"/>
      <c r="F54" s="27"/>
      <c r="G54" s="27"/>
      <c r="H54" s="28"/>
      <c r="I54" s="28"/>
      <c r="J54" s="73"/>
    </row>
    <row r="55" spans="1:10" x14ac:dyDescent="0.2">
      <c r="A55" s="29"/>
      <c r="B55" s="31"/>
      <c r="C55" s="31"/>
      <c r="D55" s="30"/>
      <c r="E55" s="30"/>
      <c r="F55" s="30"/>
      <c r="G55" s="30"/>
      <c r="H55" s="30"/>
      <c r="I55" s="30"/>
      <c r="J55" s="74"/>
    </row>
  </sheetData>
  <mergeCells count="56">
    <mergeCell ref="J43:J44"/>
    <mergeCell ref="A49:I49"/>
    <mergeCell ref="A50:F50"/>
    <mergeCell ref="A51:F51"/>
    <mergeCell ref="A52:F52"/>
    <mergeCell ref="A40:E40"/>
    <mergeCell ref="A41:E41"/>
    <mergeCell ref="A42:I42"/>
    <mergeCell ref="A43:D44"/>
    <mergeCell ref="E43:E44"/>
    <mergeCell ref="F43:G43"/>
    <mergeCell ref="H43:H44"/>
    <mergeCell ref="I43:I44"/>
    <mergeCell ref="J30:J31"/>
    <mergeCell ref="A32:E32"/>
    <mergeCell ref="A33:E33"/>
    <mergeCell ref="A34:E34"/>
    <mergeCell ref="A35:E35"/>
    <mergeCell ref="A39:E39"/>
    <mergeCell ref="A28:E28"/>
    <mergeCell ref="G28:I28"/>
    <mergeCell ref="A29:I29"/>
    <mergeCell ref="A30:E31"/>
    <mergeCell ref="F30:F31"/>
    <mergeCell ref="G30:G31"/>
    <mergeCell ref="H30:H31"/>
    <mergeCell ref="I30:I31"/>
    <mergeCell ref="J16:J17"/>
    <mergeCell ref="A18:E18"/>
    <mergeCell ref="A19:E19"/>
    <mergeCell ref="A20:E20"/>
    <mergeCell ref="A26:E26"/>
    <mergeCell ref="A27:I27"/>
    <mergeCell ref="A14:C14"/>
    <mergeCell ref="A15:I15"/>
    <mergeCell ref="A16:E17"/>
    <mergeCell ref="F16:F17"/>
    <mergeCell ref="G16:G17"/>
    <mergeCell ref="H16:H17"/>
    <mergeCell ref="I16:I17"/>
    <mergeCell ref="A12:C12"/>
    <mergeCell ref="A1:J1"/>
    <mergeCell ref="A3:A4"/>
    <mergeCell ref="B3:H4"/>
    <mergeCell ref="I3:I4"/>
    <mergeCell ref="J3:J4"/>
    <mergeCell ref="A5:C6"/>
    <mergeCell ref="D5:D6"/>
    <mergeCell ref="E5:E6"/>
    <mergeCell ref="F5:G5"/>
    <mergeCell ref="H5:I5"/>
    <mergeCell ref="J5:J6"/>
    <mergeCell ref="A7:C7"/>
    <mergeCell ref="A8:C8"/>
    <mergeCell ref="A9:C9"/>
    <mergeCell ref="A11:C11"/>
  </mergeCells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58"/>
  <sheetViews>
    <sheetView workbookViewId="0">
      <selection activeCell="C55" sqref="C55"/>
    </sheetView>
  </sheetViews>
  <sheetFormatPr defaultColWidth="9" defaultRowHeight="11.25" x14ac:dyDescent="0.2"/>
  <cols>
    <col min="1" max="16384" width="9" style="22"/>
  </cols>
  <sheetData>
    <row r="1" spans="1:10" ht="18" customHeight="1" x14ac:dyDescent="0.2">
      <c r="A1" s="1034" t="s">
        <v>68</v>
      </c>
      <c r="B1" s="1035"/>
      <c r="C1" s="1035"/>
      <c r="D1" s="1035"/>
      <c r="E1" s="1035"/>
      <c r="F1" s="1035"/>
      <c r="G1" s="1035"/>
      <c r="H1" s="1035"/>
      <c r="I1" s="1035"/>
      <c r="J1" s="1036"/>
    </row>
    <row r="2" spans="1:10" x14ac:dyDescent="0.2">
      <c r="A2" s="23"/>
      <c r="B2" s="82"/>
      <c r="C2" s="83"/>
      <c r="D2" s="83"/>
      <c r="E2" s="83"/>
      <c r="F2" s="83"/>
      <c r="G2" s="83"/>
      <c r="H2" s="23"/>
      <c r="I2" s="83"/>
      <c r="J2" s="84"/>
    </row>
    <row r="3" spans="1:10" x14ac:dyDescent="0.2">
      <c r="A3" s="26"/>
      <c r="B3" s="85"/>
      <c r="C3" s="27"/>
      <c r="D3" s="27"/>
      <c r="E3" s="27"/>
      <c r="F3" s="27"/>
      <c r="G3" s="27"/>
      <c r="H3" s="26"/>
      <c r="I3" s="27"/>
      <c r="J3" s="86"/>
    </row>
    <row r="4" spans="1:10" x14ac:dyDescent="0.2">
      <c r="A4" s="26"/>
      <c r="B4" s="28"/>
      <c r="C4" s="27"/>
      <c r="D4" s="27"/>
      <c r="E4" s="27"/>
      <c r="F4" s="27"/>
      <c r="G4" s="27"/>
      <c r="H4" s="26"/>
      <c r="I4" s="27"/>
      <c r="J4" s="86"/>
    </row>
    <row r="5" spans="1:10" x14ac:dyDescent="0.2">
      <c r="A5" s="29"/>
      <c r="B5" s="30"/>
      <c r="C5" s="31"/>
      <c r="D5" s="31"/>
      <c r="E5" s="31"/>
      <c r="F5" s="31"/>
      <c r="G5" s="31"/>
      <c r="H5" s="29"/>
      <c r="I5" s="31"/>
      <c r="J5" s="87"/>
    </row>
    <row r="6" spans="1:10" x14ac:dyDescent="0.2">
      <c r="A6" s="32" t="s">
        <v>69</v>
      </c>
      <c r="B6" s="83" t="s">
        <v>70</v>
      </c>
      <c r="C6" s="83"/>
      <c r="D6" s="83"/>
      <c r="E6" s="83"/>
      <c r="F6" s="83"/>
      <c r="G6" s="83"/>
      <c r="H6" s="83"/>
      <c r="I6" s="32" t="s">
        <v>71</v>
      </c>
      <c r="J6" s="32" t="s">
        <v>72</v>
      </c>
    </row>
    <row r="7" spans="1:10" ht="11.25" customHeight="1" x14ac:dyDescent="0.2">
      <c r="A7" s="1037" t="s">
        <v>108</v>
      </c>
      <c r="B7" s="1039" t="s">
        <v>126</v>
      </c>
      <c r="C7" s="1040"/>
      <c r="D7" s="1040"/>
      <c r="E7" s="1040"/>
      <c r="F7" s="1040"/>
      <c r="G7" s="1040"/>
      <c r="H7" s="1041"/>
      <c r="I7" s="1045" t="s">
        <v>66</v>
      </c>
      <c r="J7" s="1046" t="s">
        <v>153</v>
      </c>
    </row>
    <row r="8" spans="1:10" x14ac:dyDescent="0.2">
      <c r="A8" s="1038"/>
      <c r="B8" s="1042"/>
      <c r="C8" s="1043"/>
      <c r="D8" s="1043"/>
      <c r="E8" s="1043"/>
      <c r="F8" s="1043"/>
      <c r="G8" s="1043"/>
      <c r="H8" s="1044"/>
      <c r="I8" s="1038"/>
      <c r="J8" s="1047"/>
    </row>
    <row r="9" spans="1:10" ht="11.25" customHeight="1" x14ac:dyDescent="0.2">
      <c r="A9" s="1048" t="s">
        <v>73</v>
      </c>
      <c r="B9" s="1048"/>
      <c r="C9" s="1048"/>
      <c r="D9" s="1049" t="s">
        <v>59</v>
      </c>
      <c r="E9" s="1049" t="s">
        <v>74</v>
      </c>
      <c r="F9" s="1051" t="s">
        <v>75</v>
      </c>
      <c r="G9" s="1052"/>
      <c r="H9" s="1051" t="s">
        <v>76</v>
      </c>
      <c r="I9" s="1052"/>
      <c r="J9" s="1053" t="s">
        <v>77</v>
      </c>
    </row>
    <row r="10" spans="1:10" x14ac:dyDescent="0.2">
      <c r="A10" s="1048"/>
      <c r="B10" s="1048"/>
      <c r="C10" s="1048"/>
      <c r="D10" s="1050"/>
      <c r="E10" s="1050"/>
      <c r="F10" s="33" t="s">
        <v>78</v>
      </c>
      <c r="G10" s="34" t="s">
        <v>79</v>
      </c>
      <c r="H10" s="33" t="s">
        <v>78</v>
      </c>
      <c r="I10" s="33" t="s">
        <v>79</v>
      </c>
      <c r="J10" s="1053"/>
    </row>
    <row r="11" spans="1:10" x14ac:dyDescent="0.2">
      <c r="A11" s="1060" t="s">
        <v>127</v>
      </c>
      <c r="B11" s="1061"/>
      <c r="C11" s="1062"/>
      <c r="D11" s="35"/>
      <c r="E11" s="36">
        <v>0.05</v>
      </c>
      <c r="F11" s="36">
        <v>1</v>
      </c>
      <c r="G11" s="36">
        <v>0</v>
      </c>
      <c r="H11" s="36">
        <f>+J31</f>
        <v>2.4</v>
      </c>
      <c r="I11" s="36"/>
      <c r="J11" s="36">
        <f>TRUNC((E11*F11*H11)+(E11*G11*I11),2)</f>
        <v>0.12</v>
      </c>
    </row>
    <row r="12" spans="1:10" x14ac:dyDescent="0.2">
      <c r="A12" s="75"/>
      <c r="B12" s="76"/>
      <c r="C12" s="77"/>
      <c r="D12" s="40"/>
      <c r="E12" s="36"/>
      <c r="F12" s="36"/>
      <c r="G12" s="36"/>
      <c r="H12" s="36"/>
      <c r="I12" s="36"/>
      <c r="J12" s="36"/>
    </row>
    <row r="13" spans="1:10" x14ac:dyDescent="0.2">
      <c r="A13" s="75"/>
      <c r="B13" s="76"/>
      <c r="C13" s="77"/>
      <c r="D13" s="40"/>
      <c r="E13" s="36"/>
      <c r="F13" s="36"/>
      <c r="G13" s="36"/>
      <c r="H13" s="36"/>
      <c r="I13" s="36"/>
      <c r="J13" s="36"/>
    </row>
    <row r="14" spans="1:10" x14ac:dyDescent="0.2">
      <c r="A14" s="1060"/>
      <c r="B14" s="1061"/>
      <c r="C14" s="1062"/>
      <c r="D14" s="40"/>
      <c r="E14" s="36"/>
      <c r="F14" s="36"/>
      <c r="G14" s="36"/>
      <c r="H14" s="36"/>
      <c r="I14" s="36"/>
      <c r="J14" s="36"/>
    </row>
    <row r="15" spans="1:10" x14ac:dyDescent="0.2">
      <c r="A15" s="1060"/>
      <c r="B15" s="1061"/>
      <c r="C15" s="1062"/>
      <c r="D15" s="40"/>
      <c r="E15" s="36"/>
      <c r="F15" s="36"/>
      <c r="G15" s="36"/>
      <c r="H15" s="36"/>
      <c r="I15" s="36"/>
      <c r="J15" s="36"/>
    </row>
    <row r="16" spans="1:10" x14ac:dyDescent="0.2">
      <c r="A16" s="1060"/>
      <c r="B16" s="1061"/>
      <c r="C16" s="1062"/>
      <c r="D16" s="40"/>
      <c r="E16" s="36"/>
      <c r="F16" s="36"/>
      <c r="G16" s="36"/>
      <c r="H16" s="36"/>
      <c r="I16" s="36"/>
      <c r="J16" s="36"/>
    </row>
    <row r="17" spans="1:10" x14ac:dyDescent="0.2">
      <c r="A17" s="75"/>
      <c r="B17" s="76"/>
      <c r="C17" s="77"/>
      <c r="D17" s="40"/>
      <c r="E17" s="36"/>
      <c r="F17" s="36"/>
      <c r="G17" s="36"/>
      <c r="H17" s="36"/>
      <c r="I17" s="36"/>
      <c r="J17" s="36"/>
    </row>
    <row r="18" spans="1:10" x14ac:dyDescent="0.2">
      <c r="A18" s="1031"/>
      <c r="B18" s="1032"/>
      <c r="C18" s="1033"/>
      <c r="D18" s="41"/>
      <c r="E18" s="42"/>
      <c r="F18" s="42"/>
      <c r="G18" s="36"/>
      <c r="H18" s="36"/>
      <c r="I18" s="36"/>
      <c r="J18" s="36"/>
    </row>
    <row r="19" spans="1:10" x14ac:dyDescent="0.2">
      <c r="A19" s="1063" t="s">
        <v>80</v>
      </c>
      <c r="B19" s="1064"/>
      <c r="C19" s="1064"/>
      <c r="D19" s="1064"/>
      <c r="E19" s="1064"/>
      <c r="F19" s="1064"/>
      <c r="G19" s="1064"/>
      <c r="H19" s="1064"/>
      <c r="I19" s="1065"/>
      <c r="J19" s="43">
        <f>SUM(J11:J18)</f>
        <v>0.12</v>
      </c>
    </row>
    <row r="20" spans="1:10" x14ac:dyDescent="0.2">
      <c r="A20" s="1066" t="s">
        <v>81</v>
      </c>
      <c r="B20" s="1102"/>
      <c r="C20" s="1102"/>
      <c r="D20" s="1102"/>
      <c r="E20" s="1068"/>
      <c r="F20" s="1049" t="s">
        <v>59</v>
      </c>
      <c r="G20" s="1049" t="s">
        <v>82</v>
      </c>
      <c r="H20" s="1049" t="s">
        <v>74</v>
      </c>
      <c r="I20" s="1053" t="s">
        <v>83</v>
      </c>
      <c r="J20" s="1049" t="s">
        <v>77</v>
      </c>
    </row>
    <row r="21" spans="1:10" x14ac:dyDescent="0.2">
      <c r="A21" s="1069"/>
      <c r="B21" s="1070"/>
      <c r="C21" s="1070"/>
      <c r="D21" s="1070"/>
      <c r="E21" s="1071"/>
      <c r="F21" s="1050"/>
      <c r="G21" s="1050"/>
      <c r="H21" s="1050"/>
      <c r="I21" s="1053"/>
      <c r="J21" s="1050"/>
    </row>
    <row r="22" spans="1:10" x14ac:dyDescent="0.2">
      <c r="A22" s="1060" t="s">
        <v>128</v>
      </c>
      <c r="B22" s="1061"/>
      <c r="C22" s="1061"/>
      <c r="D22" s="1061"/>
      <c r="E22" s="1062"/>
      <c r="F22" s="44">
        <v>20109</v>
      </c>
      <c r="G22" s="45"/>
      <c r="H22" s="36">
        <v>0.2</v>
      </c>
      <c r="I22" s="36">
        <v>12.02</v>
      </c>
      <c r="J22" s="36">
        <f>+I22*H22</f>
        <v>2.4</v>
      </c>
    </row>
    <row r="23" spans="1:10" x14ac:dyDescent="0.2">
      <c r="A23" s="1060"/>
      <c r="B23" s="1061"/>
      <c r="C23" s="1061"/>
      <c r="D23" s="1061"/>
      <c r="E23" s="1062"/>
      <c r="F23" s="44"/>
      <c r="G23" s="45"/>
      <c r="H23" s="36"/>
      <c r="I23" s="36"/>
      <c r="J23" s="36"/>
    </row>
    <row r="24" spans="1:10" x14ac:dyDescent="0.2">
      <c r="A24" s="75"/>
      <c r="B24" s="76"/>
      <c r="C24" s="76"/>
      <c r="D24" s="76"/>
      <c r="E24" s="77"/>
      <c r="F24" s="44"/>
      <c r="G24" s="45"/>
      <c r="H24" s="36"/>
      <c r="I24" s="36"/>
      <c r="J24" s="36"/>
    </row>
    <row r="25" spans="1:10" x14ac:dyDescent="0.2">
      <c r="A25" s="1060"/>
      <c r="B25" s="1061"/>
      <c r="C25" s="1061"/>
      <c r="D25" s="1061"/>
      <c r="E25" s="1062"/>
      <c r="F25" s="44"/>
      <c r="G25" s="45"/>
      <c r="H25" s="36"/>
      <c r="I25" s="36"/>
      <c r="J25" s="36"/>
    </row>
    <row r="26" spans="1:10" x14ac:dyDescent="0.2">
      <c r="A26" s="1060"/>
      <c r="B26" s="1061"/>
      <c r="C26" s="1061"/>
      <c r="D26" s="1061"/>
      <c r="E26" s="1062"/>
      <c r="F26" s="44"/>
      <c r="G26" s="46"/>
      <c r="H26" s="36"/>
      <c r="I26" s="36"/>
      <c r="J26" s="36"/>
    </row>
    <row r="27" spans="1:10" x14ac:dyDescent="0.2">
      <c r="A27" s="75"/>
      <c r="B27" s="76"/>
      <c r="C27" s="76"/>
      <c r="D27" s="76"/>
      <c r="E27" s="77"/>
      <c r="F27" s="44"/>
      <c r="G27" s="46"/>
      <c r="H27" s="36"/>
      <c r="I27" s="36"/>
      <c r="J27" s="36"/>
    </row>
    <row r="28" spans="1:10" x14ac:dyDescent="0.2">
      <c r="A28" s="1060"/>
      <c r="B28" s="1061"/>
      <c r="C28" s="1061"/>
      <c r="D28" s="1061"/>
      <c r="E28" s="1062"/>
      <c r="F28" s="44"/>
      <c r="G28" s="46"/>
      <c r="H28" s="36"/>
      <c r="I28" s="36"/>
      <c r="J28" s="36"/>
    </row>
    <row r="29" spans="1:10" x14ac:dyDescent="0.2">
      <c r="A29" s="1060"/>
      <c r="B29" s="1061"/>
      <c r="C29" s="1061"/>
      <c r="D29" s="1061"/>
      <c r="E29" s="1062"/>
      <c r="F29" s="44"/>
      <c r="G29" s="46"/>
      <c r="H29" s="36"/>
      <c r="I29" s="36"/>
      <c r="J29" s="36"/>
    </row>
    <row r="30" spans="1:10" x14ac:dyDescent="0.2">
      <c r="A30" s="1031"/>
      <c r="B30" s="1032"/>
      <c r="C30" s="1032"/>
      <c r="D30" s="1032"/>
      <c r="E30" s="1033"/>
      <c r="F30" s="41"/>
      <c r="G30" s="47"/>
      <c r="H30" s="42"/>
      <c r="I30" s="42"/>
      <c r="J30" s="36"/>
    </row>
    <row r="31" spans="1:10" x14ac:dyDescent="0.2">
      <c r="A31" s="1063" t="s">
        <v>84</v>
      </c>
      <c r="B31" s="1064"/>
      <c r="C31" s="1064"/>
      <c r="D31" s="1064"/>
      <c r="E31" s="1064"/>
      <c r="F31" s="1064"/>
      <c r="G31" s="1064"/>
      <c r="H31" s="1064"/>
      <c r="I31" s="1065"/>
      <c r="J31" s="43">
        <f>ROUND(SUM(J22:J30),2)</f>
        <v>2.4</v>
      </c>
    </row>
    <row r="32" spans="1:10" x14ac:dyDescent="0.2">
      <c r="A32" s="1072" t="s">
        <v>85</v>
      </c>
      <c r="B32" s="1073"/>
      <c r="C32" s="1073"/>
      <c r="D32" s="1073"/>
      <c r="E32" s="1073"/>
      <c r="F32" s="88">
        <v>1</v>
      </c>
      <c r="G32" s="1072" t="s">
        <v>86</v>
      </c>
      <c r="H32" s="1073"/>
      <c r="I32" s="1073"/>
      <c r="J32" s="48">
        <f>+J31+J19</f>
        <v>2.52</v>
      </c>
    </row>
    <row r="33" spans="1:10" x14ac:dyDescent="0.2">
      <c r="A33" s="1074" t="s">
        <v>87</v>
      </c>
      <c r="B33" s="1075"/>
      <c r="C33" s="1075"/>
      <c r="D33" s="1075"/>
      <c r="E33" s="1075"/>
      <c r="F33" s="1075"/>
      <c r="G33" s="1075"/>
      <c r="H33" s="1075"/>
      <c r="I33" s="1076"/>
      <c r="J33" s="43">
        <f>ROUND(J32/F32,2)</f>
        <v>2.52</v>
      </c>
    </row>
    <row r="34" spans="1:10" ht="11.25" customHeight="1" x14ac:dyDescent="0.2">
      <c r="A34" s="1077" t="s">
        <v>88</v>
      </c>
      <c r="B34" s="1103"/>
      <c r="C34" s="1103"/>
      <c r="D34" s="1103"/>
      <c r="E34" s="1079"/>
      <c r="F34" s="1049" t="s">
        <v>59</v>
      </c>
      <c r="G34" s="1049" t="s">
        <v>1</v>
      </c>
      <c r="H34" s="1053" t="s">
        <v>63</v>
      </c>
      <c r="I34" s="1049" t="s">
        <v>89</v>
      </c>
      <c r="J34" s="1049" t="s">
        <v>90</v>
      </c>
    </row>
    <row r="35" spans="1:10" x14ac:dyDescent="0.2">
      <c r="A35" s="1080"/>
      <c r="B35" s="1081"/>
      <c r="C35" s="1081"/>
      <c r="D35" s="1081"/>
      <c r="E35" s="1082"/>
      <c r="F35" s="1050"/>
      <c r="G35" s="1050"/>
      <c r="H35" s="1053"/>
      <c r="I35" s="1050"/>
      <c r="J35" s="1050"/>
    </row>
    <row r="36" spans="1:10" x14ac:dyDescent="0.2">
      <c r="A36" s="49"/>
      <c r="B36" s="89"/>
      <c r="C36" s="89"/>
      <c r="D36" s="89"/>
      <c r="E36" s="51"/>
      <c r="F36" s="52"/>
      <c r="G36" s="53"/>
      <c r="H36" s="54"/>
      <c r="I36" s="90"/>
      <c r="J36" s="36"/>
    </row>
    <row r="37" spans="1:10" ht="22.5" customHeight="1" x14ac:dyDescent="0.2">
      <c r="A37" s="1096"/>
      <c r="B37" s="1097"/>
      <c r="C37" s="1097"/>
      <c r="D37" s="1097"/>
      <c r="E37" s="1098"/>
      <c r="F37" s="52"/>
      <c r="G37" s="53"/>
      <c r="H37" s="54"/>
      <c r="I37" s="90"/>
      <c r="J37" s="36"/>
    </row>
    <row r="38" spans="1:10" x14ac:dyDescent="0.2">
      <c r="A38" s="1060"/>
      <c r="B38" s="1061"/>
      <c r="C38" s="1061"/>
      <c r="D38" s="1061"/>
      <c r="E38" s="1062"/>
      <c r="F38" s="52"/>
      <c r="G38" s="53"/>
      <c r="H38" s="54"/>
      <c r="I38" s="90"/>
      <c r="J38" s="36"/>
    </row>
    <row r="39" spans="1:10" x14ac:dyDescent="0.2">
      <c r="A39" s="1060"/>
      <c r="B39" s="1061"/>
      <c r="C39" s="1061"/>
      <c r="D39" s="1061"/>
      <c r="E39" s="1062"/>
      <c r="F39" s="52"/>
      <c r="G39" s="53"/>
      <c r="H39" s="54"/>
      <c r="I39" s="90"/>
      <c r="J39" s="36"/>
    </row>
    <row r="40" spans="1:10" x14ac:dyDescent="0.2">
      <c r="A40" s="1060"/>
      <c r="B40" s="1061"/>
      <c r="C40" s="1061"/>
      <c r="D40" s="1061"/>
      <c r="E40" s="1062"/>
      <c r="F40" s="52"/>
      <c r="G40" s="53"/>
      <c r="H40" s="54"/>
      <c r="I40" s="90"/>
      <c r="J40" s="36"/>
    </row>
    <row r="41" spans="1:10" ht="22.5" customHeight="1" x14ac:dyDescent="0.2">
      <c r="A41" s="1096"/>
      <c r="B41" s="1097"/>
      <c r="C41" s="1097"/>
      <c r="D41" s="1097"/>
      <c r="E41" s="1098"/>
      <c r="F41" s="52"/>
      <c r="G41" s="53"/>
      <c r="H41" s="54"/>
      <c r="I41" s="90"/>
      <c r="J41" s="36"/>
    </row>
    <row r="42" spans="1:10" x14ac:dyDescent="0.2">
      <c r="A42" s="75"/>
      <c r="B42" s="80"/>
      <c r="C42" s="80"/>
      <c r="D42" s="80"/>
      <c r="E42" s="81"/>
      <c r="F42" s="52"/>
      <c r="G42" s="53"/>
      <c r="H42" s="54"/>
      <c r="I42" s="90"/>
      <c r="J42" s="36"/>
    </row>
    <row r="43" spans="1:10" x14ac:dyDescent="0.2">
      <c r="A43" s="1060"/>
      <c r="B43" s="1061"/>
      <c r="C43" s="1061"/>
      <c r="D43" s="1061"/>
      <c r="E43" s="1062"/>
      <c r="F43" s="52"/>
      <c r="G43" s="53"/>
      <c r="H43" s="54"/>
      <c r="I43" s="90"/>
      <c r="J43" s="36"/>
    </row>
    <row r="44" spans="1:10" x14ac:dyDescent="0.2">
      <c r="A44" s="1060"/>
      <c r="B44" s="1061"/>
      <c r="C44" s="1061"/>
      <c r="D44" s="1061"/>
      <c r="E44" s="1062"/>
      <c r="F44" s="52"/>
      <c r="G44" s="53"/>
      <c r="H44" s="54"/>
      <c r="I44" s="90"/>
      <c r="J44" s="36"/>
    </row>
    <row r="45" spans="1:10" x14ac:dyDescent="0.2">
      <c r="A45" s="1031"/>
      <c r="B45" s="1032"/>
      <c r="C45" s="1032"/>
      <c r="D45" s="1032"/>
      <c r="E45" s="1033"/>
      <c r="F45" s="58"/>
      <c r="G45" s="59"/>
      <c r="H45" s="60"/>
      <c r="I45" s="62"/>
      <c r="J45" s="36"/>
    </row>
    <row r="46" spans="1:10" x14ac:dyDescent="0.2">
      <c r="A46" s="1063" t="s">
        <v>91</v>
      </c>
      <c r="B46" s="1064"/>
      <c r="C46" s="1064"/>
      <c r="D46" s="1064"/>
      <c r="E46" s="1064"/>
      <c r="F46" s="1064"/>
      <c r="G46" s="1064"/>
      <c r="H46" s="1064"/>
      <c r="I46" s="1065"/>
      <c r="J46" s="43">
        <f>ROUND(SUM(J36:J45),2)</f>
        <v>0</v>
      </c>
    </row>
    <row r="47" spans="1:10" x14ac:dyDescent="0.2">
      <c r="A47" s="1066" t="s">
        <v>92</v>
      </c>
      <c r="B47" s="1102"/>
      <c r="C47" s="1102"/>
      <c r="D47" s="1068"/>
      <c r="E47" s="1104" t="s">
        <v>93</v>
      </c>
      <c r="F47" s="1104"/>
      <c r="G47" s="1104"/>
      <c r="H47" s="1092" t="s">
        <v>94</v>
      </c>
      <c r="I47" s="1092" t="s">
        <v>95</v>
      </c>
      <c r="J47" s="1049" t="s">
        <v>63</v>
      </c>
    </row>
    <row r="48" spans="1:10" x14ac:dyDescent="0.2">
      <c r="A48" s="1069"/>
      <c r="B48" s="1070"/>
      <c r="C48" s="1070"/>
      <c r="D48" s="1071"/>
      <c r="E48" s="33" t="s">
        <v>129</v>
      </c>
      <c r="F48" s="33" t="s">
        <v>130</v>
      </c>
      <c r="G48" s="33" t="s">
        <v>131</v>
      </c>
      <c r="H48" s="1092"/>
      <c r="I48" s="1092"/>
      <c r="J48" s="1050"/>
    </row>
    <row r="49" spans="1:10" x14ac:dyDescent="0.2">
      <c r="A49" s="1060"/>
      <c r="B49" s="1061"/>
      <c r="C49" s="1061"/>
      <c r="D49" s="1062"/>
      <c r="E49" s="61"/>
      <c r="F49" s="61"/>
      <c r="G49" s="36"/>
      <c r="H49" s="36"/>
      <c r="I49" s="62"/>
      <c r="J49" s="36"/>
    </row>
    <row r="50" spans="1:10" x14ac:dyDescent="0.2">
      <c r="A50" s="1060"/>
      <c r="B50" s="1061"/>
      <c r="C50" s="1061"/>
      <c r="D50" s="1062"/>
      <c r="E50" s="54"/>
      <c r="F50" s="54"/>
      <c r="G50" s="54"/>
      <c r="H50" s="54"/>
      <c r="I50" s="63"/>
      <c r="J50" s="54"/>
    </row>
    <row r="51" spans="1:10" x14ac:dyDescent="0.2">
      <c r="A51" s="1060"/>
      <c r="B51" s="1061"/>
      <c r="C51" s="1061"/>
      <c r="D51" s="1062"/>
      <c r="E51" s="36"/>
      <c r="F51" s="36"/>
      <c r="G51" s="36"/>
      <c r="H51" s="36"/>
      <c r="I51" s="62"/>
      <c r="J51" s="54"/>
    </row>
    <row r="52" spans="1:10" x14ac:dyDescent="0.2">
      <c r="A52" s="1060"/>
      <c r="B52" s="1061"/>
      <c r="C52" s="1061"/>
      <c r="D52" s="1062"/>
      <c r="E52" s="36"/>
      <c r="F52" s="36"/>
      <c r="G52" s="36"/>
      <c r="H52" s="36"/>
      <c r="I52" s="62"/>
      <c r="J52" s="54"/>
    </row>
    <row r="53" spans="1:10" x14ac:dyDescent="0.2">
      <c r="A53" s="1085" t="s">
        <v>96</v>
      </c>
      <c r="B53" s="1106"/>
      <c r="C53" s="1106"/>
      <c r="D53" s="1106"/>
      <c r="E53" s="1106"/>
      <c r="F53" s="1106"/>
      <c r="G53" s="1106"/>
      <c r="H53" s="1106"/>
      <c r="I53" s="1087"/>
      <c r="J53" s="64">
        <f>SUM(J49:J52)</f>
        <v>0</v>
      </c>
    </row>
    <row r="54" spans="1:10" x14ac:dyDescent="0.2">
      <c r="A54" s="1088" t="s">
        <v>97</v>
      </c>
      <c r="B54" s="1105"/>
      <c r="C54" s="1105"/>
      <c r="D54" s="1105"/>
      <c r="E54" s="1105"/>
      <c r="F54" s="1105"/>
      <c r="G54" s="91" t="s">
        <v>98</v>
      </c>
      <c r="H54" s="83"/>
      <c r="I54" s="92" t="s">
        <v>99</v>
      </c>
      <c r="J54" s="61">
        <f>J53+J46+J33</f>
        <v>2.52</v>
      </c>
    </row>
    <row r="55" spans="1:10" x14ac:dyDescent="0.2">
      <c r="A55" s="1083" t="s">
        <v>100</v>
      </c>
      <c r="B55" s="1084"/>
      <c r="C55" s="1084"/>
      <c r="D55" s="1084"/>
      <c r="E55" s="1084"/>
      <c r="F55" s="1084"/>
      <c r="G55" s="67">
        <v>0.35</v>
      </c>
      <c r="H55" s="68"/>
      <c r="I55" s="69" t="s">
        <v>99</v>
      </c>
      <c r="J55" s="48">
        <f>+J54*G55</f>
        <v>0.88</v>
      </c>
    </row>
    <row r="56" spans="1:10" x14ac:dyDescent="0.2">
      <c r="A56" s="1074" t="s">
        <v>101</v>
      </c>
      <c r="B56" s="1075"/>
      <c r="C56" s="1075"/>
      <c r="D56" s="1075"/>
      <c r="E56" s="1075"/>
      <c r="F56" s="1075"/>
      <c r="G56" s="79"/>
      <c r="H56" s="71"/>
      <c r="I56" s="78" t="s">
        <v>99</v>
      </c>
      <c r="J56" s="43">
        <f>+J55+J54</f>
        <v>3.4</v>
      </c>
    </row>
    <row r="57" spans="1:10" x14ac:dyDescent="0.2">
      <c r="A57" s="23" t="s">
        <v>102</v>
      </c>
      <c r="B57" s="83"/>
      <c r="C57" s="83"/>
      <c r="D57" s="83"/>
      <c r="E57" s="83"/>
      <c r="F57" s="83"/>
      <c r="G57" s="83"/>
      <c r="H57" s="83"/>
      <c r="I57" s="83"/>
      <c r="J57" s="84"/>
    </row>
    <row r="58" spans="1:10" x14ac:dyDescent="0.2">
      <c r="A58" s="29"/>
      <c r="B58" s="31"/>
      <c r="C58" s="31"/>
      <c r="D58" s="30"/>
      <c r="E58" s="30"/>
      <c r="F58" s="30"/>
      <c r="G58" s="30"/>
      <c r="H58" s="30"/>
      <c r="I58" s="30"/>
      <c r="J58" s="87"/>
    </row>
  </sheetData>
  <mergeCells count="62">
    <mergeCell ref="A54:F54"/>
    <mergeCell ref="A55:F55"/>
    <mergeCell ref="A56:F56"/>
    <mergeCell ref="J47:J48"/>
    <mergeCell ref="A49:D49"/>
    <mergeCell ref="A50:D50"/>
    <mergeCell ref="A51:D51"/>
    <mergeCell ref="A52:D52"/>
    <mergeCell ref="A53:I53"/>
    <mergeCell ref="A44:E44"/>
    <mergeCell ref="A45:E45"/>
    <mergeCell ref="A46:I46"/>
    <mergeCell ref="A47:D48"/>
    <mergeCell ref="E47:G47"/>
    <mergeCell ref="H47:H48"/>
    <mergeCell ref="I47:I48"/>
    <mergeCell ref="A43:E43"/>
    <mergeCell ref="A34:E35"/>
    <mergeCell ref="F34:F35"/>
    <mergeCell ref="G34:G35"/>
    <mergeCell ref="H34:H35"/>
    <mergeCell ref="A37:E37"/>
    <mergeCell ref="A38:E38"/>
    <mergeCell ref="A39:E39"/>
    <mergeCell ref="A40:E40"/>
    <mergeCell ref="A41:E41"/>
    <mergeCell ref="I34:I35"/>
    <mergeCell ref="J34:J35"/>
    <mergeCell ref="A29:E29"/>
    <mergeCell ref="A30:E30"/>
    <mergeCell ref="A31:I31"/>
    <mergeCell ref="A32:E32"/>
    <mergeCell ref="G32:I32"/>
    <mergeCell ref="A33:I33"/>
    <mergeCell ref="J20:J21"/>
    <mergeCell ref="A22:E22"/>
    <mergeCell ref="A23:E23"/>
    <mergeCell ref="A25:E25"/>
    <mergeCell ref="A26:E26"/>
    <mergeCell ref="A28:E28"/>
    <mergeCell ref="A19:I19"/>
    <mergeCell ref="A20:E21"/>
    <mergeCell ref="F20:F21"/>
    <mergeCell ref="G20:G21"/>
    <mergeCell ref="H20:H21"/>
    <mergeCell ref="I20:I21"/>
    <mergeCell ref="A18:C18"/>
    <mergeCell ref="A1:J1"/>
    <mergeCell ref="A7:A8"/>
    <mergeCell ref="B7:H8"/>
    <mergeCell ref="I7:I8"/>
    <mergeCell ref="J7:J8"/>
    <mergeCell ref="A9:C10"/>
    <mergeCell ref="D9:D10"/>
    <mergeCell ref="E9:E10"/>
    <mergeCell ref="F9:G9"/>
    <mergeCell ref="H9:I9"/>
    <mergeCell ref="J9:J10"/>
    <mergeCell ref="A11:C11"/>
    <mergeCell ref="A14:C14"/>
    <mergeCell ref="A15:C15"/>
    <mergeCell ref="A16:C16"/>
  </mergeCells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58"/>
  <sheetViews>
    <sheetView topLeftCell="A7" workbookViewId="0">
      <selection activeCell="C55" sqref="C55"/>
    </sheetView>
  </sheetViews>
  <sheetFormatPr defaultColWidth="9" defaultRowHeight="11.25" x14ac:dyDescent="0.2"/>
  <cols>
    <col min="1" max="16384" width="9" style="22"/>
  </cols>
  <sheetData>
    <row r="1" spans="1:10" ht="15.75" x14ac:dyDescent="0.2">
      <c r="A1" s="1034" t="s">
        <v>68</v>
      </c>
      <c r="B1" s="1035"/>
      <c r="C1" s="1035"/>
      <c r="D1" s="1035"/>
      <c r="E1" s="1035"/>
      <c r="F1" s="1035"/>
      <c r="G1" s="1035"/>
      <c r="H1" s="1035"/>
      <c r="I1" s="1035"/>
      <c r="J1" s="1036"/>
    </row>
    <row r="2" spans="1:10" x14ac:dyDescent="0.2">
      <c r="A2" s="23"/>
      <c r="B2" s="82"/>
      <c r="C2" s="83"/>
      <c r="D2" s="83"/>
      <c r="E2" s="83"/>
      <c r="F2" s="83"/>
      <c r="G2" s="83"/>
      <c r="H2" s="23"/>
      <c r="I2" s="83"/>
      <c r="J2" s="84"/>
    </row>
    <row r="3" spans="1:10" x14ac:dyDescent="0.2">
      <c r="A3" s="26"/>
      <c r="B3" s="85"/>
      <c r="C3" s="27"/>
      <c r="D3" s="27"/>
      <c r="E3" s="27"/>
      <c r="F3" s="27"/>
      <c r="G3" s="27"/>
      <c r="H3" s="26"/>
      <c r="I3" s="27"/>
      <c r="J3" s="86"/>
    </row>
    <row r="4" spans="1:10" x14ac:dyDescent="0.2">
      <c r="A4" s="26"/>
      <c r="B4" s="28"/>
      <c r="C4" s="27"/>
      <c r="D4" s="27"/>
      <c r="E4" s="27"/>
      <c r="F4" s="27"/>
      <c r="G4" s="27"/>
      <c r="H4" s="26"/>
      <c r="I4" s="27"/>
      <c r="J4" s="86"/>
    </row>
    <row r="5" spans="1:10" x14ac:dyDescent="0.2">
      <c r="A5" s="29"/>
      <c r="B5" s="30"/>
      <c r="C5" s="31"/>
      <c r="D5" s="31"/>
      <c r="E5" s="31"/>
      <c r="F5" s="31"/>
      <c r="G5" s="31"/>
      <c r="H5" s="29"/>
      <c r="I5" s="31"/>
      <c r="J5" s="87"/>
    </row>
    <row r="6" spans="1:10" x14ac:dyDescent="0.2">
      <c r="A6" s="32" t="s">
        <v>69</v>
      </c>
      <c r="B6" s="83" t="s">
        <v>70</v>
      </c>
      <c r="C6" s="83"/>
      <c r="D6" s="83"/>
      <c r="E6" s="83"/>
      <c r="F6" s="83"/>
      <c r="G6" s="83"/>
      <c r="H6" s="83"/>
      <c r="I6" s="32" t="s">
        <v>71</v>
      </c>
      <c r="J6" s="32" t="s">
        <v>72</v>
      </c>
    </row>
    <row r="7" spans="1:10" x14ac:dyDescent="0.2">
      <c r="A7" s="1037" t="s">
        <v>138</v>
      </c>
      <c r="B7" s="1039" t="s">
        <v>137</v>
      </c>
      <c r="C7" s="1040"/>
      <c r="D7" s="1040"/>
      <c r="E7" s="1040"/>
      <c r="F7" s="1040"/>
      <c r="G7" s="1040"/>
      <c r="H7" s="1041"/>
      <c r="I7" s="1045" t="s">
        <v>61</v>
      </c>
      <c r="J7" s="1046" t="s">
        <v>153</v>
      </c>
    </row>
    <row r="8" spans="1:10" x14ac:dyDescent="0.2">
      <c r="A8" s="1038"/>
      <c r="B8" s="1042"/>
      <c r="C8" s="1043"/>
      <c r="D8" s="1043"/>
      <c r="E8" s="1043"/>
      <c r="F8" s="1043"/>
      <c r="G8" s="1043"/>
      <c r="H8" s="1044"/>
      <c r="I8" s="1038"/>
      <c r="J8" s="1047"/>
    </row>
    <row r="9" spans="1:10" x14ac:dyDescent="0.2">
      <c r="A9" s="1048" t="s">
        <v>73</v>
      </c>
      <c r="B9" s="1048"/>
      <c r="C9" s="1048"/>
      <c r="D9" s="1049" t="s">
        <v>59</v>
      </c>
      <c r="E9" s="1049" t="s">
        <v>74</v>
      </c>
      <c r="F9" s="1051" t="s">
        <v>75</v>
      </c>
      <c r="G9" s="1052"/>
      <c r="H9" s="1051" t="s">
        <v>76</v>
      </c>
      <c r="I9" s="1052"/>
      <c r="J9" s="1053" t="s">
        <v>77</v>
      </c>
    </row>
    <row r="10" spans="1:10" x14ac:dyDescent="0.2">
      <c r="A10" s="1048"/>
      <c r="B10" s="1048"/>
      <c r="C10" s="1048"/>
      <c r="D10" s="1050"/>
      <c r="E10" s="1050"/>
      <c r="F10" s="33" t="s">
        <v>78</v>
      </c>
      <c r="G10" s="34" t="s">
        <v>79</v>
      </c>
      <c r="H10" s="33" t="s">
        <v>78</v>
      </c>
      <c r="I10" s="33" t="s">
        <v>79</v>
      </c>
      <c r="J10" s="1053"/>
    </row>
    <row r="11" spans="1:10" x14ac:dyDescent="0.2">
      <c r="A11" s="1060" t="s">
        <v>127</v>
      </c>
      <c r="B11" s="1061"/>
      <c r="C11" s="1062"/>
      <c r="D11" s="35"/>
      <c r="E11" s="36">
        <v>0.05</v>
      </c>
      <c r="F11" s="36">
        <v>1</v>
      </c>
      <c r="G11" s="36">
        <v>0</v>
      </c>
      <c r="H11" s="36">
        <f>+J31</f>
        <v>8.35</v>
      </c>
      <c r="I11" s="36"/>
      <c r="J11" s="36">
        <f>TRUNC((E11*F11*H11)+(E11*G11*I11),2)</f>
        <v>0.41</v>
      </c>
    </row>
    <row r="12" spans="1:10" x14ac:dyDescent="0.2">
      <c r="A12" s="75"/>
      <c r="B12" s="76"/>
      <c r="C12" s="77"/>
      <c r="D12" s="40"/>
      <c r="E12" s="36"/>
      <c r="F12" s="36"/>
      <c r="G12" s="36"/>
      <c r="H12" s="36"/>
      <c r="I12" s="36"/>
      <c r="J12" s="36"/>
    </row>
    <row r="13" spans="1:10" x14ac:dyDescent="0.2">
      <c r="A13" s="75"/>
      <c r="B13" s="76"/>
      <c r="C13" s="77"/>
      <c r="D13" s="40"/>
      <c r="E13" s="36"/>
      <c r="F13" s="36"/>
      <c r="G13" s="36"/>
      <c r="H13" s="36"/>
      <c r="I13" s="36"/>
      <c r="J13" s="36"/>
    </row>
    <row r="14" spans="1:10" x14ac:dyDescent="0.2">
      <c r="A14" s="1060"/>
      <c r="B14" s="1061"/>
      <c r="C14" s="1062"/>
      <c r="D14" s="40"/>
      <c r="E14" s="36"/>
      <c r="F14" s="36"/>
      <c r="G14" s="36"/>
      <c r="H14" s="36"/>
      <c r="I14" s="36"/>
      <c r="J14" s="36"/>
    </row>
    <row r="15" spans="1:10" x14ac:dyDescent="0.2">
      <c r="A15" s="1060"/>
      <c r="B15" s="1061"/>
      <c r="C15" s="1062"/>
      <c r="D15" s="40"/>
      <c r="E15" s="36"/>
      <c r="F15" s="36"/>
      <c r="G15" s="36"/>
      <c r="H15" s="36"/>
      <c r="I15" s="36"/>
      <c r="J15" s="36"/>
    </row>
    <row r="16" spans="1:10" x14ac:dyDescent="0.2">
      <c r="A16" s="1060"/>
      <c r="B16" s="1061"/>
      <c r="C16" s="1062"/>
      <c r="D16" s="40"/>
      <c r="E16" s="36"/>
      <c r="F16" s="36"/>
      <c r="G16" s="36"/>
      <c r="H16" s="36"/>
      <c r="I16" s="36"/>
      <c r="J16" s="36"/>
    </row>
    <row r="17" spans="1:10" x14ac:dyDescent="0.2">
      <c r="A17" s="75"/>
      <c r="B17" s="76"/>
      <c r="C17" s="77"/>
      <c r="D17" s="40"/>
      <c r="E17" s="36"/>
      <c r="F17" s="36"/>
      <c r="G17" s="36"/>
      <c r="H17" s="36"/>
      <c r="I17" s="36"/>
      <c r="J17" s="36"/>
    </row>
    <row r="18" spans="1:10" x14ac:dyDescent="0.2">
      <c r="A18" s="1031"/>
      <c r="B18" s="1032"/>
      <c r="C18" s="1033"/>
      <c r="D18" s="41"/>
      <c r="E18" s="42"/>
      <c r="F18" s="42"/>
      <c r="G18" s="36"/>
      <c r="H18" s="36"/>
      <c r="I18" s="36"/>
      <c r="J18" s="36"/>
    </row>
    <row r="19" spans="1:10" x14ac:dyDescent="0.2">
      <c r="A19" s="1063" t="s">
        <v>80</v>
      </c>
      <c r="B19" s="1064"/>
      <c r="C19" s="1064"/>
      <c r="D19" s="1064"/>
      <c r="E19" s="1064"/>
      <c r="F19" s="1064"/>
      <c r="G19" s="1064"/>
      <c r="H19" s="1064"/>
      <c r="I19" s="1065"/>
      <c r="J19" s="43">
        <f>SUM(J11:J18)</f>
        <v>0.41</v>
      </c>
    </row>
    <row r="20" spans="1:10" x14ac:dyDescent="0.2">
      <c r="A20" s="1066" t="s">
        <v>81</v>
      </c>
      <c r="B20" s="1102"/>
      <c r="C20" s="1102"/>
      <c r="D20" s="1102"/>
      <c r="E20" s="1068"/>
      <c r="F20" s="1049" t="s">
        <v>59</v>
      </c>
      <c r="G20" s="1049" t="s">
        <v>82</v>
      </c>
      <c r="H20" s="1049" t="s">
        <v>74</v>
      </c>
      <c r="I20" s="1053" t="s">
        <v>83</v>
      </c>
      <c r="J20" s="1049" t="s">
        <v>77</v>
      </c>
    </row>
    <row r="21" spans="1:10" x14ac:dyDescent="0.2">
      <c r="A21" s="1069"/>
      <c r="B21" s="1070"/>
      <c r="C21" s="1070"/>
      <c r="D21" s="1070"/>
      <c r="E21" s="1071"/>
      <c r="F21" s="1050"/>
      <c r="G21" s="1050"/>
      <c r="H21" s="1050"/>
      <c r="I21" s="1053"/>
      <c r="J21" s="1050"/>
    </row>
    <row r="22" spans="1:10" x14ac:dyDescent="0.2">
      <c r="A22" s="1060" t="s">
        <v>128</v>
      </c>
      <c r="B22" s="1061"/>
      <c r="C22" s="1061"/>
      <c r="D22" s="1061"/>
      <c r="E22" s="1062"/>
      <c r="F22" s="44">
        <v>20109</v>
      </c>
      <c r="G22" s="45"/>
      <c r="H22" s="36">
        <v>0.4</v>
      </c>
      <c r="I22" s="36">
        <v>12.02</v>
      </c>
      <c r="J22" s="36">
        <f>+I22*H22</f>
        <v>4.8099999999999996</v>
      </c>
    </row>
    <row r="23" spans="1:10" x14ac:dyDescent="0.2">
      <c r="A23" s="1060" t="s">
        <v>64</v>
      </c>
      <c r="B23" s="1061"/>
      <c r="C23" s="1061"/>
      <c r="D23" s="1061"/>
      <c r="E23" s="1062"/>
      <c r="F23" s="44">
        <v>20002</v>
      </c>
      <c r="G23" s="45"/>
      <c r="H23" s="36">
        <v>0.4</v>
      </c>
      <c r="I23" s="36">
        <v>8.84</v>
      </c>
      <c r="J23" s="36">
        <f>+I23*H23</f>
        <v>3.54</v>
      </c>
    </row>
    <row r="24" spans="1:10" x14ac:dyDescent="0.2">
      <c r="A24" s="75"/>
      <c r="B24" s="76"/>
      <c r="C24" s="76"/>
      <c r="D24" s="76"/>
      <c r="E24" s="77"/>
      <c r="F24" s="44"/>
      <c r="G24" s="45"/>
      <c r="H24" s="36"/>
      <c r="I24" s="36"/>
      <c r="J24" s="36"/>
    </row>
    <row r="25" spans="1:10" x14ac:dyDescent="0.2">
      <c r="A25" s="1060"/>
      <c r="B25" s="1061"/>
      <c r="C25" s="1061"/>
      <c r="D25" s="1061"/>
      <c r="E25" s="1062"/>
      <c r="F25" s="44"/>
      <c r="G25" s="45"/>
      <c r="H25" s="36"/>
      <c r="I25" s="36"/>
      <c r="J25" s="36"/>
    </row>
    <row r="26" spans="1:10" x14ac:dyDescent="0.2">
      <c r="A26" s="1060"/>
      <c r="B26" s="1061"/>
      <c r="C26" s="1061"/>
      <c r="D26" s="1061"/>
      <c r="E26" s="1062"/>
      <c r="F26" s="44"/>
      <c r="G26" s="46"/>
      <c r="H26" s="36"/>
      <c r="I26" s="36"/>
      <c r="J26" s="36"/>
    </row>
    <row r="27" spans="1:10" x14ac:dyDescent="0.2">
      <c r="A27" s="75"/>
      <c r="B27" s="76"/>
      <c r="C27" s="76"/>
      <c r="D27" s="76"/>
      <c r="E27" s="77"/>
      <c r="F27" s="44"/>
      <c r="G27" s="46"/>
      <c r="H27" s="36"/>
      <c r="I27" s="36"/>
      <c r="J27" s="36"/>
    </row>
    <row r="28" spans="1:10" x14ac:dyDescent="0.2">
      <c r="A28" s="1060"/>
      <c r="B28" s="1061"/>
      <c r="C28" s="1061"/>
      <c r="D28" s="1061"/>
      <c r="E28" s="1062"/>
      <c r="F28" s="44"/>
      <c r="G28" s="46"/>
      <c r="H28" s="36"/>
      <c r="I28" s="36"/>
      <c r="J28" s="36"/>
    </row>
    <row r="29" spans="1:10" x14ac:dyDescent="0.2">
      <c r="A29" s="1060"/>
      <c r="B29" s="1061"/>
      <c r="C29" s="1061"/>
      <c r="D29" s="1061"/>
      <c r="E29" s="1062"/>
      <c r="F29" s="44"/>
      <c r="G29" s="46"/>
      <c r="H29" s="36"/>
      <c r="I29" s="36"/>
      <c r="J29" s="36"/>
    </row>
    <row r="30" spans="1:10" x14ac:dyDescent="0.2">
      <c r="A30" s="1031"/>
      <c r="B30" s="1032"/>
      <c r="C30" s="1032"/>
      <c r="D30" s="1032"/>
      <c r="E30" s="1033"/>
      <c r="F30" s="41"/>
      <c r="G30" s="47"/>
      <c r="H30" s="42"/>
      <c r="I30" s="42"/>
      <c r="J30" s="36"/>
    </row>
    <row r="31" spans="1:10" x14ac:dyDescent="0.2">
      <c r="A31" s="1063" t="s">
        <v>84</v>
      </c>
      <c r="B31" s="1064"/>
      <c r="C31" s="1064"/>
      <c r="D31" s="1064"/>
      <c r="E31" s="1064"/>
      <c r="F31" s="1064"/>
      <c r="G31" s="1064"/>
      <c r="H31" s="1064"/>
      <c r="I31" s="1065"/>
      <c r="J31" s="43">
        <f>ROUND(SUM(J22:J30),2)</f>
        <v>8.35</v>
      </c>
    </row>
    <row r="32" spans="1:10" x14ac:dyDescent="0.2">
      <c r="A32" s="1072" t="s">
        <v>85</v>
      </c>
      <c r="B32" s="1073"/>
      <c r="C32" s="1073"/>
      <c r="D32" s="1073"/>
      <c r="E32" s="1073"/>
      <c r="F32" s="88">
        <v>1</v>
      </c>
      <c r="G32" s="1072" t="s">
        <v>86</v>
      </c>
      <c r="H32" s="1073"/>
      <c r="I32" s="1073"/>
      <c r="J32" s="48">
        <f>+J31+J19</f>
        <v>8.76</v>
      </c>
    </row>
    <row r="33" spans="1:11" x14ac:dyDescent="0.2">
      <c r="A33" s="1074" t="s">
        <v>87</v>
      </c>
      <c r="B33" s="1075"/>
      <c r="C33" s="1075"/>
      <c r="D33" s="1075"/>
      <c r="E33" s="1075"/>
      <c r="F33" s="1075"/>
      <c r="G33" s="1075"/>
      <c r="H33" s="1075"/>
      <c r="I33" s="1076"/>
      <c r="J33" s="43">
        <f>ROUND(J32/F32,2)</f>
        <v>8.76</v>
      </c>
    </row>
    <row r="34" spans="1:11" ht="11.25" customHeight="1" x14ac:dyDescent="0.2">
      <c r="A34" s="1077" t="s">
        <v>88</v>
      </c>
      <c r="B34" s="1103"/>
      <c r="C34" s="1103"/>
      <c r="D34" s="1103"/>
      <c r="E34" s="1079"/>
      <c r="F34" s="1049" t="s">
        <v>59</v>
      </c>
      <c r="G34" s="1049" t="s">
        <v>1</v>
      </c>
      <c r="H34" s="1053" t="s">
        <v>63</v>
      </c>
      <c r="I34" s="1049" t="s">
        <v>89</v>
      </c>
      <c r="J34" s="1049" t="s">
        <v>90</v>
      </c>
    </row>
    <row r="35" spans="1:11" x14ac:dyDescent="0.2">
      <c r="A35" s="1080"/>
      <c r="B35" s="1081"/>
      <c r="C35" s="1081"/>
      <c r="D35" s="1081"/>
      <c r="E35" s="1082"/>
      <c r="F35" s="1050"/>
      <c r="G35" s="1050"/>
      <c r="H35" s="1053"/>
      <c r="I35" s="1050"/>
      <c r="J35" s="1050"/>
    </row>
    <row r="36" spans="1:11" x14ac:dyDescent="0.2">
      <c r="A36" s="49" t="s">
        <v>132</v>
      </c>
      <c r="B36" s="89"/>
      <c r="C36" s="89"/>
      <c r="D36" s="89"/>
      <c r="E36" s="51"/>
      <c r="F36" s="52" t="s">
        <v>133</v>
      </c>
      <c r="G36" s="53" t="s">
        <v>66</v>
      </c>
      <c r="H36" s="54">
        <v>34.46</v>
      </c>
      <c r="I36" s="55">
        <f>+(0.4+1.2+0.4)*1</f>
        <v>2</v>
      </c>
      <c r="J36" s="36">
        <f>+I36*H36</f>
        <v>68.92</v>
      </c>
    </row>
    <row r="37" spans="1:11" ht="11.25" customHeight="1" x14ac:dyDescent="0.2">
      <c r="A37" s="1096" t="s">
        <v>134</v>
      </c>
      <c r="B37" s="1097"/>
      <c r="C37" s="1097"/>
      <c r="D37" s="1097"/>
      <c r="E37" s="1098"/>
      <c r="F37" s="52" t="s">
        <v>135</v>
      </c>
      <c r="G37" s="53" t="s">
        <v>67</v>
      </c>
      <c r="H37" s="54">
        <v>353.6</v>
      </c>
      <c r="I37" s="55">
        <v>0.02</v>
      </c>
      <c r="J37" s="36">
        <f>+H37*I37</f>
        <v>7.07</v>
      </c>
      <c r="K37" s="93"/>
    </row>
    <row r="38" spans="1:11" x14ac:dyDescent="0.2">
      <c r="A38" s="1060"/>
      <c r="B38" s="1061"/>
      <c r="C38" s="1061"/>
      <c r="D38" s="1061"/>
      <c r="E38" s="1062"/>
      <c r="F38" s="52"/>
      <c r="G38" s="53"/>
      <c r="H38" s="54"/>
      <c r="I38" s="55"/>
      <c r="J38" s="36"/>
    </row>
    <row r="39" spans="1:11" x14ac:dyDescent="0.2">
      <c r="A39" s="1060"/>
      <c r="B39" s="1061"/>
      <c r="C39" s="1061"/>
      <c r="D39" s="1061"/>
      <c r="E39" s="1062"/>
      <c r="F39" s="52"/>
      <c r="G39" s="53"/>
      <c r="H39" s="54"/>
      <c r="I39" s="55"/>
      <c r="J39" s="36"/>
    </row>
    <row r="40" spans="1:11" x14ac:dyDescent="0.2">
      <c r="A40" s="1060"/>
      <c r="B40" s="1061"/>
      <c r="C40" s="1061"/>
      <c r="D40" s="1061"/>
      <c r="E40" s="1062"/>
      <c r="F40" s="52"/>
      <c r="G40" s="53"/>
      <c r="H40" s="54"/>
      <c r="I40" s="55"/>
      <c r="J40" s="36"/>
    </row>
    <row r="41" spans="1:11" x14ac:dyDescent="0.2">
      <c r="A41" s="1096"/>
      <c r="B41" s="1097"/>
      <c r="C41" s="1097"/>
      <c r="D41" s="1097"/>
      <c r="E41" s="1098"/>
      <c r="F41" s="52"/>
      <c r="G41" s="53"/>
      <c r="H41" s="54"/>
      <c r="I41" s="55"/>
      <c r="J41" s="36"/>
    </row>
    <row r="42" spans="1:11" x14ac:dyDescent="0.2">
      <c r="A42" s="75"/>
      <c r="B42" s="80"/>
      <c r="C42" s="80"/>
      <c r="D42" s="80"/>
      <c r="E42" s="81"/>
      <c r="F42" s="52"/>
      <c r="G42" s="53"/>
      <c r="H42" s="54"/>
      <c r="I42" s="55"/>
      <c r="J42" s="36"/>
    </row>
    <row r="43" spans="1:11" x14ac:dyDescent="0.2">
      <c r="A43" s="1060"/>
      <c r="B43" s="1061"/>
      <c r="C43" s="1061"/>
      <c r="D43" s="1061"/>
      <c r="E43" s="1062"/>
      <c r="F43" s="52"/>
      <c r="G43" s="53"/>
      <c r="H43" s="54"/>
      <c r="I43" s="55"/>
      <c r="J43" s="36"/>
    </row>
    <row r="44" spans="1:11" x14ac:dyDescent="0.2">
      <c r="A44" s="1060"/>
      <c r="B44" s="1061"/>
      <c r="C44" s="1061"/>
      <c r="D44" s="1061"/>
      <c r="E44" s="1062"/>
      <c r="F44" s="52"/>
      <c r="G44" s="53"/>
      <c r="H44" s="54"/>
      <c r="I44" s="55"/>
      <c r="J44" s="36"/>
    </row>
    <row r="45" spans="1:11" x14ac:dyDescent="0.2">
      <c r="A45" s="1031"/>
      <c r="B45" s="1032"/>
      <c r="C45" s="1032"/>
      <c r="D45" s="1032"/>
      <c r="E45" s="1033"/>
      <c r="F45" s="58"/>
      <c r="G45" s="59"/>
      <c r="H45" s="60"/>
      <c r="I45" s="55"/>
      <c r="J45" s="36"/>
    </row>
    <row r="46" spans="1:11" x14ac:dyDescent="0.2">
      <c r="A46" s="1063" t="s">
        <v>91</v>
      </c>
      <c r="B46" s="1064"/>
      <c r="C46" s="1064"/>
      <c r="D46" s="1064"/>
      <c r="E46" s="1064"/>
      <c r="F46" s="1064"/>
      <c r="G46" s="1064"/>
      <c r="H46" s="1064"/>
      <c r="I46" s="1065"/>
      <c r="J46" s="43">
        <f>ROUND(SUM(J36:J45),2)</f>
        <v>75.989999999999995</v>
      </c>
    </row>
    <row r="47" spans="1:11" x14ac:dyDescent="0.2">
      <c r="A47" s="1066" t="s">
        <v>92</v>
      </c>
      <c r="B47" s="1102"/>
      <c r="C47" s="1102"/>
      <c r="D47" s="1068"/>
      <c r="E47" s="1104" t="s">
        <v>93</v>
      </c>
      <c r="F47" s="1104"/>
      <c r="G47" s="1104"/>
      <c r="H47" s="1092" t="s">
        <v>94</v>
      </c>
      <c r="I47" s="1092" t="s">
        <v>95</v>
      </c>
      <c r="J47" s="1049" t="s">
        <v>63</v>
      </c>
    </row>
    <row r="48" spans="1:11" x14ac:dyDescent="0.2">
      <c r="A48" s="1069"/>
      <c r="B48" s="1070"/>
      <c r="C48" s="1070"/>
      <c r="D48" s="1071"/>
      <c r="E48" s="33" t="s">
        <v>129</v>
      </c>
      <c r="F48" s="33" t="s">
        <v>130</v>
      </c>
      <c r="G48" s="33" t="s">
        <v>131</v>
      </c>
      <c r="H48" s="1092"/>
      <c r="I48" s="1092"/>
      <c r="J48" s="1050"/>
    </row>
    <row r="49" spans="1:10" x14ac:dyDescent="0.2">
      <c r="A49" s="1060"/>
      <c r="B49" s="1061"/>
      <c r="C49" s="1061"/>
      <c r="D49" s="1062"/>
      <c r="E49" s="61"/>
      <c r="F49" s="61"/>
      <c r="G49" s="36"/>
      <c r="H49" s="36"/>
      <c r="I49" s="62"/>
      <c r="J49" s="36"/>
    </row>
    <row r="50" spans="1:10" x14ac:dyDescent="0.2">
      <c r="A50" s="1060"/>
      <c r="B50" s="1061"/>
      <c r="C50" s="1061"/>
      <c r="D50" s="1062"/>
      <c r="E50" s="54"/>
      <c r="F50" s="54"/>
      <c r="G50" s="54"/>
      <c r="H50" s="54"/>
      <c r="I50" s="63"/>
      <c r="J50" s="54"/>
    </row>
    <row r="51" spans="1:10" x14ac:dyDescent="0.2">
      <c r="A51" s="1060"/>
      <c r="B51" s="1061"/>
      <c r="C51" s="1061"/>
      <c r="D51" s="1062"/>
      <c r="E51" s="36"/>
      <c r="F51" s="36"/>
      <c r="G51" s="36"/>
      <c r="H51" s="36"/>
      <c r="I51" s="62"/>
      <c r="J51" s="54"/>
    </row>
    <row r="52" spans="1:10" x14ac:dyDescent="0.2">
      <c r="A52" s="1060"/>
      <c r="B52" s="1061"/>
      <c r="C52" s="1061"/>
      <c r="D52" s="1062"/>
      <c r="E52" s="36"/>
      <c r="F52" s="36"/>
      <c r="G52" s="36"/>
      <c r="H52" s="36"/>
      <c r="I52" s="62"/>
      <c r="J52" s="54"/>
    </row>
    <row r="53" spans="1:10" x14ac:dyDescent="0.2">
      <c r="A53" s="1085" t="s">
        <v>96</v>
      </c>
      <c r="B53" s="1106"/>
      <c r="C53" s="1106"/>
      <c r="D53" s="1106"/>
      <c r="E53" s="1106"/>
      <c r="F53" s="1106"/>
      <c r="G53" s="1106"/>
      <c r="H53" s="1106"/>
      <c r="I53" s="1087"/>
      <c r="J53" s="64">
        <f>SUM(J49:J52)</f>
        <v>0</v>
      </c>
    </row>
    <row r="54" spans="1:10" x14ac:dyDescent="0.2">
      <c r="A54" s="1088" t="s">
        <v>97</v>
      </c>
      <c r="B54" s="1105"/>
      <c r="C54" s="1105"/>
      <c r="D54" s="1105"/>
      <c r="E54" s="1105"/>
      <c r="F54" s="1105"/>
      <c r="G54" s="91" t="s">
        <v>98</v>
      </c>
      <c r="H54" s="83"/>
      <c r="I54" s="92" t="s">
        <v>99</v>
      </c>
      <c r="J54" s="61">
        <f>J53+J46+J33</f>
        <v>84.75</v>
      </c>
    </row>
    <row r="55" spans="1:10" x14ac:dyDescent="0.2">
      <c r="A55" s="1083" t="s">
        <v>100</v>
      </c>
      <c r="B55" s="1084"/>
      <c r="C55" s="1084"/>
      <c r="D55" s="1084"/>
      <c r="E55" s="1084"/>
      <c r="F55" s="1084"/>
      <c r="G55" s="67">
        <v>0.35</v>
      </c>
      <c r="H55" s="68"/>
      <c r="I55" s="69" t="s">
        <v>99</v>
      </c>
      <c r="J55" s="48">
        <f>+J54*G55</f>
        <v>29.66</v>
      </c>
    </row>
    <row r="56" spans="1:10" x14ac:dyDescent="0.2">
      <c r="A56" s="1074" t="s">
        <v>101</v>
      </c>
      <c r="B56" s="1075"/>
      <c r="C56" s="1075"/>
      <c r="D56" s="1075"/>
      <c r="E56" s="1075"/>
      <c r="F56" s="1075"/>
      <c r="G56" s="79"/>
      <c r="H56" s="71"/>
      <c r="I56" s="78" t="s">
        <v>99</v>
      </c>
      <c r="J56" s="43">
        <f>+J55+J54</f>
        <v>114.41</v>
      </c>
    </row>
    <row r="57" spans="1:10" x14ac:dyDescent="0.2">
      <c r="A57" s="23" t="s">
        <v>102</v>
      </c>
      <c r="B57" s="83"/>
      <c r="C57" s="83"/>
      <c r="D57" s="83"/>
      <c r="E57" s="83"/>
      <c r="F57" s="83"/>
      <c r="G57" s="83"/>
      <c r="H57" s="83"/>
      <c r="I57" s="83"/>
      <c r="J57" s="84"/>
    </row>
    <row r="58" spans="1:10" x14ac:dyDescent="0.2">
      <c r="A58" s="29"/>
      <c r="B58" s="31"/>
      <c r="C58" s="31"/>
      <c r="D58" s="30"/>
      <c r="E58" s="30"/>
      <c r="F58" s="30"/>
      <c r="G58" s="30"/>
      <c r="H58" s="30"/>
      <c r="I58" s="30"/>
      <c r="J58" s="87"/>
    </row>
  </sheetData>
  <mergeCells count="62">
    <mergeCell ref="A54:F54"/>
    <mergeCell ref="A55:F55"/>
    <mergeCell ref="A56:F56"/>
    <mergeCell ref="J47:J48"/>
    <mergeCell ref="A49:D49"/>
    <mergeCell ref="A50:D50"/>
    <mergeCell ref="A51:D51"/>
    <mergeCell ref="A52:D52"/>
    <mergeCell ref="A53:I53"/>
    <mergeCell ref="A44:E44"/>
    <mergeCell ref="A45:E45"/>
    <mergeCell ref="A46:I46"/>
    <mergeCell ref="A47:D48"/>
    <mergeCell ref="E47:G47"/>
    <mergeCell ref="H47:H48"/>
    <mergeCell ref="I47:I48"/>
    <mergeCell ref="A43:E43"/>
    <mergeCell ref="A34:E35"/>
    <mergeCell ref="F34:F35"/>
    <mergeCell ref="G34:G35"/>
    <mergeCell ref="H34:H35"/>
    <mergeCell ref="A37:E37"/>
    <mergeCell ref="A38:E38"/>
    <mergeCell ref="A39:E39"/>
    <mergeCell ref="A40:E40"/>
    <mergeCell ref="A41:E41"/>
    <mergeCell ref="I34:I35"/>
    <mergeCell ref="J34:J35"/>
    <mergeCell ref="A29:E29"/>
    <mergeCell ref="A30:E30"/>
    <mergeCell ref="A31:I31"/>
    <mergeCell ref="A32:E32"/>
    <mergeCell ref="G32:I32"/>
    <mergeCell ref="A33:I33"/>
    <mergeCell ref="J20:J21"/>
    <mergeCell ref="A22:E22"/>
    <mergeCell ref="A23:E23"/>
    <mergeCell ref="A25:E25"/>
    <mergeCell ref="A26:E26"/>
    <mergeCell ref="A28:E28"/>
    <mergeCell ref="A19:I19"/>
    <mergeCell ref="A20:E21"/>
    <mergeCell ref="F20:F21"/>
    <mergeCell ref="G20:G21"/>
    <mergeCell ref="H20:H21"/>
    <mergeCell ref="I20:I21"/>
    <mergeCell ref="A18:C18"/>
    <mergeCell ref="A1:J1"/>
    <mergeCell ref="A7:A8"/>
    <mergeCell ref="B7:H8"/>
    <mergeCell ref="I7:I8"/>
    <mergeCell ref="J7:J8"/>
    <mergeCell ref="A9:C10"/>
    <mergeCell ref="D9:D10"/>
    <mergeCell ref="E9:E10"/>
    <mergeCell ref="F9:G9"/>
    <mergeCell ref="H9:I9"/>
    <mergeCell ref="J9:J10"/>
    <mergeCell ref="A11:C11"/>
    <mergeCell ref="A14:C14"/>
    <mergeCell ref="A15:C15"/>
    <mergeCell ref="A16:C16"/>
  </mergeCells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55"/>
  <sheetViews>
    <sheetView workbookViewId="0">
      <selection activeCell="C55" sqref="C55"/>
    </sheetView>
  </sheetViews>
  <sheetFormatPr defaultColWidth="9" defaultRowHeight="11.25" x14ac:dyDescent="0.2"/>
  <cols>
    <col min="1" max="2" width="9" style="22"/>
    <col min="3" max="3" width="10.875" style="22" customWidth="1"/>
    <col min="4" max="16384" width="9" style="22"/>
  </cols>
  <sheetData>
    <row r="1" spans="1:10" ht="15.75" x14ac:dyDescent="0.2">
      <c r="A1" s="1034" t="s">
        <v>68</v>
      </c>
      <c r="B1" s="1035"/>
      <c r="C1" s="1035"/>
      <c r="D1" s="1035"/>
      <c r="E1" s="1035"/>
      <c r="F1" s="1035"/>
      <c r="G1" s="1035"/>
      <c r="H1" s="1035"/>
      <c r="I1" s="1035"/>
      <c r="J1" s="1036"/>
    </row>
    <row r="2" spans="1:10" x14ac:dyDescent="0.2">
      <c r="A2" s="32" t="s">
        <v>69</v>
      </c>
      <c r="B2" s="25" t="s">
        <v>70</v>
      </c>
      <c r="C2" s="25"/>
      <c r="D2" s="25"/>
      <c r="E2" s="25"/>
      <c r="F2" s="25"/>
      <c r="G2" s="25"/>
      <c r="H2" s="25"/>
      <c r="I2" s="32" t="s">
        <v>71</v>
      </c>
      <c r="J2" s="32" t="s">
        <v>72</v>
      </c>
    </row>
    <row r="3" spans="1:10" x14ac:dyDescent="0.2">
      <c r="A3" s="1037" t="s">
        <v>144</v>
      </c>
      <c r="B3" s="1039" t="s">
        <v>109</v>
      </c>
      <c r="C3" s="1040"/>
      <c r="D3" s="1040"/>
      <c r="E3" s="1040"/>
      <c r="F3" s="1040"/>
      <c r="G3" s="1040"/>
      <c r="H3" s="1041"/>
      <c r="I3" s="1045" t="s">
        <v>110</v>
      </c>
      <c r="J3" s="1046" t="s">
        <v>153</v>
      </c>
    </row>
    <row r="4" spans="1:10" x14ac:dyDescent="0.2">
      <c r="A4" s="1038"/>
      <c r="B4" s="1042"/>
      <c r="C4" s="1043"/>
      <c r="D4" s="1043"/>
      <c r="E4" s="1043"/>
      <c r="F4" s="1043"/>
      <c r="G4" s="1043"/>
      <c r="H4" s="1044"/>
      <c r="I4" s="1038"/>
      <c r="J4" s="1047"/>
    </row>
    <row r="5" spans="1:10" x14ac:dyDescent="0.2">
      <c r="A5" s="1048" t="s">
        <v>73</v>
      </c>
      <c r="B5" s="1048"/>
      <c r="C5" s="1048"/>
      <c r="D5" s="1049" t="s">
        <v>59</v>
      </c>
      <c r="E5" s="1049" t="s">
        <v>74</v>
      </c>
      <c r="F5" s="1051" t="s">
        <v>75</v>
      </c>
      <c r="G5" s="1052"/>
      <c r="H5" s="1051" t="s">
        <v>76</v>
      </c>
      <c r="I5" s="1052"/>
      <c r="J5" s="1053" t="s">
        <v>77</v>
      </c>
    </row>
    <row r="6" spans="1:10" x14ac:dyDescent="0.2">
      <c r="A6" s="1048"/>
      <c r="B6" s="1048"/>
      <c r="C6" s="1048"/>
      <c r="D6" s="1050"/>
      <c r="E6" s="1050"/>
      <c r="F6" s="33" t="s">
        <v>78</v>
      </c>
      <c r="G6" s="34" t="s">
        <v>79</v>
      </c>
      <c r="H6" s="33" t="s">
        <v>78</v>
      </c>
      <c r="I6" s="33" t="s">
        <v>79</v>
      </c>
      <c r="J6" s="1053"/>
    </row>
    <row r="7" spans="1:10" x14ac:dyDescent="0.2">
      <c r="A7" s="1060" t="s">
        <v>60</v>
      </c>
      <c r="B7" s="1061"/>
      <c r="C7" s="1062"/>
      <c r="D7" s="35">
        <v>30106</v>
      </c>
      <c r="E7" s="36">
        <v>1</v>
      </c>
      <c r="F7" s="36">
        <v>0.7</v>
      </c>
      <c r="G7" s="36">
        <v>0.3</v>
      </c>
      <c r="H7" s="36">
        <v>17.559999999999999</v>
      </c>
      <c r="I7" s="36">
        <v>14.8</v>
      </c>
      <c r="J7" s="36">
        <f>E7*(F7*H7+I7*G7)</f>
        <v>16.73</v>
      </c>
    </row>
    <row r="8" spans="1:10" x14ac:dyDescent="0.2">
      <c r="A8" s="37"/>
      <c r="B8" s="38"/>
      <c r="C8" s="39"/>
      <c r="D8" s="40"/>
      <c r="E8" s="36"/>
      <c r="F8" s="36"/>
      <c r="G8" s="36"/>
      <c r="H8" s="36"/>
      <c r="I8" s="36"/>
      <c r="J8" s="36"/>
    </row>
    <row r="9" spans="1:10" x14ac:dyDescent="0.2">
      <c r="A9" s="37"/>
      <c r="B9" s="38"/>
      <c r="C9" s="39"/>
      <c r="D9" s="40"/>
      <c r="E9" s="36"/>
      <c r="F9" s="36"/>
      <c r="G9" s="36"/>
      <c r="H9" s="36"/>
      <c r="I9" s="36"/>
      <c r="J9" s="36"/>
    </row>
    <row r="10" spans="1:10" x14ac:dyDescent="0.2">
      <c r="A10" s="1060"/>
      <c r="B10" s="1061"/>
      <c r="C10" s="1062"/>
      <c r="D10" s="40"/>
      <c r="E10" s="36"/>
      <c r="F10" s="36"/>
      <c r="G10" s="36"/>
      <c r="H10" s="36"/>
      <c r="I10" s="36"/>
      <c r="J10" s="36"/>
    </row>
    <row r="11" spans="1:10" x14ac:dyDescent="0.2">
      <c r="A11" s="1060"/>
      <c r="B11" s="1061"/>
      <c r="C11" s="1062"/>
      <c r="D11" s="40"/>
      <c r="E11" s="36"/>
      <c r="F11" s="36"/>
      <c r="G11" s="36"/>
      <c r="H11" s="36"/>
      <c r="I11" s="36"/>
      <c r="J11" s="36"/>
    </row>
    <row r="12" spans="1:10" x14ac:dyDescent="0.2">
      <c r="A12" s="1060"/>
      <c r="B12" s="1061"/>
      <c r="C12" s="1062"/>
      <c r="D12" s="40"/>
      <c r="E12" s="36"/>
      <c r="F12" s="36"/>
      <c r="G12" s="36"/>
      <c r="H12" s="36"/>
      <c r="I12" s="36"/>
      <c r="J12" s="36"/>
    </row>
    <row r="13" spans="1:10" x14ac:dyDescent="0.2">
      <c r="A13" s="37"/>
      <c r="B13" s="38"/>
      <c r="C13" s="39"/>
      <c r="D13" s="40"/>
      <c r="E13" s="36"/>
      <c r="F13" s="36"/>
      <c r="G13" s="36"/>
      <c r="H13" s="36"/>
      <c r="I13" s="36"/>
      <c r="J13" s="36"/>
    </row>
    <row r="14" spans="1:10" x14ac:dyDescent="0.2">
      <c r="A14" s="1031"/>
      <c r="B14" s="1032"/>
      <c r="C14" s="1033"/>
      <c r="D14" s="41"/>
      <c r="E14" s="42"/>
      <c r="F14" s="42"/>
      <c r="G14" s="36"/>
      <c r="H14" s="36"/>
      <c r="I14" s="36"/>
      <c r="J14" s="36"/>
    </row>
    <row r="15" spans="1:10" x14ac:dyDescent="0.2">
      <c r="A15" s="1063" t="s">
        <v>80</v>
      </c>
      <c r="B15" s="1064"/>
      <c r="C15" s="1064"/>
      <c r="D15" s="1064"/>
      <c r="E15" s="1064"/>
      <c r="F15" s="1064"/>
      <c r="G15" s="1064"/>
      <c r="H15" s="1064"/>
      <c r="I15" s="1065"/>
      <c r="J15" s="43">
        <f>SUM(J7:J14)</f>
        <v>16.73</v>
      </c>
    </row>
    <row r="16" spans="1:10" x14ac:dyDescent="0.2">
      <c r="A16" s="1066" t="s">
        <v>81</v>
      </c>
      <c r="B16" s="1067"/>
      <c r="C16" s="1067"/>
      <c r="D16" s="1067"/>
      <c r="E16" s="1068"/>
      <c r="F16" s="1049" t="s">
        <v>59</v>
      </c>
      <c r="G16" s="1049" t="s">
        <v>82</v>
      </c>
      <c r="H16" s="1049" t="s">
        <v>74</v>
      </c>
      <c r="I16" s="1053" t="s">
        <v>83</v>
      </c>
      <c r="J16" s="1049" t="s">
        <v>77</v>
      </c>
    </row>
    <row r="17" spans="1:10" x14ac:dyDescent="0.2">
      <c r="A17" s="1069"/>
      <c r="B17" s="1070"/>
      <c r="C17" s="1070"/>
      <c r="D17" s="1070"/>
      <c r="E17" s="1071"/>
      <c r="F17" s="1050"/>
      <c r="G17" s="1050"/>
      <c r="H17" s="1050"/>
      <c r="I17" s="1053"/>
      <c r="J17" s="1050"/>
    </row>
    <row r="18" spans="1:10" x14ac:dyDescent="0.2">
      <c r="A18" s="1060" t="s">
        <v>145</v>
      </c>
      <c r="B18" s="1061"/>
      <c r="C18" s="1061"/>
      <c r="D18" s="1061"/>
      <c r="E18" s="1062"/>
      <c r="F18" s="44">
        <v>20071</v>
      </c>
      <c r="G18" s="45"/>
      <c r="H18" s="36">
        <v>3</v>
      </c>
      <c r="I18" s="36">
        <v>165.65</v>
      </c>
      <c r="J18" s="36">
        <f>+I18*H18</f>
        <v>496.95</v>
      </c>
    </row>
    <row r="19" spans="1:10" x14ac:dyDescent="0.2">
      <c r="A19" s="1060" t="s">
        <v>65</v>
      </c>
      <c r="B19" s="1061"/>
      <c r="C19" s="1061"/>
      <c r="D19" s="1061"/>
      <c r="E19" s="1062"/>
      <c r="F19" s="44">
        <v>20051</v>
      </c>
      <c r="G19" s="45"/>
      <c r="H19" s="36">
        <v>3</v>
      </c>
      <c r="I19" s="36">
        <v>31.25</v>
      </c>
      <c r="J19" s="36">
        <f>+I19*H19</f>
        <v>93.75</v>
      </c>
    </row>
    <row r="20" spans="1:10" x14ac:dyDescent="0.2">
      <c r="A20" s="37"/>
      <c r="B20" s="38"/>
      <c r="C20" s="38"/>
      <c r="D20" s="38"/>
      <c r="E20" s="39"/>
      <c r="F20" s="44"/>
      <c r="G20" s="45"/>
      <c r="H20" s="36"/>
      <c r="I20" s="36"/>
      <c r="J20" s="36"/>
    </row>
    <row r="21" spans="1:10" x14ac:dyDescent="0.2">
      <c r="A21" s="1060"/>
      <c r="B21" s="1061"/>
      <c r="C21" s="1061"/>
      <c r="D21" s="1061"/>
      <c r="E21" s="1062"/>
      <c r="F21" s="44"/>
      <c r="G21" s="45"/>
      <c r="H21" s="36"/>
      <c r="I21" s="36"/>
      <c r="J21" s="36"/>
    </row>
    <row r="22" spans="1:10" x14ac:dyDescent="0.2">
      <c r="A22" s="1060"/>
      <c r="B22" s="1061"/>
      <c r="C22" s="1061"/>
      <c r="D22" s="1061"/>
      <c r="E22" s="1062"/>
      <c r="F22" s="44"/>
      <c r="G22" s="46"/>
      <c r="H22" s="36"/>
      <c r="I22" s="36"/>
      <c r="J22" s="36"/>
    </row>
    <row r="23" spans="1:10" x14ac:dyDescent="0.2">
      <c r="A23" s="37"/>
      <c r="B23" s="38"/>
      <c r="C23" s="38"/>
      <c r="D23" s="38"/>
      <c r="E23" s="39"/>
      <c r="F23" s="44"/>
      <c r="G23" s="46"/>
      <c r="H23" s="36"/>
      <c r="I23" s="36"/>
      <c r="J23" s="36"/>
    </row>
    <row r="24" spans="1:10" x14ac:dyDescent="0.2">
      <c r="A24" s="1060"/>
      <c r="B24" s="1061"/>
      <c r="C24" s="1061"/>
      <c r="D24" s="1061"/>
      <c r="E24" s="1062"/>
      <c r="F24" s="44"/>
      <c r="G24" s="46"/>
      <c r="H24" s="36"/>
      <c r="I24" s="36"/>
      <c r="J24" s="36"/>
    </row>
    <row r="25" spans="1:10" x14ac:dyDescent="0.2">
      <c r="A25" s="1060"/>
      <c r="B25" s="1061"/>
      <c r="C25" s="1061"/>
      <c r="D25" s="1061"/>
      <c r="E25" s="1062"/>
      <c r="F25" s="44"/>
      <c r="G25" s="46"/>
      <c r="H25" s="36"/>
      <c r="I25" s="36"/>
      <c r="J25" s="36"/>
    </row>
    <row r="26" spans="1:10" x14ac:dyDescent="0.2">
      <c r="A26" s="1031"/>
      <c r="B26" s="1032"/>
      <c r="C26" s="1032"/>
      <c r="D26" s="1032"/>
      <c r="E26" s="1033"/>
      <c r="F26" s="41"/>
      <c r="G26" s="47"/>
      <c r="H26" s="42"/>
      <c r="I26" s="42"/>
      <c r="J26" s="36"/>
    </row>
    <row r="27" spans="1:10" x14ac:dyDescent="0.2">
      <c r="A27" s="1063" t="s">
        <v>84</v>
      </c>
      <c r="B27" s="1064"/>
      <c r="C27" s="1064"/>
      <c r="D27" s="1064"/>
      <c r="E27" s="1064"/>
      <c r="F27" s="1064"/>
      <c r="G27" s="1064"/>
      <c r="H27" s="1064"/>
      <c r="I27" s="1065"/>
      <c r="J27" s="43">
        <f>ROUND(SUM(J18:J26),2)</f>
        <v>590.70000000000005</v>
      </c>
    </row>
    <row r="28" spans="1:10" x14ac:dyDescent="0.2">
      <c r="A28" s="1072" t="s">
        <v>85</v>
      </c>
      <c r="B28" s="1073"/>
      <c r="C28" s="1073"/>
      <c r="D28" s="1073"/>
      <c r="E28" s="1073"/>
      <c r="F28" s="42">
        <v>1</v>
      </c>
      <c r="G28" s="1072" t="s">
        <v>86</v>
      </c>
      <c r="H28" s="1073"/>
      <c r="I28" s="1073"/>
      <c r="J28" s="48">
        <f>+J27+J15</f>
        <v>607.42999999999995</v>
      </c>
    </row>
    <row r="29" spans="1:10" x14ac:dyDescent="0.2">
      <c r="A29" s="1074" t="s">
        <v>87</v>
      </c>
      <c r="B29" s="1075"/>
      <c r="C29" s="1075"/>
      <c r="D29" s="1075"/>
      <c r="E29" s="1075"/>
      <c r="F29" s="1075"/>
      <c r="G29" s="1075"/>
      <c r="H29" s="1075"/>
      <c r="I29" s="1076"/>
      <c r="J29" s="43">
        <f>ROUND(J28/F28,2)</f>
        <v>607.42999999999995</v>
      </c>
    </row>
    <row r="30" spans="1:10" x14ac:dyDescent="0.2">
      <c r="A30" s="1077" t="s">
        <v>88</v>
      </c>
      <c r="B30" s="1078"/>
      <c r="C30" s="1078"/>
      <c r="D30" s="1078"/>
      <c r="E30" s="1079"/>
      <c r="F30" s="1049" t="s">
        <v>59</v>
      </c>
      <c r="G30" s="1049" t="s">
        <v>1</v>
      </c>
      <c r="H30" s="1053" t="s">
        <v>63</v>
      </c>
      <c r="I30" s="1049" t="s">
        <v>89</v>
      </c>
      <c r="J30" s="1049" t="s">
        <v>90</v>
      </c>
    </row>
    <row r="31" spans="1:10" x14ac:dyDescent="0.2">
      <c r="A31" s="1080"/>
      <c r="B31" s="1081"/>
      <c r="C31" s="1081"/>
      <c r="D31" s="1081"/>
      <c r="E31" s="1082"/>
      <c r="F31" s="1050"/>
      <c r="G31" s="1050"/>
      <c r="H31" s="1053"/>
      <c r="I31" s="1050"/>
      <c r="J31" s="1050"/>
    </row>
    <row r="32" spans="1:10" x14ac:dyDescent="0.2">
      <c r="A32" s="49"/>
      <c r="B32" s="50"/>
      <c r="C32" s="50"/>
      <c r="D32" s="50"/>
      <c r="E32" s="51"/>
      <c r="F32" s="52"/>
      <c r="G32" s="53"/>
      <c r="H32" s="54"/>
      <c r="I32" s="55"/>
      <c r="J32" s="36"/>
    </row>
    <row r="33" spans="1:15" ht="12.95" customHeight="1" x14ac:dyDescent="0.2">
      <c r="A33" s="1096"/>
      <c r="B33" s="1097"/>
      <c r="C33" s="1097"/>
      <c r="D33" s="1097"/>
      <c r="E33" s="1098"/>
      <c r="F33" s="52"/>
      <c r="G33" s="53"/>
      <c r="H33" s="54"/>
      <c r="I33" s="55"/>
      <c r="J33" s="36"/>
    </row>
    <row r="34" spans="1:15" ht="12.95" customHeight="1" x14ac:dyDescent="0.2">
      <c r="A34" s="1060"/>
      <c r="B34" s="1061"/>
      <c r="C34" s="1061"/>
      <c r="D34" s="1061"/>
      <c r="E34" s="1062"/>
      <c r="F34" s="52"/>
      <c r="G34" s="53"/>
      <c r="H34" s="54"/>
      <c r="I34" s="55"/>
      <c r="J34" s="36"/>
    </row>
    <row r="35" spans="1:15" ht="12.95" customHeight="1" x14ac:dyDescent="0.2">
      <c r="A35" s="1060"/>
      <c r="B35" s="1061"/>
      <c r="C35" s="1061"/>
      <c r="D35" s="1061"/>
      <c r="E35" s="1062"/>
      <c r="F35" s="52"/>
      <c r="G35" s="53"/>
      <c r="H35" s="54"/>
      <c r="I35" s="55"/>
      <c r="J35" s="36"/>
    </row>
    <row r="36" spans="1:15" ht="12.95" customHeight="1" x14ac:dyDescent="0.2">
      <c r="A36" s="1060"/>
      <c r="B36" s="1061"/>
      <c r="C36" s="1061"/>
      <c r="D36" s="1061"/>
      <c r="E36" s="1062"/>
      <c r="F36" s="52"/>
      <c r="G36" s="53"/>
      <c r="H36" s="54"/>
      <c r="I36" s="55"/>
      <c r="J36" s="36"/>
    </row>
    <row r="37" spans="1:15" ht="12.95" customHeight="1" x14ac:dyDescent="0.2">
      <c r="A37" s="1096"/>
      <c r="B37" s="1097"/>
      <c r="C37" s="1097"/>
      <c r="D37" s="1097"/>
      <c r="E37" s="1098"/>
      <c r="F37" s="52"/>
      <c r="G37" s="53"/>
      <c r="H37" s="54"/>
      <c r="I37" s="55"/>
      <c r="J37" s="36"/>
    </row>
    <row r="38" spans="1:15" ht="12.95" customHeight="1" x14ac:dyDescent="0.2">
      <c r="A38" s="37"/>
      <c r="B38" s="56"/>
      <c r="C38" s="56"/>
      <c r="D38" s="56"/>
      <c r="E38" s="57"/>
      <c r="F38" s="52"/>
      <c r="G38" s="53"/>
      <c r="H38" s="54"/>
      <c r="I38" s="55"/>
      <c r="J38" s="36"/>
    </row>
    <row r="39" spans="1:15" ht="12.95" customHeight="1" x14ac:dyDescent="0.2">
      <c r="A39" s="1060"/>
      <c r="B39" s="1061"/>
      <c r="C39" s="1061"/>
      <c r="D39" s="1061"/>
      <c r="E39" s="1062"/>
      <c r="F39" s="52"/>
      <c r="G39" s="53"/>
      <c r="H39" s="54"/>
      <c r="I39" s="55"/>
      <c r="J39" s="36"/>
    </row>
    <row r="40" spans="1:15" ht="12.95" customHeight="1" x14ac:dyDescent="0.2">
      <c r="A40" s="1060"/>
      <c r="B40" s="1061"/>
      <c r="C40" s="1061"/>
      <c r="D40" s="1061"/>
      <c r="E40" s="1062"/>
      <c r="F40" s="52"/>
      <c r="G40" s="53"/>
      <c r="H40" s="54"/>
      <c r="I40" s="55"/>
      <c r="J40" s="36"/>
    </row>
    <row r="41" spans="1:15" ht="12.95" customHeight="1" x14ac:dyDescent="0.2">
      <c r="A41" s="1031"/>
      <c r="B41" s="1032"/>
      <c r="C41" s="1032"/>
      <c r="D41" s="1032"/>
      <c r="E41" s="1033"/>
      <c r="F41" s="58"/>
      <c r="G41" s="59"/>
      <c r="H41" s="60"/>
      <c r="I41" s="55"/>
      <c r="J41" s="36"/>
    </row>
    <row r="42" spans="1:15" x14ac:dyDescent="0.2">
      <c r="A42" s="1063" t="s">
        <v>91</v>
      </c>
      <c r="B42" s="1064"/>
      <c r="C42" s="1064"/>
      <c r="D42" s="1064"/>
      <c r="E42" s="1064"/>
      <c r="F42" s="1064"/>
      <c r="G42" s="1064"/>
      <c r="H42" s="1064"/>
      <c r="I42" s="1065"/>
      <c r="J42" s="43">
        <f>ROUND(SUM(J32:J41),2)</f>
        <v>0</v>
      </c>
    </row>
    <row r="43" spans="1:15" x14ac:dyDescent="0.2">
      <c r="A43" s="1066" t="s">
        <v>92</v>
      </c>
      <c r="B43" s="1067"/>
      <c r="C43" s="1067"/>
      <c r="D43" s="1067"/>
      <c r="E43" s="1090" t="s">
        <v>59</v>
      </c>
      <c r="F43" s="1051" t="s">
        <v>93</v>
      </c>
      <c r="G43" s="1052"/>
      <c r="H43" s="1092" t="s">
        <v>94</v>
      </c>
      <c r="I43" s="1092" t="s">
        <v>95</v>
      </c>
      <c r="J43" s="1049" t="s">
        <v>63</v>
      </c>
      <c r="O43" s="22">
        <f>1.43*2.5</f>
        <v>3.5750000000000002</v>
      </c>
    </row>
    <row r="44" spans="1:15" x14ac:dyDescent="0.2">
      <c r="A44" s="1069"/>
      <c r="B44" s="1070"/>
      <c r="C44" s="1070"/>
      <c r="D44" s="1070"/>
      <c r="E44" s="1091"/>
      <c r="F44" s="33" t="s">
        <v>21</v>
      </c>
      <c r="G44" s="33" t="s">
        <v>20</v>
      </c>
      <c r="H44" s="1092"/>
      <c r="I44" s="1092"/>
      <c r="J44" s="1050"/>
    </row>
    <row r="45" spans="1:15" x14ac:dyDescent="0.2">
      <c r="A45" s="1060"/>
      <c r="B45" s="1061"/>
      <c r="C45" s="1061"/>
      <c r="D45" s="1062"/>
      <c r="E45" s="61"/>
      <c r="F45" s="61"/>
      <c r="G45" s="36"/>
      <c r="H45" s="36"/>
      <c r="I45" s="62"/>
      <c r="J45" s="36"/>
    </row>
    <row r="46" spans="1:15" x14ac:dyDescent="0.2">
      <c r="A46" s="1060"/>
      <c r="B46" s="1061"/>
      <c r="C46" s="1061"/>
      <c r="D46" s="1062"/>
      <c r="E46" s="54"/>
      <c r="F46" s="54"/>
      <c r="G46" s="54"/>
      <c r="H46" s="54"/>
      <c r="I46" s="63"/>
      <c r="J46" s="54"/>
    </row>
    <row r="47" spans="1:15" x14ac:dyDescent="0.2">
      <c r="A47" s="1060"/>
      <c r="B47" s="1061"/>
      <c r="C47" s="1061"/>
      <c r="D47" s="1062"/>
      <c r="E47" s="36"/>
      <c r="F47" s="36"/>
      <c r="G47" s="36"/>
      <c r="H47" s="36"/>
      <c r="I47" s="62"/>
      <c r="J47" s="54"/>
    </row>
    <row r="48" spans="1:15" x14ac:dyDescent="0.2">
      <c r="A48" s="1060"/>
      <c r="B48" s="1061"/>
      <c r="C48" s="1061"/>
      <c r="D48" s="1062"/>
      <c r="E48" s="36"/>
      <c r="F48" s="36"/>
      <c r="G48" s="36"/>
      <c r="H48" s="36"/>
      <c r="I48" s="62"/>
      <c r="J48" s="54"/>
    </row>
    <row r="49" spans="1:10" x14ac:dyDescent="0.2">
      <c r="A49" s="1085" t="s">
        <v>96</v>
      </c>
      <c r="B49" s="1086"/>
      <c r="C49" s="1086"/>
      <c r="D49" s="1086"/>
      <c r="E49" s="1086"/>
      <c r="F49" s="1086"/>
      <c r="G49" s="1086"/>
      <c r="H49" s="1086"/>
      <c r="I49" s="1087"/>
      <c r="J49" s="64">
        <f>SUM(J45:J48)</f>
        <v>0</v>
      </c>
    </row>
    <row r="50" spans="1:10" x14ac:dyDescent="0.2">
      <c r="A50" s="1088" t="s">
        <v>97</v>
      </c>
      <c r="B50" s="1089"/>
      <c r="C50" s="1089"/>
      <c r="D50" s="1089"/>
      <c r="E50" s="1089"/>
      <c r="F50" s="1089"/>
      <c r="G50" s="65" t="s">
        <v>98</v>
      </c>
      <c r="H50" s="25"/>
      <c r="I50" s="66" t="s">
        <v>99</v>
      </c>
      <c r="J50" s="61">
        <f>J49+J42+J29</f>
        <v>607.42999999999995</v>
      </c>
    </row>
    <row r="51" spans="1:10" x14ac:dyDescent="0.2">
      <c r="A51" s="1083" t="s">
        <v>100</v>
      </c>
      <c r="B51" s="1084"/>
      <c r="C51" s="1084"/>
      <c r="D51" s="1084"/>
      <c r="E51" s="1084"/>
      <c r="F51" s="1084"/>
      <c r="G51" s="67">
        <v>0.35</v>
      </c>
      <c r="H51" s="68"/>
      <c r="I51" s="69" t="s">
        <v>99</v>
      </c>
      <c r="J51" s="48">
        <f>+J50*G51</f>
        <v>212.6</v>
      </c>
    </row>
    <row r="52" spans="1:10" x14ac:dyDescent="0.2">
      <c r="A52" s="1074" t="s">
        <v>101</v>
      </c>
      <c r="B52" s="1075"/>
      <c r="C52" s="1075"/>
      <c r="D52" s="1075"/>
      <c r="E52" s="1075"/>
      <c r="F52" s="1075"/>
      <c r="G52" s="70"/>
      <c r="H52" s="71"/>
      <c r="I52" s="72" t="s">
        <v>99</v>
      </c>
      <c r="J52" s="43">
        <f>+J51+J50</f>
        <v>820.03</v>
      </c>
    </row>
    <row r="53" spans="1:10" x14ac:dyDescent="0.2">
      <c r="A53" s="23" t="s">
        <v>102</v>
      </c>
      <c r="B53" s="25"/>
      <c r="C53" s="25"/>
      <c r="D53" s="25"/>
      <c r="E53" s="25"/>
      <c r="F53" s="25"/>
      <c r="G53" s="25"/>
      <c r="H53" s="24"/>
      <c r="I53" s="24"/>
      <c r="J53" s="73"/>
    </row>
    <row r="54" spans="1:10" x14ac:dyDescent="0.2">
      <c r="A54" s="26"/>
      <c r="B54" s="27"/>
      <c r="C54" s="27"/>
      <c r="D54" s="27"/>
      <c r="E54" s="27"/>
      <c r="F54" s="27"/>
      <c r="G54" s="27"/>
      <c r="H54" s="28"/>
      <c r="I54" s="28"/>
      <c r="J54" s="73"/>
    </row>
    <row r="55" spans="1:10" x14ac:dyDescent="0.2">
      <c r="A55" s="29"/>
      <c r="B55" s="31"/>
      <c r="C55" s="31"/>
      <c r="D55" s="30"/>
      <c r="E55" s="30"/>
      <c r="F55" s="30"/>
      <c r="G55" s="30"/>
      <c r="H55" s="30"/>
      <c r="I55" s="30"/>
      <c r="J55" s="74"/>
    </row>
  </sheetData>
  <mergeCells count="63">
    <mergeCell ref="A14:C14"/>
    <mergeCell ref="A1:J1"/>
    <mergeCell ref="A3:A4"/>
    <mergeCell ref="B3:H4"/>
    <mergeCell ref="I3:I4"/>
    <mergeCell ref="J3:J4"/>
    <mergeCell ref="A5:C6"/>
    <mergeCell ref="D5:D6"/>
    <mergeCell ref="E5:E6"/>
    <mergeCell ref="F5:G5"/>
    <mergeCell ref="H5:I5"/>
    <mergeCell ref="J5:J6"/>
    <mergeCell ref="A7:C7"/>
    <mergeCell ref="A10:C10"/>
    <mergeCell ref="A11:C11"/>
    <mergeCell ref="A12:C12"/>
    <mergeCell ref="A24:E24"/>
    <mergeCell ref="A15:I15"/>
    <mergeCell ref="A16:E17"/>
    <mergeCell ref="F16:F17"/>
    <mergeCell ref="G16:G17"/>
    <mergeCell ref="H16:H17"/>
    <mergeCell ref="I16:I17"/>
    <mergeCell ref="J16:J17"/>
    <mergeCell ref="A18:E18"/>
    <mergeCell ref="A19:E19"/>
    <mergeCell ref="A21:E21"/>
    <mergeCell ref="A22:E22"/>
    <mergeCell ref="I30:I31"/>
    <mergeCell ref="J30:J31"/>
    <mergeCell ref="A25:E25"/>
    <mergeCell ref="A26:E26"/>
    <mergeCell ref="A27:I27"/>
    <mergeCell ref="A28:E28"/>
    <mergeCell ref="G28:I28"/>
    <mergeCell ref="A29:I29"/>
    <mergeCell ref="A39:E39"/>
    <mergeCell ref="A30:E31"/>
    <mergeCell ref="F30:F31"/>
    <mergeCell ref="G30:G31"/>
    <mergeCell ref="H30:H31"/>
    <mergeCell ref="A33:E33"/>
    <mergeCell ref="A34:E34"/>
    <mergeCell ref="A35:E35"/>
    <mergeCell ref="A36:E36"/>
    <mergeCell ref="A37:E37"/>
    <mergeCell ref="A40:E40"/>
    <mergeCell ref="A41:E41"/>
    <mergeCell ref="A42:I42"/>
    <mergeCell ref="A43:D44"/>
    <mergeCell ref="E43:E44"/>
    <mergeCell ref="F43:G43"/>
    <mergeCell ref="H43:H44"/>
    <mergeCell ref="I43:I44"/>
    <mergeCell ref="A50:F50"/>
    <mergeCell ref="A51:F51"/>
    <mergeCell ref="A52:F52"/>
    <mergeCell ref="J43:J44"/>
    <mergeCell ref="A45:D45"/>
    <mergeCell ref="A46:D46"/>
    <mergeCell ref="A47:D47"/>
    <mergeCell ref="A48:D48"/>
    <mergeCell ref="A49:I49"/>
  </mergeCells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7:N38"/>
  <sheetViews>
    <sheetView topLeftCell="B1" zoomScaleNormal="100" workbookViewId="0">
      <selection activeCell="C55" sqref="C55"/>
    </sheetView>
  </sheetViews>
  <sheetFormatPr defaultRowHeight="14.25" x14ac:dyDescent="0.2"/>
  <sheetData>
    <row r="7" spans="3:14" x14ac:dyDescent="0.2"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</row>
    <row r="8" spans="3:14" x14ac:dyDescent="0.2"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</row>
    <row r="9" spans="3:14" x14ac:dyDescent="0.2"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</row>
    <row r="10" spans="3:14" x14ac:dyDescent="0.2"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</row>
    <row r="11" spans="3:14" x14ac:dyDescent="0.2"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</row>
    <row r="12" spans="3:14" x14ac:dyDescent="0.2"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</row>
    <row r="13" spans="3:14" x14ac:dyDescent="0.2"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</row>
    <row r="14" spans="3:14" x14ac:dyDescent="0.2"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</row>
    <row r="15" spans="3:14" x14ac:dyDescent="0.2"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</row>
    <row r="16" spans="3:14" x14ac:dyDescent="0.2"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</row>
    <row r="17" spans="3:14" x14ac:dyDescent="0.2"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</row>
    <row r="18" spans="3:14" x14ac:dyDescent="0.2"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</row>
    <row r="19" spans="3:14" x14ac:dyDescent="0.2"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</row>
    <row r="20" spans="3:14" x14ac:dyDescent="0.2"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</row>
    <row r="21" spans="3:14" x14ac:dyDescent="0.2"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</row>
    <row r="22" spans="3:14" x14ac:dyDescent="0.2"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</row>
    <row r="23" spans="3:14" x14ac:dyDescent="0.2"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</row>
    <row r="24" spans="3:14" x14ac:dyDescent="0.2"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</row>
    <row r="25" spans="3:14" x14ac:dyDescent="0.2"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</row>
    <row r="26" spans="3:14" x14ac:dyDescent="0.2"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</row>
    <row r="27" spans="3:14" x14ac:dyDescent="0.2"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</row>
    <row r="28" spans="3:14" x14ac:dyDescent="0.2"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</row>
    <row r="29" spans="3:14" x14ac:dyDescent="0.2"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</row>
    <row r="30" spans="3:14" x14ac:dyDescent="0.2"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</row>
    <row r="31" spans="3:14" x14ac:dyDescent="0.2"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</row>
    <row r="32" spans="3:14" x14ac:dyDescent="0.2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</row>
    <row r="33" spans="3:14" x14ac:dyDescent="0.2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</row>
    <row r="34" spans="3:14" x14ac:dyDescent="0.2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</row>
    <row r="35" spans="3:14" x14ac:dyDescent="0.2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</row>
    <row r="36" spans="3:14" x14ac:dyDescent="0.2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</row>
    <row r="37" spans="3:14" x14ac:dyDescent="0.2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3:14" x14ac:dyDescent="0.2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</sheetData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AF32"/>
  <sheetViews>
    <sheetView workbookViewId="0">
      <selection activeCell="C55" sqref="C55"/>
    </sheetView>
  </sheetViews>
  <sheetFormatPr defaultColWidth="9" defaultRowHeight="14.25" x14ac:dyDescent="0.2"/>
  <cols>
    <col min="1" max="1" width="9" style="1"/>
    <col min="2" max="4" width="15.625" style="1" customWidth="1"/>
    <col min="5" max="7" width="12.625" style="1" customWidth="1"/>
    <col min="8" max="11" width="12.625" style="11" customWidth="1"/>
    <col min="12" max="12" width="13.875" style="11" customWidth="1"/>
    <col min="13" max="13" width="13.5" style="11" customWidth="1"/>
    <col min="14" max="14" width="12.5" style="11" customWidth="1"/>
    <col min="15" max="15" width="10.875" style="11" customWidth="1"/>
    <col min="16" max="16" width="12.5" style="11" customWidth="1"/>
    <col min="17" max="17" width="20.625" style="11" customWidth="1"/>
    <col min="18" max="18" width="13" style="11" customWidth="1"/>
    <col min="19" max="19" width="11.625" style="11" customWidth="1"/>
    <col min="20" max="20" width="15.25" style="11" customWidth="1"/>
    <col min="21" max="32" width="12.625" style="11" customWidth="1"/>
    <col min="33" max="33" width="12.625" style="1" customWidth="1"/>
    <col min="34" max="39" width="11.125" style="1" customWidth="1"/>
    <col min="40" max="16384" width="9" style="1"/>
  </cols>
  <sheetData>
    <row r="3" spans="2:14" ht="17.100000000000001" customHeight="1" x14ac:dyDescent="0.2">
      <c r="B3" s="1107" t="s">
        <v>29</v>
      </c>
      <c r="C3" s="1107"/>
      <c r="D3" s="1107"/>
      <c r="E3" s="1107"/>
      <c r="F3" s="1107"/>
    </row>
    <row r="4" spans="2:14" ht="42.75" customHeight="1" x14ac:dyDescent="0.2">
      <c r="B4" s="4" t="s">
        <v>24</v>
      </c>
      <c r="C4" s="4" t="s">
        <v>25</v>
      </c>
      <c r="D4" s="4" t="s">
        <v>26</v>
      </c>
      <c r="E4" s="4" t="s">
        <v>27</v>
      </c>
      <c r="F4" s="4" t="s">
        <v>28</v>
      </c>
    </row>
    <row r="5" spans="2:14" ht="17.100000000000001" customHeight="1" x14ac:dyDescent="0.2">
      <c r="B5" s="5" t="s">
        <v>19</v>
      </c>
      <c r="C5" s="5">
        <v>154.66560000000001</v>
      </c>
      <c r="D5" s="2">
        <v>30.36</v>
      </c>
      <c r="E5" s="5">
        <v>3.01</v>
      </c>
      <c r="F5" s="5">
        <v>3.2311000000000001</v>
      </c>
    </row>
    <row r="6" spans="2:14" ht="17.100000000000001" customHeight="1" x14ac:dyDescent="0.2">
      <c r="B6" s="5" t="s">
        <v>22</v>
      </c>
      <c r="C6" s="5">
        <v>193.1712</v>
      </c>
      <c r="D6" s="3">
        <v>33.46</v>
      </c>
      <c r="E6" s="5">
        <v>3.93</v>
      </c>
      <c r="F6" s="5">
        <v>3.6796000000000002</v>
      </c>
    </row>
    <row r="7" spans="2:14" ht="17.100000000000001" customHeight="1" x14ac:dyDescent="0.2">
      <c r="B7" s="5" t="s">
        <v>23</v>
      </c>
      <c r="C7" s="5">
        <v>158.01599999999999</v>
      </c>
      <c r="D7" s="3">
        <v>26.66</v>
      </c>
      <c r="E7" s="5">
        <v>2.9</v>
      </c>
      <c r="F7" s="5">
        <v>3.1650999999999998</v>
      </c>
    </row>
    <row r="8" spans="2:14" ht="17.100000000000001" customHeight="1" x14ac:dyDescent="0.2"/>
    <row r="13" spans="2:14" x14ac:dyDescent="0.2">
      <c r="N13" s="16"/>
    </row>
    <row r="19" spans="5:25" ht="15" thickBot="1" x14ac:dyDescent="0.25"/>
    <row r="20" spans="5:25" x14ac:dyDescent="0.2">
      <c r="F20" s="1108" t="s">
        <v>49</v>
      </c>
      <c r="G20" s="1109"/>
      <c r="H20" s="1109"/>
      <c r="I20" s="12"/>
      <c r="J20" s="13" t="s">
        <v>38</v>
      </c>
      <c r="K20" s="13"/>
      <c r="L20" s="1108" t="s">
        <v>40</v>
      </c>
      <c r="M20" s="1109"/>
      <c r="N20" s="1109"/>
      <c r="O20" s="1109"/>
      <c r="P20" s="1109"/>
      <c r="Q20" s="1109"/>
      <c r="R20" s="1109"/>
      <c r="S20" s="1110"/>
      <c r="T20" s="1108" t="s">
        <v>50</v>
      </c>
      <c r="U20" s="1109"/>
      <c r="V20" s="1110"/>
      <c r="W20" s="1108" t="s">
        <v>54</v>
      </c>
      <c r="X20" s="1109"/>
      <c r="Y20" s="1110"/>
    </row>
    <row r="21" spans="5:25" x14ac:dyDescent="0.2">
      <c r="E21" s="6" t="s">
        <v>24</v>
      </c>
      <c r="F21" s="7" t="s">
        <v>36</v>
      </c>
      <c r="G21" s="8" t="s">
        <v>39</v>
      </c>
      <c r="H21" s="14" t="s">
        <v>37</v>
      </c>
      <c r="I21" s="15" t="s">
        <v>36</v>
      </c>
      <c r="J21" s="16" t="s">
        <v>39</v>
      </c>
      <c r="K21" s="14" t="s">
        <v>37</v>
      </c>
      <c r="L21" s="15" t="s">
        <v>41</v>
      </c>
      <c r="M21" s="16" t="s">
        <v>43</v>
      </c>
      <c r="N21" s="16" t="s">
        <v>44</v>
      </c>
      <c r="O21" s="16" t="s">
        <v>45</v>
      </c>
      <c r="P21" s="16" t="s">
        <v>42</v>
      </c>
      <c r="Q21" s="16" t="s">
        <v>46</v>
      </c>
      <c r="R21" s="16" t="s">
        <v>47</v>
      </c>
      <c r="S21" s="17" t="s">
        <v>48</v>
      </c>
      <c r="T21" s="15" t="s">
        <v>51</v>
      </c>
      <c r="U21" s="16" t="s">
        <v>52</v>
      </c>
      <c r="V21" s="17" t="s">
        <v>53</v>
      </c>
      <c r="W21" s="15" t="s">
        <v>42</v>
      </c>
      <c r="X21" s="16" t="s">
        <v>55</v>
      </c>
      <c r="Y21" s="17" t="s">
        <v>37</v>
      </c>
    </row>
    <row r="22" spans="5:25" x14ac:dyDescent="0.2">
      <c r="E22" s="6" t="s">
        <v>19</v>
      </c>
      <c r="F22" s="7">
        <v>4.42</v>
      </c>
      <c r="G22" s="8">
        <v>0.05</v>
      </c>
      <c r="H22" s="14">
        <f>+F22*G22</f>
        <v>0.221</v>
      </c>
      <c r="I22" s="15">
        <v>1.89</v>
      </c>
      <c r="J22" s="16">
        <v>1.2</v>
      </c>
      <c r="K22" s="14">
        <f>+I22*J22</f>
        <v>2.2679999999999998</v>
      </c>
      <c r="L22" s="15">
        <v>12.04</v>
      </c>
      <c r="M22" s="16">
        <v>9.92</v>
      </c>
      <c r="N22" s="16">
        <v>1.2</v>
      </c>
      <c r="O22" s="16">
        <v>0.15</v>
      </c>
      <c r="P22" s="16">
        <v>5.88</v>
      </c>
      <c r="Q22" s="16">
        <f>+O22*M22</f>
        <v>1.488</v>
      </c>
      <c r="R22" s="16">
        <f>+L22*N22</f>
        <v>14.448</v>
      </c>
      <c r="S22" s="17">
        <f>+R22+Q22+P22</f>
        <v>21.815999999999999</v>
      </c>
      <c r="T22" s="15">
        <v>78.150000000000006</v>
      </c>
      <c r="U22" s="16">
        <v>0.96</v>
      </c>
      <c r="V22" s="17">
        <f>+U22*T22</f>
        <v>75.024000000000001</v>
      </c>
      <c r="W22" s="15">
        <f>+P22</f>
        <v>5.88</v>
      </c>
      <c r="X22" s="16">
        <v>0.15</v>
      </c>
      <c r="Y22" s="17">
        <f>+X22*W22</f>
        <v>0.88200000000000001</v>
      </c>
    </row>
    <row r="23" spans="5:25" x14ac:dyDescent="0.2">
      <c r="E23" s="6" t="s">
        <v>22</v>
      </c>
      <c r="F23" s="7">
        <v>8.34</v>
      </c>
      <c r="G23" s="8">
        <f>+G22</f>
        <v>0.05</v>
      </c>
      <c r="H23" s="14">
        <f t="shared" ref="H23:H30" si="0">+F23*G23</f>
        <v>0.41699999999999998</v>
      </c>
      <c r="I23" s="15">
        <v>2.23</v>
      </c>
      <c r="J23" s="16">
        <v>1.2</v>
      </c>
      <c r="K23" s="14">
        <f t="shared" ref="K23:K30" si="1">+I23*J23</f>
        <v>2.6760000000000002</v>
      </c>
      <c r="L23" s="15">
        <v>13.77</v>
      </c>
      <c r="M23" s="16">
        <v>13.47</v>
      </c>
      <c r="N23" s="16">
        <v>1.2</v>
      </c>
      <c r="O23" s="16">
        <v>0.15</v>
      </c>
      <c r="P23" s="16">
        <v>11.22</v>
      </c>
      <c r="Q23" s="16">
        <f t="shared" ref="Q23:Q30" si="2">+O23*M23</f>
        <v>2.0205000000000002</v>
      </c>
      <c r="R23" s="16">
        <f t="shared" ref="R23:R30" si="3">+L23*N23</f>
        <v>16.524000000000001</v>
      </c>
      <c r="S23" s="17">
        <f t="shared" ref="S23:S30" si="4">+R23+Q23+P23</f>
        <v>29.764500000000002</v>
      </c>
      <c r="T23" s="15">
        <v>158.96</v>
      </c>
      <c r="U23" s="16">
        <v>0.96</v>
      </c>
      <c r="V23" s="17">
        <f t="shared" ref="V23:V30" si="5">+U23*T23</f>
        <v>152.60159999999999</v>
      </c>
      <c r="W23" s="15">
        <f t="shared" ref="W23:W30" si="6">+P23</f>
        <v>11.22</v>
      </c>
      <c r="X23" s="16">
        <v>0.15</v>
      </c>
      <c r="Y23" s="17">
        <f t="shared" ref="Y23:Y30" si="7">+X23*W23</f>
        <v>1.6830000000000001</v>
      </c>
    </row>
    <row r="24" spans="5:25" x14ac:dyDescent="0.2">
      <c r="E24" s="6" t="s">
        <v>23</v>
      </c>
      <c r="F24" s="7">
        <v>5.82</v>
      </c>
      <c r="G24" s="8">
        <f t="shared" ref="G24:G30" si="8">+G23</f>
        <v>0.05</v>
      </c>
      <c r="H24" s="14">
        <f t="shared" si="0"/>
        <v>0.29099999999999998</v>
      </c>
      <c r="I24" s="15">
        <v>2.41</v>
      </c>
      <c r="J24" s="16">
        <v>1.2</v>
      </c>
      <c r="K24" s="14">
        <f t="shared" si="1"/>
        <v>2.8919999999999999</v>
      </c>
      <c r="L24" s="15">
        <v>10.43</v>
      </c>
      <c r="M24" s="16">
        <v>11.81</v>
      </c>
      <c r="N24" s="16">
        <v>1.2</v>
      </c>
      <c r="O24" s="16">
        <v>0.15</v>
      </c>
      <c r="P24" s="16">
        <v>8.69</v>
      </c>
      <c r="Q24" s="16">
        <f t="shared" si="2"/>
        <v>1.7715000000000001</v>
      </c>
      <c r="R24" s="16">
        <f t="shared" si="3"/>
        <v>12.516</v>
      </c>
      <c r="S24" s="17">
        <f t="shared" si="4"/>
        <v>22.977499999999999</v>
      </c>
      <c r="T24" s="15">
        <v>110.64</v>
      </c>
      <c r="U24" s="16">
        <v>0.96</v>
      </c>
      <c r="V24" s="17">
        <f t="shared" si="5"/>
        <v>106.2144</v>
      </c>
      <c r="W24" s="15">
        <f t="shared" si="6"/>
        <v>8.69</v>
      </c>
      <c r="X24" s="16">
        <v>0.15</v>
      </c>
      <c r="Y24" s="17">
        <f t="shared" si="7"/>
        <v>1.3035000000000001</v>
      </c>
    </row>
    <row r="25" spans="5:25" x14ac:dyDescent="0.2">
      <c r="E25" s="6" t="s">
        <v>30</v>
      </c>
      <c r="F25" s="7">
        <v>8.11</v>
      </c>
      <c r="G25" s="8">
        <f t="shared" si="8"/>
        <v>0.05</v>
      </c>
      <c r="H25" s="14">
        <f t="shared" si="0"/>
        <v>0.40550000000000003</v>
      </c>
      <c r="I25" s="15">
        <v>3.25</v>
      </c>
      <c r="J25" s="16">
        <v>1.2</v>
      </c>
      <c r="K25" s="14">
        <f t="shared" si="1"/>
        <v>3.9</v>
      </c>
      <c r="L25" s="15">
        <v>12.89</v>
      </c>
      <c r="M25" s="16">
        <v>12.98</v>
      </c>
      <c r="N25" s="16">
        <v>1.2</v>
      </c>
      <c r="O25" s="16">
        <v>0.15</v>
      </c>
      <c r="P25" s="16">
        <v>10.96</v>
      </c>
      <c r="Q25" s="16">
        <f t="shared" si="2"/>
        <v>1.9470000000000001</v>
      </c>
      <c r="R25" s="16">
        <f t="shared" si="3"/>
        <v>15.468</v>
      </c>
      <c r="S25" s="17">
        <f t="shared" si="4"/>
        <v>28.375</v>
      </c>
      <c r="T25" s="15">
        <v>155.08000000000001</v>
      </c>
      <c r="U25" s="16">
        <v>0.96</v>
      </c>
      <c r="V25" s="17">
        <f t="shared" si="5"/>
        <v>148.8768</v>
      </c>
      <c r="W25" s="15">
        <f t="shared" si="6"/>
        <v>10.96</v>
      </c>
      <c r="X25" s="16">
        <v>0.15</v>
      </c>
      <c r="Y25" s="17">
        <f t="shared" si="7"/>
        <v>1.6439999999999999</v>
      </c>
    </row>
    <row r="26" spans="5:25" x14ac:dyDescent="0.2">
      <c r="E26" s="6" t="s">
        <v>31</v>
      </c>
      <c r="F26" s="7">
        <v>8.01</v>
      </c>
      <c r="G26" s="8">
        <f t="shared" si="8"/>
        <v>0.05</v>
      </c>
      <c r="H26" s="14">
        <f t="shared" si="0"/>
        <v>0.40050000000000002</v>
      </c>
      <c r="I26" s="15">
        <v>3.23</v>
      </c>
      <c r="J26" s="16">
        <v>1.2</v>
      </c>
      <c r="K26" s="14">
        <f t="shared" si="1"/>
        <v>3.8759999999999999</v>
      </c>
      <c r="L26" s="15">
        <v>12.64</v>
      </c>
      <c r="M26" s="16">
        <v>12.86</v>
      </c>
      <c r="N26" s="16">
        <v>1.2</v>
      </c>
      <c r="O26" s="16">
        <v>0.15</v>
      </c>
      <c r="P26" s="16">
        <v>10.89</v>
      </c>
      <c r="Q26" s="16">
        <f t="shared" si="2"/>
        <v>1.929</v>
      </c>
      <c r="R26" s="16">
        <f t="shared" si="3"/>
        <v>15.167999999999999</v>
      </c>
      <c r="S26" s="17">
        <f t="shared" si="4"/>
        <v>27.986999999999998</v>
      </c>
      <c r="T26" s="15">
        <v>154.08000000000001</v>
      </c>
      <c r="U26" s="16">
        <v>0.96</v>
      </c>
      <c r="V26" s="17">
        <f t="shared" si="5"/>
        <v>147.91679999999999</v>
      </c>
      <c r="W26" s="15">
        <f t="shared" si="6"/>
        <v>10.89</v>
      </c>
      <c r="X26" s="16">
        <v>0.15</v>
      </c>
      <c r="Y26" s="17">
        <f t="shared" si="7"/>
        <v>1.6335</v>
      </c>
    </row>
    <row r="27" spans="5:25" x14ac:dyDescent="0.2">
      <c r="E27" s="6" t="s">
        <v>32</v>
      </c>
      <c r="F27" s="7">
        <v>5.45</v>
      </c>
      <c r="G27" s="8">
        <f t="shared" si="8"/>
        <v>0.05</v>
      </c>
      <c r="H27" s="14">
        <f t="shared" si="0"/>
        <v>0.27250000000000002</v>
      </c>
      <c r="I27" s="15">
        <v>2.35</v>
      </c>
      <c r="J27" s="16">
        <v>1.2</v>
      </c>
      <c r="K27" s="14">
        <f t="shared" si="1"/>
        <v>2.82</v>
      </c>
      <c r="L27" s="15">
        <v>9.7100000000000009</v>
      </c>
      <c r="M27" s="16">
        <v>11.45</v>
      </c>
      <c r="N27" s="16">
        <v>1.2</v>
      </c>
      <c r="O27" s="16">
        <v>0.15</v>
      </c>
      <c r="P27" s="16">
        <v>8.33</v>
      </c>
      <c r="Q27" s="16">
        <f t="shared" si="2"/>
        <v>1.7175</v>
      </c>
      <c r="R27" s="16">
        <f t="shared" si="3"/>
        <v>11.651999999999999</v>
      </c>
      <c r="S27" s="17">
        <f t="shared" si="4"/>
        <v>21.6995</v>
      </c>
      <c r="T27" s="15">
        <v>134.09</v>
      </c>
      <c r="U27" s="16">
        <v>0.96</v>
      </c>
      <c r="V27" s="17">
        <f t="shared" si="5"/>
        <v>128.72640000000001</v>
      </c>
      <c r="W27" s="15">
        <f t="shared" si="6"/>
        <v>8.33</v>
      </c>
      <c r="X27" s="16">
        <v>0.15</v>
      </c>
      <c r="Y27" s="17">
        <f t="shared" si="7"/>
        <v>1.2495000000000001</v>
      </c>
    </row>
    <row r="28" spans="5:25" x14ac:dyDescent="0.2">
      <c r="E28" s="6" t="s">
        <v>33</v>
      </c>
      <c r="F28" s="7">
        <v>7.49</v>
      </c>
      <c r="G28" s="8">
        <f t="shared" si="8"/>
        <v>0.05</v>
      </c>
      <c r="H28" s="14">
        <f t="shared" si="0"/>
        <v>0.3745</v>
      </c>
      <c r="I28" s="15">
        <v>3.11</v>
      </c>
      <c r="J28" s="16">
        <v>1.2</v>
      </c>
      <c r="K28" s="14">
        <f t="shared" si="1"/>
        <v>3.7320000000000002</v>
      </c>
      <c r="L28" s="15">
        <v>12.07</v>
      </c>
      <c r="M28" s="16">
        <v>10.37</v>
      </c>
      <c r="N28" s="16">
        <v>1.2</v>
      </c>
      <c r="O28" s="16">
        <v>0.15</v>
      </c>
      <c r="P28" s="16">
        <v>10.37</v>
      </c>
      <c r="Q28" s="16">
        <f t="shared" si="2"/>
        <v>1.5555000000000001</v>
      </c>
      <c r="R28" s="16">
        <f t="shared" si="3"/>
        <v>14.484</v>
      </c>
      <c r="S28" s="17">
        <f t="shared" si="4"/>
        <v>26.409500000000001</v>
      </c>
      <c r="T28" s="15">
        <v>179.45</v>
      </c>
      <c r="U28" s="16">
        <v>0.96</v>
      </c>
      <c r="V28" s="17">
        <f t="shared" si="5"/>
        <v>172.27199999999999</v>
      </c>
      <c r="W28" s="15">
        <f t="shared" si="6"/>
        <v>10.37</v>
      </c>
      <c r="X28" s="16">
        <v>0.15</v>
      </c>
      <c r="Y28" s="17">
        <f t="shared" si="7"/>
        <v>1.5555000000000001</v>
      </c>
    </row>
    <row r="29" spans="5:25" x14ac:dyDescent="0.2">
      <c r="E29" s="6" t="s">
        <v>34</v>
      </c>
      <c r="F29" s="7">
        <v>5.17</v>
      </c>
      <c r="G29" s="8">
        <f t="shared" si="8"/>
        <v>0.05</v>
      </c>
      <c r="H29" s="14">
        <f t="shared" si="0"/>
        <v>0.25850000000000001</v>
      </c>
      <c r="I29" s="15">
        <v>2.2799999999999998</v>
      </c>
      <c r="J29" s="16">
        <v>1.2</v>
      </c>
      <c r="K29" s="14">
        <f t="shared" si="1"/>
        <v>2.7360000000000002</v>
      </c>
      <c r="L29" s="15">
        <v>9.2799999999999994</v>
      </c>
      <c r="M29" s="16">
        <v>11.23</v>
      </c>
      <c r="N29" s="16">
        <v>1.2</v>
      </c>
      <c r="O29" s="16">
        <v>0.15</v>
      </c>
      <c r="P29" s="16">
        <v>8.0500000000000007</v>
      </c>
      <c r="Q29" s="16">
        <f t="shared" si="2"/>
        <v>1.6845000000000001</v>
      </c>
      <c r="R29" s="16">
        <f t="shared" si="3"/>
        <v>11.135999999999999</v>
      </c>
      <c r="S29" s="17">
        <f t="shared" si="4"/>
        <v>20.8705</v>
      </c>
      <c r="T29" s="15">
        <v>138.83000000000001</v>
      </c>
      <c r="U29" s="16">
        <v>0.96</v>
      </c>
      <c r="V29" s="17">
        <f t="shared" si="5"/>
        <v>133.27680000000001</v>
      </c>
      <c r="W29" s="15">
        <f t="shared" si="6"/>
        <v>8.0500000000000007</v>
      </c>
      <c r="X29" s="16">
        <v>0.15</v>
      </c>
      <c r="Y29" s="17">
        <f t="shared" si="7"/>
        <v>1.2075</v>
      </c>
    </row>
    <row r="30" spans="5:25" ht="15" thickBot="1" x14ac:dyDescent="0.25">
      <c r="E30" s="6" t="s">
        <v>35</v>
      </c>
      <c r="F30" s="9">
        <v>7.39</v>
      </c>
      <c r="G30" s="10">
        <f t="shared" si="8"/>
        <v>0.05</v>
      </c>
      <c r="H30" s="18">
        <f t="shared" si="0"/>
        <v>0.3695</v>
      </c>
      <c r="I30" s="19">
        <v>2.71</v>
      </c>
      <c r="J30" s="20">
        <v>1.3</v>
      </c>
      <c r="K30" s="18">
        <f t="shared" si="1"/>
        <v>3.5230000000000001</v>
      </c>
      <c r="L30" s="19">
        <v>12.01</v>
      </c>
      <c r="M30" s="20">
        <v>13.78</v>
      </c>
      <c r="N30" s="20">
        <v>1.3</v>
      </c>
      <c r="O30" s="20">
        <v>0.15</v>
      </c>
      <c r="P30" s="20">
        <v>11</v>
      </c>
      <c r="Q30" s="20">
        <f t="shared" si="2"/>
        <v>2.0670000000000002</v>
      </c>
      <c r="R30" s="20">
        <f t="shared" si="3"/>
        <v>15.613</v>
      </c>
      <c r="S30" s="21">
        <f t="shared" si="4"/>
        <v>28.68</v>
      </c>
      <c r="T30" s="19">
        <v>183.11</v>
      </c>
      <c r="U30" s="20">
        <v>0.96</v>
      </c>
      <c r="V30" s="21">
        <f t="shared" si="5"/>
        <v>175.78559999999999</v>
      </c>
      <c r="W30" s="19">
        <f t="shared" si="6"/>
        <v>11</v>
      </c>
      <c r="X30" s="20">
        <v>0.15</v>
      </c>
      <c r="Y30" s="21">
        <f t="shared" si="7"/>
        <v>1.65</v>
      </c>
    </row>
    <row r="31" spans="5:25" x14ac:dyDescent="0.2">
      <c r="E31" s="6"/>
      <c r="F31" s="6"/>
      <c r="G31" s="6"/>
    </row>
    <row r="32" spans="5:25" x14ac:dyDescent="0.2">
      <c r="S32" s="11" t="s">
        <v>56</v>
      </c>
      <c r="T32" s="15">
        <v>16</v>
      </c>
      <c r="U32" s="16">
        <v>0.62</v>
      </c>
      <c r="V32" s="17">
        <f>+U32*T32</f>
        <v>9.92</v>
      </c>
      <c r="W32" s="11" t="s">
        <v>57</v>
      </c>
    </row>
  </sheetData>
  <mergeCells count="5">
    <mergeCell ref="B3:F3"/>
    <mergeCell ref="F20:H20"/>
    <mergeCell ref="L20:S20"/>
    <mergeCell ref="T20:V20"/>
    <mergeCell ref="W20:Y20"/>
  </mergeCells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55"/>
  <sheetViews>
    <sheetView workbookViewId="0">
      <selection activeCell="C55" sqref="C55"/>
    </sheetView>
  </sheetViews>
  <sheetFormatPr defaultColWidth="9" defaultRowHeight="11.25" x14ac:dyDescent="0.2"/>
  <cols>
    <col min="1" max="2" width="9" style="22"/>
    <col min="3" max="3" width="10.875" style="22" customWidth="1"/>
    <col min="4" max="16384" width="9" style="22"/>
  </cols>
  <sheetData>
    <row r="1" spans="1:10" ht="15.75" x14ac:dyDescent="0.2">
      <c r="A1" s="1034" t="s">
        <v>68</v>
      </c>
      <c r="B1" s="1035"/>
      <c r="C1" s="1035"/>
      <c r="D1" s="1035"/>
      <c r="E1" s="1035"/>
      <c r="F1" s="1035"/>
      <c r="G1" s="1035"/>
      <c r="H1" s="1035"/>
      <c r="I1" s="1035"/>
      <c r="J1" s="1036"/>
    </row>
    <row r="2" spans="1:10" x14ac:dyDescent="0.2">
      <c r="A2" s="32" t="s">
        <v>69</v>
      </c>
      <c r="B2" s="25" t="s">
        <v>70</v>
      </c>
      <c r="C2" s="25"/>
      <c r="D2" s="25"/>
      <c r="E2" s="25"/>
      <c r="F2" s="25"/>
      <c r="G2" s="25"/>
      <c r="H2" s="25"/>
      <c r="I2" s="32" t="s">
        <v>71</v>
      </c>
      <c r="J2" s="32" t="s">
        <v>72</v>
      </c>
    </row>
    <row r="3" spans="1:10" x14ac:dyDescent="0.2">
      <c r="A3" s="1037" t="e">
        <f>+Planilha!#REF!</f>
        <v>#REF!</v>
      </c>
      <c r="B3" s="1039" t="e">
        <f>+Planilha!#REF!</f>
        <v>#REF!</v>
      </c>
      <c r="C3" s="1040"/>
      <c r="D3" s="1040"/>
      <c r="E3" s="1040"/>
      <c r="F3" s="1040"/>
      <c r="G3" s="1040"/>
      <c r="H3" s="1041"/>
      <c r="I3" s="1045" t="e">
        <f>+Planilha!#REF!</f>
        <v>#REF!</v>
      </c>
      <c r="J3" s="1046" t="s">
        <v>153</v>
      </c>
    </row>
    <row r="4" spans="1:10" x14ac:dyDescent="0.2">
      <c r="A4" s="1038"/>
      <c r="B4" s="1042"/>
      <c r="C4" s="1043"/>
      <c r="D4" s="1043"/>
      <c r="E4" s="1043"/>
      <c r="F4" s="1043"/>
      <c r="G4" s="1043"/>
      <c r="H4" s="1044"/>
      <c r="I4" s="1038"/>
      <c r="J4" s="1047"/>
    </row>
    <row r="5" spans="1:10" x14ac:dyDescent="0.2">
      <c r="A5" s="1048" t="s">
        <v>73</v>
      </c>
      <c r="B5" s="1048"/>
      <c r="C5" s="1048"/>
      <c r="D5" s="1049" t="s">
        <v>59</v>
      </c>
      <c r="E5" s="1049" t="s">
        <v>74</v>
      </c>
      <c r="F5" s="1051" t="s">
        <v>75</v>
      </c>
      <c r="G5" s="1052"/>
      <c r="H5" s="1051" t="s">
        <v>76</v>
      </c>
      <c r="I5" s="1052"/>
      <c r="J5" s="1053" t="s">
        <v>77</v>
      </c>
    </row>
    <row r="6" spans="1:10" x14ac:dyDescent="0.2">
      <c r="A6" s="1048"/>
      <c r="B6" s="1048"/>
      <c r="C6" s="1048"/>
      <c r="D6" s="1050"/>
      <c r="E6" s="1050"/>
      <c r="F6" s="103" t="s">
        <v>78</v>
      </c>
      <c r="G6" s="34" t="s">
        <v>79</v>
      </c>
      <c r="H6" s="103" t="s">
        <v>78</v>
      </c>
      <c r="I6" s="103" t="s">
        <v>79</v>
      </c>
      <c r="J6" s="1053"/>
    </row>
    <row r="7" spans="1:10" x14ac:dyDescent="0.2">
      <c r="A7" s="1093"/>
      <c r="B7" s="1094"/>
      <c r="C7" s="1095"/>
      <c r="D7" s="35"/>
      <c r="E7" s="36"/>
      <c r="F7" s="36"/>
      <c r="G7" s="36"/>
      <c r="H7" s="36"/>
      <c r="I7" s="36"/>
      <c r="J7" s="36"/>
    </row>
    <row r="8" spans="1:10" x14ac:dyDescent="0.2">
      <c r="A8" s="1096" t="str">
        <f>VLOOKUP(D8,equip.!A2:G155,2,FALSE)</f>
        <v>Carrinho de mão</v>
      </c>
      <c r="B8" s="1097"/>
      <c r="C8" s="1098"/>
      <c r="D8" s="40">
        <v>30076</v>
      </c>
      <c r="E8" s="36">
        <v>2</v>
      </c>
      <c r="F8" s="36">
        <v>1</v>
      </c>
      <c r="G8" s="36">
        <v>0</v>
      </c>
      <c r="H8" s="36">
        <f>VLOOKUP(D8,equip.!A2:G131,6,FALSE)</f>
        <v>0.19</v>
      </c>
      <c r="I8" s="36">
        <f>VLOOKUP(D8,equip.!A2:AB131,7,FALSE)</f>
        <v>0.13</v>
      </c>
      <c r="J8" s="36">
        <f>TRUNC(E8*F8*H8+E8*G8*I8,2)</f>
        <v>0.38</v>
      </c>
    </row>
    <row r="9" spans="1:10" x14ac:dyDescent="0.2">
      <c r="A9" s="1096"/>
      <c r="B9" s="1097"/>
      <c r="C9" s="1098"/>
      <c r="D9" s="40"/>
      <c r="E9" s="36"/>
      <c r="F9" s="36"/>
      <c r="G9" s="36"/>
      <c r="H9" s="36"/>
      <c r="I9" s="36"/>
      <c r="J9" s="36"/>
    </row>
    <row r="10" spans="1:10" x14ac:dyDescent="0.2">
      <c r="A10" s="94" t="s">
        <v>158</v>
      </c>
      <c r="B10" s="95"/>
      <c r="C10" s="96"/>
      <c r="D10" s="35"/>
      <c r="E10" s="110">
        <v>0.05</v>
      </c>
      <c r="F10" s="36"/>
      <c r="G10" s="36"/>
      <c r="H10" s="36">
        <f>+J27</f>
        <v>60.6</v>
      </c>
      <c r="I10" s="36"/>
      <c r="J10" s="36">
        <f>TRUNC(H10*E10,2)</f>
        <v>3.03</v>
      </c>
    </row>
    <row r="11" spans="1:10" x14ac:dyDescent="0.2">
      <c r="A11" s="1060"/>
      <c r="B11" s="1061"/>
      <c r="C11" s="1062"/>
      <c r="D11" s="40"/>
      <c r="E11" s="36"/>
      <c r="F11" s="36"/>
      <c r="G11" s="36"/>
      <c r="H11" s="36"/>
      <c r="I11" s="36"/>
      <c r="J11" s="36"/>
    </row>
    <row r="12" spans="1:10" x14ac:dyDescent="0.2">
      <c r="A12" s="1060"/>
      <c r="B12" s="1061"/>
      <c r="C12" s="1062"/>
      <c r="D12" s="40"/>
      <c r="E12" s="36"/>
      <c r="F12" s="36"/>
      <c r="G12" s="36"/>
      <c r="H12" s="36"/>
      <c r="I12" s="36"/>
      <c r="J12" s="36"/>
    </row>
    <row r="13" spans="1:10" x14ac:dyDescent="0.2">
      <c r="A13" s="94"/>
      <c r="B13" s="95"/>
      <c r="C13" s="96"/>
      <c r="D13" s="40"/>
      <c r="E13" s="36"/>
      <c r="F13" s="36"/>
      <c r="G13" s="36"/>
      <c r="H13" s="36"/>
      <c r="I13" s="36"/>
      <c r="J13" s="36"/>
    </row>
    <row r="14" spans="1:10" x14ac:dyDescent="0.2">
      <c r="A14" s="1031"/>
      <c r="B14" s="1032"/>
      <c r="C14" s="1033"/>
      <c r="D14" s="41"/>
      <c r="E14" s="42"/>
      <c r="F14" s="42"/>
      <c r="G14" s="36"/>
      <c r="H14" s="36"/>
      <c r="I14" s="36"/>
      <c r="J14" s="36"/>
    </row>
    <row r="15" spans="1:10" x14ac:dyDescent="0.2">
      <c r="A15" s="1063" t="s">
        <v>80</v>
      </c>
      <c r="B15" s="1064"/>
      <c r="C15" s="1064"/>
      <c r="D15" s="1064"/>
      <c r="E15" s="1064"/>
      <c r="F15" s="1064"/>
      <c r="G15" s="1064"/>
      <c r="H15" s="1064"/>
      <c r="I15" s="1065"/>
      <c r="J15" s="43">
        <f>SUM(J7:J14)</f>
        <v>3.41</v>
      </c>
    </row>
    <row r="16" spans="1:10" x14ac:dyDescent="0.2">
      <c r="A16" s="1066" t="s">
        <v>81</v>
      </c>
      <c r="B16" s="1067"/>
      <c r="C16" s="1067"/>
      <c r="D16" s="1067"/>
      <c r="E16" s="1068"/>
      <c r="F16" s="1049" t="s">
        <v>59</v>
      </c>
      <c r="G16" s="1049" t="s">
        <v>82</v>
      </c>
      <c r="H16" s="1049" t="s">
        <v>74</v>
      </c>
      <c r="I16" s="1053" t="s">
        <v>83</v>
      </c>
      <c r="J16" s="1049" t="s">
        <v>77</v>
      </c>
    </row>
    <row r="17" spans="1:10" x14ac:dyDescent="0.2">
      <c r="A17" s="1069"/>
      <c r="B17" s="1070"/>
      <c r="C17" s="1070"/>
      <c r="D17" s="1070"/>
      <c r="E17" s="1071"/>
      <c r="F17" s="1050"/>
      <c r="G17" s="1050"/>
      <c r="H17" s="1050"/>
      <c r="I17" s="1053"/>
      <c r="J17" s="1050"/>
    </row>
    <row r="18" spans="1:10" x14ac:dyDescent="0.2">
      <c r="A18" s="1060" t="str">
        <f>VLOOKUP(F18,m.o.!A1:F153,2,FALSE)</f>
        <v>Encarregado de O.A.C.</v>
      </c>
      <c r="B18" s="1061"/>
      <c r="C18" s="1061"/>
      <c r="D18" s="1061"/>
      <c r="E18" s="1062"/>
      <c r="F18" s="44">
        <v>20060</v>
      </c>
      <c r="G18" s="45"/>
      <c r="H18" s="36">
        <v>1</v>
      </c>
      <c r="I18" s="36">
        <f>VLOOKUP(F18,m.o.!A1:F128,5,FALSE)</f>
        <v>11</v>
      </c>
      <c r="J18" s="36">
        <f>TRUNC(H18*I18,2)</f>
        <v>11</v>
      </c>
    </row>
    <row r="19" spans="1:10" x14ac:dyDescent="0.2">
      <c r="A19" s="1060" t="str">
        <f>VLOOKUP(F19,m.o.!A2:F154,2,FALSE)</f>
        <v>Operário braçal</v>
      </c>
      <c r="B19" s="1061"/>
      <c r="C19" s="1061"/>
      <c r="D19" s="1061"/>
      <c r="E19" s="1062"/>
      <c r="F19" s="44">
        <v>20107</v>
      </c>
      <c r="G19" s="45"/>
      <c r="H19" s="36">
        <v>10</v>
      </c>
      <c r="I19" s="36">
        <f>VLOOKUP(F19,m.o.!A2:F129,5,FALSE)</f>
        <v>4.96</v>
      </c>
      <c r="J19" s="36">
        <f>TRUNC(H19*I19,2)</f>
        <v>49.6</v>
      </c>
    </row>
    <row r="20" spans="1:10" x14ac:dyDescent="0.2">
      <c r="A20" s="1060"/>
      <c r="B20" s="1061"/>
      <c r="C20" s="1061"/>
      <c r="D20" s="1061"/>
      <c r="E20" s="1062"/>
      <c r="F20" s="44"/>
      <c r="G20" s="45"/>
      <c r="H20" s="36"/>
      <c r="I20" s="36"/>
      <c r="J20" s="36"/>
    </row>
    <row r="21" spans="1:10" x14ac:dyDescent="0.2">
      <c r="A21" s="107"/>
      <c r="B21" s="108"/>
      <c r="C21" s="108"/>
      <c r="D21" s="108"/>
      <c r="E21" s="109"/>
      <c r="F21" s="44"/>
      <c r="G21" s="45"/>
      <c r="H21" s="36"/>
      <c r="I21" s="36"/>
      <c r="J21" s="36"/>
    </row>
    <row r="22" spans="1:10" x14ac:dyDescent="0.2">
      <c r="A22" s="107"/>
      <c r="B22" s="108"/>
      <c r="C22" s="108"/>
      <c r="D22" s="108"/>
      <c r="E22" s="109"/>
      <c r="F22" s="44"/>
      <c r="G22" s="46"/>
      <c r="H22" s="36"/>
      <c r="I22" s="36"/>
      <c r="J22" s="36"/>
    </row>
    <row r="23" spans="1:10" x14ac:dyDescent="0.2">
      <c r="A23" s="94"/>
      <c r="B23" s="95"/>
      <c r="C23" s="95"/>
      <c r="D23" s="95"/>
      <c r="E23" s="96"/>
      <c r="F23" s="44"/>
      <c r="G23" s="46"/>
      <c r="H23" s="36"/>
      <c r="I23" s="36"/>
      <c r="J23" s="36"/>
    </row>
    <row r="24" spans="1:10" x14ac:dyDescent="0.2">
      <c r="A24" s="107"/>
      <c r="B24" s="108"/>
      <c r="C24" s="108"/>
      <c r="D24" s="108"/>
      <c r="E24" s="109"/>
      <c r="F24" s="44"/>
      <c r="G24" s="46"/>
      <c r="H24" s="36"/>
      <c r="I24" s="36"/>
      <c r="J24" s="36"/>
    </row>
    <row r="25" spans="1:10" x14ac:dyDescent="0.2">
      <c r="A25" s="107"/>
      <c r="B25" s="108"/>
      <c r="C25" s="108"/>
      <c r="D25" s="108"/>
      <c r="E25" s="109"/>
      <c r="F25" s="44"/>
      <c r="G25" s="46"/>
      <c r="H25" s="36"/>
      <c r="I25" s="36"/>
      <c r="J25" s="36"/>
    </row>
    <row r="26" spans="1:10" x14ac:dyDescent="0.2">
      <c r="A26" s="1031"/>
      <c r="B26" s="1032"/>
      <c r="C26" s="1032"/>
      <c r="D26" s="1032"/>
      <c r="E26" s="1033"/>
      <c r="F26" s="41"/>
      <c r="G26" s="47"/>
      <c r="H26" s="42"/>
      <c r="I26" s="42"/>
      <c r="J26" s="36"/>
    </row>
    <row r="27" spans="1:10" x14ac:dyDescent="0.2">
      <c r="A27" s="1063" t="s">
        <v>84</v>
      </c>
      <c r="B27" s="1064"/>
      <c r="C27" s="1064"/>
      <c r="D27" s="1064"/>
      <c r="E27" s="1064"/>
      <c r="F27" s="1064"/>
      <c r="G27" s="1064"/>
      <c r="H27" s="1064"/>
      <c r="I27" s="1065"/>
      <c r="J27" s="43">
        <f>ROUND(SUM(J18:J26),2)</f>
        <v>60.6</v>
      </c>
    </row>
    <row r="28" spans="1:10" x14ac:dyDescent="0.2">
      <c r="A28" s="1072" t="s">
        <v>85</v>
      </c>
      <c r="B28" s="1073"/>
      <c r="C28" s="1073"/>
      <c r="D28" s="1073"/>
      <c r="E28" s="1073"/>
      <c r="F28" s="42">
        <v>0.83</v>
      </c>
      <c r="G28" s="1072" t="s">
        <v>86</v>
      </c>
      <c r="H28" s="1073"/>
      <c r="I28" s="1073"/>
      <c r="J28" s="48">
        <f>+J27+J15</f>
        <v>64.010000000000005</v>
      </c>
    </row>
    <row r="29" spans="1:10" x14ac:dyDescent="0.2">
      <c r="A29" s="1074" t="s">
        <v>87</v>
      </c>
      <c r="B29" s="1075"/>
      <c r="C29" s="1075"/>
      <c r="D29" s="1075"/>
      <c r="E29" s="1075"/>
      <c r="F29" s="1075"/>
      <c r="G29" s="1075"/>
      <c r="H29" s="1075"/>
      <c r="I29" s="1076"/>
      <c r="J29" s="43">
        <f>TRUNC(J28/F28,2)</f>
        <v>77.12</v>
      </c>
    </row>
    <row r="30" spans="1:10" x14ac:dyDescent="0.2">
      <c r="A30" s="1077" t="s">
        <v>88</v>
      </c>
      <c r="B30" s="1078"/>
      <c r="C30" s="1078"/>
      <c r="D30" s="1078"/>
      <c r="E30" s="1079"/>
      <c r="F30" s="1049" t="s">
        <v>59</v>
      </c>
      <c r="G30" s="1049" t="s">
        <v>1</v>
      </c>
      <c r="H30" s="1053" t="s">
        <v>63</v>
      </c>
      <c r="I30" s="1049" t="s">
        <v>89</v>
      </c>
      <c r="J30" s="1049" t="s">
        <v>90</v>
      </c>
    </row>
    <row r="31" spans="1:10" x14ac:dyDescent="0.2">
      <c r="A31" s="1080"/>
      <c r="B31" s="1081"/>
      <c r="C31" s="1081"/>
      <c r="D31" s="1081"/>
      <c r="E31" s="1082"/>
      <c r="F31" s="1050"/>
      <c r="G31" s="1050"/>
      <c r="H31" s="1053"/>
      <c r="I31" s="1050"/>
      <c r="J31" s="1050"/>
    </row>
    <row r="32" spans="1:10" x14ac:dyDescent="0.2">
      <c r="A32" s="1060" t="str">
        <f>VLOOKUP(F32,mat.!$A$3:$D$646,2,FALSE)</f>
        <v>Areia grossa jazida com carregamento mecânico</v>
      </c>
      <c r="B32" s="1061"/>
      <c r="C32" s="1061"/>
      <c r="D32" s="1061"/>
      <c r="E32" s="1062"/>
      <c r="F32" s="44">
        <v>10109</v>
      </c>
      <c r="G32" s="54" t="str">
        <f>VLOOKUP(F32,mat.!$A$3:$D$642,3,FALSE)</f>
        <v>m3</v>
      </c>
      <c r="H32" s="54">
        <f>VLOOKUP(F32,mat.!$A$3:$E$642,4,FALSE)</f>
        <v>60</v>
      </c>
      <c r="I32" s="55">
        <v>1.2070000000000001</v>
      </c>
      <c r="J32" s="36">
        <f>TRUNC(I32*H32,2)</f>
        <v>72.42</v>
      </c>
    </row>
    <row r="33" spans="1:13" x14ac:dyDescent="0.2">
      <c r="A33" s="1060" t="str">
        <f>VLOOKUP(F33,mat.!$A$3:$D$646,2,FALSE)</f>
        <v>Cimento CP III</v>
      </c>
      <c r="B33" s="1061"/>
      <c r="C33" s="1061"/>
      <c r="D33" s="1061"/>
      <c r="E33" s="1062"/>
      <c r="F33" s="114">
        <v>10092</v>
      </c>
      <c r="G33" s="54" t="str">
        <f>VLOOKUP(F33,mat.!$A$3:$D$642,3,FALSE)</f>
        <v>kg</v>
      </c>
      <c r="H33" s="54">
        <f>VLOOKUP(F33,mat.!$A$3:$E$642,4,FALSE)</f>
        <v>0.41</v>
      </c>
      <c r="I33" s="55">
        <v>367.5</v>
      </c>
      <c r="J33" s="36">
        <f>TRUNC(I33*H33,2)</f>
        <v>150.66999999999999</v>
      </c>
    </row>
    <row r="34" spans="1:13" x14ac:dyDescent="0.2">
      <c r="A34" s="1060"/>
      <c r="B34" s="1061"/>
      <c r="C34" s="1061"/>
      <c r="D34" s="1061"/>
      <c r="E34" s="1062"/>
      <c r="F34" s="114"/>
      <c r="G34" s="54"/>
      <c r="H34" s="54"/>
      <c r="I34" s="55"/>
      <c r="J34" s="36"/>
    </row>
    <row r="35" spans="1:13" x14ac:dyDescent="0.2">
      <c r="A35" s="1060"/>
      <c r="B35" s="1061"/>
      <c r="C35" s="1061"/>
      <c r="D35" s="1061"/>
      <c r="E35" s="1062"/>
      <c r="F35" s="114"/>
      <c r="G35" s="54"/>
      <c r="H35" s="54"/>
      <c r="I35" s="55"/>
      <c r="J35" s="36"/>
    </row>
    <row r="36" spans="1:13" x14ac:dyDescent="0.2">
      <c r="A36" s="107"/>
      <c r="B36" s="108"/>
      <c r="C36" s="108"/>
      <c r="D36" s="108"/>
      <c r="E36" s="109"/>
      <c r="F36" s="52"/>
      <c r="G36" s="54"/>
      <c r="H36" s="54"/>
      <c r="I36" s="55"/>
      <c r="J36" s="36"/>
    </row>
    <row r="37" spans="1:13" x14ac:dyDescent="0.2">
      <c r="A37" s="111"/>
      <c r="B37" s="112"/>
      <c r="C37" s="112"/>
      <c r="D37" s="112"/>
      <c r="E37" s="113"/>
      <c r="F37" s="52"/>
      <c r="G37" s="53"/>
      <c r="H37" s="54"/>
      <c r="I37" s="55"/>
      <c r="J37" s="36"/>
    </row>
    <row r="38" spans="1:13" x14ac:dyDescent="0.2">
      <c r="A38" s="94"/>
      <c r="B38" s="100"/>
      <c r="C38" s="100"/>
      <c r="D38" s="100"/>
      <c r="E38" s="101"/>
      <c r="F38" s="52"/>
      <c r="G38" s="53"/>
      <c r="H38" s="54"/>
      <c r="I38" s="55"/>
      <c r="J38" s="36"/>
    </row>
    <row r="39" spans="1:13" x14ac:dyDescent="0.2">
      <c r="A39" s="1060"/>
      <c r="B39" s="1061"/>
      <c r="C39" s="1061"/>
      <c r="D39" s="1061"/>
      <c r="E39" s="1062"/>
      <c r="F39" s="52"/>
      <c r="G39" s="53"/>
      <c r="H39" s="54"/>
      <c r="I39" s="55"/>
      <c r="J39" s="36"/>
    </row>
    <row r="40" spans="1:13" x14ac:dyDescent="0.2">
      <c r="A40" s="1060"/>
      <c r="B40" s="1061"/>
      <c r="C40" s="1061"/>
      <c r="D40" s="1061"/>
      <c r="E40" s="1062"/>
      <c r="F40" s="52"/>
      <c r="G40" s="53"/>
      <c r="H40" s="54"/>
      <c r="I40" s="55"/>
      <c r="J40" s="36"/>
    </row>
    <row r="41" spans="1:13" x14ac:dyDescent="0.2">
      <c r="A41" s="1031"/>
      <c r="B41" s="1032"/>
      <c r="C41" s="1032"/>
      <c r="D41" s="1032"/>
      <c r="E41" s="1033"/>
      <c r="F41" s="58"/>
      <c r="G41" s="59"/>
      <c r="H41" s="60"/>
      <c r="I41" s="55"/>
      <c r="J41" s="36"/>
    </row>
    <row r="42" spans="1:13" x14ac:dyDescent="0.2">
      <c r="A42" s="1063" t="s">
        <v>91</v>
      </c>
      <c r="B42" s="1064"/>
      <c r="C42" s="1064"/>
      <c r="D42" s="1064"/>
      <c r="E42" s="1064"/>
      <c r="F42" s="1064"/>
      <c r="G42" s="1064"/>
      <c r="H42" s="1064"/>
      <c r="I42" s="1065"/>
      <c r="J42" s="43">
        <f>ROUND(SUM(J32:J41),2)</f>
        <v>223.09</v>
      </c>
    </row>
    <row r="43" spans="1:13" x14ac:dyDescent="0.2">
      <c r="A43" s="1066" t="s">
        <v>92</v>
      </c>
      <c r="B43" s="1067"/>
      <c r="C43" s="1067"/>
      <c r="D43" s="1067"/>
      <c r="E43" s="1090" t="s">
        <v>59</v>
      </c>
      <c r="F43" s="1051" t="s">
        <v>93</v>
      </c>
      <c r="G43" s="1052"/>
      <c r="H43" s="1092" t="s">
        <v>94</v>
      </c>
      <c r="I43" s="1092" t="s">
        <v>95</v>
      </c>
      <c r="J43" s="1049" t="s">
        <v>63</v>
      </c>
    </row>
    <row r="44" spans="1:13" x14ac:dyDescent="0.2">
      <c r="A44" s="1069"/>
      <c r="B44" s="1070"/>
      <c r="C44" s="1070"/>
      <c r="D44" s="1070"/>
      <c r="E44" s="1091"/>
      <c r="F44" s="103" t="s">
        <v>21</v>
      </c>
      <c r="G44" s="103" t="s">
        <v>20</v>
      </c>
      <c r="H44" s="1092"/>
      <c r="I44" s="1092"/>
      <c r="J44" s="1050"/>
    </row>
    <row r="45" spans="1:13" x14ac:dyDescent="0.2">
      <c r="A45" s="49" t="str">
        <f>VLOOKUP(E45,transp.!A4:J30,4,FALSE)</f>
        <v>0,719XP + 0,749XR + 2,997</v>
      </c>
      <c r="B45" s="104"/>
      <c r="C45" s="104" t="s">
        <v>113</v>
      </c>
      <c r="D45" s="105"/>
      <c r="E45" s="106">
        <v>60002</v>
      </c>
      <c r="F45" s="61">
        <v>24</v>
      </c>
      <c r="G45" s="36">
        <v>0</v>
      </c>
      <c r="H45" s="36">
        <f>TRUNC(F45*K45+G45*L45+M45,2)</f>
        <v>20.25</v>
      </c>
      <c r="I45" s="62">
        <v>1.8105</v>
      </c>
      <c r="J45" s="36">
        <f>TRUNC(I45*H45,2)</f>
        <v>36.659999999999997</v>
      </c>
      <c r="K45" s="22">
        <f>VLOOKUP(E45,transp.!$A$4:$K$21,5,FALSE)</f>
        <v>0.71899999999999997</v>
      </c>
      <c r="L45" s="22">
        <f>VLOOKUP(E45,transp.!$A$4:$G$19,6,FALSE)</f>
        <v>0.749</v>
      </c>
      <c r="M45" s="22">
        <f>VLOOKUP(E45,transp.!$A$4:$G$19,7,FALSE)</f>
        <v>2.9969999999999999</v>
      </c>
    </row>
    <row r="46" spans="1:13" x14ac:dyDescent="0.2">
      <c r="A46" s="107" t="str">
        <f>VLOOKUP(E46,transp.!A5:J30,4,FALSE)</f>
        <v>0,716XP + 0,745XR</v>
      </c>
      <c r="B46" s="108"/>
      <c r="C46" s="108" t="s">
        <v>159</v>
      </c>
      <c r="D46" s="109"/>
      <c r="E46" s="118">
        <v>60013</v>
      </c>
      <c r="F46" s="54">
        <v>141</v>
      </c>
      <c r="G46" s="54">
        <v>0</v>
      </c>
      <c r="H46" s="36">
        <f>TRUNC(F46*K46+G46*L46+M46,2)</f>
        <v>100.95</v>
      </c>
      <c r="I46" s="63">
        <v>0.36749999999999999</v>
      </c>
      <c r="J46" s="54">
        <f>+I46*H46</f>
        <v>37.1</v>
      </c>
      <c r="K46" s="22">
        <f>VLOOKUP(E46,transp.!$A$4:$K$21,5,FALSE)</f>
        <v>0.71599999999999997</v>
      </c>
      <c r="L46" s="22">
        <f>VLOOKUP(E46,transp.!$A$4:$G$19,6,FALSE)</f>
        <v>0.745</v>
      </c>
      <c r="M46" s="22">
        <f>VLOOKUP(E46,transp.!$A$4:$G$19,7,FALSE)</f>
        <v>0</v>
      </c>
    </row>
    <row r="47" spans="1:13" x14ac:dyDescent="0.2">
      <c r="A47" s="107"/>
      <c r="B47" s="108"/>
      <c r="C47" s="108"/>
      <c r="D47" s="109"/>
      <c r="E47" s="119"/>
      <c r="F47" s="36"/>
      <c r="G47" s="36"/>
      <c r="H47" s="36"/>
      <c r="I47" s="62"/>
      <c r="J47" s="54"/>
    </row>
    <row r="48" spans="1:13" x14ac:dyDescent="0.2">
      <c r="A48" s="115"/>
      <c r="B48" s="116"/>
      <c r="C48" s="116"/>
      <c r="D48" s="117"/>
      <c r="E48" s="36"/>
      <c r="F48" s="36"/>
      <c r="G48" s="36"/>
      <c r="H48" s="36"/>
      <c r="I48" s="62"/>
      <c r="J48" s="54"/>
    </row>
    <row r="49" spans="1:10" x14ac:dyDescent="0.2">
      <c r="A49" s="1085" t="s">
        <v>96</v>
      </c>
      <c r="B49" s="1086"/>
      <c r="C49" s="1086"/>
      <c r="D49" s="1086"/>
      <c r="E49" s="1086"/>
      <c r="F49" s="1086"/>
      <c r="G49" s="1086"/>
      <c r="H49" s="1086"/>
      <c r="I49" s="1087"/>
      <c r="J49" s="64">
        <f>SUM(J45:J48)</f>
        <v>73.760000000000005</v>
      </c>
    </row>
    <row r="50" spans="1:10" x14ac:dyDescent="0.2">
      <c r="A50" s="1088" t="s">
        <v>97</v>
      </c>
      <c r="B50" s="1089"/>
      <c r="C50" s="1089"/>
      <c r="D50" s="1089"/>
      <c r="E50" s="1089"/>
      <c r="F50" s="1089"/>
      <c r="G50" s="102" t="s">
        <v>98</v>
      </c>
      <c r="H50" s="25"/>
      <c r="I50" s="66" t="s">
        <v>99</v>
      </c>
      <c r="J50" s="61">
        <f>J49+J42+J29</f>
        <v>373.97</v>
      </c>
    </row>
    <row r="51" spans="1:10" x14ac:dyDescent="0.2">
      <c r="A51" s="1083" t="s">
        <v>100</v>
      </c>
      <c r="B51" s="1084"/>
      <c r="C51" s="1084"/>
      <c r="D51" s="1084"/>
      <c r="E51" s="1084"/>
      <c r="F51" s="1084"/>
      <c r="G51" s="67">
        <v>0.35</v>
      </c>
      <c r="H51" s="68"/>
      <c r="I51" s="69" t="s">
        <v>99</v>
      </c>
      <c r="J51" s="48">
        <f>+J50*G51</f>
        <v>130.88999999999999</v>
      </c>
    </row>
    <row r="52" spans="1:10" x14ac:dyDescent="0.2">
      <c r="A52" s="1074" t="s">
        <v>101</v>
      </c>
      <c r="B52" s="1075"/>
      <c r="C52" s="1075"/>
      <c r="D52" s="1075"/>
      <c r="E52" s="1075"/>
      <c r="F52" s="1075"/>
      <c r="G52" s="98"/>
      <c r="H52" s="71"/>
      <c r="I52" s="97" t="s">
        <v>99</v>
      </c>
      <c r="J52" s="43">
        <f>+J51+J50</f>
        <v>504.86</v>
      </c>
    </row>
    <row r="53" spans="1:10" x14ac:dyDescent="0.2">
      <c r="A53" s="23" t="s">
        <v>102</v>
      </c>
      <c r="B53" s="25"/>
      <c r="C53" s="25"/>
      <c r="D53" s="25"/>
      <c r="E53" s="25"/>
      <c r="F53" s="25"/>
      <c r="G53" s="25"/>
      <c r="H53" s="24"/>
      <c r="I53" s="24"/>
      <c r="J53" s="73"/>
    </row>
    <row r="54" spans="1:10" x14ac:dyDescent="0.2">
      <c r="A54" s="26"/>
      <c r="B54" s="27"/>
      <c r="C54" s="27"/>
      <c r="D54" s="27"/>
      <c r="E54" s="27"/>
      <c r="F54" s="27"/>
      <c r="G54" s="27"/>
      <c r="H54" s="28"/>
      <c r="I54" s="28"/>
      <c r="J54" s="73"/>
    </row>
    <row r="55" spans="1:10" x14ac:dyDescent="0.2">
      <c r="A55" s="29"/>
      <c r="B55" s="31"/>
      <c r="C55" s="31"/>
      <c r="D55" s="30"/>
      <c r="E55" s="30"/>
      <c r="F55" s="30"/>
      <c r="G55" s="30"/>
      <c r="H55" s="30"/>
      <c r="I55" s="30"/>
      <c r="J55" s="74"/>
    </row>
  </sheetData>
  <mergeCells count="56">
    <mergeCell ref="J43:J44"/>
    <mergeCell ref="A49:I49"/>
    <mergeCell ref="A50:F50"/>
    <mergeCell ref="A51:F51"/>
    <mergeCell ref="A52:F52"/>
    <mergeCell ref="A40:E40"/>
    <mergeCell ref="A41:E41"/>
    <mergeCell ref="A42:I42"/>
    <mergeCell ref="A43:D44"/>
    <mergeCell ref="E43:E44"/>
    <mergeCell ref="F43:G43"/>
    <mergeCell ref="H43:H44"/>
    <mergeCell ref="I43:I44"/>
    <mergeCell ref="J30:J31"/>
    <mergeCell ref="A32:E32"/>
    <mergeCell ref="A33:E33"/>
    <mergeCell ref="A34:E34"/>
    <mergeCell ref="A35:E35"/>
    <mergeCell ref="A39:E39"/>
    <mergeCell ref="A28:E28"/>
    <mergeCell ref="G28:I28"/>
    <mergeCell ref="A29:I29"/>
    <mergeCell ref="A30:E31"/>
    <mergeCell ref="F30:F31"/>
    <mergeCell ref="G30:G31"/>
    <mergeCell ref="H30:H31"/>
    <mergeCell ref="I30:I31"/>
    <mergeCell ref="J16:J17"/>
    <mergeCell ref="A18:E18"/>
    <mergeCell ref="A19:E19"/>
    <mergeCell ref="A20:E20"/>
    <mergeCell ref="A26:E26"/>
    <mergeCell ref="A27:I27"/>
    <mergeCell ref="A14:C14"/>
    <mergeCell ref="A15:I15"/>
    <mergeCell ref="A16:E17"/>
    <mergeCell ref="F16:F17"/>
    <mergeCell ref="G16:G17"/>
    <mergeCell ref="H16:H17"/>
    <mergeCell ref="I16:I17"/>
    <mergeCell ref="A12:C12"/>
    <mergeCell ref="A1:J1"/>
    <mergeCell ref="A3:A4"/>
    <mergeCell ref="B3:H4"/>
    <mergeCell ref="I3:I4"/>
    <mergeCell ref="J3:J4"/>
    <mergeCell ref="A5:C6"/>
    <mergeCell ref="D5:D6"/>
    <mergeCell ref="E5:E6"/>
    <mergeCell ref="F5:G5"/>
    <mergeCell ref="H5:I5"/>
    <mergeCell ref="J5:J6"/>
    <mergeCell ref="A7:C7"/>
    <mergeCell ref="A8:C8"/>
    <mergeCell ref="A9:C9"/>
    <mergeCell ref="A11:C11"/>
  </mergeCells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55"/>
  <sheetViews>
    <sheetView workbookViewId="0">
      <selection activeCell="C55" sqref="C55"/>
    </sheetView>
  </sheetViews>
  <sheetFormatPr defaultColWidth="9" defaultRowHeight="11.25" x14ac:dyDescent="0.2"/>
  <cols>
    <col min="1" max="2" width="9" style="22"/>
    <col min="3" max="3" width="10.875" style="22" customWidth="1"/>
    <col min="4" max="16384" width="9" style="22"/>
  </cols>
  <sheetData>
    <row r="1" spans="1:10" ht="15.75" x14ac:dyDescent="0.2">
      <c r="A1" s="1034" t="s">
        <v>68</v>
      </c>
      <c r="B1" s="1035"/>
      <c r="C1" s="1035"/>
      <c r="D1" s="1035"/>
      <c r="E1" s="1035"/>
      <c r="F1" s="1035"/>
      <c r="G1" s="1035"/>
      <c r="H1" s="1035"/>
      <c r="I1" s="1035"/>
      <c r="J1" s="1036"/>
    </row>
    <row r="2" spans="1:10" x14ac:dyDescent="0.2">
      <c r="A2" s="32" t="s">
        <v>69</v>
      </c>
      <c r="B2" s="25" t="s">
        <v>70</v>
      </c>
      <c r="C2" s="25"/>
      <c r="D2" s="25"/>
      <c r="E2" s="25"/>
      <c r="F2" s="25"/>
      <c r="G2" s="25"/>
      <c r="H2" s="25"/>
      <c r="I2" s="32" t="s">
        <v>71</v>
      </c>
      <c r="J2" s="32" t="s">
        <v>72</v>
      </c>
    </row>
    <row r="3" spans="1:10" x14ac:dyDescent="0.2">
      <c r="A3" s="1037">
        <v>40313</v>
      </c>
      <c r="B3" s="1039" t="s">
        <v>168</v>
      </c>
      <c r="C3" s="1040"/>
      <c r="D3" s="1040"/>
      <c r="E3" s="1040"/>
      <c r="F3" s="1040"/>
      <c r="G3" s="1040"/>
      <c r="H3" s="1041"/>
      <c r="I3" s="1045" t="s">
        <v>66</v>
      </c>
      <c r="J3" s="1046" t="s">
        <v>153</v>
      </c>
    </row>
    <row r="4" spans="1:10" x14ac:dyDescent="0.2">
      <c r="A4" s="1038"/>
      <c r="B4" s="1042"/>
      <c r="C4" s="1043"/>
      <c r="D4" s="1043"/>
      <c r="E4" s="1043"/>
      <c r="F4" s="1043"/>
      <c r="G4" s="1043"/>
      <c r="H4" s="1044"/>
      <c r="I4" s="1038"/>
      <c r="J4" s="1047"/>
    </row>
    <row r="5" spans="1:10" ht="12.75" x14ac:dyDescent="0.25">
      <c r="A5" s="997" t="s">
        <v>73</v>
      </c>
      <c r="B5" s="997"/>
      <c r="C5" s="997"/>
      <c r="D5" s="987" t="s">
        <v>59</v>
      </c>
      <c r="E5" s="987" t="s">
        <v>74</v>
      </c>
      <c r="F5" s="989" t="s">
        <v>75</v>
      </c>
      <c r="G5" s="990"/>
      <c r="H5" s="989" t="s">
        <v>76</v>
      </c>
      <c r="I5" s="990"/>
      <c r="J5" s="986" t="s">
        <v>77</v>
      </c>
    </row>
    <row r="6" spans="1:10" ht="12.75" x14ac:dyDescent="0.25">
      <c r="A6" s="997"/>
      <c r="B6" s="997"/>
      <c r="C6" s="997"/>
      <c r="D6" s="988"/>
      <c r="E6" s="988"/>
      <c r="F6" s="120" t="s">
        <v>78</v>
      </c>
      <c r="G6" s="121" t="s">
        <v>79</v>
      </c>
      <c r="H6" s="120" t="s">
        <v>78</v>
      </c>
      <c r="I6" s="120" t="s">
        <v>79</v>
      </c>
      <c r="J6" s="986"/>
    </row>
    <row r="7" spans="1:10" ht="12.75" customHeight="1" x14ac:dyDescent="0.2">
      <c r="A7" s="1093" t="str">
        <f>VLOOKUP(D7,equip.!A1:G154,2,FALSE)</f>
        <v>Serra circular (WEG) ou equivalente</v>
      </c>
      <c r="B7" s="1094"/>
      <c r="C7" s="1095"/>
      <c r="D7" s="35">
        <v>30073</v>
      </c>
      <c r="E7" s="36">
        <v>1</v>
      </c>
      <c r="F7" s="36">
        <v>0.26</v>
      </c>
      <c r="G7" s="36">
        <f>1-F7</f>
        <v>0.74</v>
      </c>
      <c r="H7" s="36">
        <f>VLOOKUP(D7,equip.!A1:G130,6,FALSE)</f>
        <v>19.45</v>
      </c>
      <c r="I7" s="36">
        <f>VLOOKUP(D7,equip.!A1:AB130,7,FALSE)</f>
        <v>16.010000000000002</v>
      </c>
      <c r="J7" s="36">
        <f>TRUNC(E7*F7*H7+E7*G7*I7,2)</f>
        <v>16.899999999999999</v>
      </c>
    </row>
    <row r="8" spans="1:10" x14ac:dyDescent="0.2">
      <c r="A8" s="1096"/>
      <c r="B8" s="1097"/>
      <c r="C8" s="1098"/>
      <c r="D8" s="35"/>
      <c r="E8" s="36"/>
      <c r="F8" s="36"/>
      <c r="G8" s="36"/>
      <c r="H8" s="36"/>
      <c r="I8" s="36"/>
      <c r="J8" s="36"/>
    </row>
    <row r="9" spans="1:10" x14ac:dyDescent="0.2">
      <c r="A9" s="1096"/>
      <c r="B9" s="1097"/>
      <c r="C9" s="1098"/>
      <c r="D9" s="35"/>
      <c r="E9" s="36"/>
      <c r="F9" s="36"/>
      <c r="G9" s="36"/>
      <c r="H9" s="36"/>
      <c r="I9" s="36"/>
      <c r="J9" s="36"/>
    </row>
    <row r="10" spans="1:10" x14ac:dyDescent="0.2">
      <c r="A10" s="99"/>
      <c r="B10" s="100"/>
      <c r="C10" s="101"/>
      <c r="D10" s="35"/>
      <c r="E10" s="36"/>
      <c r="F10" s="36"/>
      <c r="G10" s="36"/>
      <c r="H10" s="36"/>
      <c r="I10" s="36"/>
      <c r="J10" s="36"/>
    </row>
    <row r="11" spans="1:10" x14ac:dyDescent="0.2">
      <c r="A11" s="99"/>
      <c r="B11" s="100"/>
      <c r="C11" s="101"/>
      <c r="D11" s="35"/>
      <c r="E11" s="36"/>
      <c r="F11" s="36"/>
      <c r="G11" s="36"/>
      <c r="H11" s="36"/>
      <c r="I11" s="36"/>
      <c r="J11" s="36"/>
    </row>
    <row r="12" spans="1:10" x14ac:dyDescent="0.2">
      <c r="A12" s="99"/>
      <c r="B12" s="100"/>
      <c r="C12" s="101"/>
      <c r="D12" s="35"/>
      <c r="E12" s="36"/>
      <c r="F12" s="36"/>
      <c r="G12" s="36"/>
      <c r="H12" s="36"/>
      <c r="I12" s="36"/>
      <c r="J12" s="36"/>
    </row>
    <row r="13" spans="1:10" ht="12.75" x14ac:dyDescent="0.25">
      <c r="A13" s="125" t="s">
        <v>127</v>
      </c>
      <c r="B13" s="126"/>
      <c r="C13" s="127"/>
      <c r="D13" s="122"/>
      <c r="E13" s="128">
        <v>0.05</v>
      </c>
      <c r="F13" s="123"/>
      <c r="G13" s="123"/>
      <c r="H13" s="123">
        <f>+J27</f>
        <v>9.08</v>
      </c>
      <c r="I13" s="123"/>
      <c r="J13" s="123">
        <f>TRUNC(H13*E13,2)</f>
        <v>0.45</v>
      </c>
    </row>
    <row r="14" spans="1:10" ht="12.75" x14ac:dyDescent="0.25">
      <c r="A14" s="991"/>
      <c r="B14" s="992"/>
      <c r="C14" s="993"/>
      <c r="D14" s="124"/>
      <c r="E14" s="123"/>
      <c r="F14" s="123"/>
      <c r="G14" s="123"/>
      <c r="H14" s="123"/>
      <c r="I14" s="123"/>
      <c r="J14" s="123"/>
    </row>
    <row r="15" spans="1:10" ht="12.75" x14ac:dyDescent="0.25">
      <c r="A15" s="998" t="s">
        <v>80</v>
      </c>
      <c r="B15" s="999"/>
      <c r="C15" s="999"/>
      <c r="D15" s="999"/>
      <c r="E15" s="999"/>
      <c r="F15" s="999"/>
      <c r="G15" s="999"/>
      <c r="H15" s="999"/>
      <c r="I15" s="1000"/>
      <c r="J15" s="136">
        <f>SUM(J7:J14)</f>
        <v>17.350000000000001</v>
      </c>
    </row>
    <row r="16" spans="1:10" x14ac:dyDescent="0.2">
      <c r="A16" s="1001" t="s">
        <v>81</v>
      </c>
      <c r="B16" s="1002"/>
      <c r="C16" s="1002"/>
      <c r="D16" s="1002"/>
      <c r="E16" s="1003"/>
      <c r="F16" s="987" t="s">
        <v>59</v>
      </c>
      <c r="G16" s="987" t="s">
        <v>82</v>
      </c>
      <c r="H16" s="987" t="s">
        <v>74</v>
      </c>
      <c r="I16" s="986" t="s">
        <v>83</v>
      </c>
      <c r="J16" s="987" t="s">
        <v>77</v>
      </c>
    </row>
    <row r="17" spans="1:10" x14ac:dyDescent="0.2">
      <c r="A17" s="1004"/>
      <c r="B17" s="1005"/>
      <c r="C17" s="1005"/>
      <c r="D17" s="1005"/>
      <c r="E17" s="1006"/>
      <c r="F17" s="988"/>
      <c r="G17" s="988"/>
      <c r="H17" s="988"/>
      <c r="I17" s="986"/>
      <c r="J17" s="988"/>
    </row>
    <row r="18" spans="1:10" ht="12.75" x14ac:dyDescent="0.25">
      <c r="A18" s="991" t="str">
        <f>VLOOKUP(F18,m.o.!A1:F153,2,FALSE)</f>
        <v>Carpinteiro de O.A.C.</v>
      </c>
      <c r="B18" s="992"/>
      <c r="C18" s="992"/>
      <c r="D18" s="992"/>
      <c r="E18" s="993"/>
      <c r="F18" s="137">
        <v>20038</v>
      </c>
      <c r="G18" s="138"/>
      <c r="H18" s="123">
        <v>0.52</v>
      </c>
      <c r="I18" s="123">
        <f>VLOOKUP(F18,m.o.!A1:F128,5,FALSE)</f>
        <v>6.03</v>
      </c>
      <c r="J18" s="123">
        <f>TRUNC(H18*I18,2)</f>
        <v>3.13</v>
      </c>
    </row>
    <row r="19" spans="1:10" ht="12.75" x14ac:dyDescent="0.25">
      <c r="A19" s="991" t="str">
        <f>VLOOKUP(F19,m.o.!A2:F154,2,FALSE)</f>
        <v>Operário braçal</v>
      </c>
      <c r="B19" s="992"/>
      <c r="C19" s="992"/>
      <c r="D19" s="992"/>
      <c r="E19" s="993"/>
      <c r="F19" s="137">
        <v>20107</v>
      </c>
      <c r="G19" s="138"/>
      <c r="H19" s="123">
        <v>1.2</v>
      </c>
      <c r="I19" s="123">
        <f>VLOOKUP(F19,m.o.!A2:F129,5,FALSE)</f>
        <v>4.96</v>
      </c>
      <c r="J19" s="123">
        <f>TRUNC(H19*I19,2)</f>
        <v>5.95</v>
      </c>
    </row>
    <row r="20" spans="1:10" ht="12.75" x14ac:dyDescent="0.25">
      <c r="A20" s="991"/>
      <c r="B20" s="992"/>
      <c r="C20" s="992"/>
      <c r="D20" s="992"/>
      <c r="E20" s="993"/>
      <c r="F20" s="137"/>
      <c r="G20" s="138"/>
      <c r="H20" s="123"/>
      <c r="I20" s="123"/>
      <c r="J20" s="123"/>
    </row>
    <row r="21" spans="1:10" ht="12.75" x14ac:dyDescent="0.25">
      <c r="A21" s="139"/>
      <c r="B21" s="140"/>
      <c r="C21" s="140"/>
      <c r="D21" s="140"/>
      <c r="E21" s="141"/>
      <c r="F21" s="137"/>
      <c r="G21" s="138"/>
      <c r="H21" s="123"/>
      <c r="I21" s="123"/>
      <c r="J21" s="123"/>
    </row>
    <row r="22" spans="1:10" ht="12.75" x14ac:dyDescent="0.25">
      <c r="A22" s="139"/>
      <c r="B22" s="140"/>
      <c r="C22" s="140"/>
      <c r="D22" s="140"/>
      <c r="E22" s="141"/>
      <c r="F22" s="137"/>
      <c r="G22" s="142"/>
      <c r="H22" s="123"/>
      <c r="I22" s="123"/>
      <c r="J22" s="123"/>
    </row>
    <row r="23" spans="1:10" ht="12.75" x14ac:dyDescent="0.25">
      <c r="A23" s="125"/>
      <c r="B23" s="126"/>
      <c r="C23" s="126"/>
      <c r="D23" s="126"/>
      <c r="E23" s="127"/>
      <c r="F23" s="137"/>
      <c r="G23" s="142"/>
      <c r="H23" s="123"/>
      <c r="I23" s="123"/>
      <c r="J23" s="123"/>
    </row>
    <row r="24" spans="1:10" ht="12.75" x14ac:dyDescent="0.25">
      <c r="A24" s="139"/>
      <c r="B24" s="140"/>
      <c r="C24" s="140"/>
      <c r="D24" s="140"/>
      <c r="E24" s="141"/>
      <c r="F24" s="137"/>
      <c r="G24" s="142"/>
      <c r="H24" s="123"/>
      <c r="I24" s="123"/>
      <c r="J24" s="123"/>
    </row>
    <row r="25" spans="1:10" ht="12.75" x14ac:dyDescent="0.25">
      <c r="A25" s="139"/>
      <c r="B25" s="140"/>
      <c r="C25" s="140"/>
      <c r="D25" s="140"/>
      <c r="E25" s="141"/>
      <c r="F25" s="137"/>
      <c r="G25" s="142"/>
      <c r="H25" s="123"/>
      <c r="I25" s="123"/>
      <c r="J25" s="123"/>
    </row>
    <row r="26" spans="1:10" ht="12.75" x14ac:dyDescent="0.25">
      <c r="A26" s="994"/>
      <c r="B26" s="995"/>
      <c r="C26" s="995"/>
      <c r="D26" s="995"/>
      <c r="E26" s="996"/>
      <c r="F26" s="134"/>
      <c r="G26" s="143"/>
      <c r="H26" s="135"/>
      <c r="I26" s="135"/>
      <c r="J26" s="123"/>
    </row>
    <row r="27" spans="1:10" ht="12.75" x14ac:dyDescent="0.25">
      <c r="A27" s="998" t="s">
        <v>84</v>
      </c>
      <c r="B27" s="999"/>
      <c r="C27" s="999"/>
      <c r="D27" s="999"/>
      <c r="E27" s="999"/>
      <c r="F27" s="999"/>
      <c r="G27" s="999"/>
      <c r="H27" s="999"/>
      <c r="I27" s="1000"/>
      <c r="J27" s="136">
        <f>ROUND(SUM(J18:J26),2)</f>
        <v>9.08</v>
      </c>
    </row>
    <row r="28" spans="1:10" ht="12.75" x14ac:dyDescent="0.25">
      <c r="A28" s="1007" t="s">
        <v>85</v>
      </c>
      <c r="B28" s="1008"/>
      <c r="C28" s="1008"/>
      <c r="D28" s="1008"/>
      <c r="E28" s="1008"/>
      <c r="F28" s="135">
        <v>1</v>
      </c>
      <c r="G28" s="1007" t="s">
        <v>86</v>
      </c>
      <c r="H28" s="1008"/>
      <c r="I28" s="1008"/>
      <c r="J28" s="144">
        <f>+J27+J15</f>
        <v>26.43</v>
      </c>
    </row>
    <row r="29" spans="1:10" ht="12.75" x14ac:dyDescent="0.25">
      <c r="A29" s="1009" t="s">
        <v>87</v>
      </c>
      <c r="B29" s="1010"/>
      <c r="C29" s="1010"/>
      <c r="D29" s="1010"/>
      <c r="E29" s="1010"/>
      <c r="F29" s="1010"/>
      <c r="G29" s="1010"/>
      <c r="H29" s="1010"/>
      <c r="I29" s="1011"/>
      <c r="J29" s="136">
        <f>TRUNC(J28/F28,2)</f>
        <v>26.43</v>
      </c>
    </row>
    <row r="30" spans="1:10" x14ac:dyDescent="0.2">
      <c r="A30" s="1025" t="s">
        <v>88</v>
      </c>
      <c r="B30" s="1026"/>
      <c r="C30" s="1026"/>
      <c r="D30" s="1026"/>
      <c r="E30" s="1027"/>
      <c r="F30" s="987" t="s">
        <v>59</v>
      </c>
      <c r="G30" s="987" t="s">
        <v>1</v>
      </c>
      <c r="H30" s="986" t="s">
        <v>63</v>
      </c>
      <c r="I30" s="987" t="s">
        <v>89</v>
      </c>
      <c r="J30" s="987" t="s">
        <v>90</v>
      </c>
    </row>
    <row r="31" spans="1:10" x14ac:dyDescent="0.2">
      <c r="A31" s="1028"/>
      <c r="B31" s="1029"/>
      <c r="C31" s="1029"/>
      <c r="D31" s="1029"/>
      <c r="E31" s="1030"/>
      <c r="F31" s="988"/>
      <c r="G31" s="988"/>
      <c r="H31" s="986"/>
      <c r="I31" s="988"/>
      <c r="J31" s="988"/>
    </row>
    <row r="32" spans="1:10" ht="12.75" x14ac:dyDescent="0.25">
      <c r="A32" s="991" t="str">
        <f>VLOOKUP(F32,mat.!$A$3:$D$646,2,FALSE)</f>
        <v>Caibros 7 X 7 cm (pontalete)</v>
      </c>
      <c r="B32" s="992"/>
      <c r="C32" s="992"/>
      <c r="D32" s="992"/>
      <c r="E32" s="993"/>
      <c r="F32" s="137">
        <v>10066</v>
      </c>
      <c r="G32" s="145" t="str">
        <f>VLOOKUP(F32,mat.!$A$3:$D$642,3,FALSE)</f>
        <v>M3</v>
      </c>
      <c r="H32" s="145">
        <f>VLOOKUP(F32,mat.!$A$3:$E$642,4,FALSE)</f>
        <v>1460</v>
      </c>
      <c r="I32" s="146">
        <v>2.3999999999999998E-3</v>
      </c>
      <c r="J32" s="123">
        <f>TRUNC(I32*H32,2)</f>
        <v>3.5</v>
      </c>
    </row>
    <row r="33" spans="1:13" ht="12.75" x14ac:dyDescent="0.25">
      <c r="A33" s="991" t="str">
        <f>VLOOKUP(F33,mat.!$A$3:$D$646,2,FALSE)</f>
        <v>Prego 18 X 24</v>
      </c>
      <c r="B33" s="992"/>
      <c r="C33" s="992"/>
      <c r="D33" s="992"/>
      <c r="E33" s="993"/>
      <c r="F33" s="147">
        <v>10135</v>
      </c>
      <c r="G33" s="145" t="str">
        <f>VLOOKUP(F33,mat.!$A$3:$D$642,3,FALSE)</f>
        <v>kg</v>
      </c>
      <c r="H33" s="145">
        <f>VLOOKUP(F33,mat.!$A$3:$E$642,4,FALSE)</f>
        <v>15.85</v>
      </c>
      <c r="I33" s="146">
        <v>0.2</v>
      </c>
      <c r="J33" s="123">
        <f>TRUNC(I33*H33,2)</f>
        <v>3.17</v>
      </c>
    </row>
    <row r="34" spans="1:13" ht="12.75" x14ac:dyDescent="0.25">
      <c r="A34" s="991" t="str">
        <f>VLOOKUP(F34,mat.!$A$3:$D$646,2,FALSE)</f>
        <v>Sarrafo 10 X 2,5 cm</v>
      </c>
      <c r="B34" s="992"/>
      <c r="C34" s="992"/>
      <c r="D34" s="992"/>
      <c r="E34" s="993"/>
      <c r="F34" s="147">
        <v>10067</v>
      </c>
      <c r="G34" s="145" t="str">
        <f>VLOOKUP(F34,mat.!$A$3:$D$642,3,FALSE)</f>
        <v>M3</v>
      </c>
      <c r="H34" s="145">
        <f>VLOOKUP(F34,mat.!$A$3:$E$642,4,FALSE)</f>
        <v>1354.54</v>
      </c>
      <c r="I34" s="146">
        <v>1.5E-3</v>
      </c>
      <c r="J34" s="123">
        <f>TRUNC(I34*H34,2)</f>
        <v>2.0299999999999998</v>
      </c>
    </row>
    <row r="35" spans="1:13" ht="12.75" x14ac:dyDescent="0.25">
      <c r="A35" s="991" t="str">
        <f>VLOOKUP(F35,mat.!$A$3:$D$646,2,FALSE)</f>
        <v>Tábuas de 2,5 cm (Não Aparelhada)</v>
      </c>
      <c r="B35" s="992"/>
      <c r="C35" s="992"/>
      <c r="D35" s="992"/>
      <c r="E35" s="993"/>
      <c r="F35" s="147">
        <v>10065</v>
      </c>
      <c r="G35" s="145" t="str">
        <f>VLOOKUP(F35,mat.!$A$3:$D$642,3,FALSE)</f>
        <v>M3</v>
      </c>
      <c r="H35" s="145">
        <f>VLOOKUP(F35,mat.!$A$3:$E$642,4,FALSE)</f>
        <v>2232</v>
      </c>
      <c r="I35" s="146">
        <v>9.4999999999999998E-3</v>
      </c>
      <c r="J35" s="123">
        <f>TRUNC(I35*H35,2)</f>
        <v>21.2</v>
      </c>
    </row>
    <row r="36" spans="1:13" ht="12.75" x14ac:dyDescent="0.25">
      <c r="A36" s="139"/>
      <c r="B36" s="140"/>
      <c r="C36" s="140"/>
      <c r="D36" s="140"/>
      <c r="E36" s="141"/>
      <c r="F36" s="148"/>
      <c r="G36" s="145"/>
      <c r="H36" s="145"/>
      <c r="I36" s="146"/>
      <c r="J36" s="123"/>
    </row>
    <row r="37" spans="1:13" ht="12.75" x14ac:dyDescent="0.25">
      <c r="A37" s="149"/>
      <c r="B37" s="150"/>
      <c r="C37" s="150"/>
      <c r="D37" s="150"/>
      <c r="E37" s="151"/>
      <c r="F37" s="148"/>
      <c r="G37" s="152"/>
      <c r="H37" s="145"/>
      <c r="I37" s="146"/>
      <c r="J37" s="123"/>
    </row>
    <row r="38" spans="1:13" ht="12.75" x14ac:dyDescent="0.25">
      <c r="A38" s="125"/>
      <c r="B38" s="153"/>
      <c r="C38" s="153"/>
      <c r="D38" s="153"/>
      <c r="E38" s="154"/>
      <c r="F38" s="148"/>
      <c r="G38" s="152"/>
      <c r="H38" s="145"/>
      <c r="I38" s="146"/>
      <c r="J38" s="123"/>
    </row>
    <row r="39" spans="1:13" ht="12.75" x14ac:dyDescent="0.25">
      <c r="A39" s="991"/>
      <c r="B39" s="992"/>
      <c r="C39" s="992"/>
      <c r="D39" s="992"/>
      <c r="E39" s="993"/>
      <c r="F39" s="148"/>
      <c r="G39" s="152"/>
      <c r="H39" s="145"/>
      <c r="I39" s="146"/>
      <c r="J39" s="123"/>
    </row>
    <row r="40" spans="1:13" ht="12.75" x14ac:dyDescent="0.25">
      <c r="A40" s="991"/>
      <c r="B40" s="992"/>
      <c r="C40" s="992"/>
      <c r="D40" s="992"/>
      <c r="E40" s="993"/>
      <c r="F40" s="148"/>
      <c r="G40" s="152"/>
      <c r="H40" s="145"/>
      <c r="I40" s="146"/>
      <c r="J40" s="123"/>
    </row>
    <row r="41" spans="1:13" ht="12.75" x14ac:dyDescent="0.25">
      <c r="A41" s="994"/>
      <c r="B41" s="995"/>
      <c r="C41" s="995"/>
      <c r="D41" s="995"/>
      <c r="E41" s="996"/>
      <c r="F41" s="155"/>
      <c r="G41" s="156"/>
      <c r="H41" s="157"/>
      <c r="I41" s="146"/>
      <c r="J41" s="123"/>
    </row>
    <row r="42" spans="1:13" ht="12.75" x14ac:dyDescent="0.25">
      <c r="A42" s="998" t="s">
        <v>91</v>
      </c>
      <c r="B42" s="999"/>
      <c r="C42" s="999"/>
      <c r="D42" s="999"/>
      <c r="E42" s="999"/>
      <c r="F42" s="999"/>
      <c r="G42" s="999"/>
      <c r="H42" s="999"/>
      <c r="I42" s="1000"/>
      <c r="J42" s="136">
        <f>ROUND(SUM(J32:J41),2)</f>
        <v>29.9</v>
      </c>
    </row>
    <row r="43" spans="1:13" ht="12.75" x14ac:dyDescent="0.25">
      <c r="A43" s="1001" t="s">
        <v>92</v>
      </c>
      <c r="B43" s="1002"/>
      <c r="C43" s="1002"/>
      <c r="D43" s="1002"/>
      <c r="E43" s="1015" t="s">
        <v>59</v>
      </c>
      <c r="F43" s="989" t="s">
        <v>93</v>
      </c>
      <c r="G43" s="990"/>
      <c r="H43" s="1017" t="s">
        <v>94</v>
      </c>
      <c r="I43" s="1017" t="s">
        <v>95</v>
      </c>
      <c r="J43" s="987" t="s">
        <v>63</v>
      </c>
    </row>
    <row r="44" spans="1:13" ht="12.75" x14ac:dyDescent="0.25">
      <c r="A44" s="1004"/>
      <c r="B44" s="1005"/>
      <c r="C44" s="1005"/>
      <c r="D44" s="1005"/>
      <c r="E44" s="1016"/>
      <c r="F44" s="120" t="s">
        <v>21</v>
      </c>
      <c r="G44" s="120" t="s">
        <v>20</v>
      </c>
      <c r="H44" s="1017"/>
      <c r="I44" s="1017"/>
      <c r="J44" s="988"/>
    </row>
    <row r="45" spans="1:13" x14ac:dyDescent="0.2">
      <c r="A45" s="49" t="str">
        <f>VLOOKUP(E45,transp.!A4:J30,4,FALSE)</f>
        <v>0,716XP + 0,745XR</v>
      </c>
      <c r="B45" s="104"/>
      <c r="C45" s="104" t="s">
        <v>169</v>
      </c>
      <c r="D45" s="105"/>
      <c r="E45" s="106">
        <v>60013</v>
      </c>
      <c r="F45" s="61">
        <v>24</v>
      </c>
      <c r="G45" s="36">
        <v>0</v>
      </c>
      <c r="H45" s="36">
        <f>TRUNC(F45*K45+G45*L45+M45,2)</f>
        <v>17.18</v>
      </c>
      <c r="I45" s="62">
        <v>1.9E-3</v>
      </c>
      <c r="J45" s="36">
        <f>TRUNC(I45*H45,2)</f>
        <v>0.03</v>
      </c>
      <c r="K45" s="22">
        <f>VLOOKUP(E45,transp.!$A$4:$K$21,5,FALSE)</f>
        <v>0.71599999999999997</v>
      </c>
      <c r="L45" s="22">
        <f>VLOOKUP(E45,transp.!$A$4:$G$19,6,FALSE)</f>
        <v>0.745</v>
      </c>
      <c r="M45" s="22">
        <f>VLOOKUP(E45,transp.!$A$4:$G$19,7,FALSE)</f>
        <v>0</v>
      </c>
    </row>
    <row r="46" spans="1:13" x14ac:dyDescent="0.2">
      <c r="A46" s="107" t="str">
        <f>VLOOKUP(E46,transp.!A5:J30,4,FALSE)</f>
        <v>0,716XP + 0,745XR</v>
      </c>
      <c r="B46" s="108"/>
      <c r="C46" s="108" t="s">
        <v>170</v>
      </c>
      <c r="D46" s="109"/>
      <c r="E46" s="118">
        <v>60013</v>
      </c>
      <c r="F46" s="54">
        <v>24</v>
      </c>
      <c r="G46" s="54">
        <v>0</v>
      </c>
      <c r="H46" s="36">
        <f>TRUNC(F46*K46+G46*L46+M46,2)</f>
        <v>17.18</v>
      </c>
      <c r="I46" s="63">
        <v>1.1999999999999999E-3</v>
      </c>
      <c r="J46" s="36">
        <f>TRUNC(I46*H46,2)</f>
        <v>0.02</v>
      </c>
      <c r="K46" s="22">
        <f>VLOOKUP(E46,transp.!$A$4:$K$21,5,FALSE)</f>
        <v>0.71599999999999997</v>
      </c>
      <c r="L46" s="22">
        <f>VLOOKUP(E46,transp.!$A$4:$G$19,6,FALSE)</f>
        <v>0.745</v>
      </c>
      <c r="M46" s="22">
        <f>VLOOKUP(E46,transp.!$A$4:$G$19,7,FALSE)</f>
        <v>0</v>
      </c>
    </row>
    <row r="47" spans="1:13" x14ac:dyDescent="0.2">
      <c r="A47" s="107" t="str">
        <f>VLOOKUP(E47,transp.!A6:J30,4,FALSE)</f>
        <v>0,716XP + 0,745XR</v>
      </c>
      <c r="B47" s="108"/>
      <c r="C47" s="108" t="s">
        <v>171</v>
      </c>
      <c r="D47" s="109"/>
      <c r="E47" s="119">
        <v>60013</v>
      </c>
      <c r="F47" s="36">
        <v>24</v>
      </c>
      <c r="G47" s="36">
        <v>0</v>
      </c>
      <c r="H47" s="36">
        <f>TRUNC(F47*K47+G47*L47+M47,2)</f>
        <v>17.18</v>
      </c>
      <c r="I47" s="62">
        <v>7.6E-3</v>
      </c>
      <c r="J47" s="36">
        <f>TRUNC(I47*H47,2)</f>
        <v>0.13</v>
      </c>
      <c r="K47" s="22">
        <f>VLOOKUP(E47,transp.!$A$4:$K$21,5,FALSE)</f>
        <v>0.71599999999999997</v>
      </c>
      <c r="L47" s="22">
        <f>VLOOKUP(E47,transp.!$A$4:$G$19,6,FALSE)</f>
        <v>0.745</v>
      </c>
      <c r="M47" s="22">
        <f>VLOOKUP(E47,transp.!$A$4:$G$19,7,FALSE)</f>
        <v>0</v>
      </c>
    </row>
    <row r="48" spans="1:13" x14ac:dyDescent="0.2">
      <c r="A48" s="115"/>
      <c r="B48" s="116"/>
      <c r="C48" s="116"/>
      <c r="D48" s="117"/>
      <c r="E48" s="36"/>
      <c r="F48" s="36"/>
      <c r="G48" s="36"/>
      <c r="H48" s="36"/>
      <c r="I48" s="62"/>
      <c r="J48" s="54"/>
    </row>
    <row r="49" spans="1:10" ht="12.75" x14ac:dyDescent="0.25">
      <c r="A49" s="1012" t="s">
        <v>96</v>
      </c>
      <c r="B49" s="1013"/>
      <c r="C49" s="1013"/>
      <c r="D49" s="1013"/>
      <c r="E49" s="1013"/>
      <c r="F49" s="1013"/>
      <c r="G49" s="1013"/>
      <c r="H49" s="1013"/>
      <c r="I49" s="1014"/>
      <c r="J49" s="170">
        <f>SUM(J45:J48)</f>
        <v>0.18</v>
      </c>
    </row>
    <row r="50" spans="1:10" ht="12.75" x14ac:dyDescent="0.25">
      <c r="A50" s="1018" t="s">
        <v>97</v>
      </c>
      <c r="B50" s="1019"/>
      <c r="C50" s="1019"/>
      <c r="D50" s="1019"/>
      <c r="E50" s="1019"/>
      <c r="F50" s="1019"/>
      <c r="G50" s="171" t="s">
        <v>98</v>
      </c>
      <c r="H50" s="172"/>
      <c r="I50" s="173" t="s">
        <v>99</v>
      </c>
      <c r="J50" s="162">
        <f>J49+J42+J29</f>
        <v>56.51</v>
      </c>
    </row>
    <row r="51" spans="1:10" ht="12.75" x14ac:dyDescent="0.25">
      <c r="A51" s="1020" t="s">
        <v>100</v>
      </c>
      <c r="B51" s="1021"/>
      <c r="C51" s="1021"/>
      <c r="D51" s="1021"/>
      <c r="E51" s="1021"/>
      <c r="F51" s="1021"/>
      <c r="G51" s="174">
        <v>0.35</v>
      </c>
      <c r="H51" s="175"/>
      <c r="I51" s="176" t="s">
        <v>99</v>
      </c>
      <c r="J51" s="144">
        <f>+J50*G51</f>
        <v>19.78</v>
      </c>
    </row>
    <row r="52" spans="1:10" ht="12.75" x14ac:dyDescent="0.25">
      <c r="A52" s="1009" t="s">
        <v>101</v>
      </c>
      <c r="B52" s="1010"/>
      <c r="C52" s="1010"/>
      <c r="D52" s="1010"/>
      <c r="E52" s="1010"/>
      <c r="F52" s="1010"/>
      <c r="G52" s="177"/>
      <c r="H52" s="178"/>
      <c r="I52" s="179" t="s">
        <v>99</v>
      </c>
      <c r="J52" s="136">
        <f>+J51+J50</f>
        <v>76.290000000000006</v>
      </c>
    </row>
    <row r="53" spans="1:10" x14ac:dyDescent="0.2">
      <c r="A53" s="23" t="s">
        <v>102</v>
      </c>
      <c r="B53" s="25"/>
      <c r="C53" s="25"/>
      <c r="D53" s="25"/>
      <c r="E53" s="25"/>
      <c r="F53" s="25"/>
      <c r="G53" s="25"/>
      <c r="H53" s="24"/>
      <c r="I53" s="24"/>
      <c r="J53" s="73"/>
    </row>
    <row r="54" spans="1:10" x14ac:dyDescent="0.2">
      <c r="A54" s="26"/>
      <c r="B54" s="27"/>
      <c r="C54" s="27"/>
      <c r="D54" s="27"/>
      <c r="E54" s="27"/>
      <c r="F54" s="27"/>
      <c r="G54" s="27"/>
      <c r="H54" s="28"/>
      <c r="I54" s="28"/>
      <c r="J54" s="73"/>
    </row>
    <row r="55" spans="1:10" x14ac:dyDescent="0.2">
      <c r="A55" s="29"/>
      <c r="B55" s="31"/>
      <c r="C55" s="31"/>
      <c r="D55" s="30"/>
      <c r="E55" s="30"/>
      <c r="F55" s="30"/>
      <c r="G55" s="30"/>
      <c r="H55" s="30"/>
      <c r="I55" s="30"/>
      <c r="J55" s="74"/>
    </row>
  </sheetData>
  <mergeCells count="54">
    <mergeCell ref="J43:J44"/>
    <mergeCell ref="A49:I49"/>
    <mergeCell ref="A50:F50"/>
    <mergeCell ref="A51:F51"/>
    <mergeCell ref="A52:F52"/>
    <mergeCell ref="A40:E40"/>
    <mergeCell ref="A41:E41"/>
    <mergeCell ref="A42:I42"/>
    <mergeCell ref="A43:D44"/>
    <mergeCell ref="E43:E44"/>
    <mergeCell ref="F43:G43"/>
    <mergeCell ref="H43:H44"/>
    <mergeCell ref="I43:I44"/>
    <mergeCell ref="J30:J31"/>
    <mergeCell ref="A32:E32"/>
    <mergeCell ref="A33:E33"/>
    <mergeCell ref="A34:E34"/>
    <mergeCell ref="A35:E35"/>
    <mergeCell ref="A39:E39"/>
    <mergeCell ref="A29:I29"/>
    <mergeCell ref="A30:E31"/>
    <mergeCell ref="F30:F31"/>
    <mergeCell ref="G30:G31"/>
    <mergeCell ref="H30:H31"/>
    <mergeCell ref="I30:I31"/>
    <mergeCell ref="A28:E28"/>
    <mergeCell ref="G28:I28"/>
    <mergeCell ref="A16:E17"/>
    <mergeCell ref="F16:F17"/>
    <mergeCell ref="G16:G17"/>
    <mergeCell ref="H16:H17"/>
    <mergeCell ref="I16:I17"/>
    <mergeCell ref="A18:E18"/>
    <mergeCell ref="A19:E19"/>
    <mergeCell ref="A20:E20"/>
    <mergeCell ref="A26:E26"/>
    <mergeCell ref="A27:I27"/>
    <mergeCell ref="J16:J17"/>
    <mergeCell ref="J5:J6"/>
    <mergeCell ref="A7:C7"/>
    <mergeCell ref="A8:C8"/>
    <mergeCell ref="A9:C9"/>
    <mergeCell ref="A14:C14"/>
    <mergeCell ref="A15:I15"/>
    <mergeCell ref="A5:C6"/>
    <mergeCell ref="D5:D6"/>
    <mergeCell ref="E5:E6"/>
    <mergeCell ref="F5:G5"/>
    <mergeCell ref="H5:I5"/>
    <mergeCell ref="A1:J1"/>
    <mergeCell ref="A3:A4"/>
    <mergeCell ref="B3:H4"/>
    <mergeCell ref="I3:I4"/>
    <mergeCell ref="J3:J4"/>
  </mergeCells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55"/>
  <sheetViews>
    <sheetView workbookViewId="0">
      <selection activeCell="C55" sqref="C55"/>
    </sheetView>
  </sheetViews>
  <sheetFormatPr defaultColWidth="9" defaultRowHeight="11.25" x14ac:dyDescent="0.2"/>
  <cols>
    <col min="1" max="2" width="9" style="22"/>
    <col min="3" max="3" width="10.875" style="22" customWidth="1"/>
    <col min="4" max="16384" width="9" style="22"/>
  </cols>
  <sheetData>
    <row r="1" spans="1:10" ht="15.75" x14ac:dyDescent="0.2">
      <c r="A1" s="1034" t="s">
        <v>68</v>
      </c>
      <c r="B1" s="1035"/>
      <c r="C1" s="1035"/>
      <c r="D1" s="1035"/>
      <c r="E1" s="1035"/>
      <c r="F1" s="1035"/>
      <c r="G1" s="1035"/>
      <c r="H1" s="1035"/>
      <c r="I1" s="1035"/>
      <c r="J1" s="1036"/>
    </row>
    <row r="2" spans="1:10" ht="12.75" x14ac:dyDescent="0.25">
      <c r="A2" s="183" t="s">
        <v>69</v>
      </c>
      <c r="B2" s="172" t="s">
        <v>70</v>
      </c>
      <c r="C2" s="172"/>
      <c r="D2" s="172"/>
      <c r="E2" s="172"/>
      <c r="F2" s="172"/>
      <c r="G2" s="172"/>
      <c r="H2" s="172"/>
      <c r="I2" s="183" t="s">
        <v>71</v>
      </c>
      <c r="J2" s="183" t="s">
        <v>72</v>
      </c>
    </row>
    <row r="3" spans="1:10" x14ac:dyDescent="0.2">
      <c r="A3" s="975">
        <v>40351</v>
      </c>
      <c r="B3" s="977" t="s">
        <v>165</v>
      </c>
      <c r="C3" s="978"/>
      <c r="D3" s="978"/>
      <c r="E3" s="978"/>
      <c r="F3" s="978"/>
      <c r="G3" s="978"/>
      <c r="H3" s="979"/>
      <c r="I3" s="983" t="s">
        <v>67</v>
      </c>
      <c r="J3" s="984" t="s">
        <v>153</v>
      </c>
    </row>
    <row r="4" spans="1:10" x14ac:dyDescent="0.2">
      <c r="A4" s="976"/>
      <c r="B4" s="980"/>
      <c r="C4" s="981"/>
      <c r="D4" s="981"/>
      <c r="E4" s="981"/>
      <c r="F4" s="981"/>
      <c r="G4" s="981"/>
      <c r="H4" s="982"/>
      <c r="I4" s="976"/>
      <c r="J4" s="985"/>
    </row>
    <row r="5" spans="1:10" ht="12.75" x14ac:dyDescent="0.25">
      <c r="A5" s="997" t="s">
        <v>73</v>
      </c>
      <c r="B5" s="997"/>
      <c r="C5" s="997"/>
      <c r="D5" s="987" t="s">
        <v>59</v>
      </c>
      <c r="E5" s="987" t="s">
        <v>74</v>
      </c>
      <c r="F5" s="989" t="s">
        <v>75</v>
      </c>
      <c r="G5" s="990"/>
      <c r="H5" s="989" t="s">
        <v>76</v>
      </c>
      <c r="I5" s="990"/>
      <c r="J5" s="986" t="s">
        <v>77</v>
      </c>
    </row>
    <row r="6" spans="1:10" ht="12.75" x14ac:dyDescent="0.25">
      <c r="A6" s="997"/>
      <c r="B6" s="997"/>
      <c r="C6" s="997"/>
      <c r="D6" s="988"/>
      <c r="E6" s="988"/>
      <c r="F6" s="120" t="s">
        <v>78</v>
      </c>
      <c r="G6" s="121" t="s">
        <v>79</v>
      </c>
      <c r="H6" s="120" t="s">
        <v>78</v>
      </c>
      <c r="I6" s="120" t="s">
        <v>79</v>
      </c>
      <c r="J6" s="986"/>
    </row>
    <row r="7" spans="1:10" ht="12.75" x14ac:dyDescent="0.25">
      <c r="A7" s="1099"/>
      <c r="B7" s="1100"/>
      <c r="C7" s="1101"/>
      <c r="D7" s="122"/>
      <c r="E7" s="123"/>
      <c r="F7" s="123"/>
      <c r="G7" s="123"/>
      <c r="H7" s="123"/>
      <c r="I7" s="123"/>
      <c r="J7" s="123"/>
    </row>
    <row r="8" spans="1:10" ht="12.75" x14ac:dyDescent="0.25">
      <c r="A8" s="1022"/>
      <c r="B8" s="1023"/>
      <c r="C8" s="1024"/>
      <c r="D8" s="124"/>
      <c r="E8" s="123"/>
      <c r="F8" s="123"/>
      <c r="G8" s="123"/>
      <c r="H8" s="123"/>
      <c r="I8" s="123"/>
      <c r="J8" s="123"/>
    </row>
    <row r="9" spans="1:10" ht="12.75" x14ac:dyDescent="0.25">
      <c r="A9" s="1022"/>
      <c r="B9" s="1023"/>
      <c r="C9" s="1024"/>
      <c r="D9" s="124"/>
      <c r="E9" s="123"/>
      <c r="F9" s="123"/>
      <c r="G9" s="123"/>
      <c r="H9" s="123"/>
      <c r="I9" s="123"/>
      <c r="J9" s="123"/>
    </row>
    <row r="10" spans="1:10" ht="12.75" x14ac:dyDescent="0.25">
      <c r="A10" s="125" t="s">
        <v>127</v>
      </c>
      <c r="B10" s="126"/>
      <c r="C10" s="127"/>
      <c r="D10" s="122"/>
      <c r="E10" s="128">
        <v>0.05</v>
      </c>
      <c r="F10" s="123"/>
      <c r="G10" s="123"/>
      <c r="H10" s="123">
        <f>+J27</f>
        <v>4.74</v>
      </c>
      <c r="I10" s="123"/>
      <c r="J10" s="123">
        <f>TRUNC(H10*E10,2)</f>
        <v>0.23</v>
      </c>
    </row>
    <row r="11" spans="1:10" ht="12.75" x14ac:dyDescent="0.25">
      <c r="A11" s="991"/>
      <c r="B11" s="992"/>
      <c r="C11" s="993"/>
      <c r="D11" s="124"/>
      <c r="E11" s="123"/>
      <c r="F11" s="123"/>
      <c r="G11" s="123"/>
      <c r="H11" s="123"/>
      <c r="I11" s="123"/>
      <c r="J11" s="123"/>
    </row>
    <row r="12" spans="1:10" ht="12.75" x14ac:dyDescent="0.25">
      <c r="A12" s="991"/>
      <c r="B12" s="992"/>
      <c r="C12" s="993"/>
      <c r="D12" s="124"/>
      <c r="E12" s="123"/>
      <c r="F12" s="123"/>
      <c r="G12" s="123"/>
      <c r="H12" s="123"/>
      <c r="I12" s="123"/>
      <c r="J12" s="123"/>
    </row>
    <row r="13" spans="1:10" ht="12.75" x14ac:dyDescent="0.25">
      <c r="A13" s="125"/>
      <c r="B13" s="126"/>
      <c r="C13" s="127"/>
      <c r="D13" s="124"/>
      <c r="E13" s="123"/>
      <c r="F13" s="123"/>
      <c r="G13" s="123"/>
      <c r="H13" s="123"/>
      <c r="I13" s="123"/>
      <c r="J13" s="123"/>
    </row>
    <row r="14" spans="1:10" ht="12.75" x14ac:dyDescent="0.25">
      <c r="A14" s="994"/>
      <c r="B14" s="995"/>
      <c r="C14" s="996"/>
      <c r="D14" s="134"/>
      <c r="E14" s="135"/>
      <c r="F14" s="135"/>
      <c r="G14" s="123"/>
      <c r="H14" s="123"/>
      <c r="I14" s="123"/>
      <c r="J14" s="123"/>
    </row>
    <row r="15" spans="1:10" ht="12.75" x14ac:dyDescent="0.25">
      <c r="A15" s="998" t="s">
        <v>80</v>
      </c>
      <c r="B15" s="999"/>
      <c r="C15" s="999"/>
      <c r="D15" s="999"/>
      <c r="E15" s="999"/>
      <c r="F15" s="999"/>
      <c r="G15" s="999"/>
      <c r="H15" s="999"/>
      <c r="I15" s="1000"/>
      <c r="J15" s="136">
        <f>SUM(J7:J14)</f>
        <v>0.23</v>
      </c>
    </row>
    <row r="16" spans="1:10" x14ac:dyDescent="0.2">
      <c r="A16" s="1001" t="s">
        <v>81</v>
      </c>
      <c r="B16" s="1002"/>
      <c r="C16" s="1002"/>
      <c r="D16" s="1002"/>
      <c r="E16" s="1003"/>
      <c r="F16" s="987" t="s">
        <v>59</v>
      </c>
      <c r="G16" s="987" t="s">
        <v>82</v>
      </c>
      <c r="H16" s="987" t="s">
        <v>74</v>
      </c>
      <c r="I16" s="986" t="s">
        <v>83</v>
      </c>
      <c r="J16" s="987" t="s">
        <v>77</v>
      </c>
    </row>
    <row r="17" spans="1:10" x14ac:dyDescent="0.2">
      <c r="A17" s="1004"/>
      <c r="B17" s="1005"/>
      <c r="C17" s="1005"/>
      <c r="D17" s="1005"/>
      <c r="E17" s="1006"/>
      <c r="F17" s="988"/>
      <c r="G17" s="988"/>
      <c r="H17" s="988"/>
      <c r="I17" s="986"/>
      <c r="J17" s="988"/>
    </row>
    <row r="18" spans="1:10" ht="12.75" x14ac:dyDescent="0.25">
      <c r="A18" s="991" t="str">
        <f>VLOOKUP(F18,m.o.!A1:F153,2,FALSE)</f>
        <v>Ajudante de pedreiro O.A.C.</v>
      </c>
      <c r="B18" s="992"/>
      <c r="C18" s="992"/>
      <c r="D18" s="992"/>
      <c r="E18" s="993"/>
      <c r="F18" s="137">
        <v>20072</v>
      </c>
      <c r="G18" s="138"/>
      <c r="H18" s="123">
        <v>0.6</v>
      </c>
      <c r="I18" s="123">
        <f>VLOOKUP(F18,m.o.!A1:F128,5,FALSE)</f>
        <v>4.91</v>
      </c>
      <c r="J18" s="123">
        <f>TRUNC(H18*I18,2)</f>
        <v>2.94</v>
      </c>
    </row>
    <row r="19" spans="1:10" ht="12.75" x14ac:dyDescent="0.25">
      <c r="A19" s="991" t="str">
        <f>VLOOKUP(F19,m.o.!A2:F154,2,FALSE)</f>
        <v>Pedreiro de O.A.C.</v>
      </c>
      <c r="B19" s="992"/>
      <c r="C19" s="992"/>
      <c r="D19" s="992"/>
      <c r="E19" s="993"/>
      <c r="F19" s="137">
        <v>20109</v>
      </c>
      <c r="G19" s="138"/>
      <c r="H19" s="123">
        <v>0.3</v>
      </c>
      <c r="I19" s="123">
        <f>VLOOKUP(F19,m.o.!A2:F129,5,FALSE)</f>
        <v>6.03</v>
      </c>
      <c r="J19" s="123">
        <f>TRUNC(H19*I19,2)</f>
        <v>1.8</v>
      </c>
    </row>
    <row r="20" spans="1:10" ht="12.75" x14ac:dyDescent="0.25">
      <c r="A20" s="991"/>
      <c r="B20" s="992"/>
      <c r="C20" s="992"/>
      <c r="D20" s="992"/>
      <c r="E20" s="993"/>
      <c r="F20" s="137"/>
      <c r="G20" s="138"/>
      <c r="H20" s="123"/>
      <c r="I20" s="123"/>
      <c r="J20" s="123"/>
    </row>
    <row r="21" spans="1:10" ht="12.75" x14ac:dyDescent="0.25">
      <c r="A21" s="139"/>
      <c r="B21" s="140"/>
      <c r="C21" s="140"/>
      <c r="D21" s="140"/>
      <c r="E21" s="141"/>
      <c r="F21" s="137"/>
      <c r="G21" s="138"/>
      <c r="H21" s="123"/>
      <c r="I21" s="123"/>
      <c r="J21" s="123"/>
    </row>
    <row r="22" spans="1:10" ht="12.75" x14ac:dyDescent="0.25">
      <c r="A22" s="139"/>
      <c r="B22" s="140"/>
      <c r="C22" s="140"/>
      <c r="D22" s="140"/>
      <c r="E22" s="141"/>
      <c r="F22" s="137"/>
      <c r="G22" s="142"/>
      <c r="H22" s="123"/>
      <c r="I22" s="123"/>
      <c r="J22" s="123"/>
    </row>
    <row r="23" spans="1:10" ht="12.75" x14ac:dyDescent="0.25">
      <c r="A23" s="125"/>
      <c r="B23" s="126"/>
      <c r="C23" s="126"/>
      <c r="D23" s="126"/>
      <c r="E23" s="127"/>
      <c r="F23" s="137"/>
      <c r="G23" s="142"/>
      <c r="H23" s="123"/>
      <c r="I23" s="123"/>
      <c r="J23" s="123"/>
    </row>
    <row r="24" spans="1:10" ht="12.75" x14ac:dyDescent="0.25">
      <c r="A24" s="139"/>
      <c r="B24" s="140"/>
      <c r="C24" s="140"/>
      <c r="D24" s="140"/>
      <c r="E24" s="141"/>
      <c r="F24" s="137"/>
      <c r="G24" s="142"/>
      <c r="H24" s="123"/>
      <c r="I24" s="123"/>
      <c r="J24" s="123"/>
    </row>
    <row r="25" spans="1:10" ht="12.75" x14ac:dyDescent="0.25">
      <c r="A25" s="139"/>
      <c r="B25" s="140"/>
      <c r="C25" s="140"/>
      <c r="D25" s="140"/>
      <c r="E25" s="141"/>
      <c r="F25" s="137"/>
      <c r="G25" s="142"/>
      <c r="H25" s="123"/>
      <c r="I25" s="123"/>
      <c r="J25" s="123"/>
    </row>
    <row r="26" spans="1:10" ht="12.75" x14ac:dyDescent="0.25">
      <c r="A26" s="994"/>
      <c r="B26" s="995"/>
      <c r="C26" s="995"/>
      <c r="D26" s="995"/>
      <c r="E26" s="996"/>
      <c r="F26" s="134"/>
      <c r="G26" s="143"/>
      <c r="H26" s="135"/>
      <c r="I26" s="135"/>
      <c r="J26" s="123"/>
    </row>
    <row r="27" spans="1:10" ht="12.75" x14ac:dyDescent="0.25">
      <c r="A27" s="998" t="s">
        <v>84</v>
      </c>
      <c r="B27" s="999"/>
      <c r="C27" s="999"/>
      <c r="D27" s="999"/>
      <c r="E27" s="999"/>
      <c r="F27" s="999"/>
      <c r="G27" s="999"/>
      <c r="H27" s="999"/>
      <c r="I27" s="1000"/>
      <c r="J27" s="136">
        <f>ROUND(SUM(J18:J26),2)</f>
        <v>4.74</v>
      </c>
    </row>
    <row r="28" spans="1:10" ht="12.75" x14ac:dyDescent="0.25">
      <c r="A28" s="1007" t="s">
        <v>85</v>
      </c>
      <c r="B28" s="1008"/>
      <c r="C28" s="1008"/>
      <c r="D28" s="1008"/>
      <c r="E28" s="1008"/>
      <c r="F28" s="135">
        <v>0.83</v>
      </c>
      <c r="G28" s="1007" t="s">
        <v>86</v>
      </c>
      <c r="H28" s="1008"/>
      <c r="I28" s="1008"/>
      <c r="J28" s="144">
        <f>+J27+J15</f>
        <v>4.97</v>
      </c>
    </row>
    <row r="29" spans="1:10" ht="12.75" x14ac:dyDescent="0.25">
      <c r="A29" s="1009" t="s">
        <v>87</v>
      </c>
      <c r="B29" s="1010"/>
      <c r="C29" s="1010"/>
      <c r="D29" s="1010"/>
      <c r="E29" s="1010"/>
      <c r="F29" s="1010"/>
      <c r="G29" s="1010"/>
      <c r="H29" s="1010"/>
      <c r="I29" s="1011"/>
      <c r="J29" s="136">
        <f>TRUNC(J28/F28,2)</f>
        <v>5.98</v>
      </c>
    </row>
    <row r="30" spans="1:10" x14ac:dyDescent="0.2">
      <c r="A30" s="1025" t="s">
        <v>88</v>
      </c>
      <c r="B30" s="1026"/>
      <c r="C30" s="1026"/>
      <c r="D30" s="1026"/>
      <c r="E30" s="1027"/>
      <c r="F30" s="987" t="s">
        <v>59</v>
      </c>
      <c r="G30" s="987" t="s">
        <v>1</v>
      </c>
      <c r="H30" s="986" t="s">
        <v>63</v>
      </c>
      <c r="I30" s="987" t="s">
        <v>89</v>
      </c>
      <c r="J30" s="987" t="s">
        <v>90</v>
      </c>
    </row>
    <row r="31" spans="1:10" x14ac:dyDescent="0.2">
      <c r="A31" s="1028"/>
      <c r="B31" s="1029"/>
      <c r="C31" s="1029"/>
      <c r="D31" s="1029"/>
      <c r="E31" s="1030"/>
      <c r="F31" s="988"/>
      <c r="G31" s="988"/>
      <c r="H31" s="986"/>
      <c r="I31" s="988"/>
      <c r="J31" s="988"/>
    </row>
    <row r="32" spans="1:10" ht="12.75" x14ac:dyDescent="0.25">
      <c r="A32" s="991" t="str">
        <f>VLOOKUP(F32,mat.!$A$3:$D$646,2,FALSE)</f>
        <v>Pedra de mao (incl. 0% IUM) s/ frete</v>
      </c>
      <c r="B32" s="992"/>
      <c r="C32" s="992"/>
      <c r="D32" s="992"/>
      <c r="E32" s="993"/>
      <c r="F32" s="137">
        <v>10121</v>
      </c>
      <c r="G32" s="145" t="str">
        <f>VLOOKUP(F32,mat.!$A$3:$D$642,3,FALSE)</f>
        <v>m3</v>
      </c>
      <c r="H32" s="145">
        <f>VLOOKUP(F32,mat.!$A$3:$E$642,4,FALSE)</f>
        <v>73.97</v>
      </c>
      <c r="I32" s="146">
        <v>0.3</v>
      </c>
      <c r="J32" s="123">
        <f>TRUNC(I32*H32,2)</f>
        <v>22.19</v>
      </c>
    </row>
    <row r="33" spans="1:13" ht="12.75" x14ac:dyDescent="0.25">
      <c r="A33" s="991"/>
      <c r="B33" s="992"/>
      <c r="C33" s="992"/>
      <c r="D33" s="992"/>
      <c r="E33" s="993"/>
      <c r="F33" s="147"/>
      <c r="G33" s="145"/>
      <c r="H33" s="145"/>
      <c r="I33" s="146"/>
      <c r="J33" s="123"/>
    </row>
    <row r="34" spans="1:13" ht="12.75" x14ac:dyDescent="0.25">
      <c r="A34" s="991"/>
      <c r="B34" s="992"/>
      <c r="C34" s="992"/>
      <c r="D34" s="992"/>
      <c r="E34" s="993"/>
      <c r="F34" s="147"/>
      <c r="G34" s="145"/>
      <c r="H34" s="145"/>
      <c r="I34" s="146"/>
      <c r="J34" s="123"/>
    </row>
    <row r="35" spans="1:13" ht="12.75" x14ac:dyDescent="0.25">
      <c r="A35" s="991"/>
      <c r="B35" s="992"/>
      <c r="C35" s="992"/>
      <c r="D35" s="992"/>
      <c r="E35" s="993"/>
      <c r="F35" s="147"/>
      <c r="G35" s="145"/>
      <c r="H35" s="145"/>
      <c r="I35" s="146"/>
      <c r="J35" s="123"/>
    </row>
    <row r="36" spans="1:13" ht="12.75" x14ac:dyDescent="0.25">
      <c r="A36" s="139"/>
      <c r="B36" s="140"/>
      <c r="C36" s="140"/>
      <c r="D36" s="140"/>
      <c r="E36" s="141"/>
      <c r="F36" s="148"/>
      <c r="G36" s="145"/>
      <c r="H36" s="145"/>
      <c r="I36" s="146"/>
      <c r="J36" s="123"/>
    </row>
    <row r="37" spans="1:13" ht="12.75" x14ac:dyDescent="0.25">
      <c r="A37" s="149"/>
      <c r="B37" s="150"/>
      <c r="C37" s="150"/>
      <c r="D37" s="150"/>
      <c r="E37" s="151"/>
      <c r="F37" s="148"/>
      <c r="G37" s="152"/>
      <c r="H37" s="145"/>
      <c r="I37" s="146"/>
      <c r="J37" s="123"/>
    </row>
    <row r="38" spans="1:13" ht="12.75" x14ac:dyDescent="0.25">
      <c r="A38" s="1022" t="s">
        <v>166</v>
      </c>
      <c r="B38" s="1023"/>
      <c r="C38" s="1023"/>
      <c r="D38" s="1023"/>
      <c r="E38" s="1024"/>
      <c r="F38" s="148" t="s">
        <v>167</v>
      </c>
      <c r="G38" s="152" t="s">
        <v>67</v>
      </c>
      <c r="H38" s="145">
        <f>+'40358'!J50</f>
        <v>444.36</v>
      </c>
      <c r="I38" s="146">
        <v>0.7</v>
      </c>
      <c r="J38" s="123">
        <f>+I38*H38</f>
        <v>311.05</v>
      </c>
    </row>
    <row r="39" spans="1:13" ht="12.75" x14ac:dyDescent="0.25">
      <c r="A39" s="991"/>
      <c r="B39" s="992"/>
      <c r="C39" s="992"/>
      <c r="D39" s="992"/>
      <c r="E39" s="993"/>
      <c r="F39" s="148"/>
      <c r="G39" s="152"/>
      <c r="H39" s="145"/>
      <c r="I39" s="146"/>
      <c r="J39" s="123"/>
    </row>
    <row r="40" spans="1:13" ht="12.75" x14ac:dyDescent="0.25">
      <c r="A40" s="991"/>
      <c r="B40" s="992"/>
      <c r="C40" s="992"/>
      <c r="D40" s="992"/>
      <c r="E40" s="993"/>
      <c r="F40" s="148"/>
      <c r="G40" s="152"/>
      <c r="H40" s="145"/>
      <c r="I40" s="146"/>
      <c r="J40" s="123"/>
    </row>
    <row r="41" spans="1:13" ht="12.75" x14ac:dyDescent="0.25">
      <c r="A41" s="994"/>
      <c r="B41" s="995"/>
      <c r="C41" s="995"/>
      <c r="D41" s="995"/>
      <c r="E41" s="996"/>
      <c r="F41" s="155"/>
      <c r="G41" s="156"/>
      <c r="H41" s="157"/>
      <c r="I41" s="146"/>
      <c r="J41" s="123"/>
    </row>
    <row r="42" spans="1:13" ht="12.75" x14ac:dyDescent="0.25">
      <c r="A42" s="998" t="s">
        <v>91</v>
      </c>
      <c r="B42" s="999"/>
      <c r="C42" s="999"/>
      <c r="D42" s="999"/>
      <c r="E42" s="999"/>
      <c r="F42" s="999"/>
      <c r="G42" s="999"/>
      <c r="H42" s="999"/>
      <c r="I42" s="1000"/>
      <c r="J42" s="136">
        <f>ROUND(SUM(J32:J41),2)</f>
        <v>333.24</v>
      </c>
    </row>
    <row r="43" spans="1:13" ht="12.75" x14ac:dyDescent="0.25">
      <c r="A43" s="1001" t="s">
        <v>92</v>
      </c>
      <c r="B43" s="1002"/>
      <c r="C43" s="1002"/>
      <c r="D43" s="1002"/>
      <c r="E43" s="1015" t="s">
        <v>59</v>
      </c>
      <c r="F43" s="989" t="s">
        <v>93</v>
      </c>
      <c r="G43" s="990"/>
      <c r="H43" s="1017" t="s">
        <v>94</v>
      </c>
      <c r="I43" s="1017" t="s">
        <v>95</v>
      </c>
      <c r="J43" s="987" t="s">
        <v>63</v>
      </c>
    </row>
    <row r="44" spans="1:13" ht="12.75" x14ac:dyDescent="0.25">
      <c r="A44" s="1004"/>
      <c r="B44" s="1005"/>
      <c r="C44" s="1005"/>
      <c r="D44" s="1005"/>
      <c r="E44" s="1016"/>
      <c r="F44" s="120" t="s">
        <v>21</v>
      </c>
      <c r="G44" s="120" t="s">
        <v>20</v>
      </c>
      <c r="H44" s="1017"/>
      <c r="I44" s="1017"/>
      <c r="J44" s="988"/>
    </row>
    <row r="45" spans="1:13" ht="12.75" x14ac:dyDescent="0.25">
      <c r="A45" s="158" t="str">
        <f>VLOOKUP(E45,transp.!A4:J30,4,FALSE)</f>
        <v>0,719XP + 0,749XR + 2,997</v>
      </c>
      <c r="B45" s="159"/>
      <c r="C45" s="159" t="s">
        <v>113</v>
      </c>
      <c r="D45" s="160"/>
      <c r="E45" s="161">
        <v>60002</v>
      </c>
      <c r="F45" s="162">
        <v>24</v>
      </c>
      <c r="G45" s="123">
        <v>0</v>
      </c>
      <c r="H45" s="123">
        <f>TRUNC(F45*K45+G45*L45+M45,2)</f>
        <v>20.25</v>
      </c>
      <c r="I45" s="163">
        <v>1.8105</v>
      </c>
      <c r="J45" s="123">
        <f>TRUNC(I45*H45,2)</f>
        <v>36.659999999999997</v>
      </c>
      <c r="K45" s="22">
        <f>VLOOKUP(E45,transp.!$A$4:$K$21,5,FALSE)</f>
        <v>0.71899999999999997</v>
      </c>
      <c r="L45" s="22">
        <f>VLOOKUP(E45,transp.!$A$4:$G$19,6,FALSE)</f>
        <v>0.749</v>
      </c>
      <c r="M45" s="22">
        <f>VLOOKUP(E45,transp.!$A$4:$G$19,7,FALSE)</f>
        <v>2.9969999999999999</v>
      </c>
    </row>
    <row r="46" spans="1:13" ht="12.75" x14ac:dyDescent="0.25">
      <c r="A46" s="139" t="str">
        <f>VLOOKUP(E46,transp.!A5:J30,4,FALSE)</f>
        <v>0,716XP + 0,745XR</v>
      </c>
      <c r="B46" s="140"/>
      <c r="C46" s="140" t="s">
        <v>159</v>
      </c>
      <c r="D46" s="141"/>
      <c r="E46" s="164">
        <v>60013</v>
      </c>
      <c r="F46" s="145">
        <v>141</v>
      </c>
      <c r="G46" s="145">
        <v>0</v>
      </c>
      <c r="H46" s="123">
        <f>TRUNC(F46*K46+G46*L46+M46,2)</f>
        <v>100.95</v>
      </c>
      <c r="I46" s="165">
        <v>0.36749999999999999</v>
      </c>
      <c r="J46" s="145">
        <f>+I46*H46</f>
        <v>37.1</v>
      </c>
      <c r="K46" s="22">
        <f>VLOOKUP(E46,transp.!$A$4:$K$21,5,FALSE)</f>
        <v>0.71599999999999997</v>
      </c>
      <c r="L46" s="22">
        <f>VLOOKUP(E46,transp.!$A$4:$G$19,6,FALSE)</f>
        <v>0.745</v>
      </c>
      <c r="M46" s="22">
        <f>VLOOKUP(E46,transp.!$A$4:$G$19,7,FALSE)</f>
        <v>0</v>
      </c>
    </row>
    <row r="47" spans="1:13" ht="12.75" x14ac:dyDescent="0.25">
      <c r="A47" s="139"/>
      <c r="B47" s="140"/>
      <c r="C47" s="140"/>
      <c r="D47" s="141"/>
      <c r="E47" s="166"/>
      <c r="F47" s="123"/>
      <c r="G47" s="123"/>
      <c r="H47" s="123"/>
      <c r="I47" s="163"/>
      <c r="J47" s="145"/>
    </row>
    <row r="48" spans="1:13" ht="12.75" x14ac:dyDescent="0.25">
      <c r="A48" s="167"/>
      <c r="B48" s="168"/>
      <c r="C48" s="168"/>
      <c r="D48" s="169"/>
      <c r="E48" s="123"/>
      <c r="F48" s="123"/>
      <c r="G48" s="123"/>
      <c r="H48" s="123"/>
      <c r="I48" s="163"/>
      <c r="J48" s="145"/>
    </row>
    <row r="49" spans="1:10" ht="12.75" x14ac:dyDescent="0.25">
      <c r="A49" s="1012" t="s">
        <v>96</v>
      </c>
      <c r="B49" s="1013"/>
      <c r="C49" s="1013"/>
      <c r="D49" s="1013"/>
      <c r="E49" s="1013"/>
      <c r="F49" s="1013"/>
      <c r="G49" s="1013"/>
      <c r="H49" s="1013"/>
      <c r="I49" s="1014"/>
      <c r="J49" s="170">
        <f>SUM(J45:J48)</f>
        <v>73.760000000000005</v>
      </c>
    </row>
    <row r="50" spans="1:10" ht="12.75" x14ac:dyDescent="0.25">
      <c r="A50" s="1018" t="s">
        <v>97</v>
      </c>
      <c r="B50" s="1019"/>
      <c r="C50" s="1019"/>
      <c r="D50" s="1019"/>
      <c r="E50" s="1019"/>
      <c r="F50" s="1019"/>
      <c r="G50" s="171" t="s">
        <v>98</v>
      </c>
      <c r="H50" s="172"/>
      <c r="I50" s="173" t="s">
        <v>99</v>
      </c>
      <c r="J50" s="162">
        <f>J49+J42+J29</f>
        <v>412.98</v>
      </c>
    </row>
    <row r="51" spans="1:10" ht="12.75" x14ac:dyDescent="0.25">
      <c r="A51" s="1020" t="s">
        <v>100</v>
      </c>
      <c r="B51" s="1021"/>
      <c r="C51" s="1021"/>
      <c r="D51" s="1021"/>
      <c r="E51" s="1021"/>
      <c r="F51" s="1021"/>
      <c r="G51" s="174">
        <v>0.35</v>
      </c>
      <c r="H51" s="175"/>
      <c r="I51" s="176" t="s">
        <v>99</v>
      </c>
      <c r="J51" s="144">
        <f>+J50*G51</f>
        <v>144.54</v>
      </c>
    </row>
    <row r="52" spans="1:10" ht="12.75" x14ac:dyDescent="0.25">
      <c r="A52" s="1009" t="s">
        <v>101</v>
      </c>
      <c r="B52" s="1010"/>
      <c r="C52" s="1010"/>
      <c r="D52" s="1010"/>
      <c r="E52" s="1010"/>
      <c r="F52" s="1010"/>
      <c r="G52" s="177"/>
      <c r="H52" s="178"/>
      <c r="I52" s="179" t="s">
        <v>99</v>
      </c>
      <c r="J52" s="136">
        <f>+J51+J50</f>
        <v>557.52</v>
      </c>
    </row>
    <row r="53" spans="1:10" x14ac:dyDescent="0.2">
      <c r="A53" s="23" t="s">
        <v>102</v>
      </c>
      <c r="B53" s="25"/>
      <c r="C53" s="25"/>
      <c r="D53" s="25"/>
      <c r="E53" s="25"/>
      <c r="F53" s="25"/>
      <c r="G53" s="25"/>
      <c r="H53" s="24"/>
      <c r="I53" s="24"/>
      <c r="J53" s="73"/>
    </row>
    <row r="54" spans="1:10" x14ac:dyDescent="0.2">
      <c r="A54" s="26"/>
      <c r="B54" s="27"/>
      <c r="C54" s="27"/>
      <c r="D54" s="27"/>
      <c r="E54" s="27"/>
      <c r="F54" s="27"/>
      <c r="G54" s="27"/>
      <c r="H54" s="28"/>
      <c r="I54" s="28"/>
      <c r="J54" s="73"/>
    </row>
    <row r="55" spans="1:10" x14ac:dyDescent="0.2">
      <c r="A55" s="29"/>
      <c r="B55" s="31"/>
      <c r="C55" s="31"/>
      <c r="D55" s="30"/>
      <c r="E55" s="30"/>
      <c r="F55" s="30"/>
      <c r="G55" s="30"/>
      <c r="H55" s="30"/>
      <c r="I55" s="30"/>
      <c r="J55" s="74"/>
    </row>
  </sheetData>
  <mergeCells count="57">
    <mergeCell ref="J43:J44"/>
    <mergeCell ref="A49:I49"/>
    <mergeCell ref="A50:F50"/>
    <mergeCell ref="A51:F51"/>
    <mergeCell ref="A52:F52"/>
    <mergeCell ref="A38:E38"/>
    <mergeCell ref="A40:E40"/>
    <mergeCell ref="A41:E41"/>
    <mergeCell ref="A42:I42"/>
    <mergeCell ref="A43:D44"/>
    <mergeCell ref="E43:E44"/>
    <mergeCell ref="F43:G43"/>
    <mergeCell ref="H43:H44"/>
    <mergeCell ref="I43:I44"/>
    <mergeCell ref="A39:E39"/>
    <mergeCell ref="J30:J31"/>
    <mergeCell ref="A32:E32"/>
    <mergeCell ref="A33:E33"/>
    <mergeCell ref="A34:E34"/>
    <mergeCell ref="A35:E35"/>
    <mergeCell ref="A28:E28"/>
    <mergeCell ref="G28:I28"/>
    <mergeCell ref="A29:I29"/>
    <mergeCell ref="A30:E31"/>
    <mergeCell ref="F30:F31"/>
    <mergeCell ref="G30:G31"/>
    <mergeCell ref="H30:H31"/>
    <mergeCell ref="I30:I31"/>
    <mergeCell ref="J16:J17"/>
    <mergeCell ref="A18:E18"/>
    <mergeCell ref="A19:E19"/>
    <mergeCell ref="A20:E20"/>
    <mergeCell ref="A26:E26"/>
    <mergeCell ref="A27:I27"/>
    <mergeCell ref="A14:C14"/>
    <mergeCell ref="A15:I15"/>
    <mergeCell ref="A16:E17"/>
    <mergeCell ref="F16:F17"/>
    <mergeCell ref="G16:G17"/>
    <mergeCell ref="H16:H17"/>
    <mergeCell ref="I16:I17"/>
    <mergeCell ref="A12:C12"/>
    <mergeCell ref="A1:J1"/>
    <mergeCell ref="A3:A4"/>
    <mergeCell ref="B3:H4"/>
    <mergeCell ref="I3:I4"/>
    <mergeCell ref="J3:J4"/>
    <mergeCell ref="A5:C6"/>
    <mergeCell ref="D5:D6"/>
    <mergeCell ref="E5:E6"/>
    <mergeCell ref="F5:G5"/>
    <mergeCell ref="H5:I5"/>
    <mergeCell ref="J5:J6"/>
    <mergeCell ref="A7:C7"/>
    <mergeCell ref="A8:C8"/>
    <mergeCell ref="A9:C9"/>
    <mergeCell ref="A11:C11"/>
  </mergeCells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0"/>
  <sheetViews>
    <sheetView view="pageBreakPreview" topLeftCell="A194" zoomScaleNormal="100" zoomScaleSheetLayoutView="100" workbookViewId="0">
      <selection activeCell="G218" sqref="G218"/>
    </sheetView>
  </sheetViews>
  <sheetFormatPr defaultColWidth="9" defaultRowHeight="15" x14ac:dyDescent="0.2"/>
  <cols>
    <col min="1" max="1" width="6.75" style="491" customWidth="1"/>
    <col min="2" max="2" width="8.625" style="491" customWidth="1"/>
    <col min="3" max="3" width="71.5" style="479" customWidth="1"/>
    <col min="4" max="4" width="6.25" style="491" bestFit="1" customWidth="1"/>
    <col min="5" max="5" width="10.5" style="529" customWidth="1"/>
    <col min="6" max="6" width="13.375" style="529" customWidth="1"/>
    <col min="7" max="7" width="14.75" style="529" bestFit="1" customWidth="1"/>
    <col min="8" max="8" width="14.75" style="529" hidden="1" customWidth="1"/>
    <col min="9" max="9" width="18.875" style="491" hidden="1" customWidth="1"/>
    <col min="10" max="10" width="23.25" style="491" hidden="1" customWidth="1"/>
    <col min="11" max="11" width="46.75" style="491" hidden="1" customWidth="1"/>
    <col min="12" max="12" width="36" style="491" customWidth="1"/>
    <col min="13" max="16384" width="9" style="491"/>
  </cols>
  <sheetData>
    <row r="1" spans="1:11" ht="19.5" x14ac:dyDescent="0.2">
      <c r="A1" s="923" t="s">
        <v>2941</v>
      </c>
      <c r="B1" s="923"/>
      <c r="C1" s="923"/>
      <c r="D1" s="923"/>
      <c r="E1" s="923"/>
      <c r="F1" s="923"/>
      <c r="G1" s="923"/>
      <c r="H1" s="677"/>
    </row>
    <row r="2" spans="1:11" ht="15.75" x14ac:dyDescent="0.2">
      <c r="A2" s="926" t="str">
        <f>+Memória!A2</f>
        <v>Trecho 06 - São Paulo - Água Pretinha</v>
      </c>
      <c r="B2" s="927"/>
      <c r="C2" s="927"/>
      <c r="D2" s="927"/>
      <c r="E2" s="927"/>
      <c r="F2" s="927"/>
      <c r="G2" s="927"/>
      <c r="H2" s="678"/>
    </row>
    <row r="3" spans="1:11" s="503" customFormat="1" ht="12.75" x14ac:dyDescent="0.2">
      <c r="A3" s="924" t="s">
        <v>5</v>
      </c>
      <c r="B3" s="924"/>
      <c r="C3" s="919" t="s">
        <v>12</v>
      </c>
      <c r="D3" s="919" t="s">
        <v>13</v>
      </c>
      <c r="E3" s="921" t="s">
        <v>6</v>
      </c>
      <c r="F3" s="925" t="s">
        <v>293</v>
      </c>
      <c r="G3" s="925"/>
      <c r="H3" s="679"/>
    </row>
    <row r="4" spans="1:11" s="503" customFormat="1" ht="12.75" x14ac:dyDescent="0.2">
      <c r="A4" s="592" t="s">
        <v>258</v>
      </c>
      <c r="B4" s="504" t="s">
        <v>11</v>
      </c>
      <c r="C4" s="920"/>
      <c r="D4" s="920"/>
      <c r="E4" s="922"/>
      <c r="F4" s="904" t="s">
        <v>14</v>
      </c>
      <c r="G4" s="681" t="s">
        <v>15</v>
      </c>
      <c r="H4" s="718"/>
      <c r="I4" s="718"/>
      <c r="J4" s="718"/>
      <c r="K4" s="719"/>
    </row>
    <row r="5" spans="1:11" x14ac:dyDescent="0.2">
      <c r="A5" s="497">
        <v>1</v>
      </c>
      <c r="B5" s="505"/>
      <c r="C5" s="506" t="str">
        <f>VLOOKUP(A5,Memória!A:S,3,FALSE)</f>
        <v>ADMINISTRAÇÃO LOCAL E SERVIÇOS AUXILIARES</v>
      </c>
      <c r="D5" s="507"/>
      <c r="E5" s="524"/>
      <c r="F5" s="525"/>
      <c r="G5" s="685"/>
      <c r="H5" s="710"/>
      <c r="I5" s="711"/>
      <c r="J5" s="711"/>
      <c r="K5" s="716"/>
    </row>
    <row r="6" spans="1:11" x14ac:dyDescent="0.2">
      <c r="A6" s="498" t="s">
        <v>223</v>
      </c>
      <c r="B6" s="511"/>
      <c r="C6" s="512" t="str">
        <f>VLOOKUP(A6,Memória!A:S,3,FALSE)</f>
        <v>Administração Local</v>
      </c>
      <c r="D6" s="513"/>
      <c r="E6" s="514"/>
      <c r="F6" s="514"/>
      <c r="G6" s="683"/>
      <c r="H6" s="707"/>
      <c r="I6" s="701"/>
      <c r="J6" s="701"/>
      <c r="K6" s="703"/>
    </row>
    <row r="7" spans="1:11" x14ac:dyDescent="0.2">
      <c r="A7" s="501" t="s">
        <v>283</v>
      </c>
      <c r="B7" s="515" t="str">
        <f>VLOOKUP(A7,Memória!A:S,2,FALSE)</f>
        <v>PR-001</v>
      </c>
      <c r="C7" s="492" t="str">
        <f>VLOOKUP(A7,Memória!A:S,3,FALSE)</f>
        <v>Administração local</v>
      </c>
      <c r="D7" s="516" t="str">
        <f>VLOOKUP(A7,Memória!A:T,20,FALSE)</f>
        <v>vb</v>
      </c>
      <c r="E7" s="517">
        <f>VLOOKUP(A7,Memória!A:S,19,FALSE)</f>
        <v>18</v>
      </c>
      <c r="F7" s="517">
        <f>Composições!I43</f>
        <v>13742.85</v>
      </c>
      <c r="G7" s="684">
        <f>TRUNC(E7*F7,2)</f>
        <v>247371.3</v>
      </c>
      <c r="H7" s="700"/>
      <c r="I7" s="701"/>
      <c r="J7" s="701"/>
      <c r="K7" s="516"/>
    </row>
    <row r="8" spans="1:11" x14ac:dyDescent="0.2">
      <c r="A8" s="498" t="s">
        <v>441</v>
      </c>
      <c r="B8" s="515"/>
      <c r="C8" s="512" t="str">
        <f>VLOOKUP(A8,Memória!A:S,3,FALSE)</f>
        <v>Controle Tecnológico dos Serviços</v>
      </c>
      <c r="D8" s="516"/>
      <c r="E8" s="517"/>
      <c r="F8" s="517"/>
      <c r="G8" s="684"/>
      <c r="H8" s="700"/>
      <c r="I8" s="701"/>
      <c r="J8" s="701"/>
      <c r="K8" s="703"/>
    </row>
    <row r="9" spans="1:11" x14ac:dyDescent="0.2">
      <c r="A9" s="501" t="s">
        <v>442</v>
      </c>
      <c r="B9" s="515" t="str">
        <f>VLOOKUP(A9,Memória!A:S,2,FALSE)</f>
        <v>PR-002</v>
      </c>
      <c r="C9" s="492" t="str">
        <f>VLOOKUP(A9,Memória!A:S,3,FALSE)</f>
        <v>Equipe de Topografia</v>
      </c>
      <c r="D9" s="516" t="str">
        <f>VLOOKUP(A9,Memória!A:T,20,FALSE)</f>
        <v>mês</v>
      </c>
      <c r="E9" s="517">
        <f>VLOOKUP(A9,Memória!A:S,19,FALSE)</f>
        <v>10</v>
      </c>
      <c r="F9" s="517">
        <f>Composições!I80</f>
        <v>6456.32</v>
      </c>
      <c r="G9" s="684">
        <f>TRUNC(E9*F9,2)</f>
        <v>64563.199999999997</v>
      </c>
      <c r="H9" s="700"/>
      <c r="I9" s="701"/>
      <c r="J9" s="701"/>
      <c r="K9" s="516"/>
    </row>
    <row r="10" spans="1:11" x14ac:dyDescent="0.2">
      <c r="A10" s="501" t="s">
        <v>443</v>
      </c>
      <c r="B10" s="515" t="str">
        <f>VLOOKUP(A10,Memória!A:S,2,FALSE)</f>
        <v>PR-003</v>
      </c>
      <c r="C10" s="492" t="str">
        <f>VLOOKUP(A10,Memória!A:S,3,FALSE)</f>
        <v>Equipe de Laboratório</v>
      </c>
      <c r="D10" s="516" t="str">
        <f>VLOOKUP(A10,Memória!A:T,20,FALSE)</f>
        <v>mês</v>
      </c>
      <c r="E10" s="517">
        <f>VLOOKUP(A10,Memória!A:S,19,FALSE)</f>
        <v>10</v>
      </c>
      <c r="F10" s="517">
        <f>Composições!I116</f>
        <v>8019.25</v>
      </c>
      <c r="G10" s="684">
        <f>TRUNC(E10*F10,2)</f>
        <v>80192.5</v>
      </c>
      <c r="H10" s="700"/>
      <c r="I10" s="701"/>
      <c r="J10" s="701"/>
      <c r="K10" s="516"/>
    </row>
    <row r="11" spans="1:11" x14ac:dyDescent="0.2">
      <c r="A11" s="519"/>
      <c r="B11" s="591"/>
      <c r="C11" s="520" t="s">
        <v>655</v>
      </c>
      <c r="D11" s="521"/>
      <c r="E11" s="522"/>
      <c r="F11" s="523"/>
      <c r="G11" s="522">
        <f>SUM(G6:G10)</f>
        <v>392127</v>
      </c>
      <c r="H11" s="690"/>
      <c r="I11" s="692"/>
      <c r="J11" s="689"/>
      <c r="K11" s="692"/>
    </row>
    <row r="12" spans="1:11" s="510" customFormat="1" ht="14.25" x14ac:dyDescent="0.2">
      <c r="A12" s="497">
        <v>2</v>
      </c>
      <c r="B12" s="505"/>
      <c r="C12" s="506" t="str">
        <f>VLOOKUP(A12,Memória!A:S,3,FALSE)</f>
        <v>INSTALAÇÃO DE CANTEIRO. MOBILIZAÇÃO E DESMOBILIZAÇÃO</v>
      </c>
      <c r="D12" s="507"/>
      <c r="E12" s="508"/>
      <c r="F12" s="509"/>
      <c r="G12" s="682"/>
      <c r="H12" s="718"/>
      <c r="I12" s="718"/>
      <c r="J12" s="718"/>
      <c r="K12" s="719"/>
    </row>
    <row r="13" spans="1:11" s="518" customFormat="1" x14ac:dyDescent="0.2">
      <c r="A13" s="499" t="s">
        <v>124</v>
      </c>
      <c r="B13" s="515">
        <f>VLOOKUP(A13,Memória!A:S,2,FALSE)</f>
        <v>40077</v>
      </c>
      <c r="C13" s="492" t="str">
        <f>VLOOKUP(A13,Memória!A:S,3,FALSE)</f>
        <v>Roçada mecanizada</v>
      </c>
      <c r="D13" s="516" t="str">
        <f>VLOOKUP(A13,Memória!A:T,20,FALSE)</f>
        <v>M2</v>
      </c>
      <c r="E13" s="517">
        <f>VLOOKUP(A13,Memória!A:S,19,FALSE)</f>
        <v>1000</v>
      </c>
      <c r="F13" s="517">
        <f>IF(LEFT(B13,1)="l",VLOOKUP(B13,Composições!$J:$K,2,FALSE),IF(B13&gt;60000,VLOOKUP(A13,Memória!A:AC,22,FALSE),VLOOKUP(B13,'DER 11-20'!$A:$F,6,FALSE)))</f>
        <v>0.22</v>
      </c>
      <c r="G13" s="684">
        <f>TRUNC(E13*F13,2)</f>
        <v>220</v>
      </c>
      <c r="H13" s="697"/>
      <c r="I13" s="698"/>
      <c r="J13" s="698"/>
      <c r="K13" s="699"/>
    </row>
    <row r="14" spans="1:11" s="518" customFormat="1" x14ac:dyDescent="0.2">
      <c r="A14" s="499" t="s">
        <v>125</v>
      </c>
      <c r="B14" s="515" t="str">
        <f>VLOOKUP(A14,Memória!A:S,2,FALSE)</f>
        <v>PR-004</v>
      </c>
      <c r="C14" s="492" t="str">
        <f>VLOOKUP(A14,Memória!A:S,3,FALSE)</f>
        <v>Brita 0, fornecimento e espalhamento</v>
      </c>
      <c r="D14" s="516" t="str">
        <f>VLOOKUP(A14,Memória!A:T,20,FALSE)</f>
        <v>M3</v>
      </c>
      <c r="E14" s="517">
        <f>VLOOKUP(A14,Memória!A:S,19,FALSE)</f>
        <v>70</v>
      </c>
      <c r="F14" s="517">
        <f>Composições!I152</f>
        <v>115.91</v>
      </c>
      <c r="G14" s="684">
        <f t="shared" ref="G14:G26" si="0">TRUNC(E14*F14,2)</f>
        <v>8113.7</v>
      </c>
      <c r="H14" s="700"/>
      <c r="I14" s="701"/>
      <c r="J14" s="701"/>
      <c r="K14" s="515"/>
    </row>
    <row r="15" spans="1:11" s="518" customFormat="1" ht="30" x14ac:dyDescent="0.2">
      <c r="A15" s="499" t="s">
        <v>224</v>
      </c>
      <c r="B15" s="515">
        <f>VLOOKUP(A15,Memória!A:S,2,FALSE)</f>
        <v>100882</v>
      </c>
      <c r="C15" s="492" t="str">
        <f>VLOOKUP(A15,Memória!A:S,3,FALSE)</f>
        <v>Tapume Telha Metálica Ondulada 0,50mm Branca h=2,20m, incl. montagem estr. mad. 8"x8", incl. faixas pint. esmalte sintético c/ h=40cm (Reaproveitamento 2x)</v>
      </c>
      <c r="D15" s="516" t="str">
        <f>VLOOKUP(A15,Memória!A:T,20,FALSE)</f>
        <v>M</v>
      </c>
      <c r="E15" s="517">
        <f>VLOOKUP(A15,Memória!A:S,19,FALSE)</f>
        <v>50</v>
      </c>
      <c r="F15" s="517">
        <f>VLOOKUP(B15,'DER 11-20'!A5:E1608,4,0)</f>
        <v>200.4</v>
      </c>
      <c r="G15" s="684">
        <f t="shared" si="0"/>
        <v>10020</v>
      </c>
      <c r="H15" s="700"/>
      <c r="I15" s="701"/>
      <c r="J15" s="701"/>
      <c r="K15" s="516"/>
    </row>
    <row r="16" spans="1:11" s="518" customFormat="1" ht="30" x14ac:dyDescent="0.2">
      <c r="A16" s="499" t="s">
        <v>225</v>
      </c>
      <c r="B16" s="515">
        <f>VLOOKUP(A16,Memória!A:S,2,FALSE)</f>
        <v>40901</v>
      </c>
      <c r="C16" s="492" t="str">
        <f>VLOOKUP(A16,Memória!A:S,3,FALSE)</f>
        <v>Cerca de arame liso 4 fios com mourões cada 2,0 m, esticadores de madeira, a cada 20,0 m, inclusive transporte de mourão e arame liso</v>
      </c>
      <c r="D16" s="516" t="str">
        <f>VLOOKUP(A16,Memória!A:T,20,FALSE)</f>
        <v>M</v>
      </c>
      <c r="E16" s="517">
        <f>VLOOKUP(A16,Memória!A:S,19,FALSE)</f>
        <v>65</v>
      </c>
      <c r="F16" s="517">
        <f>'Compos DER'!I114</f>
        <v>21.58</v>
      </c>
      <c r="G16" s="684">
        <f t="shared" si="0"/>
        <v>1402.7</v>
      </c>
      <c r="H16" s="700"/>
      <c r="I16" s="701"/>
      <c r="J16" s="701"/>
      <c r="K16" s="516"/>
    </row>
    <row r="17" spans="1:13" s="518" customFormat="1" x14ac:dyDescent="0.2">
      <c r="A17" s="499" t="s">
        <v>226</v>
      </c>
      <c r="B17" s="515">
        <f>VLOOKUP(A17,Memória!A:S,2,FALSE)</f>
        <v>41500</v>
      </c>
      <c r="C17" s="492" t="str">
        <f>VLOOKUP(A17,Memória!A:S,3,FALSE)</f>
        <v>Placa de obra nas dimensões de 3,0 x 6,0 m, padrão DER-ES</v>
      </c>
      <c r="D17" s="516" t="str">
        <f>VLOOKUP(A17,Memória!A:T,20,FALSE)</f>
        <v>M2</v>
      </c>
      <c r="E17" s="517">
        <f>VLOOKUP(A17,Memória!A:S,19,FALSE)</f>
        <v>36</v>
      </c>
      <c r="F17" s="517">
        <f>VLOOKUP(B17,'DER 11-20'!A5:E1608,4,0)</f>
        <v>299.10000000000002</v>
      </c>
      <c r="G17" s="684">
        <f t="shared" si="0"/>
        <v>10767.6</v>
      </c>
      <c r="H17" s="700"/>
      <c r="I17" s="701"/>
      <c r="J17" s="701"/>
      <c r="K17" s="515"/>
    </row>
    <row r="18" spans="1:13" s="518" customFormat="1" ht="30" x14ac:dyDescent="0.2">
      <c r="A18" s="499" t="s">
        <v>227</v>
      </c>
      <c r="B18" s="515">
        <f>VLOOKUP(A18,Memória!A:S,2,FALSE)</f>
        <v>41498</v>
      </c>
      <c r="C18" s="492" t="str">
        <f>VLOOKUP(A18,Memória!A:S,3,FALSE)</f>
        <v>Barracão com sanitário, em chapa compensada 12 mm e pont. 8x8cm, piso cimentado e cobertura em telha de fibroc. 6mm, incl. ponto de luz e cx. inspeção - (Guarita)</v>
      </c>
      <c r="D18" s="516" t="str">
        <f>VLOOKUP(A18,Memória!A:T,20,FALSE)</f>
        <v>M2</v>
      </c>
      <c r="E18" s="517">
        <f>VLOOKUP(A18,Memória!A:S,19,FALSE)</f>
        <v>6</v>
      </c>
      <c r="F18" s="517">
        <f>VLOOKUP(B18,'DER 11-20'!A5:E1608,4,0)</f>
        <v>715.94</v>
      </c>
      <c r="G18" s="684">
        <f t="shared" si="0"/>
        <v>4295.6400000000003</v>
      </c>
      <c r="H18" s="700"/>
      <c r="I18" s="701"/>
      <c r="J18" s="701"/>
      <c r="K18" s="515"/>
    </row>
    <row r="19" spans="1:13" s="518" customFormat="1" ht="45" x14ac:dyDescent="0.2">
      <c r="A19" s="499" t="s">
        <v>228</v>
      </c>
      <c r="B19" s="515">
        <f>VLOOKUP(A19,Memória!A:S,2,FALSE)</f>
        <v>41498</v>
      </c>
      <c r="C19" s="492" t="str">
        <f>VLOOKUP(A19,Memória!A:S,3,FALSE)</f>
        <v>Barracão com sanitário, em chapa compensada 12 mm e pont. 8x8cm, piso cimentado e cobertura em telha de fibroc. 6mm, incl. ponto de luz e cx. inspeção - (Segurança do Trabalho)</v>
      </c>
      <c r="D19" s="516" t="str">
        <f>VLOOKUP(A19,Memória!A:T,20,FALSE)</f>
        <v>M2</v>
      </c>
      <c r="E19" s="517">
        <f>VLOOKUP(A19,Memória!A:S,19,FALSE)</f>
        <v>8</v>
      </c>
      <c r="F19" s="517">
        <f>VLOOKUP(B19,'DER 11-20'!A5:E1608,4,0)</f>
        <v>715.94</v>
      </c>
      <c r="G19" s="684">
        <f t="shared" si="0"/>
        <v>5727.52</v>
      </c>
      <c r="H19" s="700"/>
      <c r="I19" s="701"/>
      <c r="J19" s="701"/>
      <c r="K19" s="515"/>
    </row>
    <row r="20" spans="1:13" s="518" customFormat="1" ht="30" x14ac:dyDescent="0.2">
      <c r="A20" s="499" t="s">
        <v>229</v>
      </c>
      <c r="B20" s="515">
        <f>VLOOKUP(A20,Memória!A:S,2,FALSE)</f>
        <v>41498</v>
      </c>
      <c r="C20" s="492" t="str">
        <f>VLOOKUP(A20,Memória!A:S,3,FALSE)</f>
        <v>Barracão com sanitário, em chapa compensada 12 mm e pont. 8x8cm, piso cimentado e cobertura em telha de fibroc. 6mm, incl. ponto de luz e cx. inspeção - (Administração)</v>
      </c>
      <c r="D20" s="516" t="str">
        <f>VLOOKUP(A20,Memória!A:T,20,FALSE)</f>
        <v>M2</v>
      </c>
      <c r="E20" s="517">
        <f>VLOOKUP(A20,Memória!A:S,19,FALSE)</f>
        <v>16</v>
      </c>
      <c r="F20" s="517">
        <f>VLOOKUP(B20,'DER 11-20'!A5:E1608,4,0)</f>
        <v>715.94</v>
      </c>
      <c r="G20" s="684">
        <f t="shared" si="0"/>
        <v>11455.04</v>
      </c>
      <c r="H20" s="700"/>
      <c r="I20" s="701"/>
      <c r="J20" s="701"/>
      <c r="K20" s="515"/>
    </row>
    <row r="21" spans="1:13" s="518" customFormat="1" ht="30" x14ac:dyDescent="0.2">
      <c r="A21" s="499" t="s">
        <v>230</v>
      </c>
      <c r="B21" s="515">
        <f>VLOOKUP(A21,Memória!A:S,2,FALSE)</f>
        <v>41498</v>
      </c>
      <c r="C21" s="492" t="str">
        <f>VLOOKUP(A21,Memória!A:S,3,FALSE)</f>
        <v>Barracão com sanitário, em chapa compensada 12 mm e pont. 8x8cm, piso cimentado e cobertura em telha de fibroc. 6mm, incl. ponto de luz e cx. inspeção - (Almoxarifado)</v>
      </c>
      <c r="D21" s="516" t="str">
        <f>VLOOKUP(A21,Memória!A:T,20,FALSE)</f>
        <v>M2</v>
      </c>
      <c r="E21" s="517">
        <f>VLOOKUP(A21,Memória!A:S,19,FALSE)</f>
        <v>16</v>
      </c>
      <c r="F21" s="517">
        <f>VLOOKUP(B21,'DER 11-20'!A5:E1608,4,0)</f>
        <v>715.94</v>
      </c>
      <c r="G21" s="684">
        <f t="shared" si="0"/>
        <v>11455.04</v>
      </c>
      <c r="H21" s="700"/>
      <c r="I21" s="701"/>
      <c r="J21" s="701"/>
      <c r="K21" s="515"/>
    </row>
    <row r="22" spans="1:13" s="518" customFormat="1" ht="30" x14ac:dyDescent="0.2">
      <c r="A22" s="499" t="s">
        <v>231</v>
      </c>
      <c r="B22" s="515">
        <f>VLOOKUP(A22,Memória!A:S,2,FALSE)</f>
        <v>41498</v>
      </c>
      <c r="C22" s="492" t="str">
        <f>VLOOKUP(A22,Memória!A:S,3,FALSE)</f>
        <v>Barracão com sanitário, em chapa compensada 12 mm e pont. 8x8cm, piso cimentado e cobertura em telha de fibroc. 6mm, incl. ponto de luz e cx. inspeção - (Sala Técnica)</v>
      </c>
      <c r="D22" s="516" t="str">
        <f>VLOOKUP(A22,Memória!A:T,20,FALSE)</f>
        <v>M2</v>
      </c>
      <c r="E22" s="517">
        <f>VLOOKUP(A22,Memória!A:S,19,FALSE)</f>
        <v>12</v>
      </c>
      <c r="F22" s="517">
        <f>VLOOKUP(B22,'DER 11-20'!A5:E1608,4,0)</f>
        <v>715.94</v>
      </c>
      <c r="G22" s="684">
        <f t="shared" si="0"/>
        <v>8591.2800000000007</v>
      </c>
      <c r="H22" s="700"/>
      <c r="I22" s="701"/>
      <c r="J22" s="701"/>
      <c r="K22" s="702"/>
    </row>
    <row r="23" spans="1:13" s="518" customFormat="1" ht="33.75" customHeight="1" x14ac:dyDescent="0.2">
      <c r="A23" s="499" t="s">
        <v>232</v>
      </c>
      <c r="B23" s="515">
        <f>VLOOKUP(A23,Memória!A:S,2,FALSE)</f>
        <v>41498</v>
      </c>
      <c r="C23" s="492" t="str">
        <f>VLOOKUP(A23,Memória!A:S,3,FALSE)</f>
        <v>Barracão com sanitário, em chapa compensada 12 mm e pont. 8x8cm, piso cimentado e cobertura em telha de fibroc. 6mm, incl. ponto de luz e cx. inspeção - (Laboratório)</v>
      </c>
      <c r="D23" s="516" t="str">
        <f>VLOOKUP(A23,Memória!A:T,20,FALSE)</f>
        <v>M2</v>
      </c>
      <c r="E23" s="517">
        <f>VLOOKUP(A23,Memória!A:S,19,FALSE)</f>
        <v>12</v>
      </c>
      <c r="F23" s="517">
        <f>VLOOKUP(B23,'DER 11-20'!A5:E1608,4,0)</f>
        <v>715.94</v>
      </c>
      <c r="G23" s="684">
        <f t="shared" si="0"/>
        <v>8591.2800000000007</v>
      </c>
      <c r="H23" s="700"/>
      <c r="I23" s="701"/>
      <c r="J23" s="701"/>
      <c r="K23" s="516"/>
    </row>
    <row r="24" spans="1:13" s="518" customFormat="1" ht="31.9" customHeight="1" x14ac:dyDescent="0.2">
      <c r="A24" s="499" t="s">
        <v>233</v>
      </c>
      <c r="B24" s="515">
        <f>VLOOKUP(A24,Memória!A:S,2,FALSE)</f>
        <v>41530</v>
      </c>
      <c r="C24" s="492" t="str">
        <f>VLOOKUP(A24,Memória!A:S,3,FALSE)</f>
        <v>Refeitório c/ paredes chapa de comp. 12mm e pont. 8x8cm, piso ciment. e cob. telhas fibroc. 6mm, incl. ponto de luz e cx. de insp. (1,21m²/func/turno)</v>
      </c>
      <c r="D24" s="516" t="str">
        <f>VLOOKUP(A24,Memória!A:T,20,FALSE)</f>
        <v>M2</v>
      </c>
      <c r="E24" s="517">
        <f>VLOOKUP(A24,Memória!A:S,19,FALSE)</f>
        <v>16</v>
      </c>
      <c r="F24" s="517">
        <f>VLOOKUP(B24,'DER 11-20'!A5:E1608,4,0)</f>
        <v>397.57</v>
      </c>
      <c r="G24" s="684">
        <f t="shared" si="0"/>
        <v>6361.12</v>
      </c>
      <c r="H24" s="700"/>
      <c r="I24" s="701"/>
      <c r="J24" s="701"/>
      <c r="K24" s="516"/>
    </row>
    <row r="25" spans="1:13" s="518" customFormat="1" ht="30" customHeight="1" x14ac:dyDescent="0.2">
      <c r="A25" s="499" t="s">
        <v>234</v>
      </c>
      <c r="B25" s="515">
        <f>VLOOKUP(A25,Memória!A:S,2,FALSE)</f>
        <v>41501</v>
      </c>
      <c r="C25" s="492" t="str">
        <f>VLOOKUP(A25,Memória!A:S,3,FALSE)</f>
        <v>Rede de água c/ padrão de entrada d'água diâm. 3/4" conf. CESAN, incl. tubos e conexões p/ aliment., distrib., extravas. e limp., cons. o padrão a 25m</v>
      </c>
      <c r="D25" s="516" t="str">
        <f>VLOOKUP(A25,Memória!A:T,20,FALSE)</f>
        <v>M</v>
      </c>
      <c r="E25" s="517">
        <f>VLOOKUP(A25,Memória!A:S,19,FALSE)</f>
        <v>100</v>
      </c>
      <c r="F25" s="517">
        <f>VLOOKUP(B25,'DER 11-20'!A5:E1608,4,0)</f>
        <v>42.63</v>
      </c>
      <c r="G25" s="684">
        <f t="shared" si="0"/>
        <v>4263</v>
      </c>
      <c r="H25" s="700"/>
      <c r="I25" s="701"/>
      <c r="J25" s="701"/>
      <c r="K25" s="516"/>
    </row>
    <row r="26" spans="1:13" s="518" customFormat="1" ht="26.45" customHeight="1" x14ac:dyDescent="0.2">
      <c r="A26" s="499" t="s">
        <v>235</v>
      </c>
      <c r="B26" s="515">
        <f>VLOOKUP(A26,Memória!A:S,2,FALSE)</f>
        <v>41499</v>
      </c>
      <c r="C26" s="492" t="str">
        <f>VLOOKUP(A26,Memória!A:S,3,FALSE)</f>
        <v>Rede de esgoto, contendo fossa e filtro, incl. tubos e conexões de ligação entre caixas, considerando distância de 25m</v>
      </c>
      <c r="D26" s="516" t="str">
        <f>VLOOKUP(A26,Memória!A:T,20,FALSE)</f>
        <v>M</v>
      </c>
      <c r="E26" s="517">
        <f>VLOOKUP(A26,Memória!A:S,19,FALSE)</f>
        <v>30</v>
      </c>
      <c r="F26" s="517">
        <f>VLOOKUP(B26,'DER 11-20'!A5:E1608,4,0)</f>
        <v>354.36</v>
      </c>
      <c r="G26" s="684">
        <f t="shared" si="0"/>
        <v>10630.8</v>
      </c>
      <c r="H26" s="700"/>
      <c r="I26" s="701"/>
      <c r="J26" s="701"/>
      <c r="K26" s="516"/>
    </row>
    <row r="27" spans="1:13" s="518" customFormat="1" ht="30" x14ac:dyDescent="0.2">
      <c r="A27" s="499" t="s">
        <v>236</v>
      </c>
      <c r="B27" s="515">
        <f>VLOOKUP(A27,Memória!A:S,2,FALSE)</f>
        <v>41503</v>
      </c>
      <c r="C27" s="492" t="str">
        <f>VLOOKUP(A27,Memória!A:S,3,FALSE)</f>
        <v>Rede de luz, incl. padrão entr. energia trifás. cabo ligação até barracões, quadro distrib., disj. e chave de força, cons. 20m entre padrão entr.e QDG</v>
      </c>
      <c r="D27" s="516" t="str">
        <f>VLOOKUP(A27,Memória!A:T,20,FALSE)</f>
        <v>M</v>
      </c>
      <c r="E27" s="517">
        <f>VLOOKUP(A27,Memória!A:S,19,FALSE)</f>
        <v>40</v>
      </c>
      <c r="F27" s="517">
        <f>VLOOKUP(B27,'DER 11-20'!A5:E1608,4,0)</f>
        <v>610.19000000000005</v>
      </c>
      <c r="G27" s="684">
        <f t="shared" ref="G27:G34" si="1">TRUNC(E27*F27,2)</f>
        <v>24407.599999999999</v>
      </c>
      <c r="H27" s="700"/>
      <c r="I27" s="701"/>
      <c r="J27" s="701"/>
      <c r="K27" s="515"/>
    </row>
    <row r="28" spans="1:13" s="518" customFormat="1" ht="19.149999999999999" customHeight="1" x14ac:dyDescent="0.2">
      <c r="A28" s="499" t="s">
        <v>237</v>
      </c>
      <c r="B28" s="515">
        <f>VLOOKUP(A28,Memória!A:S,2,FALSE)</f>
        <v>41527</v>
      </c>
      <c r="C28" s="492" t="str">
        <f>VLOOKUP(A28,Memória!A:S,3,FALSE)</f>
        <v>Reservatório de fibra de vidro de 1000 L, incl. suporte em madeira de 7x12cm, elevado de 4m</v>
      </c>
      <c r="D28" s="516" t="str">
        <f>VLOOKUP(A28,Memória!A:T,20,FALSE)</f>
        <v>Ud</v>
      </c>
      <c r="E28" s="517">
        <f>VLOOKUP(A28,Memória!A:S,19,FALSE)</f>
        <v>1</v>
      </c>
      <c r="F28" s="517">
        <f>VLOOKUP(B28,'DER 11-20'!A5:E1608,4,0)</f>
        <v>2455</v>
      </c>
      <c r="G28" s="684">
        <f t="shared" si="1"/>
        <v>2455</v>
      </c>
      <c r="H28" s="700"/>
      <c r="I28" s="701"/>
      <c r="J28" s="701"/>
      <c r="K28" s="516"/>
      <c r="L28" s="510"/>
      <c r="M28" s="510"/>
    </row>
    <row r="29" spans="1:13" s="518" customFormat="1" ht="30" x14ac:dyDescent="0.2">
      <c r="A29" s="499" t="s">
        <v>238</v>
      </c>
      <c r="B29" s="515">
        <f>VLOOKUP(A29,Memória!A:S,2,FALSE)</f>
        <v>41528</v>
      </c>
      <c r="C29" s="492" t="str">
        <f>VLOOKUP(A29,Memória!A:S,3,FALSE)</f>
        <v>Galpão em peças de madeira 8x8cm e contravent. de 5x7cm, cobertura de telhas de fibroc. de 6mm, incl. ponto e cabo de alimentação da máquina - (Oficina Mecânica)</v>
      </c>
      <c r="D29" s="516" t="str">
        <f>VLOOKUP(A29,Memória!A:T,20,FALSE)</f>
        <v>M2</v>
      </c>
      <c r="E29" s="517">
        <f>VLOOKUP(A29,Memória!A:S,19,FALSE)</f>
        <v>40</v>
      </c>
      <c r="F29" s="517">
        <f>VLOOKUP(B29,'DER 11-20'!A5:E1608,4,0)</f>
        <v>265</v>
      </c>
      <c r="G29" s="684">
        <f t="shared" si="1"/>
        <v>10600</v>
      </c>
      <c r="H29" s="700"/>
      <c r="I29" s="701"/>
      <c r="J29" s="701"/>
      <c r="K29" s="702"/>
    </row>
    <row r="30" spans="1:13" s="518" customFormat="1" ht="16.149999999999999" customHeight="1" x14ac:dyDescent="0.2">
      <c r="A30" s="499" t="s">
        <v>239</v>
      </c>
      <c r="B30" s="515">
        <f>VLOOKUP(A30,Memória!A:S,2,FALSE)</f>
        <v>40911</v>
      </c>
      <c r="C30" s="492" t="str">
        <f>VLOOKUP(A30,Memória!A:S,3,FALSE)</f>
        <v>Calçada de concreto</v>
      </c>
      <c r="D30" s="516" t="str">
        <f>VLOOKUP(A30,Memória!A:T,20,FALSE)</f>
        <v>M2</v>
      </c>
      <c r="E30" s="517">
        <f>VLOOKUP(A30,Memória!A:S,19,FALSE)</f>
        <v>50</v>
      </c>
      <c r="F30" s="517">
        <f>'Compos DER'!I436</f>
        <v>53.98</v>
      </c>
      <c r="G30" s="684">
        <f t="shared" si="1"/>
        <v>2699</v>
      </c>
      <c r="H30" s="700"/>
      <c r="I30" s="701"/>
      <c r="J30" s="701"/>
      <c r="K30" s="516"/>
    </row>
    <row r="31" spans="1:13" s="518" customFormat="1" ht="17.45" customHeight="1" x14ac:dyDescent="0.2">
      <c r="A31" s="499" t="s">
        <v>240</v>
      </c>
      <c r="B31" s="515">
        <f>VLOOKUP(A31,Memória!A:S,2,FALSE)</f>
        <v>41555</v>
      </c>
      <c r="C31" s="492" t="str">
        <f>VLOOKUP(A31,Memória!A:S,3,FALSE)</f>
        <v>Sistema separador de água e óleo</v>
      </c>
      <c r="D31" s="516" t="str">
        <f>VLOOKUP(A31,Memória!A:T,20,FALSE)</f>
        <v>Ud</v>
      </c>
      <c r="E31" s="517">
        <f>VLOOKUP(A31,Memória!A:S,19,FALSE)</f>
        <v>1</v>
      </c>
      <c r="F31" s="517">
        <f>'Compos DER'!I477</f>
        <v>7093.28</v>
      </c>
      <c r="G31" s="684">
        <f t="shared" si="1"/>
        <v>7093.28</v>
      </c>
      <c r="H31" s="700"/>
      <c r="I31" s="701"/>
      <c r="J31" s="701"/>
      <c r="K31" s="516"/>
    </row>
    <row r="32" spans="1:13" s="518" customFormat="1" ht="17.45" customHeight="1" x14ac:dyDescent="0.2">
      <c r="A32" s="499" t="s">
        <v>241</v>
      </c>
      <c r="B32" s="515">
        <f>VLOOKUP(A32,Memória!A:S,2,FALSE)</f>
        <v>41557</v>
      </c>
      <c r="C32" s="492" t="str">
        <f>VLOOKUP(A32,Memória!A:S,3,FALSE)</f>
        <v>Canaleta de concreto retangular com grelha em barra de aço</v>
      </c>
      <c r="D32" s="516" t="str">
        <f>VLOOKUP(A32,Memória!A:T,20,FALSE)</f>
        <v>M</v>
      </c>
      <c r="E32" s="517">
        <f>VLOOKUP(A32,Memória!A:S,19,FALSE)</f>
        <v>10</v>
      </c>
      <c r="F32" s="517">
        <f>'Compos DER'!I513</f>
        <v>203.11</v>
      </c>
      <c r="G32" s="684">
        <f t="shared" si="1"/>
        <v>2031.1</v>
      </c>
      <c r="H32" s="700"/>
      <c r="I32" s="701"/>
      <c r="J32" s="701"/>
      <c r="K32" s="516"/>
    </row>
    <row r="33" spans="1:13" s="518" customFormat="1" x14ac:dyDescent="0.2">
      <c r="A33" s="499"/>
      <c r="B33" s="515"/>
      <c r="C33" s="512" t="s">
        <v>454</v>
      </c>
      <c r="D33" s="516"/>
      <c r="E33" s="517"/>
      <c r="F33" s="517"/>
      <c r="G33" s="684"/>
      <c r="H33" s="700"/>
      <c r="I33" s="701"/>
      <c r="J33" s="701"/>
      <c r="K33" s="516"/>
    </row>
    <row r="34" spans="1:13" s="518" customFormat="1" ht="18" customHeight="1" x14ac:dyDescent="0.2">
      <c r="A34" s="499" t="s">
        <v>242</v>
      </c>
      <c r="B34" s="515">
        <f>VLOOKUP(A34,Memória!A:S,2,FALSE)</f>
        <v>40360</v>
      </c>
      <c r="C34" s="492" t="str">
        <f>VLOOKUP(A34,Memória!A:S,3,FALSE)</f>
        <v>Concreto estrutural fck = 20,0 MPa, tudo incluído</v>
      </c>
      <c r="D34" s="516" t="str">
        <f>VLOOKUP(A34,Memória!A:T,20,FALSE)</f>
        <v>M3</v>
      </c>
      <c r="E34" s="517">
        <f>VLOOKUP(A34,Memória!A:S,19,FALSE)</f>
        <v>20</v>
      </c>
      <c r="F34" s="517">
        <f>'Compos DER'!I3821</f>
        <v>696.87</v>
      </c>
      <c r="G34" s="684">
        <f t="shared" si="1"/>
        <v>13937.4</v>
      </c>
      <c r="H34" s="700"/>
      <c r="I34" s="701"/>
      <c r="J34" s="701"/>
      <c r="K34" s="516"/>
    </row>
    <row r="35" spans="1:13" s="518" customFormat="1" ht="30" x14ac:dyDescent="0.2">
      <c r="A35" s="499" t="s">
        <v>243</v>
      </c>
      <c r="B35" s="515">
        <f>VLOOKUP(A35,Memória!A:S,2,FALSE)</f>
        <v>40313</v>
      </c>
      <c r="C35" s="492" t="str">
        <f>VLOOKUP(A35,Memória!A:S,3,FALSE)</f>
        <v>Formas planas de madeira com 04 (quatro) reaproveitamentos, inclusive fornecimento e transporte das madeiras</v>
      </c>
      <c r="D35" s="516" t="str">
        <f>VLOOKUP(A35,Memória!A:T,20,FALSE)</f>
        <v>M2</v>
      </c>
      <c r="E35" s="517">
        <f>VLOOKUP(A35,Memória!A:S,19,FALSE)</f>
        <v>107.28</v>
      </c>
      <c r="F35" s="517">
        <f>'Compos DER'!I3777</f>
        <v>88.26</v>
      </c>
      <c r="G35" s="684">
        <f t="shared" ref="G35:G41" si="2">TRUNC(E35*F35,2)</f>
        <v>9468.5300000000007</v>
      </c>
      <c r="H35" s="700"/>
      <c r="I35" s="701"/>
      <c r="J35" s="701"/>
      <c r="K35" s="515"/>
    </row>
    <row r="36" spans="1:13" s="518" customFormat="1" ht="18.600000000000001" customHeight="1" x14ac:dyDescent="0.2">
      <c r="A36" s="499" t="s">
        <v>244</v>
      </c>
      <c r="B36" s="515">
        <f>VLOOKUP(A36,Memória!A:S,2,FALSE)</f>
        <v>40376</v>
      </c>
      <c r="C36" s="492" t="str">
        <f>VLOOKUP(A36,Memória!A:S,3,FALSE)</f>
        <v>Aço CA-50, fornecimento, dobragem e colocação nas formas (preço médio das bitolas)</v>
      </c>
      <c r="D36" s="516" t="str">
        <f>VLOOKUP(A36,Memória!A:T,20,FALSE)</f>
        <v>kg</v>
      </c>
      <c r="E36" s="517">
        <f>VLOOKUP(A36,Memória!A:S,19,FALSE)</f>
        <v>2700</v>
      </c>
      <c r="F36" s="517">
        <f>'Compos DER'!I3736</f>
        <v>13.1</v>
      </c>
      <c r="G36" s="684">
        <f t="shared" si="2"/>
        <v>35370</v>
      </c>
      <c r="H36" s="700"/>
      <c r="I36" s="701"/>
      <c r="J36" s="701"/>
      <c r="K36" s="516"/>
      <c r="L36" s="510"/>
      <c r="M36" s="510"/>
    </row>
    <row r="37" spans="1:13" s="518" customFormat="1" x14ac:dyDescent="0.2">
      <c r="A37" s="499"/>
      <c r="B37" s="515"/>
      <c r="C37" s="512" t="s">
        <v>455</v>
      </c>
      <c r="D37" s="516"/>
      <c r="E37" s="517"/>
      <c r="F37" s="517"/>
      <c r="G37" s="684"/>
      <c r="H37" s="700"/>
      <c r="I37" s="701"/>
      <c r="J37" s="701"/>
      <c r="K37" s="516"/>
      <c r="L37" s="510"/>
      <c r="M37" s="510"/>
    </row>
    <row r="38" spans="1:13" s="518" customFormat="1" ht="18.75" customHeight="1" x14ac:dyDescent="0.2">
      <c r="A38" s="499" t="s">
        <v>245</v>
      </c>
      <c r="B38" s="515">
        <f>VLOOKUP(A38,Memória!A:S,2,FALSE)</f>
        <v>41544</v>
      </c>
      <c r="C38" s="492" t="str">
        <f>VLOOKUP(A38,Memória!A:S,3,FALSE)</f>
        <v>Mobilização e desmobilização de equipamentos com carreta prancha (máximo)</v>
      </c>
      <c r="D38" s="516" t="str">
        <f>VLOOKUP(A38,Memória!A:T,20,FALSE)</f>
        <v>h</v>
      </c>
      <c r="E38" s="517">
        <f>VLOOKUP(A38,Memória!A:S,19,FALSE)</f>
        <v>100</v>
      </c>
      <c r="F38" s="517">
        <f>VLOOKUP(B38,'DER 11-20'!A5:E1608,4,0)</f>
        <v>411.79</v>
      </c>
      <c r="G38" s="684">
        <f t="shared" si="2"/>
        <v>41179</v>
      </c>
      <c r="H38" s="700"/>
      <c r="I38" s="701"/>
      <c r="J38" s="701"/>
      <c r="K38" s="516"/>
      <c r="L38" s="510"/>
      <c r="M38" s="510"/>
    </row>
    <row r="39" spans="1:13" s="518" customFormat="1" x14ac:dyDescent="0.2">
      <c r="A39" s="499" t="s">
        <v>309</v>
      </c>
      <c r="B39" s="515">
        <f>VLOOKUP(A39,Memória!A:S,2,FALSE)</f>
        <v>41545</v>
      </c>
      <c r="C39" s="492" t="str">
        <f>VLOOKUP(A39,Memória!A:S,3,FALSE)</f>
        <v>Mobilização e desmobilização de caminhão carroceria (máximo)</v>
      </c>
      <c r="D39" s="516" t="str">
        <f>VLOOKUP(A39,Memória!A:T,20,FALSE)</f>
        <v>h</v>
      </c>
      <c r="E39" s="517">
        <f>VLOOKUP(A39,Memória!A:S,19,FALSE)</f>
        <v>16</v>
      </c>
      <c r="F39" s="517">
        <f>VLOOKUP(B39,'DER 11-20'!A5:E1608,4,0)</f>
        <v>210.81</v>
      </c>
      <c r="G39" s="684">
        <f t="shared" si="2"/>
        <v>3372.96</v>
      </c>
      <c r="H39" s="700"/>
      <c r="I39" s="701"/>
      <c r="J39" s="701"/>
      <c r="K39" s="702"/>
    </row>
    <row r="40" spans="1:13" s="518" customFormat="1" ht="15.6" customHeight="1" x14ac:dyDescent="0.2">
      <c r="A40" s="499" t="s">
        <v>452</v>
      </c>
      <c r="B40" s="515">
        <f>VLOOKUP(A40,Memória!A:S,2,FALSE)</f>
        <v>41546</v>
      </c>
      <c r="C40" s="492" t="str">
        <f>VLOOKUP(A40,Memória!A:S,3,FALSE)</f>
        <v>Mobilização e desmobilização de caminhão basculante (máximo)</v>
      </c>
      <c r="D40" s="516" t="str">
        <f>VLOOKUP(A40,Memória!A:T,20,FALSE)</f>
        <v>h</v>
      </c>
      <c r="E40" s="517">
        <f>VLOOKUP(A40,Memória!A:S,19,FALSE)</f>
        <v>30</v>
      </c>
      <c r="F40" s="517">
        <f>VLOOKUP(B40,'DER 11-20'!A5:E1608,4,0)</f>
        <v>246.07</v>
      </c>
      <c r="G40" s="684">
        <f t="shared" si="2"/>
        <v>7382.1</v>
      </c>
      <c r="H40" s="700"/>
      <c r="I40" s="701"/>
      <c r="J40" s="701"/>
      <c r="K40" s="516"/>
    </row>
    <row r="41" spans="1:13" s="518" customFormat="1" ht="16.149999999999999" customHeight="1" x14ac:dyDescent="0.2">
      <c r="A41" s="499" t="s">
        <v>453</v>
      </c>
      <c r="B41" s="515">
        <f>VLOOKUP(A41,Memória!A:S,2,FALSE)</f>
        <v>41547</v>
      </c>
      <c r="C41" s="492" t="str">
        <f>VLOOKUP(A41,Memória!A:S,3,FALSE)</f>
        <v>Mobilização e desmobilização de caminhão tanque (6.000 L) (máximo)</v>
      </c>
      <c r="D41" s="516" t="str">
        <f>VLOOKUP(A41,Memória!A:T,20,FALSE)</f>
        <v>h</v>
      </c>
      <c r="E41" s="517">
        <f>VLOOKUP(A41,Memória!A:S,19,FALSE)</f>
        <v>16</v>
      </c>
      <c r="F41" s="517">
        <f>VLOOKUP(B41,'DER 11-20'!A5:E1608,4,0)</f>
        <v>206.75</v>
      </c>
      <c r="G41" s="684">
        <f t="shared" si="2"/>
        <v>3308</v>
      </c>
      <c r="H41" s="700"/>
      <c r="I41" s="701"/>
      <c r="J41" s="701"/>
      <c r="K41" s="516"/>
    </row>
    <row r="42" spans="1:13" s="518" customFormat="1" x14ac:dyDescent="0.2">
      <c r="A42" s="519"/>
      <c r="B42" s="591"/>
      <c r="C42" s="520" t="s">
        <v>656</v>
      </c>
      <c r="D42" s="521"/>
      <c r="E42" s="522"/>
      <c r="F42" s="523"/>
      <c r="G42" s="522">
        <f>SUM(G13:K41)</f>
        <v>265198.69</v>
      </c>
      <c r="H42" s="690"/>
      <c r="I42" s="689"/>
      <c r="J42" s="689"/>
      <c r="K42" s="713"/>
      <c r="L42" s="510"/>
      <c r="M42" s="510"/>
    </row>
    <row r="43" spans="1:13" s="518" customFormat="1" x14ac:dyDescent="0.2">
      <c r="A43" s="497">
        <v>3</v>
      </c>
      <c r="B43" s="680"/>
      <c r="C43" s="506" t="str">
        <f>VLOOKUP(A43,Memória!A:S,3,FALSE)</f>
        <v>TERRAPLENAGEM</v>
      </c>
      <c r="D43" s="507"/>
      <c r="E43" s="524"/>
      <c r="F43" s="525"/>
      <c r="G43" s="685"/>
      <c r="H43" s="710"/>
      <c r="I43" s="711"/>
      <c r="J43" s="711"/>
      <c r="K43" s="712"/>
      <c r="L43" s="510"/>
      <c r="M43" s="510"/>
    </row>
    <row r="44" spans="1:13" s="518" customFormat="1" ht="30" x14ac:dyDescent="0.2">
      <c r="A44" s="500" t="s">
        <v>246</v>
      </c>
      <c r="B44" s="515">
        <f>VLOOKUP(A44,Memória!A:S,2,FALSE)</f>
        <v>40167</v>
      </c>
      <c r="C44" s="492" t="str">
        <f>VLOOKUP(A44,Memória!A:S,3,FALSE)</f>
        <v>Limpeza, desmatamento e destocamento de árvores com diâmetro até 15 cm, com trator de esteira</v>
      </c>
      <c r="D44" s="516" t="str">
        <f>VLOOKUP(A44,Memória!A:T,20,FALSE)</f>
        <v>M2</v>
      </c>
      <c r="E44" s="517">
        <f>VLOOKUP(A44,Memória!A:S,19,FALSE)</f>
        <v>133518.18</v>
      </c>
      <c r="F44" s="517">
        <f>VLOOKUP(B44,'DER 11-20'!A5:E1608,4,0)</f>
        <v>0.49</v>
      </c>
      <c r="G44" s="684">
        <f t="shared" ref="G44:G68" si="3">TRUNC(E44*F44,2)</f>
        <v>65423.9</v>
      </c>
      <c r="H44" s="700"/>
      <c r="I44" s="701"/>
      <c r="J44" s="701"/>
      <c r="K44" s="516"/>
      <c r="L44" s="510"/>
      <c r="M44" s="510"/>
    </row>
    <row r="45" spans="1:13" s="518" customFormat="1" ht="15" customHeight="1" x14ac:dyDescent="0.2">
      <c r="A45" s="500" t="s">
        <v>247</v>
      </c>
      <c r="B45" s="515">
        <f>VLOOKUP(A45,Memória!A:S,2,FALSE)</f>
        <v>40221</v>
      </c>
      <c r="C45" s="492" t="str">
        <f>VLOOKUP(A45,Memória!A:S,3,FALSE)</f>
        <v>Escavação e carga de material de 1ª categoria, com trator de esteira e pá carregadeira</v>
      </c>
      <c r="D45" s="516" t="str">
        <f>VLOOKUP(A45,Memória!A:T,20,FALSE)</f>
        <v>M3</v>
      </c>
      <c r="E45" s="517">
        <f>VLOOKUP(A45,Memória!A:S,19,FALSE)</f>
        <v>7810</v>
      </c>
      <c r="F45" s="517">
        <f>VLOOKUP(B45,'DER 11-20'!A5:E1608,4,0)</f>
        <v>8.11</v>
      </c>
      <c r="G45" s="684">
        <f t="shared" si="3"/>
        <v>63339.1</v>
      </c>
      <c r="H45" s="700"/>
      <c r="I45" s="701"/>
      <c r="J45" s="701"/>
      <c r="K45" s="516"/>
      <c r="L45" s="510"/>
      <c r="M45" s="510"/>
    </row>
    <row r="46" spans="1:13" s="518" customFormat="1" x14ac:dyDescent="0.2">
      <c r="A46" s="500" t="s">
        <v>248</v>
      </c>
      <c r="B46" s="515">
        <f>VLOOKUP(A46,Memória!A:S,2,FALSE)</f>
        <v>40230</v>
      </c>
      <c r="C46" s="492" t="str">
        <f>VLOOKUP(A46,Memória!A:S,3,FALSE)</f>
        <v>Escavação e carga de material de 1ª categoria com escavadeira</v>
      </c>
      <c r="D46" s="516" t="str">
        <f>VLOOKUP(A46,Memória!A:T,20,FALSE)</f>
        <v>M3</v>
      </c>
      <c r="E46" s="517">
        <f>VLOOKUP(A46,Memória!A:S,19,FALSE)</f>
        <v>6719</v>
      </c>
      <c r="F46" s="517">
        <f>VLOOKUP(B46,'DER 11-20'!A5:E1608,4,0)</f>
        <v>3.3</v>
      </c>
      <c r="G46" s="684">
        <f t="shared" si="3"/>
        <v>22172.7</v>
      </c>
      <c r="H46" s="700"/>
      <c r="I46" s="701"/>
      <c r="J46" s="701"/>
      <c r="K46" s="702"/>
    </row>
    <row r="47" spans="1:13" s="518" customFormat="1" ht="28.9" customHeight="1" x14ac:dyDescent="0.2">
      <c r="A47" s="500" t="s">
        <v>249</v>
      </c>
      <c r="B47" s="515">
        <f>VLOOKUP(A47,Memória!A:S,2,FALSE)</f>
        <v>60019</v>
      </c>
      <c r="C47" s="492" t="str">
        <f>VLOOKUP(A47,Memória!A:S,3,FALSE)</f>
        <v>LOCAL COM DMT ATÉ 3,0 KM (Caminhão basculante)1,144XP+1,265XR+2,007 (Incluindo BDI= 23,32%) -  XP=0,00 / XR=0,09</v>
      </c>
      <c r="D47" s="516" t="str">
        <f>VLOOKUP(A47,Memória!A:T,20,FALSE)</f>
        <v>T</v>
      </c>
      <c r="E47" s="517">
        <f>VLOOKUP(A47,Memória!A:S,19,FALSE)</f>
        <v>11442.3</v>
      </c>
      <c r="F47" s="517">
        <f>IF(LEFT(B47,1)="l",VLOOKUP(B47,Composições!$J:$K,2,FALSE),IF(B47&gt;60000,VLOOKUP(A47,Memória!A:AC,22,FALSE),VLOOKUP(B47,'DER 11-20'!$A:$F,6,FALSE)))</f>
        <v>2.12</v>
      </c>
      <c r="G47" s="684">
        <f t="shared" si="3"/>
        <v>24257.67</v>
      </c>
      <c r="H47" s="700"/>
      <c r="I47" s="701"/>
      <c r="J47" s="701"/>
      <c r="K47" s="516"/>
    </row>
    <row r="48" spans="1:13" s="518" customFormat="1" ht="16.899999999999999" customHeight="1" x14ac:dyDescent="0.2">
      <c r="A48" s="500" t="s">
        <v>250</v>
      </c>
      <c r="B48" s="515">
        <f>VLOOKUP(A48,Memória!A:S,2,FALSE)</f>
        <v>40230</v>
      </c>
      <c r="C48" s="492" t="str">
        <f>VLOOKUP(A48,Memória!A:S,3,FALSE)</f>
        <v>Escavação e carga de material de 1ª categoria com escavadeira</v>
      </c>
      <c r="D48" s="516" t="str">
        <f>VLOOKUP(A48,Memória!A:T,20,FALSE)</f>
        <v>M3</v>
      </c>
      <c r="E48" s="517">
        <f>VLOOKUP(A48,Memória!A:S,19,FALSE)</f>
        <v>7418</v>
      </c>
      <c r="F48" s="517">
        <f>IF(LEFT(B48,1)="l",VLOOKUP(B48,Composições!$J:$K,2,FALSE),IF(B48&gt;60000,VLOOKUP(A48,Memória!A:AC,22,FALSE),VLOOKUP(B48,'DER 11-20'!$A:$F,6,FALSE)))</f>
        <v>3.3</v>
      </c>
      <c r="G48" s="684">
        <f t="shared" si="3"/>
        <v>24479.4</v>
      </c>
      <c r="H48" s="700"/>
      <c r="I48" s="701"/>
      <c r="J48" s="701"/>
      <c r="K48" s="516"/>
    </row>
    <row r="49" spans="1:11" s="518" customFormat="1" ht="30" customHeight="1" x14ac:dyDescent="0.2">
      <c r="A49" s="500" t="s">
        <v>251</v>
      </c>
      <c r="B49" s="515">
        <f>VLOOKUP(A49,Memória!A:S,2,FALSE)</f>
        <v>60019</v>
      </c>
      <c r="C49" s="492" t="str">
        <f>VLOOKUP(A49,Memória!A:S,3,FALSE)</f>
        <v xml:space="preserve">LOCAL COM DMT ATÉ 3,0 KM (Caminhão basculante)1,144XP+1,265XR+2,007 (Incluindo BDI= 23,32%) -  XP=0,00 / XR=0,14 </v>
      </c>
      <c r="D49" s="516" t="str">
        <f>VLOOKUP(A49,Memória!A:T,20,FALSE)</f>
        <v>T</v>
      </c>
      <c r="E49" s="517">
        <f>VLOOKUP(A49,Memória!A:S,19,FALSE)</f>
        <v>12610.6</v>
      </c>
      <c r="F49" s="517">
        <f>IF(LEFT(B49,1)="l",VLOOKUP(B49,Composições!$J:$K,2,FALSE),IF(B49&gt;60000,VLOOKUP(A49,Memória!A:AC,22,FALSE),VLOOKUP(B49,'DER 11-20'!$A:$F,6,FALSE)))</f>
        <v>2.1800000000000002</v>
      </c>
      <c r="G49" s="684">
        <f t="shared" si="3"/>
        <v>27491.1</v>
      </c>
      <c r="H49" s="700"/>
      <c r="I49" s="701"/>
      <c r="J49" s="701"/>
      <c r="K49" s="516"/>
    </row>
    <row r="50" spans="1:11" s="518" customFormat="1" ht="20.45" customHeight="1" x14ac:dyDescent="0.2">
      <c r="A50" s="500" t="s">
        <v>252</v>
      </c>
      <c r="B50" s="515">
        <f>VLOOKUP(A50,Memória!A:S,2,FALSE)</f>
        <v>40230</v>
      </c>
      <c r="C50" s="492" t="str">
        <f>VLOOKUP(A50,Memória!A:S,3,FALSE)</f>
        <v>Escavação e carga de material de 1ª categoria com escavadeira</v>
      </c>
      <c r="D50" s="516" t="str">
        <f>VLOOKUP(A50,Memória!A:T,20,FALSE)</f>
        <v>M3</v>
      </c>
      <c r="E50" s="517">
        <f>VLOOKUP(A50,Memória!A:S,19,FALSE)</f>
        <v>27622</v>
      </c>
      <c r="F50" s="517">
        <f>IF(LEFT(B50,1)="l",VLOOKUP(B50,Composições!$J:$K,2,FALSE),IF(B50&gt;60000,VLOOKUP(A50,Memória!A:AC,22,FALSE),VLOOKUP(B50,'DER 11-20'!$A:$F,6,FALSE)))</f>
        <v>3.3</v>
      </c>
      <c r="G50" s="684">
        <f t="shared" si="3"/>
        <v>91152.6</v>
      </c>
      <c r="H50" s="700"/>
      <c r="I50" s="701"/>
      <c r="J50" s="701"/>
      <c r="K50" s="516"/>
    </row>
    <row r="51" spans="1:11" s="526" customFormat="1" ht="28.15" customHeight="1" x14ac:dyDescent="0.2">
      <c r="A51" s="500" t="s">
        <v>366</v>
      </c>
      <c r="B51" s="515">
        <f>VLOOKUP(A51,Memória!A:S,2,FALSE)</f>
        <v>60019</v>
      </c>
      <c r="C51" s="492" t="str">
        <f>VLOOKUP(A51,Memória!A:S,3,FALSE)</f>
        <v xml:space="preserve">LOCAL COM DMT ATÉ 3,0 KM (Caminhão basculante)1,144XP+1,265XR+2,007 (Incluindo BDI= 23,32%) -  XP=0,00 / XR=0,28 </v>
      </c>
      <c r="D51" s="516" t="str">
        <f>VLOOKUP(A51,Memória!A:T,20,FALSE)</f>
        <v>T</v>
      </c>
      <c r="E51" s="517">
        <f>VLOOKUP(A51,Memória!A:S,19,FALSE)</f>
        <v>46957.4</v>
      </c>
      <c r="F51" s="517">
        <f>IF(LEFT(B51,1)="l",VLOOKUP(B51,Composições!$J:$K,2,FALSE),IF(B51&gt;60000,VLOOKUP(A51,Memória!A:AC,22,FALSE),VLOOKUP(B51,'DER 11-20'!$A:$F,6,FALSE)))</f>
        <v>2.36</v>
      </c>
      <c r="G51" s="684">
        <f t="shared" si="3"/>
        <v>110819.46</v>
      </c>
      <c r="H51" s="700"/>
      <c r="I51" s="701"/>
      <c r="J51" s="701"/>
      <c r="K51" s="516"/>
    </row>
    <row r="52" spans="1:11" s="526" customFormat="1" ht="16.899999999999999" customHeight="1" x14ac:dyDescent="0.2">
      <c r="A52" s="500" t="s">
        <v>370</v>
      </c>
      <c r="B52" s="515">
        <f>VLOOKUP(A52,Memória!A:S,2,FALSE)</f>
        <v>40230</v>
      </c>
      <c r="C52" s="492" t="str">
        <f>VLOOKUP(A52,Memória!A:S,3,FALSE)</f>
        <v xml:space="preserve">Escavação e carga de material de 1ª categoria com escavadeira </v>
      </c>
      <c r="D52" s="516" t="str">
        <f>VLOOKUP(A52,Memória!A:T,20,FALSE)</f>
        <v>M3</v>
      </c>
      <c r="E52" s="517">
        <f>VLOOKUP(A52,Memória!A:S,19,FALSE)</f>
        <v>11484</v>
      </c>
      <c r="F52" s="517">
        <f>IF(LEFT(B52,1)="l",VLOOKUP(B52,Composições!$J:$K,2,FALSE),IF(B52&gt;60000,VLOOKUP(A52,Memória!A:AC,22,FALSE),VLOOKUP(B52,'DER 11-20'!$A:$F,6,FALSE)))</f>
        <v>3.3</v>
      </c>
      <c r="G52" s="684">
        <f t="shared" si="3"/>
        <v>37897.199999999997</v>
      </c>
      <c r="H52" s="700"/>
      <c r="I52" s="701"/>
      <c r="J52" s="701"/>
      <c r="K52" s="516"/>
    </row>
    <row r="53" spans="1:11" s="526" customFormat="1" ht="33" customHeight="1" x14ac:dyDescent="0.2">
      <c r="A53" s="500" t="s">
        <v>371</v>
      </c>
      <c r="B53" s="515">
        <f>VLOOKUP(A53,Memória!A:S,2,FALSE)</f>
        <v>60019</v>
      </c>
      <c r="C53" s="492" t="str">
        <f>VLOOKUP(A53,Memória!A:S,3,FALSE)</f>
        <v xml:space="preserve">LOCAL COM DMT ATÉ 3,0 KM (Caminhão basculante)1,144XP+1,265XR+2,007 (Incluindo BDI= 23,32%) -  XP=0,00 / XR=0,45 </v>
      </c>
      <c r="D53" s="516" t="str">
        <f>VLOOKUP(A53,Memória!A:T,20,FALSE)</f>
        <v>T</v>
      </c>
      <c r="E53" s="517">
        <f>VLOOKUP(A53,Memória!A:S,19,FALSE)</f>
        <v>19522.8</v>
      </c>
      <c r="F53" s="517">
        <f>IF(LEFT(B53,1)="l",VLOOKUP(B53,Composições!$J:$K,2,FALSE),IF(B53&gt;60000,VLOOKUP(A53,Memória!A:AC,22,FALSE),VLOOKUP(B53,'DER 11-20'!$A:$F,6,FALSE)))</f>
        <v>2.58</v>
      </c>
      <c r="G53" s="684">
        <f t="shared" si="3"/>
        <v>50368.82</v>
      </c>
      <c r="H53" s="700"/>
      <c r="I53" s="701"/>
      <c r="J53" s="701"/>
      <c r="K53" s="516"/>
    </row>
    <row r="54" spans="1:11" s="526" customFormat="1" ht="17.45" customHeight="1" x14ac:dyDescent="0.2">
      <c r="A54" s="500" t="s">
        <v>456</v>
      </c>
      <c r="B54" s="515">
        <f>VLOOKUP(A54,Memória!A:S,2,FALSE)</f>
        <v>40230</v>
      </c>
      <c r="C54" s="492" t="str">
        <f>VLOOKUP(A54,Memória!A:S,3,FALSE)</f>
        <v>Escavação e carga de material de 1ª categoria com escavadeira</v>
      </c>
      <c r="D54" s="516" t="str">
        <f>VLOOKUP(A54,Memória!A:T,20,FALSE)</f>
        <v>M3</v>
      </c>
      <c r="E54" s="517">
        <f>VLOOKUP(A54,Memória!A:S,19,FALSE)</f>
        <v>19149</v>
      </c>
      <c r="F54" s="517">
        <f>IF(LEFT(B54,1)="l",VLOOKUP(B54,Composições!$J:$K,2,FALSE),IF(B54&gt;60000,VLOOKUP(A54,Memória!A:AC,22,FALSE),VLOOKUP(B54,'DER 11-20'!$A:$F,6,FALSE)))</f>
        <v>3.3</v>
      </c>
      <c r="G54" s="684">
        <f t="shared" si="3"/>
        <v>63191.7</v>
      </c>
      <c r="H54" s="700"/>
      <c r="I54" s="701"/>
      <c r="J54" s="701"/>
      <c r="K54" s="516"/>
    </row>
    <row r="55" spans="1:11" s="526" customFormat="1" ht="25.5" customHeight="1" x14ac:dyDescent="0.2">
      <c r="A55" s="500" t="s">
        <v>457</v>
      </c>
      <c r="B55" s="515">
        <f>VLOOKUP(A55,Memória!A:S,2,FALSE)</f>
        <v>60019</v>
      </c>
      <c r="C55" s="492" t="str">
        <f>VLOOKUP(A55,Memória!A:S,3,FALSE)</f>
        <v xml:space="preserve">LOCAL COM DMT ATÉ 3,0 KM (Caminhão basculante)1,144XP+1,265XR+2,007 (Incluindo BDI= 23,32%) -  XP=0,00 / XR=0,78 </v>
      </c>
      <c r="D55" s="516" t="str">
        <f>VLOOKUP(A55,Memória!A:T,20,FALSE)</f>
        <v>T</v>
      </c>
      <c r="E55" s="517">
        <f>VLOOKUP(A55,Memória!A:S,19,FALSE)</f>
        <v>32553.3</v>
      </c>
      <c r="F55" s="517">
        <f>IF(LEFT(B55,1)="l",VLOOKUP(B55,Composições!$J:$K,2,FALSE),IF(B55&gt;60000,VLOOKUP(A55,Memória!A:AC,22,FALSE),VLOOKUP(B55,'DER 11-20'!$A:$F,6,FALSE)))</f>
        <v>2.99</v>
      </c>
      <c r="G55" s="684">
        <f t="shared" si="3"/>
        <v>97334.36</v>
      </c>
      <c r="H55" s="700"/>
      <c r="I55" s="701"/>
      <c r="J55" s="701"/>
      <c r="K55" s="516"/>
    </row>
    <row r="56" spans="1:11" s="526" customFormat="1" ht="16.149999999999999" customHeight="1" x14ac:dyDescent="0.2">
      <c r="A56" s="500" t="s">
        <v>458</v>
      </c>
      <c r="B56" s="515">
        <f>VLOOKUP(A56,Memória!A:S,2,FALSE)</f>
        <v>40230</v>
      </c>
      <c r="C56" s="492" t="str">
        <f>VLOOKUP(A56,Memória!A:S,3,FALSE)</f>
        <v xml:space="preserve">Escavação e carga de material de 1ª categoria com escavadeira </v>
      </c>
      <c r="D56" s="516" t="str">
        <f>VLOOKUP(A56,Memória!A:T,20,FALSE)</f>
        <v>M3</v>
      </c>
      <c r="E56" s="517">
        <f>VLOOKUP(A56,Memória!A:S,19,FALSE)</f>
        <v>35540</v>
      </c>
      <c r="F56" s="517">
        <f>IF(LEFT(B56,1)="l",VLOOKUP(B56,Composições!$J:$K,2,FALSE),IF(B56&gt;60000,VLOOKUP(A56,Memória!A:AC,22,FALSE),VLOOKUP(B56,'DER 11-20'!$A:$F,6,FALSE)))</f>
        <v>3.3</v>
      </c>
      <c r="G56" s="684">
        <f t="shared" si="3"/>
        <v>117282</v>
      </c>
      <c r="H56" s="700"/>
      <c r="I56" s="701"/>
      <c r="J56" s="701"/>
      <c r="K56" s="516"/>
    </row>
    <row r="57" spans="1:11" s="526" customFormat="1" ht="27" customHeight="1" x14ac:dyDescent="0.2">
      <c r="A57" s="500" t="s">
        <v>459</v>
      </c>
      <c r="B57" s="515">
        <f>VLOOKUP(A57,Memória!A:S,2,FALSE)</f>
        <v>60019</v>
      </c>
      <c r="C57" s="492" t="str">
        <f>VLOOKUP(A57,Memória!A:S,3,FALSE)</f>
        <v xml:space="preserve">LOCAL COM DMT ATÉ 3,0 KM (Caminhão basculante)1,144XP+1,265XR+2,007 (Incluindo BDI= 23,32%) -  XP=0,00 / XR=0,001 </v>
      </c>
      <c r="D57" s="516" t="str">
        <f>VLOOKUP(A57,Memória!A:T,20,FALSE)</f>
        <v>T</v>
      </c>
      <c r="E57" s="517">
        <f>VLOOKUP(A57,Memória!A:S,19,FALSE)</f>
        <v>60418</v>
      </c>
      <c r="F57" s="517">
        <f>IF(LEFT(B57,1)="l",VLOOKUP(B57,Composições!$J:$K,2,FALSE),IF(B57&gt;60000,VLOOKUP(A57,Memória!A:AC,22,FALSE),VLOOKUP(B57,'DER 11-20'!$A:$F,6,FALSE)))</f>
        <v>2.0099999999999998</v>
      </c>
      <c r="G57" s="684">
        <f t="shared" si="3"/>
        <v>121440.18</v>
      </c>
      <c r="H57" s="700"/>
      <c r="I57" s="701"/>
      <c r="J57" s="701"/>
      <c r="K57" s="516"/>
    </row>
    <row r="58" spans="1:11" s="526" customFormat="1" ht="17.45" customHeight="1" x14ac:dyDescent="0.2">
      <c r="A58" s="500" t="s">
        <v>460</v>
      </c>
      <c r="B58" s="515">
        <f>VLOOKUP(A58,Memória!A:S,2,FALSE)</f>
        <v>40230</v>
      </c>
      <c r="C58" s="492" t="str">
        <f>VLOOKUP(A58,Memória!A:S,3,FALSE)</f>
        <v>Escavação e carga de material de 1ª categoria com escavadeira</v>
      </c>
      <c r="D58" s="516" t="str">
        <f>VLOOKUP(A58,Memória!A:T,20,FALSE)</f>
        <v>M3</v>
      </c>
      <c r="E58" s="517">
        <f>VLOOKUP(A58,Memória!A:S,19,FALSE)</f>
        <v>7234</v>
      </c>
      <c r="F58" s="517">
        <f>IF(LEFT(B58,1)="l",VLOOKUP(B58,Composições!$J:$K,2,FALSE),IF(B58&gt;60000,VLOOKUP(A58,Memória!A:AC,22,FALSE),VLOOKUP(B58,'DER 11-20'!$A:$F,6,FALSE)))</f>
        <v>3.3</v>
      </c>
      <c r="G58" s="684">
        <f t="shared" si="3"/>
        <v>23872.2</v>
      </c>
      <c r="H58" s="700"/>
      <c r="I58" s="701"/>
      <c r="J58" s="701"/>
      <c r="K58" s="516"/>
    </row>
    <row r="59" spans="1:11" s="526" customFormat="1" ht="27" customHeight="1" x14ac:dyDescent="0.2">
      <c r="A59" s="500" t="s">
        <v>461</v>
      </c>
      <c r="B59" s="515">
        <f>VLOOKUP(A59,Memória!A:S,2,FALSE)</f>
        <v>60019</v>
      </c>
      <c r="C59" s="492" t="str">
        <f>VLOOKUP(A59,Memória!A:S,3,FALSE)</f>
        <v xml:space="preserve">LOCAL COM DMT ATÉ 3,0 KM (Caminhão basculante)1,144XP+1,265XR+2,007 (Incluindo BDI= 23,32%) -  XP=0,000 / XR=2,720 </v>
      </c>
      <c r="D59" s="516" t="str">
        <f>VLOOKUP(A59,Memória!A:T,20,FALSE)</f>
        <v>T</v>
      </c>
      <c r="E59" s="517">
        <f>VLOOKUP(A59,Memória!A:S,19,FALSE)</f>
        <v>12297.8</v>
      </c>
      <c r="F59" s="517">
        <f>IF(LEFT(B59,1)="l",VLOOKUP(B59,Composições!$J:$K,2,FALSE),IF(B59&gt;60000,VLOOKUP(A59,Memória!A:AC,22,FALSE),VLOOKUP(B59,'DER 11-20'!$A:$F,6,FALSE)))</f>
        <v>5.45</v>
      </c>
      <c r="G59" s="684">
        <f t="shared" si="3"/>
        <v>67023.009999999995</v>
      </c>
      <c r="H59" s="700"/>
      <c r="I59" s="701"/>
      <c r="J59" s="701"/>
      <c r="K59" s="516"/>
    </row>
    <row r="60" spans="1:11" s="526" customFormat="1" ht="18" customHeight="1" x14ac:dyDescent="0.2">
      <c r="A60" s="500" t="s">
        <v>462</v>
      </c>
      <c r="B60" s="515">
        <f>VLOOKUP(A60,Memória!A:S,2,FALSE)</f>
        <v>40230</v>
      </c>
      <c r="C60" s="492" t="str">
        <f>VLOOKUP(A60,Memória!A:S,3,FALSE)</f>
        <v xml:space="preserve">Escavação e carga de material de 1ª categoria com escavadeira </v>
      </c>
      <c r="D60" s="516" t="str">
        <f>VLOOKUP(A60,Memória!A:T,20,FALSE)</f>
        <v>M3</v>
      </c>
      <c r="E60" s="517">
        <f>VLOOKUP(A60,Memória!A:S,19,FALSE)</f>
        <v>5968</v>
      </c>
      <c r="F60" s="517">
        <f>IF(LEFT(B60,1)="l",VLOOKUP(B60,Composições!$J:$K,2,FALSE),IF(B60&gt;60000,VLOOKUP(A60,Memória!A:AC,22,FALSE),VLOOKUP(B60,'DER 11-20'!$A:$F,6,FALSE)))</f>
        <v>3.3</v>
      </c>
      <c r="G60" s="684">
        <f t="shared" si="3"/>
        <v>19694.400000000001</v>
      </c>
      <c r="H60" s="700"/>
      <c r="I60" s="701"/>
      <c r="J60" s="701"/>
      <c r="K60" s="516"/>
    </row>
    <row r="61" spans="1:11" s="526" customFormat="1" ht="26.25" customHeight="1" x14ac:dyDescent="0.2">
      <c r="A61" s="500" t="s">
        <v>463</v>
      </c>
      <c r="B61" s="515">
        <f>VLOOKUP(A61,Memória!A:S,2,FALSE)</f>
        <v>60019</v>
      </c>
      <c r="C61" s="492" t="str">
        <f>VLOOKUP(A61,Memória!A:S,3,FALSE)</f>
        <v xml:space="preserve">LOCAL COM DMT ATÉ 3,0 KM (Caminhão basculante)1,144XP+1,265XR+2,007 (Incluindo BDI= 23,32%) -  XP=0,00 / XR=3,88 </v>
      </c>
      <c r="D61" s="516" t="str">
        <f>VLOOKUP(A61,Memória!A:T,20,FALSE)</f>
        <v>T</v>
      </c>
      <c r="E61" s="517">
        <f>VLOOKUP(A61,Memória!A:S,19,FALSE)</f>
        <v>10145.6</v>
      </c>
      <c r="F61" s="517">
        <f>IF(LEFT(B61,1)="l",VLOOKUP(B61,Composições!$J:$K,2,FALSE),IF(B61&gt;60000,VLOOKUP(A61,Memória!A:AC,22,FALSE),VLOOKUP(B61,'DER 11-20'!$A:$F,6,FALSE)))</f>
        <v>6.92</v>
      </c>
      <c r="G61" s="684">
        <f t="shared" si="3"/>
        <v>70207.55</v>
      </c>
      <c r="H61" s="700"/>
      <c r="I61" s="701"/>
      <c r="J61" s="701"/>
      <c r="K61" s="516"/>
    </row>
    <row r="62" spans="1:11" s="526" customFormat="1" ht="19.899999999999999" customHeight="1" x14ac:dyDescent="0.2">
      <c r="A62" s="500" t="s">
        <v>464</v>
      </c>
      <c r="B62" s="515">
        <f>VLOOKUP(A62,Memória!A:S,2,FALSE)</f>
        <v>40230</v>
      </c>
      <c r="C62" s="492" t="str">
        <f>VLOOKUP(A62,Memória!A:S,3,FALSE)</f>
        <v>Escavação e carga de material de 1ª categoria com escavadeira</v>
      </c>
      <c r="D62" s="516" t="str">
        <f>VLOOKUP(A62,Memória!A:T,20,FALSE)</f>
        <v>M3</v>
      </c>
      <c r="E62" s="517">
        <f>VLOOKUP(A62,Memória!A:S,19,FALSE)</f>
        <v>15595</v>
      </c>
      <c r="F62" s="517">
        <f>VLOOKUP(B62,'DER 11-20'!A5:E1608,4,0)</f>
        <v>3.3</v>
      </c>
      <c r="G62" s="684">
        <f t="shared" si="3"/>
        <v>51463.5</v>
      </c>
      <c r="H62" s="700"/>
      <c r="I62" s="701"/>
      <c r="J62" s="701"/>
      <c r="K62" s="516"/>
    </row>
    <row r="63" spans="1:11" s="526" customFormat="1" ht="27.6" customHeight="1" x14ac:dyDescent="0.2">
      <c r="A63" s="500" t="s">
        <v>465</v>
      </c>
      <c r="B63" s="515">
        <f>VLOOKUP(A63,Memória!A:S,2,FALSE)</f>
        <v>60024</v>
      </c>
      <c r="C63" s="492" t="str">
        <f>VLOOKUP(A63,Memória!A:S,3,FALSE)</f>
        <v xml:space="preserve">Transporte de materiais para DMT acima de 15 KM (Caminhão basculante)0,304XP+0,323XR+11,678 (Incluindo BDI= 23,32%) -  XP=17,600 / XR=1,300 </v>
      </c>
      <c r="D63" s="516" t="str">
        <f>VLOOKUP(A63,Memória!A:T,20,FALSE)</f>
        <v>T</v>
      </c>
      <c r="E63" s="517">
        <f>VLOOKUP(A63,Memória!A:S,19,FALSE)</f>
        <v>26511.5</v>
      </c>
      <c r="F63" s="517">
        <f>IF(LEFT(B63,1)="l",VLOOKUP(B63,Composições!$J:$K,2,FALSE),IF(B63&gt;60000,VLOOKUP(A63,Memória!A:AC,22,FALSE),VLOOKUP(B63,'DER 11-20'!$A:$F,6,FALSE)))</f>
        <v>17.45</v>
      </c>
      <c r="G63" s="684">
        <f t="shared" si="3"/>
        <v>462625.67</v>
      </c>
      <c r="H63" s="700"/>
      <c r="I63" s="701"/>
      <c r="J63" s="701"/>
      <c r="K63" s="516"/>
    </row>
    <row r="64" spans="1:11" s="526" customFormat="1" ht="20.45" customHeight="1" x14ac:dyDescent="0.2">
      <c r="A64" s="500" t="s">
        <v>466</v>
      </c>
      <c r="B64" s="515">
        <f>VLOOKUP(A64,Memória!A:S,2,FALSE)</f>
        <v>42547</v>
      </c>
      <c r="C64" s="492" t="str">
        <f>VLOOKUP(A64,Memória!A:S,3,FALSE)</f>
        <v>Espalhamento de material de 1ª categoria com motoniveladora - (Material de 1ª cat. - Bota-fora)</v>
      </c>
      <c r="D64" s="516" t="str">
        <f>VLOOKUP(A64,Memória!A:T,20,FALSE)</f>
        <v>M3</v>
      </c>
      <c r="E64" s="517">
        <f>VLOOKUP(A64,Memória!A:S,19,FALSE)</f>
        <v>15595</v>
      </c>
      <c r="F64" s="517">
        <f>VLOOKUP(B64,'DER 11-20'!A5:E1608,4,0)</f>
        <v>1.67</v>
      </c>
      <c r="G64" s="684">
        <f t="shared" si="3"/>
        <v>26043.65</v>
      </c>
      <c r="H64" s="700"/>
      <c r="I64" s="701"/>
      <c r="J64" s="701"/>
      <c r="K64" s="516"/>
    </row>
    <row r="65" spans="1:11" s="526" customFormat="1" ht="15" customHeight="1" x14ac:dyDescent="0.2">
      <c r="A65" s="500" t="s">
        <v>467</v>
      </c>
      <c r="B65" s="515">
        <f>VLOOKUP(A65,Memória!A:S,2,FALSE)</f>
        <v>43340</v>
      </c>
      <c r="C65" s="492" t="str">
        <f>VLOOKUP(A65,Memória!A:S,3,FALSE)</f>
        <v xml:space="preserve">Compactação de aterros 100% P.I. </v>
      </c>
      <c r="D65" s="516" t="str">
        <f>VLOOKUP(A65,Memória!A:T,20,FALSE)</f>
        <v>M3</v>
      </c>
      <c r="E65" s="517">
        <f>VLOOKUP(A65,Memória!A:S,19,FALSE)</f>
        <v>22563.200000000001</v>
      </c>
      <c r="F65" s="517">
        <f>VLOOKUP(B65,'DER 11-20'!A5:E1608,4,0)</f>
        <v>6.46</v>
      </c>
      <c r="G65" s="684">
        <f t="shared" si="3"/>
        <v>145758.26999999999</v>
      </c>
      <c r="H65" s="700"/>
      <c r="I65" s="701"/>
      <c r="J65" s="701"/>
      <c r="K65" s="516"/>
    </row>
    <row r="66" spans="1:11" s="526" customFormat="1" ht="17.45" customHeight="1" x14ac:dyDescent="0.2">
      <c r="A66" s="500" t="s">
        <v>468</v>
      </c>
      <c r="B66" s="515">
        <f>VLOOKUP(A66,Memória!A:S,2,FALSE)</f>
        <v>40228</v>
      </c>
      <c r="C66" s="492" t="str">
        <f>VLOOKUP(A66,Memória!A:S,3,FALSE)</f>
        <v>Compactação de aterros 100% PN</v>
      </c>
      <c r="D66" s="516" t="str">
        <f>VLOOKUP(A66,Memória!A:T,20,FALSE)</f>
        <v>M3</v>
      </c>
      <c r="E66" s="517">
        <f>VLOOKUP(A66,Memória!A:S,19,FALSE)</f>
        <v>78967.5</v>
      </c>
      <c r="F66" s="517">
        <f>VLOOKUP(B66,'DER 11-20'!A5:E1608,4,0)</f>
        <v>5</v>
      </c>
      <c r="G66" s="684">
        <f t="shared" si="3"/>
        <v>394837.5</v>
      </c>
      <c r="H66" s="700"/>
      <c r="I66" s="701"/>
      <c r="J66" s="701"/>
      <c r="K66" s="516"/>
    </row>
    <row r="67" spans="1:11" s="526" customFormat="1" ht="17.45" customHeight="1" x14ac:dyDescent="0.2">
      <c r="A67" s="500" t="s">
        <v>469</v>
      </c>
      <c r="B67" s="515">
        <f>VLOOKUP(A67,Memória!A:S,2,FALSE)</f>
        <v>41095</v>
      </c>
      <c r="C67" s="492" t="str">
        <f>VLOOKUP(A67,Memória!A:S,3,FALSE)</f>
        <v>Remoção de solos moles, incluindo carregamento mecânico com escavadeira hidráulica</v>
      </c>
      <c r="D67" s="516" t="str">
        <f>VLOOKUP(A67,Memória!A:T,20,FALSE)</f>
        <v>M3</v>
      </c>
      <c r="E67" s="517">
        <f>VLOOKUP(A67,Memória!A:S,19,FALSE)</f>
        <v>23888.13</v>
      </c>
      <c r="F67" s="517">
        <f>VLOOKUP(B67,'DER 11-20'!A5:E1608,4,0)</f>
        <v>27.71</v>
      </c>
      <c r="G67" s="684">
        <f t="shared" si="3"/>
        <v>661940.07999999996</v>
      </c>
      <c r="H67" s="700"/>
      <c r="I67" s="701"/>
      <c r="J67" s="701"/>
      <c r="K67" s="516"/>
    </row>
    <row r="68" spans="1:11" s="526" customFormat="1" ht="24.75" customHeight="1" x14ac:dyDescent="0.2">
      <c r="A68" s="500" t="s">
        <v>470</v>
      </c>
      <c r="B68" s="515">
        <f>VLOOKUP(A68,Memória!A:S,2,FALSE)</f>
        <v>60024</v>
      </c>
      <c r="C68" s="492" t="str">
        <f>VLOOKUP(A68,Memória!A:S,3,FALSE)</f>
        <v xml:space="preserve">Transporte de materiais para DMT acima de 15 KM (Caminhão basculante)0,304XP+0,323XR+11,678 (Incluindo BDI= 23,32%) -  XP=17,600 / XR=2,770 </v>
      </c>
      <c r="D68" s="516" t="str">
        <f>VLOOKUP(A68,Memória!A:T,20,FALSE)</f>
        <v>T</v>
      </c>
      <c r="E68" s="517">
        <f>VLOOKUP(A68,Memória!A:S,19,FALSE)</f>
        <v>40609.81</v>
      </c>
      <c r="F68" s="517">
        <f>IF(LEFT(B68,1)="l",VLOOKUP(B68,Composições!$J:$K,2,FALSE),IF(B68&gt;60000,VLOOKUP(A68,Memória!A:AC,22,FALSE),VLOOKUP(B68,'DER 11-20'!$A:$F,6,FALSE)))</f>
        <v>17.920000000000002</v>
      </c>
      <c r="G68" s="684">
        <f t="shared" si="3"/>
        <v>727727.79</v>
      </c>
      <c r="H68" s="700"/>
      <c r="I68" s="701"/>
      <c r="J68" s="701"/>
      <c r="K68" s="516"/>
    </row>
    <row r="69" spans="1:11" s="518" customFormat="1" ht="17.45" customHeight="1" x14ac:dyDescent="0.2">
      <c r="A69" s="500" t="s">
        <v>471</v>
      </c>
      <c r="B69" s="515">
        <f>VLOOKUP(A69,Memória!A:S,2,FALSE)</f>
        <v>42547</v>
      </c>
      <c r="C69" s="492" t="str">
        <f>VLOOKUP(A69,Memória!A:S,3,FALSE)</f>
        <v xml:space="preserve">Espalhamento de material de 1ª categoria com motoniveladora </v>
      </c>
      <c r="D69" s="516" t="str">
        <f>VLOOKUP(A69,Memória!A:T,20,FALSE)</f>
        <v>M3</v>
      </c>
      <c r="E69" s="517">
        <f>VLOOKUP(A69,Memória!A:S,19,FALSE)</f>
        <v>31054.560000000001</v>
      </c>
      <c r="F69" s="517">
        <f>VLOOKUP(B69,'DER 11-20'!A5:E1608,4,0)</f>
        <v>1.67</v>
      </c>
      <c r="G69" s="684">
        <f t="shared" ref="G69:G74" si="4">TRUNC(E69*F69,2)</f>
        <v>51861.11</v>
      </c>
      <c r="H69" s="700"/>
      <c r="I69" s="701"/>
      <c r="J69" s="701"/>
      <c r="K69" s="515"/>
    </row>
    <row r="70" spans="1:11" s="518" customFormat="1" ht="16.899999999999999" customHeight="1" x14ac:dyDescent="0.2">
      <c r="A70" s="500" t="s">
        <v>472</v>
      </c>
      <c r="B70" s="515" t="str">
        <f>VLOOKUP(A70,Memória!A:S,2,FALSE)</f>
        <v>PR-005</v>
      </c>
      <c r="C70" s="492" t="str">
        <f>VLOOKUP(A70,Memória!A:S,3,FALSE)</f>
        <v>Bica corrida sem frete, fornecimento e transporte</v>
      </c>
      <c r="D70" s="516" t="str">
        <f>VLOOKUP(A70,Memória!A:T,20,FALSE)</f>
        <v>M3</v>
      </c>
      <c r="E70" s="517">
        <f>VLOOKUP(A70,Memória!A:S,19,FALSE)</f>
        <v>15152.75</v>
      </c>
      <c r="F70" s="517">
        <f>Composições!I184</f>
        <v>78.62</v>
      </c>
      <c r="G70" s="684">
        <f t="shared" si="4"/>
        <v>1191309.2</v>
      </c>
      <c r="H70" s="700"/>
      <c r="I70" s="701"/>
      <c r="J70" s="701"/>
      <c r="K70" s="516"/>
    </row>
    <row r="71" spans="1:11" s="518" customFormat="1" ht="16.149999999999999" customHeight="1" x14ac:dyDescent="0.2">
      <c r="A71" s="500" t="s">
        <v>473</v>
      </c>
      <c r="B71" s="515">
        <f>VLOOKUP(A71,Memória!A:S,2,FALSE)</f>
        <v>40177</v>
      </c>
      <c r="C71" s="492" t="str">
        <f>VLOOKUP(A71,Memória!A:S,3,FALSE)</f>
        <v>Espalhamento de material de 1ª categoria com trator de esteiras - Bica corrida</v>
      </c>
      <c r="D71" s="516" t="str">
        <f>VLOOKUP(A71,Memória!A:T,20,FALSE)</f>
        <v>M3</v>
      </c>
      <c r="E71" s="517">
        <f>VLOOKUP(A71,Memória!A:S,19,FALSE)</f>
        <v>15152.75</v>
      </c>
      <c r="F71" s="517">
        <f>VLOOKUP(B71,'DER 11-20'!A5:E1608,4,0)</f>
        <v>4.5</v>
      </c>
      <c r="G71" s="684">
        <f t="shared" si="4"/>
        <v>68187.37</v>
      </c>
      <c r="H71" s="700"/>
      <c r="I71" s="701"/>
      <c r="J71" s="701"/>
      <c r="K71" s="516"/>
    </row>
    <row r="72" spans="1:11" s="518" customFormat="1" ht="19.899999999999999" customHeight="1" x14ac:dyDescent="0.2">
      <c r="A72" s="500" t="s">
        <v>474</v>
      </c>
      <c r="B72" s="515" t="str">
        <f>VLOOKUP(A72,Memória!A:S,2,FALSE)</f>
        <v>PR-006</v>
      </c>
      <c r="C72" s="492" t="str">
        <f>VLOOKUP(A72,Memória!A:S,3,FALSE)</f>
        <v>Pedra de mao (incl. 0% IUM) s/ frete, fornecimento e transporte</v>
      </c>
      <c r="D72" s="516" t="str">
        <f>VLOOKUP(A72,Memória!A:T,20,FALSE)</f>
        <v>M3</v>
      </c>
      <c r="E72" s="517">
        <f>VLOOKUP(A72,Memória!A:S,19,FALSE)</f>
        <v>8735.3799999999992</v>
      </c>
      <c r="F72" s="517">
        <f>Composições!I216</f>
        <v>112.42</v>
      </c>
      <c r="G72" s="684">
        <f t="shared" si="4"/>
        <v>982031.41</v>
      </c>
      <c r="H72" s="700"/>
      <c r="I72" s="701"/>
      <c r="J72" s="701"/>
      <c r="K72" s="516"/>
    </row>
    <row r="73" spans="1:11" s="518" customFormat="1" ht="16.149999999999999" customHeight="1" x14ac:dyDescent="0.2">
      <c r="A73" s="500" t="s">
        <v>475</v>
      </c>
      <c r="B73" s="515">
        <f>VLOOKUP(A73,Memória!A:S,2,FALSE)</f>
        <v>40177</v>
      </c>
      <c r="C73" s="492" t="str">
        <f>VLOOKUP(A73,Memória!A:S,3,FALSE)</f>
        <v>Espalhamento de material de 1ª categoria com trator de esteiras - Pedra de mão</v>
      </c>
      <c r="D73" s="516" t="str">
        <f>VLOOKUP(A73,Memória!A:T,20,FALSE)</f>
        <v>M3</v>
      </c>
      <c r="E73" s="517">
        <f>VLOOKUP(A73,Memória!A:S,19,FALSE)</f>
        <v>8735.3799999999992</v>
      </c>
      <c r="F73" s="517">
        <f>VLOOKUP(B73,'DER 11-20'!A5:E1608,4,0)</f>
        <v>4.5</v>
      </c>
      <c r="G73" s="684">
        <f t="shared" si="4"/>
        <v>39309.21</v>
      </c>
      <c r="H73" s="700"/>
      <c r="I73" s="701"/>
      <c r="J73" s="701"/>
      <c r="K73" s="516"/>
    </row>
    <row r="74" spans="1:11" s="518" customFormat="1" ht="16.149999999999999" customHeight="1" x14ac:dyDescent="0.2">
      <c r="A74" s="500" t="s">
        <v>476</v>
      </c>
      <c r="B74" s="515">
        <f>VLOOKUP(A74,Memória!A:S,2,FALSE)</f>
        <v>40229</v>
      </c>
      <c r="C74" s="492" t="str">
        <f>VLOOKUP(A74,Memória!A:S,3,FALSE)</f>
        <v>Compactação de aterros em rocha</v>
      </c>
      <c r="D74" s="516" t="str">
        <f>VLOOKUP(A74,Memória!A:T,20,FALSE)</f>
        <v>M3</v>
      </c>
      <c r="E74" s="517">
        <f>VLOOKUP(A74,Memória!A:S,19,FALSE)</f>
        <v>1747.08</v>
      </c>
      <c r="F74" s="517">
        <f>VLOOKUP(B74,'DER 11-20'!A5:E1608,4,0)</f>
        <v>6.54</v>
      </c>
      <c r="G74" s="684">
        <f t="shared" si="4"/>
        <v>11425.9</v>
      </c>
      <c r="H74" s="700"/>
      <c r="I74" s="701"/>
      <c r="J74" s="701"/>
      <c r="K74" s="516"/>
    </row>
    <row r="75" spans="1:11" x14ac:dyDescent="0.2">
      <c r="A75" s="519"/>
      <c r="B75" s="591"/>
      <c r="C75" s="520" t="s">
        <v>121</v>
      </c>
      <c r="D75" s="521"/>
      <c r="E75" s="522"/>
      <c r="F75" s="523"/>
      <c r="G75" s="686">
        <f>SUM(G44:K74)</f>
        <v>5911968.0099999998</v>
      </c>
      <c r="H75" s="691"/>
      <c r="I75" s="689"/>
      <c r="J75" s="689"/>
      <c r="K75" s="692"/>
    </row>
    <row r="76" spans="1:11" x14ac:dyDescent="0.2">
      <c r="A76" s="497">
        <v>4</v>
      </c>
      <c r="B76" s="505"/>
      <c r="C76" s="506" t="str">
        <f>VLOOKUP(A76,Memória!A:S,3,FALSE)</f>
        <v>PAVIMENTAÇÃO</v>
      </c>
      <c r="D76" s="507"/>
      <c r="E76" s="524"/>
      <c r="F76" s="525"/>
      <c r="G76" s="685"/>
      <c r="H76" s="710"/>
      <c r="I76" s="711"/>
      <c r="J76" s="711"/>
      <c r="K76" s="716"/>
    </row>
    <row r="77" spans="1:11" x14ac:dyDescent="0.2">
      <c r="A77" s="499" t="s">
        <v>253</v>
      </c>
      <c r="B77" s="515">
        <f>VLOOKUP(A77,Memória!A:S,2,FALSE)</f>
        <v>40754</v>
      </c>
      <c r="C77" s="492" t="str">
        <f>VLOOKUP(A77,Memória!A:S,3,FALSE)</f>
        <v>Regularização e compactação do sub-leito (100% P.I.) H = 0,20 m</v>
      </c>
      <c r="D77" s="516" t="str">
        <f>VLOOKUP(A77,Memória!A:T,20,FALSE)</f>
        <v>M2</v>
      </c>
      <c r="E77" s="517">
        <f>VLOOKUP(A77,Memória!A:S,19,FALSE)</f>
        <v>54736.51</v>
      </c>
      <c r="F77" s="517">
        <f>VLOOKUP(B77,'DER 11-20'!A5:E1608,4,0)</f>
        <v>1.27</v>
      </c>
      <c r="G77" s="684">
        <f t="shared" ref="G77:G97" si="5">TRUNC(E77*F77,2)</f>
        <v>69515.360000000001</v>
      </c>
      <c r="H77" s="700"/>
      <c r="I77" s="701"/>
      <c r="J77" s="701"/>
      <c r="K77" s="703"/>
    </row>
    <row r="78" spans="1:11" s="526" customFormat="1" x14ac:dyDescent="0.2">
      <c r="A78" s="499" t="s">
        <v>254</v>
      </c>
      <c r="B78" s="515">
        <f>VLOOKUP(A78,Memória!A:S,2,FALSE)</f>
        <v>40109</v>
      </c>
      <c r="C78" s="492" t="str">
        <f>VLOOKUP(A78,Memória!A:S,3,FALSE)</f>
        <v>Sub-base de solo estabilizada granulométricamente sem mistura inclusive escavação e carga</v>
      </c>
      <c r="D78" s="516" t="str">
        <f>VLOOKUP(A78,Memória!A:T,20,FALSE)</f>
        <v>M3</v>
      </c>
      <c r="E78" s="517">
        <f>VLOOKUP(A78,Memória!A:S,19,FALSE)</f>
        <v>6382.3</v>
      </c>
      <c r="F78" s="517">
        <f>VLOOKUP(B78,'DER 11-20'!A5:E1608,4,0)</f>
        <v>32.51</v>
      </c>
      <c r="G78" s="684">
        <f t="shared" si="5"/>
        <v>207488.57</v>
      </c>
      <c r="H78" s="700"/>
      <c r="I78" s="701"/>
      <c r="J78" s="701"/>
      <c r="K78" s="704"/>
    </row>
    <row r="79" spans="1:11" s="526" customFormat="1" x14ac:dyDescent="0.2">
      <c r="A79" s="499" t="s">
        <v>255</v>
      </c>
      <c r="B79" s="515">
        <f>VLOOKUP(A79,Memória!A:S,2,FALSE)</f>
        <v>42045</v>
      </c>
      <c r="C79" s="492" t="str">
        <f>VLOOKUP(A79,Memória!A:S,3,FALSE)</f>
        <v>Aquisição de solo de jazida comercial (saibreira)</v>
      </c>
      <c r="D79" s="516" t="str">
        <f>VLOOKUP(A79,Memória!A:T,20,FALSE)</f>
        <v>M3</v>
      </c>
      <c r="E79" s="517">
        <f>VLOOKUP(A79,Memória!A:S,19,FALSE)</f>
        <v>7884.02</v>
      </c>
      <c r="F79" s="517">
        <f>VLOOKUP(B79,'DER 11-20'!A5:E1608,4,0)</f>
        <v>10.18</v>
      </c>
      <c r="G79" s="684">
        <f t="shared" si="5"/>
        <v>80259.320000000007</v>
      </c>
      <c r="H79" s="700"/>
      <c r="I79" s="701"/>
      <c r="J79" s="701"/>
      <c r="K79" s="704"/>
    </row>
    <row r="80" spans="1:11" s="526" customFormat="1" ht="45" x14ac:dyDescent="0.2">
      <c r="A80" s="499" t="s">
        <v>256</v>
      </c>
      <c r="B80" s="515">
        <f>VLOOKUP(A80,Memória!A:S,2,FALSE)</f>
        <v>60024</v>
      </c>
      <c r="C80" s="492" t="str">
        <f>VLOOKUP(A80,Memória!A:S,3,FALSE)</f>
        <v xml:space="preserve">Transporte de materiais para DMT acima de 15 KM (Caminhão basculante)0,304XP+0,323XR+11,678 (Incluindo BDI= 23,32%) -  XP=11,00 / XR=20,39 - Transporte de material de jazida para sub base </v>
      </c>
      <c r="D80" s="516" t="str">
        <f>VLOOKUP(A80,Memória!A:T,20,FALSE)</f>
        <v>T</v>
      </c>
      <c r="E80" s="517">
        <f>VLOOKUP(A80,Memória!A:S,19,FALSE)</f>
        <v>13402.83</v>
      </c>
      <c r="F80" s="517">
        <f>IF(LEFT(B80,1)="l",VLOOKUP(B80,Composições!$J:$K,2,FALSE),IF(B80&gt;60000,VLOOKUP(A80,Memória!A:AC,22,FALSE),VLOOKUP(B80,'DER 11-20'!$A:$F,6,FALSE)))</f>
        <v>21.61</v>
      </c>
      <c r="G80" s="684">
        <f t="shared" si="5"/>
        <v>289635.15000000002</v>
      </c>
      <c r="H80" s="700"/>
      <c r="I80" s="701"/>
      <c r="J80" s="701"/>
      <c r="K80" s="704"/>
    </row>
    <row r="81" spans="1:13" s="526" customFormat="1" x14ac:dyDescent="0.2">
      <c r="A81" s="499" t="s">
        <v>257</v>
      </c>
      <c r="B81" s="515">
        <v>100849</v>
      </c>
      <c r="C81" s="492" t="str">
        <f>VLOOKUP(A81,Memória!A:S,3,FALSE)</f>
        <v>Bonificação de 15,28% sobre aquisição de materiais</v>
      </c>
      <c r="D81" s="516" t="str">
        <f>VLOOKUP(A81,Memória!A:T,20,FALSE)</f>
        <v>%</v>
      </c>
      <c r="E81" s="744">
        <f>VLOOKUP(A81,Memória!A:S,19,FALSE)</f>
        <v>15.28</v>
      </c>
      <c r="F81" s="517">
        <f>G79</f>
        <v>80259.320000000007</v>
      </c>
      <c r="G81" s="684">
        <f>TRUNC((E81/100)*F81,2)</f>
        <v>12263.62</v>
      </c>
      <c r="H81" s="705"/>
      <c r="I81" s="701"/>
      <c r="J81" s="701"/>
      <c r="K81" s="704"/>
    </row>
    <row r="82" spans="1:13" ht="30" x14ac:dyDescent="0.2">
      <c r="A82" s="499" t="s">
        <v>477</v>
      </c>
      <c r="B82" s="515" t="str">
        <f>VLOOKUP(A82,Memória!A:S,2,FALSE)</f>
        <v>PR-007</v>
      </c>
      <c r="C82" s="492" t="str">
        <f>VLOOKUP(A82,Memória!A:S,3,FALSE)</f>
        <v>Base de solo brita, 30% de solo, 30% de brita 2, 10% de brita 0 e 30% de pó de pedra, inclusive fornecimento da brita e transporte</v>
      </c>
      <c r="D82" s="516" t="str">
        <f>VLOOKUP(A82,Memória!A:T,20,FALSE)</f>
        <v>M3</v>
      </c>
      <c r="E82" s="517">
        <f>VLOOKUP(A82,Memória!A:S,19,FALSE)</f>
        <v>9765.2900000000009</v>
      </c>
      <c r="F82" s="517">
        <f>Composições!I262</f>
        <v>146.44</v>
      </c>
      <c r="G82" s="684">
        <f t="shared" si="5"/>
        <v>1430029.06</v>
      </c>
      <c r="H82" s="700"/>
      <c r="I82" s="701"/>
      <c r="J82" s="701"/>
      <c r="K82" s="703"/>
    </row>
    <row r="83" spans="1:13" s="526" customFormat="1" x14ac:dyDescent="0.2">
      <c r="A83" s="499" t="s">
        <v>478</v>
      </c>
      <c r="B83" s="515">
        <f>VLOOKUP(A83,Memória!A:S,2,FALSE)</f>
        <v>42045</v>
      </c>
      <c r="C83" s="492" t="str">
        <f>VLOOKUP(A83,Memória!A:S,3,FALSE)</f>
        <v>Aquisição de solo de jazida comercial (saibreira)</v>
      </c>
      <c r="D83" s="516" t="str">
        <f>VLOOKUP(A83,Memória!A:T,20,FALSE)</f>
        <v>M3</v>
      </c>
      <c r="E83" s="517">
        <f>VLOOKUP(A83,Memória!A:S,19,FALSE)</f>
        <v>3791.23</v>
      </c>
      <c r="F83" s="517">
        <f>VLOOKUP(B83,'DER 11-20'!A5:E1608,4,0)</f>
        <v>10.18</v>
      </c>
      <c r="G83" s="684">
        <f t="shared" si="5"/>
        <v>38594.720000000001</v>
      </c>
      <c r="H83" s="700"/>
      <c r="I83" s="701"/>
      <c r="J83" s="701"/>
      <c r="K83" s="704"/>
    </row>
    <row r="84" spans="1:13" s="526" customFormat="1" ht="45" x14ac:dyDescent="0.2">
      <c r="A84" s="499" t="s">
        <v>479</v>
      </c>
      <c r="B84" s="515">
        <f>VLOOKUP(A84,Memória!A:S,2,FALSE)</f>
        <v>60024</v>
      </c>
      <c r="C84" s="492" t="str">
        <f>VLOOKUP(A84,Memória!A:S,3,FALSE)</f>
        <v xml:space="preserve">Transporte de materiais para DMT acima de 15 KM (Caminhão basculante)0,304XP+0,323XR+11,678 (Incluindo BDI= 23,32%) -  XP=11,00 / XR=20,45 - Transporte de material de jazida para base </v>
      </c>
      <c r="D84" s="516" t="str">
        <f>VLOOKUP(A84,Memória!A:T,20,FALSE)</f>
        <v>T</v>
      </c>
      <c r="E84" s="517">
        <f>VLOOKUP(A84,Memória!A:S,19,FALSE)</f>
        <v>6445.09</v>
      </c>
      <c r="F84" s="517">
        <f>IF(LEFT(B84,1)="l",VLOOKUP(B84,Composições!$J:$K,2,FALSE),IF(B84&gt;60000,VLOOKUP(A84,Memória!A:AC,22,FALSE),VLOOKUP(B84,'DER 11-20'!$A:$F,6,FALSE)))</f>
        <v>21.63</v>
      </c>
      <c r="G84" s="684">
        <f t="shared" si="5"/>
        <v>139407.29</v>
      </c>
      <c r="H84" s="700"/>
      <c r="I84" s="701"/>
      <c r="J84" s="701"/>
      <c r="K84" s="704"/>
    </row>
    <row r="85" spans="1:13" s="526" customFormat="1" x14ac:dyDescent="0.2">
      <c r="A85" s="499" t="s">
        <v>480</v>
      </c>
      <c r="B85" s="515">
        <f>VLOOKUP(A85,Memória!A:S,2,FALSE)</f>
        <v>42043</v>
      </c>
      <c r="C85" s="492" t="str">
        <f>VLOOKUP(A85,Memória!A:S,3,FALSE)</f>
        <v>Bonificação de 15,28% sobre aquisição de materiais</v>
      </c>
      <c r="D85" s="516" t="str">
        <f>VLOOKUP(A85,Memória!A:T,20,FALSE)</f>
        <v>%</v>
      </c>
      <c r="E85" s="517">
        <f>VLOOKUP(A85,Memória!A:S,19,FALSE)</f>
        <v>15.28</v>
      </c>
      <c r="F85" s="517">
        <f>G83</f>
        <v>38594.720000000001</v>
      </c>
      <c r="G85" s="684">
        <f>TRUNC((E85/100)*F85,2)</f>
        <v>5897.27</v>
      </c>
      <c r="H85" s="700"/>
      <c r="I85" s="701"/>
      <c r="J85" s="701"/>
      <c r="K85" s="704"/>
    </row>
    <row r="86" spans="1:13" s="526" customFormat="1" x14ac:dyDescent="0.2">
      <c r="A86" s="499" t="s">
        <v>481</v>
      </c>
      <c r="B86" s="515">
        <f>VLOOKUP(A86,Memória!A:S,2,FALSE)</f>
        <v>40816</v>
      </c>
      <c r="C86" s="492" t="str">
        <f>VLOOKUP(A86,Memória!A:S,3,FALSE)</f>
        <v>Imprimação exclusive fornecimento e transporte comercial do material betuminoso</v>
      </c>
      <c r="D86" s="516" t="str">
        <f>VLOOKUP(A86,Memória!A:T,20,FALSE)</f>
        <v>M2</v>
      </c>
      <c r="E86" s="517">
        <f>VLOOKUP(A86,Memória!A:S,19,FALSE)</f>
        <v>42394.81</v>
      </c>
      <c r="F86" s="517">
        <f>VLOOKUP(B86,'DER 11-20'!A5:E1608,4,0)</f>
        <v>0.87</v>
      </c>
      <c r="G86" s="684">
        <f t="shared" si="5"/>
        <v>36883.480000000003</v>
      </c>
      <c r="H86" s="705"/>
      <c r="I86" s="701"/>
      <c r="J86" s="701"/>
      <c r="K86" s="704"/>
    </row>
    <row r="87" spans="1:13" x14ac:dyDescent="0.2">
      <c r="A87" s="499" t="s">
        <v>484</v>
      </c>
      <c r="B87" s="515">
        <f>VLOOKUP(A87,Memória!A:S,2,FALSE)</f>
        <v>40843</v>
      </c>
      <c r="C87" s="492" t="str">
        <f>VLOOKUP(A87,Memória!A:S,3,FALSE)</f>
        <v>CBUQ (camada pronta - capa) exclusive fornecimento e transportes do CAP e massa</v>
      </c>
      <c r="D87" s="516" t="str">
        <f>VLOOKUP(A87,Memória!A:T,20,FALSE)</f>
        <v>t</v>
      </c>
      <c r="E87" s="517">
        <f>VLOOKUP(A87,Memória!A:S,19,FALSE)</f>
        <v>4138.8999999999996</v>
      </c>
      <c r="F87" s="517">
        <f>'Compos DER'!I1183</f>
        <v>131.96</v>
      </c>
      <c r="G87" s="684">
        <f t="shared" si="5"/>
        <v>546169.24</v>
      </c>
      <c r="H87" s="700"/>
      <c r="I87" s="701"/>
      <c r="J87" s="701"/>
      <c r="K87" s="703"/>
    </row>
    <row r="88" spans="1:13" s="526" customFormat="1" ht="30" x14ac:dyDescent="0.2">
      <c r="A88" s="499" t="s">
        <v>485</v>
      </c>
      <c r="B88" s="515">
        <f>VLOOKUP(A88,Memória!A:S,2,FALSE)</f>
        <v>40898</v>
      </c>
      <c r="C88" s="492" t="str">
        <f>VLOOKUP(A88,Memória!A:S,3,FALSE)</f>
        <v>Pavimentação com blocos de concreto (35 MPa) esp.=08 cm,colchão areia esp.=5cm, inclusive fornecim. do bloco e areia, exclusive transp. blocos e areia</v>
      </c>
      <c r="D88" s="516" t="str">
        <f>VLOOKUP(A88,Memória!A:T,20,FALSE)</f>
        <v>M2</v>
      </c>
      <c r="E88" s="517">
        <f>VLOOKUP(A88,Memória!A:S,19,FALSE)</f>
        <v>4608</v>
      </c>
      <c r="F88" s="517">
        <f>'Compos DER'!I1219</f>
        <v>91.98</v>
      </c>
      <c r="G88" s="684">
        <f t="shared" si="5"/>
        <v>423843.84000000003</v>
      </c>
      <c r="H88" s="700"/>
      <c r="I88" s="701"/>
      <c r="J88" s="701"/>
      <c r="K88" s="704"/>
    </row>
    <row r="89" spans="1:13" s="526" customFormat="1" ht="45" x14ac:dyDescent="0.2">
      <c r="A89" s="499" t="s">
        <v>486</v>
      </c>
      <c r="B89" s="515">
        <f>VLOOKUP(A89,Memória!A:S,2,FALSE)</f>
        <v>60024</v>
      </c>
      <c r="C89" s="492" t="str">
        <f>VLOOKUP(A89,Memória!A:S,3,FALSE)</f>
        <v>Transporte de materiais para DMT acima de 15 KM (Caminhão basculante)0,304XP+0,323XR+11,678 (Incluindo BDI= 23,32%) -  XP=29,50 / XR=8,46 - Transporte de areia para colchão areia 5cm</v>
      </c>
      <c r="D89" s="516" t="str">
        <f>VLOOKUP(A89,Memória!A:T,20,FALSE)</f>
        <v>T</v>
      </c>
      <c r="E89" s="517">
        <f>VLOOKUP(A89,Memória!A:S,19,FALSE)</f>
        <v>400.5</v>
      </c>
      <c r="F89" s="517">
        <f>IF(LEFT(B89,1)="l",VLOOKUP(B89,Composições!$J:$K,2,FALSE),IF(B89&gt;60000,VLOOKUP(A89,Memória!A:AC,22,FALSE),VLOOKUP(B89,'DER 11-20'!$A:$F,6,FALSE)))</f>
        <v>23.38</v>
      </c>
      <c r="G89" s="684">
        <f t="shared" si="5"/>
        <v>9363.69</v>
      </c>
      <c r="H89" s="700"/>
      <c r="I89" s="701"/>
      <c r="J89" s="701"/>
      <c r="K89" s="704"/>
    </row>
    <row r="90" spans="1:13" s="526" customFormat="1" ht="45" x14ac:dyDescent="0.2">
      <c r="A90" s="499" t="s">
        <v>487</v>
      </c>
      <c r="B90" s="515">
        <f>VLOOKUP(A90,Memória!A:S,2,FALSE)</f>
        <v>60024</v>
      </c>
      <c r="C90" s="492" t="str">
        <f>VLOOKUP(A90,Memória!A:S,3,FALSE)</f>
        <v>Transporte de materiais para DMT acima de 15 KM (Caminhão basculante)0,304XP+0,323XR+11,678 (Incluindo BDI= 23,32%) -  XP=28,40 / XR=2,96 - Transporte de blocos de concreto para pavimentação</v>
      </c>
      <c r="D90" s="516" t="str">
        <f>VLOOKUP(A90,Memória!A:T,20,FALSE)</f>
        <v>T</v>
      </c>
      <c r="E90" s="517">
        <f>VLOOKUP(A90,Memória!A:S,19,FALSE)</f>
        <v>780.6</v>
      </c>
      <c r="F90" s="517">
        <f>IF(LEFT(B90,1)="l",VLOOKUP(B90,Composições!$J:$K,2,FALSE),IF(B90&gt;60000,VLOOKUP(A90,Memória!A:AC,22,FALSE),VLOOKUP(B90,'DER 11-20'!$A:$F,6,FALSE)))</f>
        <v>21.27</v>
      </c>
      <c r="G90" s="684">
        <f t="shared" si="5"/>
        <v>16603.36</v>
      </c>
      <c r="H90" s="700"/>
      <c r="I90" s="701"/>
      <c r="J90" s="701"/>
      <c r="K90" s="704"/>
    </row>
    <row r="91" spans="1:13" s="518" customFormat="1" x14ac:dyDescent="0.2">
      <c r="A91" s="499"/>
      <c r="B91" s="515"/>
      <c r="C91" s="512" t="s">
        <v>685</v>
      </c>
      <c r="D91" s="516"/>
      <c r="E91" s="517"/>
      <c r="F91" s="517"/>
      <c r="G91" s="684"/>
      <c r="H91" s="700"/>
      <c r="I91" s="701"/>
      <c r="J91" s="701"/>
      <c r="K91" s="516"/>
      <c r="L91" s="510"/>
      <c r="M91" s="510"/>
    </row>
    <row r="92" spans="1:13" s="526" customFormat="1" x14ac:dyDescent="0.2">
      <c r="A92" s="499" t="s">
        <v>488</v>
      </c>
      <c r="B92" s="515">
        <f>VLOOKUP(A92,Memória!A:S,2,FALSE)</f>
        <v>40968</v>
      </c>
      <c r="C92" s="492" t="str">
        <f>VLOOKUP(A92,Memória!A:S,3,FALSE)</f>
        <v>CM-30, fornecimento</v>
      </c>
      <c r="D92" s="516" t="str">
        <f>VLOOKUP(A92,Memória!A:T,20,FALSE)</f>
        <v>t</v>
      </c>
      <c r="E92" s="517">
        <f>VLOOKUP(A92,Memória!A:S,19,FALSE)</f>
        <v>50.87</v>
      </c>
      <c r="F92" s="517">
        <f>'Compos DER'!I1253</f>
        <v>5412.05</v>
      </c>
      <c r="G92" s="684">
        <f t="shared" si="5"/>
        <v>275310.98</v>
      </c>
      <c r="H92" s="705"/>
      <c r="I92" s="701"/>
      <c r="J92" s="701"/>
      <c r="K92" s="704"/>
    </row>
    <row r="93" spans="1:13" x14ac:dyDescent="0.2">
      <c r="A93" s="499" t="s">
        <v>489</v>
      </c>
      <c r="B93" s="515">
        <f>VLOOKUP(A93,Memória!A:S,2,FALSE)</f>
        <v>41360</v>
      </c>
      <c r="C93" s="492" t="str">
        <f>VLOOKUP(A93,Memória!A:S,3,FALSE)</f>
        <v>CAP-50/70, fornecimento</v>
      </c>
      <c r="D93" s="516" t="str">
        <f>VLOOKUP(A93,Memória!A:T,20,FALSE)</f>
        <v>t</v>
      </c>
      <c r="E93" s="517">
        <f>VLOOKUP(A93,Memória!A:S,19,FALSE)</f>
        <v>230</v>
      </c>
      <c r="F93" s="517">
        <f>'Compos DER'!I1287</f>
        <v>3203</v>
      </c>
      <c r="G93" s="684">
        <f t="shared" si="5"/>
        <v>736690</v>
      </c>
      <c r="H93" s="700"/>
      <c r="I93" s="701"/>
      <c r="J93" s="701"/>
      <c r="K93" s="703"/>
    </row>
    <row r="94" spans="1:13" x14ac:dyDescent="0.2">
      <c r="A94" s="499" t="s">
        <v>490</v>
      </c>
      <c r="B94" s="515">
        <f>VLOOKUP(A94,Memória!A:S,2,FALSE)</f>
        <v>40976</v>
      </c>
      <c r="C94" s="492" t="str">
        <f>VLOOKUP(A94,Memória!A:S,3,FALSE)</f>
        <v>Dope, fornecimento</v>
      </c>
      <c r="D94" s="516" t="str">
        <f>VLOOKUP(A94,Memória!A:T,20,FALSE)</f>
        <v>t</v>
      </c>
      <c r="E94" s="517">
        <f>VLOOKUP(A94,Memória!A:S,19,FALSE)</f>
        <v>2.1</v>
      </c>
      <c r="F94" s="517">
        <f>'Compos DER'!I1321</f>
        <v>63150</v>
      </c>
      <c r="G94" s="684">
        <f t="shared" ref="G94" si="6">TRUNC(E94*F94,2)</f>
        <v>132615</v>
      </c>
      <c r="H94" s="700"/>
      <c r="I94" s="701"/>
      <c r="J94" s="701"/>
      <c r="K94" s="703"/>
    </row>
    <row r="95" spans="1:13" s="526" customFormat="1" x14ac:dyDescent="0.2">
      <c r="A95" s="499" t="s">
        <v>491</v>
      </c>
      <c r="B95" s="515">
        <f>VLOOKUP(A95,Memória!A:S,2,FALSE)</f>
        <v>40972</v>
      </c>
      <c r="C95" s="492" t="str">
        <f>VLOOKUP(A95,Memória!A:S,3,FALSE)</f>
        <v>Bonificação de 15,28% sobre Materiais Betuminosos</v>
      </c>
      <c r="D95" s="516" t="str">
        <f>VLOOKUP(A95,Memória!A:T,20,FALSE)</f>
        <v>%</v>
      </c>
      <c r="E95" s="517">
        <f>VLOOKUP(A95,Memória!A:S,19,FALSE)</f>
        <v>15.28</v>
      </c>
      <c r="F95" s="517">
        <f>G92+G93+G94</f>
        <v>1144615.98</v>
      </c>
      <c r="G95" s="684">
        <f>TRUNC((E95/100)*F95,2)</f>
        <v>174897.32</v>
      </c>
      <c r="H95" s="700"/>
      <c r="I95" s="701"/>
      <c r="J95" s="701"/>
      <c r="K95" s="704"/>
    </row>
    <row r="96" spans="1:13" s="526" customFormat="1" ht="30" x14ac:dyDescent="0.2">
      <c r="A96" s="499" t="s">
        <v>492</v>
      </c>
      <c r="B96" s="515">
        <f>VLOOKUP(A96,Memória!A:S,2,FALSE)</f>
        <v>100849</v>
      </c>
      <c r="C96" s="492" t="str">
        <f>VLOOKUP(A96,Memória!A:S,3,FALSE)</f>
        <v>Transporte de Material Asfáltico (DNIT), inclusive BDI diferenciado0,595XP+0,702XR+63,46 - XP=399,40 / XR=0,00 - CM - 30</v>
      </c>
      <c r="D96" s="516" t="str">
        <f>VLOOKUP(A96,Memória!A:T,20,FALSE)</f>
        <v>T</v>
      </c>
      <c r="E96" s="517">
        <f>VLOOKUP(A96,Memória!A:S,19,FALSE)</f>
        <v>50.87</v>
      </c>
      <c r="F96" s="517">
        <f>IF(LEFT(B96,1)="l",VLOOKUP(B96,Composições!$J:$K,2,FALSE),IF(B96&gt;60000,VLOOKUP(A96,Memória!A:AC,22,FALSE),VLOOKUP(B96,'DER 11-20'!$A:$F,6,FALSE)))</f>
        <v>301.10000000000002</v>
      </c>
      <c r="G96" s="684">
        <f t="shared" si="5"/>
        <v>15316.95</v>
      </c>
      <c r="H96" s="700"/>
      <c r="I96" s="701"/>
      <c r="J96" s="701"/>
      <c r="K96" s="704"/>
    </row>
    <row r="97" spans="1:11" s="526" customFormat="1" ht="30" customHeight="1" x14ac:dyDescent="0.2">
      <c r="A97" s="499" t="s">
        <v>703</v>
      </c>
      <c r="B97" s="515">
        <f>VLOOKUP(A97,Memória!A:S,2,FALSE)</f>
        <v>100849</v>
      </c>
      <c r="C97" s="492" t="str">
        <f>VLOOKUP(A97,Memória!A:S,3,FALSE)</f>
        <v>Transporte de Material Asfáltico (DNIT), inclusive BDI diferenciado0,595XP+0,702XR+63,46 - XP=399,40 / XR=0,00 - CAP-50/70</v>
      </c>
      <c r="D97" s="516" t="str">
        <f>VLOOKUP(A97,Memória!A:T,20,FALSE)</f>
        <v>T</v>
      </c>
      <c r="E97" s="517">
        <f>VLOOKUP(A97,Memória!A:S,19,FALSE)</f>
        <v>230</v>
      </c>
      <c r="F97" s="517">
        <f>IF(LEFT(B97,1)="l",VLOOKUP(B97,Composições!$J:$K,2,FALSE),IF(B97&gt;60000,VLOOKUP(A97,Memória!A:AC,22,FALSE),VLOOKUP(B97,'DER 11-20'!$A:$F,6,FALSE)))</f>
        <v>301.10000000000002</v>
      </c>
      <c r="G97" s="684">
        <f t="shared" si="5"/>
        <v>69253</v>
      </c>
      <c r="H97" s="700"/>
      <c r="I97" s="701"/>
      <c r="J97" s="701"/>
      <c r="K97" s="704"/>
    </row>
    <row r="98" spans="1:11" s="526" customFormat="1" ht="30" customHeight="1" x14ac:dyDescent="0.2">
      <c r="A98" s="499" t="s">
        <v>704</v>
      </c>
      <c r="B98" s="515">
        <f>VLOOKUP(A98,Memória!A:S,2,FALSE)</f>
        <v>100849</v>
      </c>
      <c r="C98" s="492" t="str">
        <f>VLOOKUP(A98,Memória!A:S,3,FALSE)</f>
        <v>Transporte de Material Asfáltico (DNIT), inclusive BDI diferenciado0,595XP+0,702XR+63,46 - XP=399,40 / XR=0,00 - Dope</v>
      </c>
      <c r="D98" s="516" t="str">
        <f>VLOOKUP(A98,Memória!A:T,20,FALSE)</f>
        <v>T</v>
      </c>
      <c r="E98" s="517">
        <f>VLOOKUP(A98,Memória!A:S,19,FALSE)</f>
        <v>2.1</v>
      </c>
      <c r="F98" s="517">
        <f>IF(LEFT(B98,1)="l",VLOOKUP(B98,Composições!$J:$K,2,FALSE),IF(B98&gt;60000,VLOOKUP(A98,Memória!A:AC,22,FALSE),VLOOKUP(B98,'DER 11-20'!$A:$F,6,FALSE)))</f>
        <v>301.10000000000002</v>
      </c>
      <c r="G98" s="684">
        <f t="shared" ref="G98" si="7">TRUNC(E98*F98,2)</f>
        <v>632.30999999999995</v>
      </c>
      <c r="H98" s="700"/>
      <c r="I98" s="701"/>
      <c r="J98" s="701"/>
      <c r="K98" s="704"/>
    </row>
    <row r="99" spans="1:11" s="526" customFormat="1" ht="30" customHeight="1" x14ac:dyDescent="0.2">
      <c r="A99" s="499" t="s">
        <v>707</v>
      </c>
      <c r="B99" s="515">
        <f>VLOOKUP(A99,Memória!A:S,2,FALSE)</f>
        <v>60006</v>
      </c>
      <c r="C99" s="492" t="str">
        <f>VLOOKUP(A99,Memória!A:S,3,FALSE)</f>
        <v>Transporte TR-301-00    1,334XP+1,384XR+10,265 - XP=29,50 / XR=2,52 - CBUQ</v>
      </c>
      <c r="D99" s="516" t="str">
        <f>VLOOKUP(A99,Memória!A:T,20,FALSE)</f>
        <v>T</v>
      </c>
      <c r="E99" s="517">
        <f>VLOOKUP(A99,Memória!A:S,19,FALSE)</f>
        <v>4138.8999999999996</v>
      </c>
      <c r="F99" s="517">
        <f>IF(LEFT(B99,1)="l",VLOOKUP(B99,Composições!$J:$K,2,FALSE),IF(B99&gt;60000,VLOOKUP(A99,Memória!A:AC,22,FALSE),VLOOKUP(B99,'DER 11-20'!$A:$F,6,FALSE)))</f>
        <v>53.11</v>
      </c>
      <c r="G99" s="684">
        <f t="shared" ref="G99" si="8">TRUNC(E99*F99,2)</f>
        <v>219816.97</v>
      </c>
      <c r="H99" s="700"/>
      <c r="I99" s="701"/>
      <c r="J99" s="701"/>
      <c r="K99" s="704"/>
    </row>
    <row r="100" spans="1:11" x14ac:dyDescent="0.2">
      <c r="A100" s="519"/>
      <c r="B100" s="591"/>
      <c r="C100" s="520" t="s">
        <v>122</v>
      </c>
      <c r="D100" s="521"/>
      <c r="E100" s="522"/>
      <c r="F100" s="523"/>
      <c r="G100" s="522">
        <f>SUM(G77:G99)</f>
        <v>4930486.5</v>
      </c>
      <c r="H100" s="690"/>
      <c r="I100" s="689"/>
      <c r="J100" s="689"/>
      <c r="K100" s="692"/>
    </row>
    <row r="101" spans="1:11" s="518" customFormat="1" x14ac:dyDescent="0.2">
      <c r="A101" s="497">
        <v>5</v>
      </c>
      <c r="B101" s="505"/>
      <c r="C101" s="506" t="str">
        <f>VLOOKUP(A101,Memória!A:S,3,FALSE)</f>
        <v>DRENAGEM E OAC</v>
      </c>
      <c r="D101" s="507"/>
      <c r="E101" s="524"/>
      <c r="F101" s="525"/>
      <c r="G101" s="685"/>
      <c r="H101" s="710"/>
      <c r="I101" s="711"/>
      <c r="J101" s="711"/>
      <c r="K101" s="714"/>
    </row>
    <row r="102" spans="1:11" s="510" customFormat="1" ht="16.899999999999999" customHeight="1" x14ac:dyDescent="0.2">
      <c r="A102" s="501" t="s">
        <v>346</v>
      </c>
      <c r="B102" s="515">
        <f>VLOOKUP(A102,Memória!A:S,2,FALSE)</f>
        <v>40283</v>
      </c>
      <c r="C102" s="492" t="str">
        <f>VLOOKUP(A102,Memória!A:S,3,FALSE)</f>
        <v>Escavação mecânica em material de 1ª cat. H= 1,50 a 3,00 m - (Implantação)</v>
      </c>
      <c r="D102" s="516" t="str">
        <f>VLOOKUP(A102,Memória!A:T,20,FALSE)</f>
        <v>M3</v>
      </c>
      <c r="E102" s="517">
        <f>VLOOKUP(A102,Memória!A:S,19,FALSE)</f>
        <v>1035.8599999999999</v>
      </c>
      <c r="F102" s="517">
        <f>VLOOKUP(B102,'DER 11-20'!A5:E1608,4,0)</f>
        <v>15.67</v>
      </c>
      <c r="G102" s="684">
        <f t="shared" ref="G102:G133" si="9">TRUNC(E102*F102,2)</f>
        <v>16231.92</v>
      </c>
      <c r="H102" s="700"/>
      <c r="I102" s="701"/>
      <c r="J102" s="701"/>
      <c r="K102" s="706"/>
    </row>
    <row r="103" spans="1:11" s="510" customFormat="1" ht="17.45" customHeight="1" x14ac:dyDescent="0.2">
      <c r="A103" s="501" t="s">
        <v>347</v>
      </c>
      <c r="B103" s="515">
        <f>VLOOKUP(A103,Memória!A:S,2,FALSE)</f>
        <v>40303</v>
      </c>
      <c r="C103" s="492" t="str">
        <f>VLOOKUP(A103,Memória!A:S,3,FALSE)</f>
        <v>Reaterro de cavas c/ compactação mecânica (compactador manual) - (Implantação)</v>
      </c>
      <c r="D103" s="516" t="str">
        <f>VLOOKUP(A103,Memória!A:T,20,FALSE)</f>
        <v>M3</v>
      </c>
      <c r="E103" s="517">
        <f>VLOOKUP(A103,Memória!A:S,19,FALSE)</f>
        <v>539.41</v>
      </c>
      <c r="F103" s="517">
        <f>VLOOKUP(B103,'DER 11-20'!A5:E1608,4,0)</f>
        <v>46.23</v>
      </c>
      <c r="G103" s="684">
        <f t="shared" si="9"/>
        <v>24936.92</v>
      </c>
      <c r="H103" s="700"/>
      <c r="I103" s="701"/>
      <c r="J103" s="701"/>
      <c r="K103" s="516"/>
    </row>
    <row r="104" spans="1:11" s="510" customFormat="1" ht="45.6" customHeight="1" x14ac:dyDescent="0.2">
      <c r="A104" s="501" t="s">
        <v>368</v>
      </c>
      <c r="B104" s="515">
        <f>VLOOKUP(A104,Memória!A:S,2,FALSE)</f>
        <v>60024</v>
      </c>
      <c r="C104" s="492" t="str">
        <f>VLOOKUP(A104,Memória!A:S,3,FALSE)</f>
        <v>Transporte de materiais para DMT acima de 15 KM (Caminhão basculante)0,304XP+0,323XR+11,678 (Incluindo BDI= 23,32%) -  XP=17,60 / XR=3,14 - Transporte para bota fora</v>
      </c>
      <c r="D104" s="516" t="str">
        <f>VLOOKUP(A104,Memória!A:T,20,FALSE)</f>
        <v>T</v>
      </c>
      <c r="E104" s="517">
        <f>VLOOKUP(A104,Memória!A:S,19,FALSE)</f>
        <v>327.39999999999998</v>
      </c>
      <c r="F104" s="517">
        <f>IF(LEFT(B104,1)="l",VLOOKUP(B104,Composições!$J:$K,2,FALSE),IF(B104&gt;60000,VLOOKUP(A104,Memória!A:AC,22,FALSE),VLOOKUP(B104,'DER 11-20'!$A:$F,6,FALSE)))</f>
        <v>18.04</v>
      </c>
      <c r="G104" s="684">
        <f t="shared" si="9"/>
        <v>5906.29</v>
      </c>
      <c r="H104" s="700"/>
      <c r="I104" s="701"/>
      <c r="J104" s="701"/>
      <c r="K104" s="516"/>
    </row>
    <row r="105" spans="1:11" ht="29.25" customHeight="1" x14ac:dyDescent="0.2">
      <c r="A105" s="501" t="s">
        <v>372</v>
      </c>
      <c r="B105" s="515">
        <f>VLOOKUP(A105,Memória!A:S,2,FALSE)</f>
        <v>60019</v>
      </c>
      <c r="C105" s="492" t="str">
        <f>VLOOKUP(A105,Memória!A:S,3,FALSE)</f>
        <v>LOCAL COM DMT ATÉ 3,0 KM (Caminhão basculante)1,144XP+1,265XR+2,007 (Incluindo BDI= 23,32%) -  XP=0,00 / XR=2,18 - Material de empréstimo</v>
      </c>
      <c r="D105" s="516" t="str">
        <f>VLOOKUP(A105,Memória!A:T,20,FALSE)</f>
        <v>T</v>
      </c>
      <c r="E105" s="517">
        <f>VLOOKUP(A105,Memória!A:S,19,FALSE)</f>
        <v>278.11</v>
      </c>
      <c r="F105" s="517">
        <f>IF(LEFT(B105,1)="l",VLOOKUP(B105,Composições!$J:$K,2,FALSE),IF(B105&gt;60000,VLOOKUP(A105,Memória!A:AC,22,FALSE),VLOOKUP(B105,'DER 11-20'!$A:$F,6,FALSE)))</f>
        <v>4.76</v>
      </c>
      <c r="G105" s="684">
        <f t="shared" si="9"/>
        <v>1323.8</v>
      </c>
      <c r="H105" s="708"/>
      <c r="I105" s="709"/>
      <c r="J105" s="709"/>
      <c r="K105" s="579"/>
    </row>
    <row r="106" spans="1:11" s="510" customFormat="1" ht="18" customHeight="1" x14ac:dyDescent="0.2">
      <c r="A106" s="501" t="s">
        <v>493</v>
      </c>
      <c r="B106" s="515">
        <f>VLOOKUP(A106,Memória!A:S,2,FALSE)</f>
        <v>40283</v>
      </c>
      <c r="C106" s="492" t="str">
        <f>VLOOKUP(A106,Memória!A:S,3,FALSE)</f>
        <v>Escavação mecânica em material de 1ª cat. H= 1,50 a 3,00 m - (Demolição)</v>
      </c>
      <c r="D106" s="516" t="str">
        <f>VLOOKUP(A106,Memória!A:T,20,FALSE)</f>
        <v>M3</v>
      </c>
      <c r="E106" s="517">
        <f>VLOOKUP(A106,Memória!A:S,19,FALSE)</f>
        <v>214.74</v>
      </c>
      <c r="F106" s="517">
        <f>VLOOKUP(B106,'DER 11-20'!A5:E1608,4,0)</f>
        <v>15.67</v>
      </c>
      <c r="G106" s="684">
        <f t="shared" si="9"/>
        <v>3364.97</v>
      </c>
      <c r="H106" s="700"/>
      <c r="I106" s="701"/>
      <c r="J106" s="701"/>
      <c r="K106" s="706"/>
    </row>
    <row r="107" spans="1:11" s="510" customFormat="1" ht="17.45" customHeight="1" x14ac:dyDescent="0.2">
      <c r="A107" s="501" t="s">
        <v>494</v>
      </c>
      <c r="B107" s="515">
        <f>VLOOKUP(A107,Memória!A:S,2,FALSE)</f>
        <v>40303</v>
      </c>
      <c r="C107" s="492" t="str">
        <f>VLOOKUP(A107,Memória!A:S,3,FALSE)</f>
        <v>Reaterro de cavas c/ compactação mecânica (compactador manual) - (Demolição)</v>
      </c>
      <c r="D107" s="516" t="str">
        <f>VLOOKUP(A107,Memória!A:T,20,FALSE)</f>
        <v>M3</v>
      </c>
      <c r="E107" s="517">
        <f>VLOOKUP(A107,Memória!A:S,19,FALSE)</f>
        <v>298.83</v>
      </c>
      <c r="F107" s="517">
        <f>VLOOKUP(B107,'DER 11-20'!A5:E1608,4,0)</f>
        <v>46.23</v>
      </c>
      <c r="G107" s="684">
        <f t="shared" si="9"/>
        <v>13814.91</v>
      </c>
      <c r="H107" s="700"/>
      <c r="I107" s="701"/>
      <c r="J107" s="701"/>
      <c r="K107" s="516"/>
    </row>
    <row r="108" spans="1:11" s="510" customFormat="1" ht="26.45" customHeight="1" x14ac:dyDescent="0.2">
      <c r="A108" s="501" t="s">
        <v>495</v>
      </c>
      <c r="B108" s="515">
        <f>VLOOKUP(A108,Memória!A:S,2,FALSE)</f>
        <v>60019</v>
      </c>
      <c r="C108" s="492" t="str">
        <f>VLOOKUP(A108,Memória!A:S,3,FALSE)</f>
        <v>LOCAL COM DMT ATÉ 3,0 KM (Caminhão basculante)1,144XP+1,265XR+2,007 (Incluindo BDI= 23,32%) -  XP=0,00 / XR=0,86</v>
      </c>
      <c r="D108" s="516" t="str">
        <f>VLOOKUP(A108,Memória!A:T,20,FALSE)</f>
        <v>T</v>
      </c>
      <c r="E108" s="517">
        <f>VLOOKUP(A108,Memória!A:S,19,FALSE)</f>
        <v>280.12</v>
      </c>
      <c r="F108" s="517">
        <f>IF(LEFT(B108,1)="l",VLOOKUP(B108,Composições!$J:$K,2,FALSE),IF(B108&gt;60000,VLOOKUP(A108,Memória!A:AC,22,FALSE),VLOOKUP(B108,'DER 11-20'!$A:$F,6,FALSE)))</f>
        <v>3.09</v>
      </c>
      <c r="G108" s="684">
        <f t="shared" si="9"/>
        <v>865.57</v>
      </c>
      <c r="H108" s="700"/>
      <c r="I108" s="701"/>
      <c r="J108" s="701"/>
      <c r="K108" s="516"/>
    </row>
    <row r="109" spans="1:11" ht="43.9" customHeight="1" x14ac:dyDescent="0.2">
      <c r="A109" s="501" t="s">
        <v>496</v>
      </c>
      <c r="B109" s="515">
        <f>VLOOKUP(A109,Memória!A:S,2,FALSE)</f>
        <v>60024</v>
      </c>
      <c r="C109" s="492" t="str">
        <f>VLOOKUP(A109,Memória!A:S,3,FALSE)</f>
        <v>Transporte de materiais para DMT acima de 15 KM (Caminhão basculante)0,304XP+0,323XR+11,678 (Incluindo BDI= 23,32%) -  XP=17,600 / XR=3,240 - Transporte para bota fora</v>
      </c>
      <c r="D109" s="516" t="str">
        <f>VLOOKUP(A109,Memória!A:T,20,FALSE)</f>
        <v>T</v>
      </c>
      <c r="E109" s="517">
        <f>VLOOKUP(A109,Memória!A:S,19,FALSE)</f>
        <v>54.62</v>
      </c>
      <c r="F109" s="517">
        <f>IF(LEFT(B109,1)="l",VLOOKUP(B109,Composições!$J:$K,2,FALSE),IF(B109&gt;60000,VLOOKUP(A109,Memória!A:AC,22,FALSE),VLOOKUP(B109,'DER 11-20'!$A:$F,6,FALSE)))</f>
        <v>18.07</v>
      </c>
      <c r="G109" s="684">
        <f t="shared" si="9"/>
        <v>986.98</v>
      </c>
      <c r="H109" s="708"/>
      <c r="I109" s="709"/>
      <c r="J109" s="709"/>
      <c r="K109" s="579"/>
    </row>
    <row r="110" spans="1:11" s="510" customFormat="1" ht="16.899999999999999" customHeight="1" x14ac:dyDescent="0.2">
      <c r="A110" s="501" t="s">
        <v>497</v>
      </c>
      <c r="B110" s="515">
        <f>VLOOKUP(A110,Memória!A:S,2,FALSE)</f>
        <v>40283</v>
      </c>
      <c r="C110" s="492" t="str">
        <f>VLOOKUP(A110,Memória!A:S,3,FALSE)</f>
        <v>Escavação mecânica em material de 1ª cat. H= 1,50 a 3,00 m - Envelopamento de tubos</v>
      </c>
      <c r="D110" s="516" t="str">
        <f>VLOOKUP(A110,Memória!A:T,20,FALSE)</f>
        <v>M3</v>
      </c>
      <c r="E110" s="517">
        <f>VLOOKUP(A110,Memória!A:S,19,FALSE)</f>
        <v>56.17</v>
      </c>
      <c r="F110" s="517">
        <f>VLOOKUP(B110,'DER 11-20'!A5:E1608,4,0)</f>
        <v>15.67</v>
      </c>
      <c r="G110" s="684">
        <f t="shared" si="9"/>
        <v>880.18</v>
      </c>
      <c r="H110" s="700"/>
      <c r="I110" s="701"/>
      <c r="J110" s="701"/>
      <c r="K110" s="706"/>
    </row>
    <row r="111" spans="1:11" s="510" customFormat="1" ht="45" x14ac:dyDescent="0.2">
      <c r="A111" s="501" t="s">
        <v>498</v>
      </c>
      <c r="B111" s="515">
        <f>VLOOKUP(A111,Memória!A:S,2,FALSE)</f>
        <v>60024</v>
      </c>
      <c r="C111" s="492" t="str">
        <f>VLOOKUP(A111,Memória!A:S,3,FALSE)</f>
        <v>Transporte de materiais para DMT acima de 15 KM (Caminhão basculante)0,304XP+0,323XR+11,678 (Incluindo BDI= 23,32%) -  XP=17,60 / XR=4,30 - Material para bota fora</v>
      </c>
      <c r="D111" s="516" t="str">
        <f>VLOOKUP(A111,Memória!A:T,20,FALSE)</f>
        <v>T</v>
      </c>
      <c r="E111" s="517">
        <f>VLOOKUP(A111,Memória!A:S,19,FALSE)</f>
        <v>95.49</v>
      </c>
      <c r="F111" s="517">
        <f>IF(LEFT(B111,1)="l",VLOOKUP(B111,Composições!$J:$K,2,FALSE),IF(B111&gt;60000,VLOOKUP(A111,Memória!A:AC,22,FALSE),VLOOKUP(B111,'DER 11-20'!$A:$F,6,FALSE)))</f>
        <v>18.420000000000002</v>
      </c>
      <c r="G111" s="684">
        <f t="shared" si="9"/>
        <v>1758.92</v>
      </c>
      <c r="H111" s="700"/>
      <c r="I111" s="701"/>
      <c r="J111" s="701"/>
      <c r="K111" s="516"/>
    </row>
    <row r="112" spans="1:11" s="510" customFormat="1" ht="23.25" customHeight="1" x14ac:dyDescent="0.2">
      <c r="A112" s="501" t="s">
        <v>499</v>
      </c>
      <c r="B112" s="515">
        <f>VLOOKUP(A112,Memória!A:S,2,FALSE)</f>
        <v>40358</v>
      </c>
      <c r="C112" s="492" t="str">
        <f>VLOOKUP(A112,Memória!A:S,3,FALSE)</f>
        <v>Concreto estrutural fck = 15,0 MPa, tudo incluído - Envelopamento de tubos</v>
      </c>
      <c r="D112" s="516" t="str">
        <f>VLOOKUP(A112,Memória!A:T,20,FALSE)</f>
        <v>M3</v>
      </c>
      <c r="E112" s="517">
        <f>VLOOKUP(A112,Memória!A:S,19,FALSE)</f>
        <v>131.19</v>
      </c>
      <c r="F112" s="517">
        <f>IF(LEFT(B112,1)="l",VLOOKUP(B112,Composições!$J:$K,2,FALSE),IF(B112&gt;60000,VLOOKUP(A112,Memória!A:AC,22,FALSE),VLOOKUP(B112,'DER 11-20'!$A:$F,6,FALSE)))</f>
        <v>674.89</v>
      </c>
      <c r="G112" s="684">
        <f t="shared" si="9"/>
        <v>88538.81</v>
      </c>
      <c r="H112" s="700"/>
      <c r="I112" s="701"/>
      <c r="J112" s="701"/>
      <c r="K112" s="516"/>
    </row>
    <row r="113" spans="1:11" ht="29.25" customHeight="1" x14ac:dyDescent="0.2">
      <c r="A113" s="501" t="s">
        <v>500</v>
      </c>
      <c r="B113" s="515">
        <f>VLOOKUP(A113,Memória!A:S,2,FALSE)</f>
        <v>40433</v>
      </c>
      <c r="C113" s="492" t="str">
        <f>VLOOKUP(A113,Memória!A:S,3,FALSE)</f>
        <v>Corpo BSTC (greide) diâmetro 0,80 m CA-1 PB inclusive escavação, reaterro e transporte do tubo</v>
      </c>
      <c r="D113" s="516" t="str">
        <f>VLOOKUP(A113,Memória!A:T,20,FALSE)</f>
        <v>M</v>
      </c>
      <c r="E113" s="517">
        <f>VLOOKUP(A113,Memória!A:S,19,FALSE)</f>
        <v>74.5</v>
      </c>
      <c r="F113" s="517">
        <f>IF(LEFT(B113,1)="l",VLOOKUP(B113,Composições!$J:$K,2,FALSE),IF(B113&gt;60000,VLOOKUP(A113,Memória!A:AC,22,FALSE),VLOOKUP(B113,'DER 11-20'!$A:$F,6,FALSE)))</f>
        <v>597.65</v>
      </c>
      <c r="G113" s="684">
        <f t="shared" si="9"/>
        <v>44524.92</v>
      </c>
      <c r="H113" s="708"/>
      <c r="I113" s="709"/>
      <c r="J113" s="709"/>
      <c r="K113" s="579"/>
    </row>
    <row r="114" spans="1:11" s="510" customFormat="1" ht="26.45" customHeight="1" x14ac:dyDescent="0.2">
      <c r="A114" s="501" t="s">
        <v>501</v>
      </c>
      <c r="B114" s="515">
        <f>VLOOKUP(A114,Memória!A:S,2,FALSE)</f>
        <v>40449</v>
      </c>
      <c r="C114" s="492" t="str">
        <f>VLOOKUP(A114,Memória!A:S,3,FALSE)</f>
        <v>Corpo BSTC (grota) diâmetro 0,80 m CA-1 PB exclusive escavação e reaterro, inclusive transporte do tubo</v>
      </c>
      <c r="D114" s="516" t="str">
        <f>VLOOKUP(A114,Memória!A:T,20,FALSE)</f>
        <v>M</v>
      </c>
      <c r="E114" s="517">
        <f>VLOOKUP(A114,Memória!A:S,19,FALSE)</f>
        <v>16</v>
      </c>
      <c r="F114" s="517">
        <f>IF(LEFT(B114,1)="l",VLOOKUP(B114,Composições!$J:$K,2,FALSE),IF(B114&gt;60000,VLOOKUP(A114,Memória!A:AC,22,FALSE),VLOOKUP(B114,'DER 11-20'!$A:$F,6,FALSE)))</f>
        <v>428.17</v>
      </c>
      <c r="G114" s="684">
        <f t="shared" si="9"/>
        <v>6850.72</v>
      </c>
      <c r="H114" s="700"/>
      <c r="I114" s="701"/>
      <c r="J114" s="701"/>
      <c r="K114" s="706"/>
    </row>
    <row r="115" spans="1:11" s="510" customFormat="1" ht="27" customHeight="1" x14ac:dyDescent="0.2">
      <c r="A115" s="501" t="s">
        <v>502</v>
      </c>
      <c r="B115" s="515">
        <f>VLOOKUP(A115,Memória!A:S,2,FALSE)</f>
        <v>40437</v>
      </c>
      <c r="C115" s="492" t="str">
        <f>VLOOKUP(A115,Memória!A:S,3,FALSE)</f>
        <v>Corpo BSTC (greide) diâmetro 1,00 m CA-1 PB inclusive escavação, reaterro e transporte do tubo</v>
      </c>
      <c r="D115" s="516" t="str">
        <f>VLOOKUP(A115,Memória!A:T,20,FALSE)</f>
        <v>M</v>
      </c>
      <c r="E115" s="517">
        <f>VLOOKUP(A115,Memória!A:S,19,FALSE)</f>
        <v>27</v>
      </c>
      <c r="F115" s="517">
        <f>IF(LEFT(B115,1)="l",VLOOKUP(B115,Composições!$J:$K,2,FALSE),IF(B115&gt;60000,VLOOKUP(A115,Memória!A:AC,22,FALSE),VLOOKUP(B115,'DER 11-20'!$A:$F,6,FALSE)))</f>
        <v>769.33</v>
      </c>
      <c r="G115" s="684">
        <f t="shared" si="9"/>
        <v>20771.91</v>
      </c>
      <c r="H115" s="700"/>
      <c r="I115" s="701"/>
      <c r="J115" s="701"/>
      <c r="K115" s="516"/>
    </row>
    <row r="116" spans="1:11" s="510" customFormat="1" ht="30" customHeight="1" x14ac:dyDescent="0.2">
      <c r="A116" s="501" t="s">
        <v>503</v>
      </c>
      <c r="B116" s="515">
        <f>VLOOKUP(A116,Memória!A:S,2,FALSE)</f>
        <v>40453</v>
      </c>
      <c r="C116" s="492" t="str">
        <f>VLOOKUP(A116,Memória!A:S,3,FALSE)</f>
        <v>Corpo BSTC (grota) diâmetro 1,00 m CA-1 PB exclusive escavação e reaterro, inclusive transporte do tubo</v>
      </c>
      <c r="D116" s="516" t="str">
        <f>VLOOKUP(A116,Memória!A:T,20,FALSE)</f>
        <v>M</v>
      </c>
      <c r="E116" s="517">
        <f>VLOOKUP(A116,Memória!A:S,19,FALSE)</f>
        <v>15</v>
      </c>
      <c r="F116" s="517">
        <f>IF(LEFT(B116,1)="l",VLOOKUP(B116,Composições!$J:$K,2,FALSE),IF(B116&gt;60000,VLOOKUP(A116,Memória!A:AC,22,FALSE),VLOOKUP(B116,'DER 11-20'!$A:$F,6,FALSE)))</f>
        <v>496.08</v>
      </c>
      <c r="G116" s="684">
        <f t="shared" si="9"/>
        <v>7441.2</v>
      </c>
      <c r="H116" s="700"/>
      <c r="I116" s="701"/>
      <c r="J116" s="701"/>
      <c r="K116" s="516"/>
    </row>
    <row r="117" spans="1:11" ht="29.25" customHeight="1" x14ac:dyDescent="0.2">
      <c r="A117" s="501" t="s">
        <v>504</v>
      </c>
      <c r="B117" s="515">
        <f>VLOOKUP(A117,Memória!A:S,2,FALSE)</f>
        <v>40458</v>
      </c>
      <c r="C117" s="492" t="str">
        <f>VLOOKUP(A117,Memória!A:S,3,FALSE)</f>
        <v>Corpo BSTC (grota) diâmetro 1,20 m CA-1 PB exclusive escavação e reaterro, inclusive transporte do tubo</v>
      </c>
      <c r="D117" s="516" t="str">
        <f>VLOOKUP(A117,Memória!A:T,20,FALSE)</f>
        <v>M</v>
      </c>
      <c r="E117" s="517">
        <f>VLOOKUP(A117,Memória!A:S,19,FALSE)</f>
        <v>62</v>
      </c>
      <c r="F117" s="517">
        <f>IF(LEFT(B117,1)="l",VLOOKUP(B117,Composições!$J:$K,2,FALSE),IF(B117&gt;60000,VLOOKUP(A117,Memória!A:AC,22,FALSE),VLOOKUP(B117,'DER 11-20'!$A:$F,6,FALSE)))</f>
        <v>678.28</v>
      </c>
      <c r="G117" s="684">
        <f t="shared" si="9"/>
        <v>42053.36</v>
      </c>
      <c r="H117" s="708"/>
      <c r="I117" s="709"/>
      <c r="J117" s="709"/>
      <c r="K117" s="579"/>
    </row>
    <row r="118" spans="1:11" s="510" customFormat="1" ht="31.15" customHeight="1" x14ac:dyDescent="0.2">
      <c r="A118" s="501" t="s">
        <v>505</v>
      </c>
      <c r="B118" s="515">
        <f>VLOOKUP(A118,Memória!A:S,2,FALSE)</f>
        <v>40476</v>
      </c>
      <c r="C118" s="492" t="str">
        <f>VLOOKUP(A118,Memória!A:S,3,FALSE)</f>
        <v>Corpo BDTC (grota) diâmetro 1,00 m CA-1 PB exclusive escavação e reaterro, inclusive transporte do tubo</v>
      </c>
      <c r="D118" s="516" t="str">
        <f>VLOOKUP(A118,Memória!A:T,20,FALSE)</f>
        <v>M</v>
      </c>
      <c r="E118" s="517">
        <f>VLOOKUP(A118,Memória!A:S,19,FALSE)</f>
        <v>52</v>
      </c>
      <c r="F118" s="517">
        <f>IF(LEFT(B118,1)="l",VLOOKUP(B118,Composições!$J:$K,2,FALSE),IF(B118&gt;60000,VLOOKUP(A118,Memória!A:AC,22,FALSE),VLOOKUP(B118,'DER 11-20'!$A:$F,6,FALSE)))</f>
        <v>907.14</v>
      </c>
      <c r="G118" s="684">
        <f t="shared" si="9"/>
        <v>47171.28</v>
      </c>
      <c r="H118" s="700"/>
      <c r="I118" s="701"/>
      <c r="J118" s="701"/>
      <c r="K118" s="706"/>
    </row>
    <row r="119" spans="1:11" s="510" customFormat="1" ht="30" x14ac:dyDescent="0.2">
      <c r="A119" s="501" t="s">
        <v>506</v>
      </c>
      <c r="B119" s="515">
        <f>VLOOKUP(A119,Memória!A:S,2,FALSE)</f>
        <v>40499</v>
      </c>
      <c r="C119" s="492" t="str">
        <f>VLOOKUP(A119,Memória!A:S,3,FALSE)</f>
        <v>Corpo BTTC (grota) diâmetro 1,00 m CA-1 PB exclusive escavação e reaterro, inclusive transporte do tubo</v>
      </c>
      <c r="D119" s="516" t="str">
        <f>VLOOKUP(A119,Memória!A:T,20,FALSE)</f>
        <v>M</v>
      </c>
      <c r="E119" s="517">
        <f>VLOOKUP(A119,Memória!A:S,19,FALSE)</f>
        <v>79</v>
      </c>
      <c r="F119" s="517">
        <f>IF(LEFT(B119,1)="l",VLOOKUP(B119,Composições!$J:$K,2,FALSE),IF(B119&gt;60000,VLOOKUP(A119,Memória!A:AC,22,FALSE),VLOOKUP(B119,'DER 11-20'!$A:$F,6,FALSE)))</f>
        <v>1318.22</v>
      </c>
      <c r="G119" s="684">
        <f t="shared" si="9"/>
        <v>104139.38</v>
      </c>
      <c r="H119" s="700"/>
      <c r="I119" s="701"/>
      <c r="J119" s="701"/>
      <c r="K119" s="516"/>
    </row>
    <row r="120" spans="1:11" s="510" customFormat="1" ht="31.9" customHeight="1" x14ac:dyDescent="0.2">
      <c r="A120" s="501" t="s">
        <v>507</v>
      </c>
      <c r="B120" s="515">
        <f>VLOOKUP(A120,Memória!A:S,2,FALSE)</f>
        <v>40504</v>
      </c>
      <c r="C120" s="492" t="str">
        <f>VLOOKUP(A120,Memória!A:S,3,FALSE)</f>
        <v>Corpo BTTC (grota) diâmetro 1,20 m CA-1 PB exclusive escavação e reaterro, inclusive transporte do tubo</v>
      </c>
      <c r="D120" s="516" t="str">
        <f>VLOOKUP(A120,Memória!A:T,20,FALSE)</f>
        <v>M</v>
      </c>
      <c r="E120" s="517">
        <f>VLOOKUP(A120,Memória!A:S,19,FALSE)</f>
        <v>37</v>
      </c>
      <c r="F120" s="517">
        <f>IF(LEFT(B120,1)="l",VLOOKUP(B120,Composições!$J:$K,2,FALSE),IF(B120&gt;60000,VLOOKUP(A120,Memória!A:AC,22,FALSE),VLOOKUP(B120,'DER 11-20'!$A:$F,6,FALSE)))</f>
        <v>1864.87</v>
      </c>
      <c r="G120" s="684">
        <f t="shared" si="9"/>
        <v>69000.19</v>
      </c>
      <c r="H120" s="700"/>
      <c r="I120" s="701"/>
      <c r="J120" s="701"/>
      <c r="K120" s="516"/>
    </row>
    <row r="121" spans="1:11" ht="29.25" customHeight="1" x14ac:dyDescent="0.2">
      <c r="A121" s="501" t="s">
        <v>508</v>
      </c>
      <c r="B121" s="515">
        <f>VLOOKUP(A121,Memória!A:S,2,FALSE)</f>
        <v>40509</v>
      </c>
      <c r="C121" s="492" t="str">
        <f>VLOOKUP(A121,Memória!A:S,3,FALSE)</f>
        <v>Corpo BTTC (grota) diâmetro 1,50 m CA-1 PB exclusive escavação e reaterro, inclusive transporte do tubo</v>
      </c>
      <c r="D121" s="516" t="str">
        <f>VLOOKUP(A121,Memória!A:T,20,FALSE)</f>
        <v>M</v>
      </c>
      <c r="E121" s="517">
        <f>VLOOKUP(A121,Memória!A:S,19,FALSE)</f>
        <v>36</v>
      </c>
      <c r="F121" s="517">
        <f>IF(LEFT(B121,1)="l",VLOOKUP(B121,Composições!$J:$K,2,FALSE),IF(B121&gt;60000,VLOOKUP(A121,Memória!A:AC,22,FALSE),VLOOKUP(B121,'DER 11-20'!$A:$F,6,FALSE)))</f>
        <v>2538.75</v>
      </c>
      <c r="G121" s="684">
        <f t="shared" si="9"/>
        <v>91395</v>
      </c>
      <c r="H121" s="708"/>
      <c r="I121" s="709"/>
      <c r="J121" s="709"/>
      <c r="K121" s="579"/>
    </row>
    <row r="122" spans="1:11" s="510" customFormat="1" ht="23.25" customHeight="1" x14ac:dyDescent="0.2">
      <c r="A122" s="501" t="s">
        <v>509</v>
      </c>
      <c r="B122" s="515">
        <f>VLOOKUP(A122,Memória!A:S,2,FALSE)</f>
        <v>40574</v>
      </c>
      <c r="C122" s="492" t="str">
        <f>VLOOKUP(A122,Memória!A:S,3,FALSE)</f>
        <v>Corpo de BSCC 2,00 x 2,00 m projeto DNIT para H &lt; = 2,50 m</v>
      </c>
      <c r="D122" s="516" t="str">
        <f>VLOOKUP(A122,Memória!A:T,20,FALSE)</f>
        <v>M</v>
      </c>
      <c r="E122" s="517">
        <f>VLOOKUP(A122,Memória!A:S,19,FALSE)</f>
        <v>60</v>
      </c>
      <c r="F122" s="517">
        <f>IF(LEFT(B122,1)="l",VLOOKUP(B122,Composições!$J:$K,2,FALSE),IF(B122&gt;60000,VLOOKUP(A122,Memória!A:AC,22,FALSE),VLOOKUP(B122,'DER 11-20'!$A:$F,6,FALSE)))</f>
        <v>4341.59</v>
      </c>
      <c r="G122" s="684">
        <f t="shared" si="9"/>
        <v>260495.4</v>
      </c>
      <c r="H122" s="700"/>
      <c r="I122" s="701"/>
      <c r="J122" s="701"/>
      <c r="K122" s="706"/>
    </row>
    <row r="123" spans="1:11" s="510" customFormat="1" ht="23.25" customHeight="1" x14ac:dyDescent="0.2">
      <c r="A123" s="501" t="s">
        <v>510</v>
      </c>
      <c r="B123" s="515">
        <f>VLOOKUP(A123,Memória!A:S,2,FALSE)</f>
        <v>40578</v>
      </c>
      <c r="C123" s="492" t="str">
        <f>VLOOKUP(A123,Memória!A:S,3,FALSE)</f>
        <v>Corpo de BSCC 3,00 x 3,00 m projeto DNIT para H &lt; = 2,50 m</v>
      </c>
      <c r="D123" s="516" t="str">
        <f>VLOOKUP(A123,Memória!A:T,20,FALSE)</f>
        <v>M</v>
      </c>
      <c r="E123" s="517">
        <f>VLOOKUP(A123,Memória!A:S,19,FALSE)</f>
        <v>25.5</v>
      </c>
      <c r="F123" s="517">
        <f>IF(LEFT(B123,1)="l",VLOOKUP(B123,Composições!$J:$K,2,FALSE),IF(B123&gt;60000,VLOOKUP(A123,Memória!A:AC,22,FALSE),VLOOKUP(B123,'DER 11-20'!$A:$F,6,FALSE)))</f>
        <v>8395.4699999999993</v>
      </c>
      <c r="G123" s="684">
        <f t="shared" si="9"/>
        <v>214084.48000000001</v>
      </c>
      <c r="H123" s="700"/>
      <c r="I123" s="701"/>
      <c r="J123" s="701"/>
      <c r="K123" s="516"/>
    </row>
    <row r="124" spans="1:11" s="510" customFormat="1" ht="23.25" customHeight="1" x14ac:dyDescent="0.2">
      <c r="A124" s="501" t="s">
        <v>511</v>
      </c>
      <c r="B124" s="515">
        <f>VLOOKUP(A124,Memória!A:S,2,FALSE)</f>
        <v>40515</v>
      </c>
      <c r="C124" s="492" t="str">
        <f>VLOOKUP(A124,Memória!A:S,3,FALSE)</f>
        <v>Berço de concreto ciclópico para BSTC diâmetro 0,80 m</v>
      </c>
      <c r="D124" s="516" t="str">
        <f>VLOOKUP(A124,Memória!A:T,20,FALSE)</f>
        <v>M</v>
      </c>
      <c r="E124" s="517">
        <f>VLOOKUP(A124,Memória!A:S,19,FALSE)</f>
        <v>90.5</v>
      </c>
      <c r="F124" s="517">
        <f>IF(LEFT(B124,1)="l",VLOOKUP(B124,Composições!$J:$K,2,FALSE),IF(B124&gt;60000,VLOOKUP(A124,Memória!A:AC,22,FALSE),VLOOKUP(B124,'DER 11-20'!$A:$F,6,FALSE)))</f>
        <v>280.89999999999998</v>
      </c>
      <c r="G124" s="684">
        <f t="shared" si="9"/>
        <v>25421.45</v>
      </c>
      <c r="H124" s="700"/>
      <c r="I124" s="701"/>
      <c r="J124" s="701"/>
      <c r="K124" s="516"/>
    </row>
    <row r="125" spans="1:11" ht="29.25" customHeight="1" x14ac:dyDescent="0.2">
      <c r="A125" s="501" t="s">
        <v>512</v>
      </c>
      <c r="B125" s="515">
        <f>VLOOKUP(A125,Memória!A:S,2,FALSE)</f>
        <v>40516</v>
      </c>
      <c r="C125" s="492" t="str">
        <f>VLOOKUP(A125,Memória!A:S,3,FALSE)</f>
        <v>Berço de concreto ciclópico para BSTC diâmetro 1,00 m</v>
      </c>
      <c r="D125" s="516" t="str">
        <f>VLOOKUP(A125,Memória!A:T,20,FALSE)</f>
        <v>M</v>
      </c>
      <c r="E125" s="517">
        <f>VLOOKUP(A125,Memória!A:S,19,FALSE)</f>
        <v>42</v>
      </c>
      <c r="F125" s="517">
        <f>IF(LEFT(B125,1)="l",VLOOKUP(B125,Composições!$J:$K,2,FALSE),IF(B125&gt;60000,VLOOKUP(A125,Memória!A:AC,22,FALSE),VLOOKUP(B125,'DER 11-20'!$A:$F,6,FALSE)))</f>
        <v>396.35</v>
      </c>
      <c r="G125" s="684">
        <f t="shared" si="9"/>
        <v>16646.7</v>
      </c>
      <c r="H125" s="708"/>
      <c r="I125" s="709"/>
      <c r="J125" s="709"/>
      <c r="K125" s="579"/>
    </row>
    <row r="126" spans="1:11" s="510" customFormat="1" ht="23.25" customHeight="1" x14ac:dyDescent="0.2">
      <c r="A126" s="501" t="s">
        <v>513</v>
      </c>
      <c r="B126" s="515">
        <f>VLOOKUP(A126,Memória!A:S,2,FALSE)</f>
        <v>40517</v>
      </c>
      <c r="C126" s="492" t="str">
        <f>VLOOKUP(A126,Memória!A:S,3,FALSE)</f>
        <v>Berço de concreto ciclópico para BSTC diâmetro 1,20 m</v>
      </c>
      <c r="D126" s="516" t="str">
        <f>VLOOKUP(A126,Memória!A:T,20,FALSE)</f>
        <v>M</v>
      </c>
      <c r="E126" s="517">
        <f>VLOOKUP(A126,Memória!A:S,19,FALSE)</f>
        <v>62</v>
      </c>
      <c r="F126" s="517">
        <f>IF(LEFT(B126,1)="l",VLOOKUP(B126,Composições!$J:$K,2,FALSE),IF(B126&gt;60000,VLOOKUP(A126,Memória!A:AC,22,FALSE),VLOOKUP(B126,'DER 11-20'!$A:$F,6,FALSE)))</f>
        <v>527.99</v>
      </c>
      <c r="G126" s="684">
        <f t="shared" si="9"/>
        <v>32735.38</v>
      </c>
      <c r="H126" s="700"/>
      <c r="I126" s="701"/>
      <c r="J126" s="701"/>
      <c r="K126" s="706"/>
    </row>
    <row r="127" spans="1:11" s="510" customFormat="1" ht="23.25" customHeight="1" x14ac:dyDescent="0.2">
      <c r="A127" s="501" t="s">
        <v>514</v>
      </c>
      <c r="B127" s="515">
        <f>VLOOKUP(A127,Memória!A:S,2,FALSE)</f>
        <v>40521</v>
      </c>
      <c r="C127" s="492" t="str">
        <f>VLOOKUP(A127,Memória!A:S,3,FALSE)</f>
        <v>Berço de concreto ciclópico para BDTC diâmetro 1,00 m</v>
      </c>
      <c r="D127" s="516" t="str">
        <f>VLOOKUP(A127,Memória!A:T,20,FALSE)</f>
        <v>M</v>
      </c>
      <c r="E127" s="517">
        <f>VLOOKUP(A127,Memória!A:S,19,FALSE)</f>
        <v>52</v>
      </c>
      <c r="F127" s="517">
        <f>IF(LEFT(B127,1)="l",VLOOKUP(B127,Composições!$J:$K,2,FALSE),IF(B127&gt;60000,VLOOKUP(A127,Memória!A:AC,22,FALSE),VLOOKUP(B127,'DER 11-20'!$A:$F,6,FALSE)))</f>
        <v>694.4</v>
      </c>
      <c r="G127" s="684">
        <f t="shared" si="9"/>
        <v>36108.800000000003</v>
      </c>
      <c r="H127" s="700"/>
      <c r="I127" s="701"/>
      <c r="J127" s="701"/>
      <c r="K127" s="516"/>
    </row>
    <row r="128" spans="1:11" s="510" customFormat="1" ht="23.25" customHeight="1" x14ac:dyDescent="0.2">
      <c r="A128" s="501" t="s">
        <v>515</v>
      </c>
      <c r="B128" s="515">
        <f>VLOOKUP(A128,Memória!A:S,2,FALSE)</f>
        <v>40526</v>
      </c>
      <c r="C128" s="492" t="str">
        <f>VLOOKUP(A128,Memória!A:S,3,FALSE)</f>
        <v>Berço de concreto ciclópico para BTTC diâmetro 1,00 m</v>
      </c>
      <c r="D128" s="516" t="str">
        <f>VLOOKUP(A128,Memória!A:T,20,FALSE)</f>
        <v>M</v>
      </c>
      <c r="E128" s="517">
        <f>VLOOKUP(A128,Memória!A:S,19,FALSE)</f>
        <v>79</v>
      </c>
      <c r="F128" s="517">
        <f>IF(LEFT(B128,1)="l",VLOOKUP(B128,Composições!$J:$K,2,FALSE),IF(B128&gt;60000,VLOOKUP(A128,Memória!A:AC,22,FALSE),VLOOKUP(B128,'DER 11-20'!$A:$F,6,FALSE)))</f>
        <v>991.92</v>
      </c>
      <c r="G128" s="684">
        <f t="shared" si="9"/>
        <v>78361.679999999993</v>
      </c>
      <c r="H128" s="700"/>
      <c r="I128" s="701"/>
      <c r="J128" s="701"/>
      <c r="K128" s="516"/>
    </row>
    <row r="129" spans="1:11" ht="29.25" customHeight="1" x14ac:dyDescent="0.2">
      <c r="A129" s="501" t="s">
        <v>516</v>
      </c>
      <c r="B129" s="515">
        <f>VLOOKUP(A129,Memória!A:S,2,FALSE)</f>
        <v>40527</v>
      </c>
      <c r="C129" s="492" t="str">
        <f>VLOOKUP(A129,Memória!A:S,3,FALSE)</f>
        <v>Berço de concreto ciclópico para BTTC diâmetro 1,20 m</v>
      </c>
      <c r="D129" s="516" t="str">
        <f>VLOOKUP(A129,Memória!A:T,20,FALSE)</f>
        <v>M</v>
      </c>
      <c r="E129" s="517">
        <f>VLOOKUP(A129,Memória!A:S,19,FALSE)</f>
        <v>37</v>
      </c>
      <c r="F129" s="517">
        <f>IF(LEFT(B129,1)="l",VLOOKUP(B129,Composições!$J:$K,2,FALSE),IF(B129&gt;60000,VLOOKUP(A129,Memória!A:AC,22,FALSE),VLOOKUP(B129,'DER 11-20'!$A:$F,6,FALSE)))</f>
        <v>1347.51</v>
      </c>
      <c r="G129" s="684">
        <f t="shared" si="9"/>
        <v>49857.87</v>
      </c>
      <c r="H129" s="708"/>
      <c r="I129" s="709"/>
      <c r="J129" s="709"/>
      <c r="K129" s="579"/>
    </row>
    <row r="130" spans="1:11" s="510" customFormat="1" ht="23.25" customHeight="1" x14ac:dyDescent="0.2">
      <c r="A130" s="501" t="s">
        <v>517</v>
      </c>
      <c r="B130" s="515">
        <f>VLOOKUP(A130,Memória!A:S,2,FALSE)</f>
        <v>40528</v>
      </c>
      <c r="C130" s="492" t="str">
        <f>VLOOKUP(A130,Memória!A:S,3,FALSE)</f>
        <v>Berço de concreto ciclópico para BTTC diâmetro 1,50 m</v>
      </c>
      <c r="D130" s="516" t="str">
        <f>VLOOKUP(A130,Memória!A:T,20,FALSE)</f>
        <v>M</v>
      </c>
      <c r="E130" s="517">
        <f>VLOOKUP(A130,Memória!A:S,19,FALSE)</f>
        <v>36</v>
      </c>
      <c r="F130" s="517">
        <f>IF(LEFT(B130,1)="l",VLOOKUP(B130,Composições!$J:$K,2,FALSE),IF(B130&gt;60000,VLOOKUP(A130,Memória!A:AC,22,FALSE),VLOOKUP(B130,'DER 11-20'!$A:$F,6,FALSE)))</f>
        <v>1958.26</v>
      </c>
      <c r="G130" s="684">
        <f t="shared" si="9"/>
        <v>70497.36</v>
      </c>
      <c r="H130" s="700"/>
      <c r="I130" s="701"/>
      <c r="J130" s="701"/>
      <c r="K130" s="706"/>
    </row>
    <row r="131" spans="1:11" s="510" customFormat="1" ht="23.25" customHeight="1" x14ac:dyDescent="0.2">
      <c r="A131" s="501" t="s">
        <v>518</v>
      </c>
      <c r="B131" s="515">
        <f>VLOOKUP(A131,Memória!A:S,2,FALSE)</f>
        <v>40531</v>
      </c>
      <c r="C131" s="492" t="str">
        <f>VLOOKUP(A131,Memória!A:S,3,FALSE)</f>
        <v>Boca de concreto ciclópico para BSTC diâmetro 0,80 m</v>
      </c>
      <c r="D131" s="516" t="str">
        <f>VLOOKUP(A131,Memória!A:T,20,FALSE)</f>
        <v>Ud</v>
      </c>
      <c r="E131" s="517">
        <f>VLOOKUP(A131,Memória!A:S,19,FALSE)</f>
        <v>7</v>
      </c>
      <c r="F131" s="517">
        <f>IF(LEFT(B131,1)="l",VLOOKUP(B131,Composições!$J:$K,2,FALSE),IF(B131&gt;60000,VLOOKUP(A131,Memória!A:AC,22,FALSE),VLOOKUP(B131,'DER 11-20'!$A:$F,6,FALSE)))</f>
        <v>2278.37</v>
      </c>
      <c r="G131" s="684">
        <f t="shared" si="9"/>
        <v>15948.59</v>
      </c>
      <c r="H131" s="700"/>
      <c r="I131" s="701"/>
      <c r="J131" s="701"/>
      <c r="K131" s="516"/>
    </row>
    <row r="132" spans="1:11" s="510" customFormat="1" ht="23.25" customHeight="1" x14ac:dyDescent="0.2">
      <c r="A132" s="501" t="s">
        <v>519</v>
      </c>
      <c r="B132" s="515">
        <f>VLOOKUP(A132,Memória!A:S,2,FALSE)</f>
        <v>40532</v>
      </c>
      <c r="C132" s="492" t="str">
        <f>VLOOKUP(A132,Memória!A:S,3,FALSE)</f>
        <v>Boca de concreto ciclópico para BSTC diâmetro 1,00 m</v>
      </c>
      <c r="D132" s="516" t="str">
        <f>VLOOKUP(A132,Memória!A:T,20,FALSE)</f>
        <v>Ud</v>
      </c>
      <c r="E132" s="517">
        <f>VLOOKUP(A132,Memória!A:S,19,FALSE)</f>
        <v>4</v>
      </c>
      <c r="F132" s="517">
        <f>IF(LEFT(B132,1)="l",VLOOKUP(B132,Composições!$J:$K,2,FALSE),IF(B132&gt;60000,VLOOKUP(A132,Memória!A:AC,22,FALSE),VLOOKUP(B132,'DER 11-20'!$A:$F,6,FALSE)))</f>
        <v>3492.15</v>
      </c>
      <c r="G132" s="684">
        <f t="shared" si="9"/>
        <v>13968.6</v>
      </c>
      <c r="H132" s="700"/>
      <c r="I132" s="701"/>
      <c r="J132" s="701"/>
      <c r="K132" s="516"/>
    </row>
    <row r="133" spans="1:11" ht="29.25" customHeight="1" x14ac:dyDescent="0.2">
      <c r="A133" s="501" t="s">
        <v>520</v>
      </c>
      <c r="B133" s="515">
        <f>VLOOKUP(A133,Memória!A:S,2,FALSE)</f>
        <v>40533</v>
      </c>
      <c r="C133" s="492" t="str">
        <f>VLOOKUP(A133,Memória!A:S,3,FALSE)</f>
        <v>Boca de concreto ciclópico para BSTC diâmetro 1,20 m</v>
      </c>
      <c r="D133" s="516" t="str">
        <f>VLOOKUP(A133,Memória!A:T,20,FALSE)</f>
        <v>Ud</v>
      </c>
      <c r="E133" s="517">
        <f>VLOOKUP(A133,Memória!A:S,19,FALSE)</f>
        <v>6</v>
      </c>
      <c r="F133" s="517">
        <f>IF(LEFT(B133,1)="l",VLOOKUP(B133,Composições!$J:$K,2,FALSE),IF(B133&gt;60000,VLOOKUP(A133,Memória!A:AC,22,FALSE),VLOOKUP(B133,'DER 11-20'!$A:$F,6,FALSE)))</f>
        <v>5021</v>
      </c>
      <c r="G133" s="684">
        <f t="shared" si="9"/>
        <v>30126</v>
      </c>
      <c r="H133" s="708"/>
      <c r="I133" s="709"/>
      <c r="J133" s="709"/>
      <c r="K133" s="579"/>
    </row>
    <row r="134" spans="1:11" s="510" customFormat="1" ht="23.25" customHeight="1" x14ac:dyDescent="0.2">
      <c r="A134" s="501" t="s">
        <v>521</v>
      </c>
      <c r="B134" s="515">
        <f>VLOOKUP(A134,Memória!A:S,2,FALSE)</f>
        <v>40537</v>
      </c>
      <c r="C134" s="492" t="str">
        <f>VLOOKUP(A134,Memória!A:S,3,FALSE)</f>
        <v>Boca de concreto ciclópico para BDTC diâmetro 1,00 m</v>
      </c>
      <c r="D134" s="516" t="str">
        <f>VLOOKUP(A134,Memória!A:T,20,FALSE)</f>
        <v>Ud</v>
      </c>
      <c r="E134" s="517">
        <f>VLOOKUP(A134,Memória!A:S,19,FALSE)</f>
        <v>4</v>
      </c>
      <c r="F134" s="517">
        <f>IF(LEFT(B134,1)="l",VLOOKUP(B134,Composições!$J:$K,2,FALSE),IF(B134&gt;60000,VLOOKUP(A134,Memória!A:AC,22,FALSE),VLOOKUP(B134,'DER 11-20'!$A:$F,6,FALSE)))</f>
        <v>4856.91</v>
      </c>
      <c r="G134" s="684">
        <f t="shared" ref="G134:G159" si="10">TRUNC(E134*F134,2)</f>
        <v>19427.64</v>
      </c>
      <c r="H134" s="700"/>
      <c r="I134" s="701"/>
      <c r="J134" s="701"/>
      <c r="K134" s="516"/>
    </row>
    <row r="135" spans="1:11" ht="29.25" customHeight="1" x14ac:dyDescent="0.2">
      <c r="A135" s="501" t="s">
        <v>522</v>
      </c>
      <c r="B135" s="515">
        <f>VLOOKUP(A135,Memória!A:S,2,FALSE)</f>
        <v>40542</v>
      </c>
      <c r="C135" s="492" t="str">
        <f>VLOOKUP(A135,Memória!A:S,3,FALSE)</f>
        <v>Boca de concreto ciclópico para BTTC diâmetro 1,00 m</v>
      </c>
      <c r="D135" s="516" t="str">
        <f>VLOOKUP(A135,Memória!A:T,20,FALSE)</f>
        <v>Ud</v>
      </c>
      <c r="E135" s="517">
        <f>VLOOKUP(A135,Memória!A:S,19,FALSE)</f>
        <v>8</v>
      </c>
      <c r="F135" s="517">
        <f>IF(LEFT(B135,1)="l",VLOOKUP(B135,Composições!$J:$K,2,FALSE),IF(B135&gt;60000,VLOOKUP(A135,Memória!A:AC,22,FALSE),VLOOKUP(B135,'DER 11-20'!$A:$F,6,FALSE)))</f>
        <v>6221.67</v>
      </c>
      <c r="G135" s="684">
        <f t="shared" si="10"/>
        <v>49773.36</v>
      </c>
      <c r="H135" s="708"/>
      <c r="I135" s="709"/>
      <c r="J135" s="709"/>
      <c r="K135" s="579"/>
    </row>
    <row r="136" spans="1:11" s="510" customFormat="1" ht="23.25" customHeight="1" x14ac:dyDescent="0.2">
      <c r="A136" s="501" t="s">
        <v>523</v>
      </c>
      <c r="B136" s="515">
        <f>VLOOKUP(A136,Memória!A:S,2,FALSE)</f>
        <v>40543</v>
      </c>
      <c r="C136" s="492" t="str">
        <f>VLOOKUP(A136,Memória!A:S,3,FALSE)</f>
        <v>Boca de concreto ciclópico para BTTC diâmetro 1,20 m</v>
      </c>
      <c r="D136" s="516" t="str">
        <f>VLOOKUP(A136,Memória!A:T,20,FALSE)</f>
        <v>Ud</v>
      </c>
      <c r="E136" s="517">
        <f>VLOOKUP(A136,Memória!A:S,19,FALSE)</f>
        <v>2</v>
      </c>
      <c r="F136" s="517">
        <f>IF(LEFT(B136,1)="l",VLOOKUP(B136,Composições!$J:$K,2,FALSE),IF(B136&gt;60000,VLOOKUP(A136,Memória!A:AC,22,FALSE),VLOOKUP(B136,'DER 11-20'!$A:$F,6,FALSE)))</f>
        <v>8984.08</v>
      </c>
      <c r="G136" s="684">
        <f t="shared" si="10"/>
        <v>17968.16</v>
      </c>
      <c r="H136" s="700"/>
      <c r="I136" s="701"/>
      <c r="J136" s="701"/>
      <c r="K136" s="706"/>
    </row>
    <row r="137" spans="1:11" s="510" customFormat="1" ht="23.25" customHeight="1" x14ac:dyDescent="0.2">
      <c r="A137" s="501" t="s">
        <v>524</v>
      </c>
      <c r="B137" s="515">
        <f>VLOOKUP(A137,Memória!A:S,2,FALSE)</f>
        <v>40544</v>
      </c>
      <c r="C137" s="492" t="str">
        <f>VLOOKUP(A137,Memória!A:S,3,FALSE)</f>
        <v>Boca de concreto ciclópico para BTTC diâmetro 1,50 m</v>
      </c>
      <c r="D137" s="516" t="str">
        <f>VLOOKUP(A137,Memória!A:T,20,FALSE)</f>
        <v>Ud</v>
      </c>
      <c r="E137" s="517">
        <f>VLOOKUP(A137,Memória!A:S,19,FALSE)</f>
        <v>2</v>
      </c>
      <c r="F137" s="517">
        <f>IF(LEFT(B137,1)="l",VLOOKUP(B137,Composições!$J:$K,2,FALSE),IF(B137&gt;60000,VLOOKUP(A137,Memória!A:AC,22,FALSE),VLOOKUP(B137,'DER 11-20'!$A:$F,6,FALSE)))</f>
        <v>15600.66</v>
      </c>
      <c r="G137" s="684">
        <f t="shared" si="10"/>
        <v>31201.32</v>
      </c>
      <c r="H137" s="700"/>
      <c r="I137" s="701"/>
      <c r="J137" s="701"/>
      <c r="K137" s="516"/>
    </row>
    <row r="138" spans="1:11" s="510" customFormat="1" ht="23.25" customHeight="1" x14ac:dyDescent="0.2">
      <c r="A138" s="501" t="s">
        <v>525</v>
      </c>
      <c r="B138" s="515">
        <f>VLOOKUP(A138,Memória!A:S,2,FALSE)</f>
        <v>40614</v>
      </c>
      <c r="C138" s="492" t="str">
        <f>VLOOKUP(A138,Memória!A:S,3,FALSE)</f>
        <v>Boca de BSCC 2,00 x 2,00 m projeto DNIT</v>
      </c>
      <c r="D138" s="516" t="str">
        <f>VLOOKUP(A138,Memória!A:T,20,FALSE)</f>
        <v>Ud</v>
      </c>
      <c r="E138" s="517">
        <f>VLOOKUP(A138,Memória!A:S,19,FALSE)</f>
        <v>6</v>
      </c>
      <c r="F138" s="517">
        <f>IF(LEFT(B138,1)="l",VLOOKUP(B138,Composições!$J:$K,2,FALSE),IF(B138&gt;60000,VLOOKUP(A138,Memória!A:AC,22,FALSE),VLOOKUP(B138,'DER 11-20'!$A:$F,6,FALSE)))</f>
        <v>23623.83</v>
      </c>
      <c r="G138" s="684">
        <f t="shared" si="10"/>
        <v>141742.98000000001</v>
      </c>
      <c r="H138" s="700"/>
      <c r="I138" s="701"/>
      <c r="J138" s="701"/>
      <c r="K138" s="516"/>
    </row>
    <row r="139" spans="1:11" ht="29.25" customHeight="1" x14ac:dyDescent="0.2">
      <c r="A139" s="501" t="s">
        <v>526</v>
      </c>
      <c r="B139" s="515">
        <f>VLOOKUP(A139,Memória!A:S,2,FALSE)</f>
        <v>40618</v>
      </c>
      <c r="C139" s="492" t="str">
        <f>VLOOKUP(A139,Memória!A:S,3,FALSE)</f>
        <v>Boca de BSCC 3,00 x 3,00 m projeto DNIT</v>
      </c>
      <c r="D139" s="516" t="str">
        <f>VLOOKUP(A139,Memória!A:T,20,FALSE)</f>
        <v>Ud</v>
      </c>
      <c r="E139" s="517">
        <f>VLOOKUP(A139,Memória!A:S,19,FALSE)</f>
        <v>2</v>
      </c>
      <c r="F139" s="517">
        <f>IF(LEFT(B139,1)="l",VLOOKUP(B139,Composições!$J:$K,2,FALSE),IF(B139&gt;60000,VLOOKUP(A139,Memória!A:AC,22,FALSE),VLOOKUP(B139,'DER 11-20'!$A:$F,6,FALSE)))</f>
        <v>44492.23</v>
      </c>
      <c r="G139" s="684">
        <f t="shared" si="10"/>
        <v>88984.46</v>
      </c>
      <c r="H139" s="708"/>
      <c r="I139" s="709"/>
      <c r="J139" s="709"/>
      <c r="K139" s="579"/>
    </row>
    <row r="140" spans="1:11" s="510" customFormat="1" ht="23.25" customHeight="1" x14ac:dyDescent="0.2">
      <c r="A140" s="501" t="s">
        <v>527</v>
      </c>
      <c r="B140" s="515" t="str">
        <f>VLOOKUP(A140,Memória!A:S,2,FALSE)</f>
        <v>PR-008</v>
      </c>
      <c r="C140" s="492" t="str">
        <f>VLOOKUP(A140,Memória!A:S,3,FALSE)</f>
        <v>Caixa Coletora  para BSTC  Ø 0,80  H-&gt; 1,60m</v>
      </c>
      <c r="D140" s="516" t="str">
        <f>VLOOKUP(A140,Memória!A:T,20,FALSE)</f>
        <v>Um</v>
      </c>
      <c r="E140" s="517">
        <f>VLOOKUP(A140,Memória!A:S,19,FALSE)</f>
        <v>1</v>
      </c>
      <c r="F140" s="517">
        <f>Composições!I294</f>
        <v>1943.78</v>
      </c>
      <c r="G140" s="684">
        <f t="shared" si="10"/>
        <v>1943.78</v>
      </c>
      <c r="H140" s="700"/>
      <c r="I140" s="701"/>
      <c r="J140" s="701"/>
      <c r="K140" s="706"/>
    </row>
    <row r="141" spans="1:11" s="510" customFormat="1" ht="23.25" customHeight="1" x14ac:dyDescent="0.2">
      <c r="A141" s="501" t="s">
        <v>528</v>
      </c>
      <c r="B141" s="515" t="str">
        <f>VLOOKUP(A141,Memória!A:S,2,FALSE)</f>
        <v>PR-009</v>
      </c>
      <c r="C141" s="492" t="str">
        <f>VLOOKUP(A141,Memória!A:S,3,FALSE)</f>
        <v>Caixa Coletora para BSTC  Ø 0,80  H-&gt; 2,20m</v>
      </c>
      <c r="D141" s="516" t="str">
        <f>VLOOKUP(A141,Memória!A:T,20,FALSE)</f>
        <v>Um</v>
      </c>
      <c r="E141" s="517">
        <f>VLOOKUP(A141,Memória!A:S,19,FALSE)</f>
        <v>2</v>
      </c>
      <c r="F141" s="517">
        <f>Composições!I326</f>
        <v>2534.12</v>
      </c>
      <c r="G141" s="684">
        <f t="shared" si="10"/>
        <v>5068.24</v>
      </c>
      <c r="H141" s="700"/>
      <c r="I141" s="701"/>
      <c r="J141" s="701"/>
      <c r="K141" s="516"/>
    </row>
    <row r="142" spans="1:11" s="510" customFormat="1" ht="23.25" customHeight="1" x14ac:dyDescent="0.2">
      <c r="A142" s="501" t="s">
        <v>529</v>
      </c>
      <c r="B142" s="515" t="str">
        <f>VLOOKUP(A142,Memória!A:S,2,FALSE)</f>
        <v>PR-010</v>
      </c>
      <c r="C142" s="492" t="str">
        <f>VLOOKUP(A142,Memória!A:S,3,FALSE)</f>
        <v>Caixa Coletora para BSTC  Ø 0,80 H-&gt; 2,40m</v>
      </c>
      <c r="D142" s="516" t="str">
        <f>VLOOKUP(A142,Memória!A:T,20,FALSE)</f>
        <v>Um</v>
      </c>
      <c r="E142" s="517">
        <f>VLOOKUP(A142,Memória!A:S,19,FALSE)</f>
        <v>2</v>
      </c>
      <c r="F142" s="517">
        <f>Composições!I358</f>
        <v>2730.88</v>
      </c>
      <c r="G142" s="684">
        <f t="shared" si="10"/>
        <v>5461.76</v>
      </c>
      <c r="H142" s="700"/>
      <c r="I142" s="701"/>
      <c r="J142" s="701"/>
      <c r="K142" s="516"/>
    </row>
    <row r="143" spans="1:11" ht="29.25" customHeight="1" x14ac:dyDescent="0.2">
      <c r="A143" s="501" t="s">
        <v>530</v>
      </c>
      <c r="B143" s="515" t="str">
        <f>VLOOKUP(A143,Memória!A:S,2,FALSE)</f>
        <v>PR-011</v>
      </c>
      <c r="C143" s="492" t="str">
        <f>VLOOKUP(A143,Memória!A:S,3,FALSE)</f>
        <v>Caixa coletora de talvegue - CCT 03</v>
      </c>
      <c r="D143" s="516" t="str">
        <f>VLOOKUP(A143,Memória!A:T,20,FALSE)</f>
        <v>Um</v>
      </c>
      <c r="E143" s="517">
        <f>VLOOKUP(A143,Memória!A:S,19,FALSE)</f>
        <v>1</v>
      </c>
      <c r="F143" s="517">
        <f>Composições!I391</f>
        <v>3884.31</v>
      </c>
      <c r="G143" s="684">
        <f t="shared" si="10"/>
        <v>3884.31</v>
      </c>
      <c r="H143" s="708"/>
      <c r="I143" s="709"/>
      <c r="J143" s="709"/>
      <c r="K143" s="579"/>
    </row>
    <row r="144" spans="1:11" s="510" customFormat="1" ht="23.25" customHeight="1" x14ac:dyDescent="0.2">
      <c r="A144" s="501" t="s">
        <v>535</v>
      </c>
      <c r="B144" s="515" t="str">
        <f>VLOOKUP(A144,Memória!A:S,2,FALSE)</f>
        <v>PR-012</v>
      </c>
      <c r="C144" s="492" t="str">
        <f>VLOOKUP(A144,Memória!A:S,3,FALSE)</f>
        <v>Caixa coletora de talvegue - CCT 07</v>
      </c>
      <c r="D144" s="516" t="str">
        <f>VLOOKUP(A144,Memória!A:T,20,FALSE)</f>
        <v>Um</v>
      </c>
      <c r="E144" s="517">
        <f>VLOOKUP(A144,Memória!A:S,19,FALSE)</f>
        <v>1</v>
      </c>
      <c r="F144" s="517">
        <f>Composições!I424</f>
        <v>4879.99</v>
      </c>
      <c r="G144" s="684">
        <f t="shared" si="10"/>
        <v>4879.99</v>
      </c>
      <c r="H144" s="700"/>
      <c r="I144" s="701"/>
      <c r="J144" s="701"/>
      <c r="K144" s="706"/>
    </row>
    <row r="145" spans="1:11" s="510" customFormat="1" ht="23.25" customHeight="1" x14ac:dyDescent="0.2">
      <c r="A145" s="501" t="s">
        <v>536</v>
      </c>
      <c r="B145" s="515">
        <f>VLOOKUP(A145,Memória!A:S,2,FALSE)</f>
        <v>40732</v>
      </c>
      <c r="C145" s="492" t="str">
        <f>VLOOKUP(A145,Memória!A:S,3,FALSE)</f>
        <v>Dissipador de energia aplicado a saída de bueiro/descida d'agua de aterro (DEB-01)</v>
      </c>
      <c r="D145" s="516" t="str">
        <f>VLOOKUP(A145,Memória!A:T,20,FALSE)</f>
        <v>Ud</v>
      </c>
      <c r="E145" s="517">
        <f>VLOOKUP(A145,Memória!A:S,19,FALSE)</f>
        <v>36</v>
      </c>
      <c r="F145" s="517">
        <f>IF(LEFT(B145,1)="l",VLOOKUP(B145,Composições!$J:$K,2,FALSE),IF(B145&gt;60000,VLOOKUP(A145,Memória!A:AC,22,FALSE),VLOOKUP(B145,'DER 11-20'!$A:$F,6,FALSE)))</f>
        <v>719.84</v>
      </c>
      <c r="G145" s="684">
        <f t="shared" si="10"/>
        <v>25914.240000000002</v>
      </c>
      <c r="H145" s="700"/>
      <c r="I145" s="701"/>
      <c r="J145" s="701"/>
      <c r="K145" s="516"/>
    </row>
    <row r="146" spans="1:11" s="510" customFormat="1" ht="23.25" customHeight="1" x14ac:dyDescent="0.2">
      <c r="A146" s="501" t="s">
        <v>537</v>
      </c>
      <c r="B146" s="515">
        <f>VLOOKUP(A146,Memória!A:S,2,FALSE)</f>
        <v>40734</v>
      </c>
      <c r="C146" s="492" t="str">
        <f>VLOOKUP(A146,Memória!A:S,3,FALSE)</f>
        <v>Dissipador de energia aplicado a saída de bueiro/descida d'água de aterro (DEB-03)</v>
      </c>
      <c r="D146" s="516" t="str">
        <f>VLOOKUP(A146,Memória!A:T,20,FALSE)</f>
        <v>Ud</v>
      </c>
      <c r="E146" s="517">
        <f>VLOOKUP(A146,Memória!A:S,19,FALSE)</f>
        <v>7</v>
      </c>
      <c r="F146" s="517">
        <f>IF(LEFT(B146,1)="l",VLOOKUP(B146,Composições!$J:$K,2,FALSE),IF(B146&gt;60000,VLOOKUP(A146,Memória!A:AC,22,FALSE),VLOOKUP(B146,'DER 11-20'!$A:$F,6,FALSE)))</f>
        <v>2794.88</v>
      </c>
      <c r="G146" s="684">
        <f t="shared" si="10"/>
        <v>19564.16</v>
      </c>
      <c r="H146" s="700"/>
      <c r="I146" s="701"/>
      <c r="J146" s="701"/>
      <c r="K146" s="516"/>
    </row>
    <row r="147" spans="1:11" ht="29.25" customHeight="1" x14ac:dyDescent="0.2">
      <c r="A147" s="501" t="s">
        <v>540</v>
      </c>
      <c r="B147" s="515">
        <f>VLOOKUP(A147,Memória!A:S,2,FALSE)</f>
        <v>40735</v>
      </c>
      <c r="C147" s="492" t="str">
        <f>VLOOKUP(A147,Memória!A:S,3,FALSE)</f>
        <v>Dissipador de energia aplicado a saída de bueiro/descida d'água de aterro (DEB-04)</v>
      </c>
      <c r="D147" s="516" t="str">
        <f>VLOOKUP(A147,Memória!A:T,20,FALSE)</f>
        <v>Ud</v>
      </c>
      <c r="E147" s="517">
        <f>VLOOKUP(A147,Memória!A:S,19,FALSE)</f>
        <v>3</v>
      </c>
      <c r="F147" s="517">
        <f>IF(LEFT(B147,1)="l",VLOOKUP(B147,Composições!$J:$K,2,FALSE),IF(B147&gt;60000,VLOOKUP(A147,Memória!A:AC,22,FALSE),VLOOKUP(B147,'DER 11-20'!$A:$F,6,FALSE)))</f>
        <v>4038.06</v>
      </c>
      <c r="G147" s="684">
        <f t="shared" si="10"/>
        <v>12114.18</v>
      </c>
      <c r="H147" s="708"/>
      <c r="I147" s="709"/>
      <c r="J147" s="709"/>
      <c r="K147" s="579"/>
    </row>
    <row r="148" spans="1:11" s="510" customFormat="1" ht="23.25" customHeight="1" x14ac:dyDescent="0.2">
      <c r="A148" s="501" t="s">
        <v>541</v>
      </c>
      <c r="B148" s="515">
        <f>VLOOKUP(A148,Memória!A:S,2,FALSE)</f>
        <v>40736</v>
      </c>
      <c r="C148" s="492" t="str">
        <f>VLOOKUP(A148,Memória!A:S,3,FALSE)</f>
        <v>Dissipador de energia aplicado a saída de bueiro/descida d'água de aterro (DEB-05)</v>
      </c>
      <c r="D148" s="516" t="str">
        <f>VLOOKUP(A148,Memória!A:T,20,FALSE)</f>
        <v>Ud</v>
      </c>
      <c r="E148" s="517">
        <f>VLOOKUP(A148,Memória!A:S,19,FALSE)</f>
        <v>3</v>
      </c>
      <c r="F148" s="517">
        <f>IF(LEFT(B148,1)="l",VLOOKUP(B148,Composições!$J:$K,2,FALSE),IF(B148&gt;60000,VLOOKUP(A148,Memória!A:AC,22,FALSE),VLOOKUP(B148,'DER 11-20'!$A:$F,6,FALSE)))</f>
        <v>5431.7</v>
      </c>
      <c r="G148" s="684">
        <f t="shared" si="10"/>
        <v>16295.1</v>
      </c>
      <c r="H148" s="700"/>
      <c r="I148" s="701"/>
      <c r="J148" s="701"/>
      <c r="K148" s="706"/>
    </row>
    <row r="149" spans="1:11" s="510" customFormat="1" ht="23.25" customHeight="1" x14ac:dyDescent="0.2">
      <c r="A149" s="501" t="s">
        <v>542</v>
      </c>
      <c r="B149" s="515">
        <f>VLOOKUP(A149,Memória!A:S,2,FALSE)</f>
        <v>40738</v>
      </c>
      <c r="C149" s="492" t="str">
        <f>VLOOKUP(A149,Memória!A:S,3,FALSE)</f>
        <v>Dissipador de energia aplicado a saída de bueiro/descida d'água de aterro (DEB-07)</v>
      </c>
      <c r="D149" s="516" t="str">
        <f>VLOOKUP(A149,Memória!A:T,20,FALSE)</f>
        <v>Ud</v>
      </c>
      <c r="E149" s="517">
        <f>VLOOKUP(A149,Memória!A:S,19,FALSE)</f>
        <v>2</v>
      </c>
      <c r="F149" s="517">
        <f>IF(LEFT(B149,1)="l",VLOOKUP(B149,Composições!$J:$K,2,FALSE),IF(B149&gt;60000,VLOOKUP(A149,Memória!A:AC,22,FALSE),VLOOKUP(B149,'DER 11-20'!$A:$F,6,FALSE)))</f>
        <v>5529.08</v>
      </c>
      <c r="G149" s="684">
        <f t="shared" si="10"/>
        <v>11058.16</v>
      </c>
      <c r="H149" s="700"/>
      <c r="I149" s="701"/>
      <c r="J149" s="701"/>
      <c r="K149" s="516"/>
    </row>
    <row r="150" spans="1:11" s="510" customFormat="1" ht="23.25" customHeight="1" x14ac:dyDescent="0.2">
      <c r="A150" s="501" t="s">
        <v>543</v>
      </c>
      <c r="B150" s="515">
        <f>VLOOKUP(A150,Memória!A:S,2,FALSE)</f>
        <v>40741</v>
      </c>
      <c r="C150" s="492" t="str">
        <f>VLOOKUP(A150,Memória!A:S,3,FALSE)</f>
        <v>Dissipador de energia aplicado a saída de bueiro/descida d'água de aterro (DEB-10)</v>
      </c>
      <c r="D150" s="516" t="str">
        <f>VLOOKUP(A150,Memória!A:T,20,FALSE)</f>
        <v>Ud</v>
      </c>
      <c r="E150" s="517">
        <f>VLOOKUP(A150,Memória!A:S,19,FALSE)</f>
        <v>4</v>
      </c>
      <c r="F150" s="517">
        <f>IF(LEFT(B150,1)="l",VLOOKUP(B150,Composições!$J:$K,2,FALSE),IF(B150&gt;60000,VLOOKUP(A150,Memória!A:AC,22,FALSE),VLOOKUP(B150,'DER 11-20'!$A:$F,6,FALSE)))</f>
        <v>7028.4</v>
      </c>
      <c r="G150" s="684">
        <f t="shared" si="10"/>
        <v>28113.599999999999</v>
      </c>
      <c r="H150" s="700"/>
      <c r="I150" s="701"/>
      <c r="J150" s="701"/>
      <c r="K150" s="516"/>
    </row>
    <row r="151" spans="1:11" ht="29.25" customHeight="1" x14ac:dyDescent="0.2">
      <c r="A151" s="501" t="s">
        <v>544</v>
      </c>
      <c r="B151" s="515" t="str">
        <f>VLOOKUP(A151,Memória!A:S,2,FALSE)</f>
        <v>PR-013</v>
      </c>
      <c r="C151" s="492" t="str">
        <f>VLOOKUP(A151,Memória!A:S,3,FALSE)</f>
        <v>Dissipador de energia aplicado a saída de bueiro/descida d'agua de aterro (DEB-11)</v>
      </c>
      <c r="D151" s="516" t="str">
        <f>VLOOKUP(A151,Memória!A:T,20,FALSE)</f>
        <v>Ud</v>
      </c>
      <c r="E151" s="517">
        <f>VLOOKUP(A151,Memória!A:S,19,FALSE)</f>
        <v>1</v>
      </c>
      <c r="F151" s="517">
        <f>Composições!I458</f>
        <v>9502.18</v>
      </c>
      <c r="G151" s="684">
        <f t="shared" si="10"/>
        <v>9502.18</v>
      </c>
      <c r="H151" s="708"/>
      <c r="I151" s="709"/>
      <c r="J151" s="709"/>
      <c r="K151" s="579"/>
    </row>
    <row r="152" spans="1:11" s="510" customFormat="1" ht="23.25" customHeight="1" x14ac:dyDescent="0.2">
      <c r="A152" s="501" t="s">
        <v>545</v>
      </c>
      <c r="B152" s="515">
        <f>VLOOKUP(A152,Memória!A:S,2,FALSE)</f>
        <v>40742</v>
      </c>
      <c r="C152" s="492" t="str">
        <f>VLOOKUP(A152,Memória!A:S,3,FALSE)</f>
        <v>Dissipador de energia aplicado a saída de bueiro/descida d'água de aterro (DEB-12)</v>
      </c>
      <c r="D152" s="516" t="str">
        <f>VLOOKUP(A152,Memória!A:T,20,FALSE)</f>
        <v>Ud</v>
      </c>
      <c r="E152" s="517">
        <f>VLOOKUP(A152,Memória!A:S,19,FALSE)</f>
        <v>1</v>
      </c>
      <c r="F152" s="517">
        <f>IF(LEFT(B152,1)="l",VLOOKUP(B152,Composições!$J:$K,2,FALSE),IF(B152&gt;60000,VLOOKUP(A152,Memória!A:AC,22,FALSE),VLOOKUP(B152,'DER 11-20'!$A:$F,6,FALSE)))</f>
        <v>14448.73</v>
      </c>
      <c r="G152" s="684">
        <f t="shared" si="10"/>
        <v>14448.73</v>
      </c>
      <c r="H152" s="700"/>
      <c r="I152" s="701"/>
      <c r="J152" s="701"/>
      <c r="K152" s="706"/>
    </row>
    <row r="153" spans="1:11" s="510" customFormat="1" ht="23.25" customHeight="1" x14ac:dyDescent="0.2">
      <c r="A153" s="501" t="s">
        <v>546</v>
      </c>
      <c r="B153" s="515">
        <f>VLOOKUP(A153,Memória!A:S,2,FALSE)</f>
        <v>40747</v>
      </c>
      <c r="C153" s="492" t="str">
        <f>VLOOKUP(A153,Memória!A:S,3,FALSE)</f>
        <v>Remoção de bueiros existentes</v>
      </c>
      <c r="D153" s="516" t="str">
        <f>VLOOKUP(A153,Memória!A:T,20,FALSE)</f>
        <v>M</v>
      </c>
      <c r="E153" s="517">
        <f>VLOOKUP(A153,Memória!A:S,19,FALSE)</f>
        <v>451.5</v>
      </c>
      <c r="F153" s="517">
        <f>IF(LEFT(B153,1)="l",VLOOKUP(B153,Composições!$J:$K,2,FALSE),IF(B153&gt;60000,VLOOKUP(A153,Memória!A:AC,22,FALSE),VLOOKUP(B153,'DER 11-20'!$A:$F,6,FALSE)))</f>
        <v>96.38</v>
      </c>
      <c r="G153" s="684">
        <f t="shared" si="10"/>
        <v>43515.57</v>
      </c>
      <c r="H153" s="700"/>
      <c r="I153" s="701"/>
      <c r="J153" s="701"/>
      <c r="K153" s="516"/>
    </row>
    <row r="154" spans="1:11" s="510" customFormat="1" ht="40.9" customHeight="1" x14ac:dyDescent="0.2">
      <c r="A154" s="501" t="s">
        <v>547</v>
      </c>
      <c r="B154" s="515">
        <f>VLOOKUP(A154,Memória!A:S,2,FALSE)</f>
        <v>60024</v>
      </c>
      <c r="C154" s="492" t="str">
        <f>VLOOKUP(A154,Memória!A:S,3,FALSE)</f>
        <v>Transporte de materiais para DMT acima de 15 KM (Caminhão basculante)0,304XP+0,323XR+11,678 (Incluindo BDI= 23,32%) -  XP=17,600 / XR=1,990 - encaminhamento dos tubos ao BF</v>
      </c>
      <c r="D154" s="516" t="str">
        <f>VLOOKUP(A154,Memória!A:T,20,FALSE)</f>
        <v>T</v>
      </c>
      <c r="E154" s="517">
        <f>VLOOKUP(A154,Memória!A:S,19,FALSE)</f>
        <v>1470.48</v>
      </c>
      <c r="F154" s="517">
        <f>IF(LEFT(B154,1)="l",VLOOKUP(B154,Composições!$J:$K,2,FALSE),IF(B154&gt;60000,VLOOKUP(A154,Memória!A:AC,22,FALSE),VLOOKUP(B154,'DER 11-20'!$A:$F,6,FALSE)))</f>
        <v>17.670000000000002</v>
      </c>
      <c r="G154" s="684">
        <f t="shared" si="10"/>
        <v>25983.38</v>
      </c>
      <c r="H154" s="700"/>
      <c r="I154" s="701"/>
      <c r="J154" s="701"/>
      <c r="K154" s="516"/>
    </row>
    <row r="155" spans="1:11" ht="29.25" customHeight="1" x14ac:dyDescent="0.2">
      <c r="A155" s="501" t="s">
        <v>550</v>
      </c>
      <c r="B155" s="515">
        <f>VLOOKUP(A155,Memória!A:S,2,FALSE)</f>
        <v>40673</v>
      </c>
      <c r="C155" s="492" t="str">
        <f>VLOOKUP(A155,Memória!A:S,3,FALSE)</f>
        <v>Entrada para descida d'água EDA-01</v>
      </c>
      <c r="D155" s="516" t="str">
        <f>VLOOKUP(A155,Memória!A:T,20,FALSE)</f>
        <v>Ud</v>
      </c>
      <c r="E155" s="517">
        <f>VLOOKUP(A155,Memória!A:S,19,FALSE)</f>
        <v>44</v>
      </c>
      <c r="F155" s="517">
        <f>IF(LEFT(B155,1)="l",VLOOKUP(B155,Composições!$J:$K,2,FALSE),IF(B155&gt;60000,VLOOKUP(A155,Memória!A:AC,22,FALSE),VLOOKUP(B155,'DER 11-20'!$A:$F,6,FALSE)))</f>
        <v>85.98</v>
      </c>
      <c r="G155" s="684">
        <f t="shared" si="10"/>
        <v>3783.12</v>
      </c>
      <c r="H155" s="708"/>
      <c r="I155" s="709"/>
      <c r="J155" s="709"/>
      <c r="K155" s="579"/>
    </row>
    <row r="156" spans="1:11" s="510" customFormat="1" ht="23.25" customHeight="1" x14ac:dyDescent="0.2">
      <c r="A156" s="501" t="s">
        <v>551</v>
      </c>
      <c r="B156" s="515">
        <f>VLOOKUP(A156,Memória!A:S,2,FALSE)</f>
        <v>40674</v>
      </c>
      <c r="C156" s="492" t="str">
        <f>VLOOKUP(A156,Memória!A:S,3,FALSE)</f>
        <v>Entrada para descida d'água EDA-02</v>
      </c>
      <c r="D156" s="516" t="str">
        <f>VLOOKUP(A156,Memória!A:T,20,FALSE)</f>
        <v>Ud</v>
      </c>
      <c r="E156" s="517">
        <f>VLOOKUP(A156,Memória!A:S,19,FALSE)</f>
        <v>2</v>
      </c>
      <c r="F156" s="517">
        <f>IF(LEFT(B156,1)="l",VLOOKUP(B156,Composições!$J:$K,2,FALSE),IF(B156&gt;60000,VLOOKUP(A156,Memória!A:AC,22,FALSE),VLOOKUP(B156,'DER 11-20'!$A:$F,6,FALSE)))</f>
        <v>91.98</v>
      </c>
      <c r="G156" s="684">
        <f t="shared" si="10"/>
        <v>183.96</v>
      </c>
      <c r="H156" s="700"/>
      <c r="I156" s="701"/>
      <c r="J156" s="701"/>
      <c r="K156" s="706"/>
    </row>
    <row r="157" spans="1:11" s="510" customFormat="1" ht="23.25" customHeight="1" x14ac:dyDescent="0.2">
      <c r="A157" s="501" t="s">
        <v>552</v>
      </c>
      <c r="B157" s="515">
        <f>VLOOKUP(A157,Memória!A:S,2,FALSE)</f>
        <v>40659</v>
      </c>
      <c r="C157" s="492" t="str">
        <f>VLOOKUP(A157,Memória!A:S,3,FALSE)</f>
        <v>Meio fio sarjeta de concreto tipo DP-1 (0,035 m³/m) inclusive caiação</v>
      </c>
      <c r="D157" s="516" t="str">
        <f>VLOOKUP(A157,Memória!A:T,20,FALSE)</f>
        <v>M</v>
      </c>
      <c r="E157" s="517">
        <f>VLOOKUP(A157,Memória!A:S,19,FALSE)</f>
        <v>2833</v>
      </c>
      <c r="F157" s="517">
        <f>IF(LEFT(B157,1)="l",VLOOKUP(B157,Composições!$J:$K,2,FALSE),IF(B157&gt;60000,VLOOKUP(A157,Memória!A:AC,22,FALSE),VLOOKUP(B157,'DER 11-20'!$A:$F,6,FALSE)))</f>
        <v>57.06</v>
      </c>
      <c r="G157" s="684">
        <f t="shared" si="10"/>
        <v>161650.98000000001</v>
      </c>
      <c r="H157" s="700"/>
      <c r="I157" s="701"/>
      <c r="J157" s="701"/>
      <c r="K157" s="516"/>
    </row>
    <row r="158" spans="1:11" s="510" customFormat="1" ht="23.25" customHeight="1" x14ac:dyDescent="0.2">
      <c r="A158" s="501" t="s">
        <v>553</v>
      </c>
      <c r="B158" s="515" t="str">
        <f>VLOOKUP(A158,Memória!A:S,2,FALSE)</f>
        <v>PR-014</v>
      </c>
      <c r="C158" s="492" t="str">
        <f>VLOOKUP(A158,Memória!A:S,3,FALSE)</f>
        <v>Meio fio tipo DP-3</v>
      </c>
      <c r="D158" s="516" t="str">
        <f>VLOOKUP(A158,Memória!A:T,20,FALSE)</f>
        <v>M</v>
      </c>
      <c r="E158" s="517">
        <f>VLOOKUP(A158,Memória!A:S,19,FALSE)</f>
        <v>670</v>
      </c>
      <c r="F158" s="517">
        <f>Composições!I490</f>
        <v>162.16999999999999</v>
      </c>
      <c r="G158" s="684">
        <f t="shared" si="10"/>
        <v>108653.9</v>
      </c>
      <c r="H158" s="700"/>
      <c r="I158" s="701"/>
      <c r="J158" s="701"/>
      <c r="K158" s="516"/>
    </row>
    <row r="159" spans="1:11" ht="29.25" customHeight="1" x14ac:dyDescent="0.2">
      <c r="A159" s="501" t="s">
        <v>554</v>
      </c>
      <c r="B159" s="515" t="str">
        <f>VLOOKUP(A159,Memória!A:S,2,FALSE)</f>
        <v>PR-015</v>
      </c>
      <c r="C159" s="492" t="str">
        <f>VLOOKUP(A159,Memória!A:S,3,FALSE)</f>
        <v>Meio fio de concreto MFC 04</v>
      </c>
      <c r="D159" s="516" t="str">
        <f>VLOOKUP(A159,Memória!A:T,20,FALSE)</f>
        <v>M</v>
      </c>
      <c r="E159" s="517">
        <f>VLOOKUP(A159,Memória!A:S,19,FALSE)</f>
        <v>82</v>
      </c>
      <c r="F159" s="517">
        <f>Composições!I523</f>
        <v>54.11</v>
      </c>
      <c r="G159" s="684">
        <f t="shared" si="10"/>
        <v>4437.0200000000004</v>
      </c>
      <c r="H159" s="708"/>
      <c r="I159" s="709"/>
      <c r="J159" s="709"/>
      <c r="K159" s="579"/>
    </row>
    <row r="160" spans="1:11" ht="29.25" customHeight="1" x14ac:dyDescent="0.2">
      <c r="A160" s="501" t="s">
        <v>555</v>
      </c>
      <c r="B160" s="515">
        <f>VLOOKUP(A160,Memória!A:S,2,FALSE)</f>
        <v>40662</v>
      </c>
      <c r="C160" s="492" t="str">
        <f>VLOOKUP(A160,Memória!A:S,3,FALSE)</f>
        <v>Meio fio de concreto MFC 05, inclusive caiação</v>
      </c>
      <c r="D160" s="516" t="str">
        <f>VLOOKUP(A160,Memória!A:T,20,FALSE)</f>
        <v>M</v>
      </c>
      <c r="E160" s="517">
        <f>VLOOKUP(A160,Memória!A:S,19,FALSE)</f>
        <v>542</v>
      </c>
      <c r="F160" s="517">
        <f>IF(LEFT(B160,1)="l",VLOOKUP(B160,Composições!$J:$K,2,FALSE),IF(B160&gt;60000,VLOOKUP(A160,Memória!A:AC,22,FALSE),VLOOKUP(B160,'DER 11-20'!$A:$F,6,FALSE)))</f>
        <v>65.78</v>
      </c>
      <c r="G160" s="684">
        <f t="shared" ref="G160:G178" si="11">TRUNC(E160*F160,2)</f>
        <v>35652.76</v>
      </c>
      <c r="H160" s="708"/>
      <c r="I160" s="709"/>
      <c r="J160" s="709"/>
      <c r="K160" s="579"/>
    </row>
    <row r="161" spans="1:11" s="510" customFormat="1" ht="23.25" customHeight="1" x14ac:dyDescent="0.2">
      <c r="A161" s="501" t="s">
        <v>556</v>
      </c>
      <c r="B161" s="515">
        <f>VLOOKUP(A161,Memória!A:S,2,FALSE)</f>
        <v>40666</v>
      </c>
      <c r="C161" s="492" t="str">
        <f>VLOOKUP(A161,Memória!A:S,3,FALSE)</f>
        <v>Sarjeta de concreto DP-1 (0,081 m³/m) calha triangular, inclusive caiação</v>
      </c>
      <c r="D161" s="516" t="str">
        <f>VLOOKUP(A161,Memória!A:T,20,FALSE)</f>
        <v>M</v>
      </c>
      <c r="E161" s="517">
        <f>VLOOKUP(A161,Memória!A:S,19,FALSE)</f>
        <v>2797</v>
      </c>
      <c r="F161" s="517">
        <f>IF(LEFT(B161,1)="l",VLOOKUP(B161,Composições!$J:$K,2,FALSE),IF(B161&gt;60000,VLOOKUP(A161,Memória!A:AC,22,FALSE),VLOOKUP(B161,'DER 11-20'!$A:$F,6,FALSE)))</f>
        <v>97.89</v>
      </c>
      <c r="G161" s="684">
        <f t="shared" si="11"/>
        <v>273798.33</v>
      </c>
      <c r="H161" s="700"/>
      <c r="I161" s="701"/>
      <c r="J161" s="701"/>
      <c r="K161" s="706"/>
    </row>
    <row r="162" spans="1:11" s="510" customFormat="1" ht="23.25" customHeight="1" x14ac:dyDescent="0.2">
      <c r="A162" s="501" t="s">
        <v>557</v>
      </c>
      <c r="B162" s="515" t="str">
        <f>VLOOKUP(A162,Memória!A:S,2,FALSE)</f>
        <v>PR-016</v>
      </c>
      <c r="C162" s="492" t="str">
        <f>VLOOKUP(A162,Memória!A:S,3,FALSE)</f>
        <v>Sarjeta retangular de concreto - Tipo SRC-01: incl. escavação de mat. 1ª categoria</v>
      </c>
      <c r="D162" s="516" t="str">
        <f>VLOOKUP(A162,Memória!A:T,20,FALSE)</f>
        <v>M</v>
      </c>
      <c r="E162" s="517">
        <f>VLOOKUP(A162,Memória!A:S,19,FALSE)</f>
        <v>220</v>
      </c>
      <c r="F162" s="517">
        <f>Composições!I556</f>
        <v>461.72</v>
      </c>
      <c r="G162" s="684">
        <f t="shared" si="11"/>
        <v>101578.4</v>
      </c>
      <c r="H162" s="700"/>
      <c r="I162" s="701"/>
      <c r="J162" s="701"/>
      <c r="K162" s="516"/>
    </row>
    <row r="163" spans="1:11" s="510" customFormat="1" ht="23.25" customHeight="1" x14ac:dyDescent="0.2">
      <c r="A163" s="501" t="s">
        <v>561</v>
      </c>
      <c r="B163" s="515" t="str">
        <f>VLOOKUP(A163,Memória!A:S,2,FALSE)</f>
        <v>PR-017</v>
      </c>
      <c r="C163" s="492" t="str">
        <f>VLOOKUP(A163,Memória!A:S,3,FALSE)</f>
        <v>Transposição de Sarjeta do tipo TSS-02 - inclusive caiação</v>
      </c>
      <c r="D163" s="516" t="str">
        <f>VLOOKUP(A163,Memória!A:T,20,FALSE)</f>
        <v>M</v>
      </c>
      <c r="E163" s="517">
        <f>VLOOKUP(A163,Memória!A:S,19,FALSE)</f>
        <v>18</v>
      </c>
      <c r="F163" s="517">
        <f>Composições!I592</f>
        <v>748.91</v>
      </c>
      <c r="G163" s="684">
        <f t="shared" si="11"/>
        <v>13480.38</v>
      </c>
      <c r="H163" s="700"/>
      <c r="I163" s="701"/>
      <c r="J163" s="701"/>
      <c r="K163" s="516"/>
    </row>
    <row r="164" spans="1:11" ht="29.25" customHeight="1" x14ac:dyDescent="0.2">
      <c r="A164" s="501" t="s">
        <v>563</v>
      </c>
      <c r="B164" s="515">
        <f>VLOOKUP(A164,Memória!A:S,2,FALSE)</f>
        <v>40689</v>
      </c>
      <c r="C164" s="492" t="str">
        <f>VLOOKUP(A164,Memória!A:S,3,FALSE)</f>
        <v>Saída d'água concreto p/ corte c/ caiação (SDC-01)</v>
      </c>
      <c r="D164" s="516" t="str">
        <f>VLOOKUP(A164,Memória!A:T,20,FALSE)</f>
        <v>Ud</v>
      </c>
      <c r="E164" s="517">
        <f>VLOOKUP(A164,Memória!A:S,19,FALSE)</f>
        <v>5</v>
      </c>
      <c r="F164" s="517">
        <f>IF(LEFT(B164,1)="l",VLOOKUP(B164,Composições!$J:$K,2,FALSE),IF(B164&gt;60000,VLOOKUP(A164,Memória!A:AC,22,FALSE),VLOOKUP(B164,'DER 11-20'!$A:$F,6,FALSE)))</f>
        <v>863.89</v>
      </c>
      <c r="G164" s="684">
        <f t="shared" si="11"/>
        <v>4319.45</v>
      </c>
      <c r="H164" s="708"/>
      <c r="I164" s="709"/>
      <c r="J164" s="709"/>
      <c r="K164" s="579"/>
    </row>
    <row r="165" spans="1:11" s="510" customFormat="1" ht="23.25" customHeight="1" x14ac:dyDescent="0.2">
      <c r="A165" s="501" t="s">
        <v>564</v>
      </c>
      <c r="B165" s="515">
        <f>VLOOKUP(A165,Memória!A:S,2,FALSE)</f>
        <v>40731</v>
      </c>
      <c r="C165" s="492" t="str">
        <f>VLOOKUP(A165,Memória!A:S,3,FALSE)</f>
        <v>Dissipador de energia aplicado a saída de sarjeta/valeta (DES-03)</v>
      </c>
      <c r="D165" s="516" t="str">
        <f>VLOOKUP(A165,Memória!A:T,20,FALSE)</f>
        <v>Ud</v>
      </c>
      <c r="E165" s="517">
        <f>VLOOKUP(A165,Memória!A:S,19,FALSE)</f>
        <v>12</v>
      </c>
      <c r="F165" s="517">
        <f>IF(LEFT(B165,1)="l",VLOOKUP(B165,Composições!$J:$K,2,FALSE),IF(B165&gt;60000,VLOOKUP(A165,Memória!A:AC,22,FALSE),VLOOKUP(B165,'DER 11-20'!$A:$F,6,FALSE)))</f>
        <v>498.79</v>
      </c>
      <c r="G165" s="684">
        <f t="shared" si="11"/>
        <v>5985.48</v>
      </c>
      <c r="H165" s="700"/>
      <c r="I165" s="701"/>
      <c r="J165" s="701"/>
      <c r="K165" s="706"/>
    </row>
    <row r="166" spans="1:11" s="510" customFormat="1" ht="23.25" customHeight="1" x14ac:dyDescent="0.2">
      <c r="A166" s="501" t="s">
        <v>566</v>
      </c>
      <c r="B166" s="515" t="str">
        <f>VLOOKUP(A166,Memória!A:S,2,FALSE)</f>
        <v>PR-018</v>
      </c>
      <c r="C166" s="492" t="str">
        <f>VLOOKUP(A166,Memória!A:S,3,FALSE)</f>
        <v>Dissipador de energia aplicado a saída de sarjeta/valeta (DES-04)</v>
      </c>
      <c r="D166" s="516" t="str">
        <f>VLOOKUP(A166,Memória!A:T,20,FALSE)</f>
        <v>Ud</v>
      </c>
      <c r="E166" s="517">
        <f>VLOOKUP(A166,Memória!A:S,19,FALSE)</f>
        <v>3</v>
      </c>
      <c r="F166" s="517">
        <f>Composições!I624</f>
        <v>657.62</v>
      </c>
      <c r="G166" s="684">
        <f t="shared" si="11"/>
        <v>1972.86</v>
      </c>
      <c r="H166" s="700"/>
      <c r="I166" s="701"/>
      <c r="J166" s="701"/>
      <c r="K166" s="516"/>
    </row>
    <row r="167" spans="1:11" s="510" customFormat="1" ht="23.25" customHeight="1" x14ac:dyDescent="0.2">
      <c r="A167" s="501" t="s">
        <v>565</v>
      </c>
      <c r="B167" s="515">
        <f>VLOOKUP(A167,Memória!A:S,2,FALSE)</f>
        <v>40699</v>
      </c>
      <c r="C167" s="492" t="str">
        <f>VLOOKUP(A167,Memória!A:S,3,FALSE)</f>
        <v>Valeta de proteção de corte revestida em concreto VPC-03</v>
      </c>
      <c r="D167" s="516" t="str">
        <f>VLOOKUP(A167,Memória!A:T,20,FALSE)</f>
        <v>M</v>
      </c>
      <c r="E167" s="517">
        <f>VLOOKUP(A167,Memória!A:S,19,FALSE)</f>
        <v>2127</v>
      </c>
      <c r="F167" s="517">
        <f>IF(LEFT(B167,1)="l",VLOOKUP(B167,Composições!$J:$K,2,FALSE),IF(B167&gt;60000,VLOOKUP(A167,Memória!A:AC,22,FALSE),VLOOKUP(B167,'DER 11-20'!$A:$F,6,FALSE)))</f>
        <v>242.71</v>
      </c>
      <c r="G167" s="684">
        <f t="shared" si="11"/>
        <v>516244.17</v>
      </c>
      <c r="H167" s="700"/>
      <c r="I167" s="701"/>
      <c r="J167" s="701"/>
      <c r="K167" s="516"/>
    </row>
    <row r="168" spans="1:11" ht="29.25" customHeight="1" x14ac:dyDescent="0.2">
      <c r="A168" s="501" t="s">
        <v>569</v>
      </c>
      <c r="B168" s="515">
        <f>VLOOKUP(A168,Memória!A:S,2,FALSE)</f>
        <v>40696</v>
      </c>
      <c r="C168" s="492" t="str">
        <f>VLOOKUP(A168,Memória!A:S,3,FALSE)</f>
        <v>Valeta de proteção de aterro VPA 02 (revestida em concreto)</v>
      </c>
      <c r="D168" s="516" t="str">
        <f>VLOOKUP(A168,Memória!A:T,20,FALSE)</f>
        <v>M</v>
      </c>
      <c r="E168" s="517">
        <f>VLOOKUP(A168,Memória!A:S,19,FALSE)</f>
        <v>2122</v>
      </c>
      <c r="F168" s="517">
        <f>IF(LEFT(B168,1)="l",VLOOKUP(B168,Composições!$J:$K,2,FALSE),IF(B168&gt;60000,VLOOKUP(A168,Memória!A:AC,22,FALSE),VLOOKUP(B168,'DER 11-20'!$A:$F,6,FALSE)))</f>
        <v>206.02</v>
      </c>
      <c r="G168" s="684">
        <f t="shared" si="11"/>
        <v>437174.44</v>
      </c>
      <c r="H168" s="708"/>
      <c r="I168" s="709"/>
      <c r="J168" s="709"/>
      <c r="K168" s="579"/>
    </row>
    <row r="169" spans="1:11" s="510" customFormat="1" ht="23.25" customHeight="1" x14ac:dyDescent="0.2">
      <c r="A169" s="501" t="s">
        <v>570</v>
      </c>
      <c r="B169" s="515">
        <f>VLOOKUP(A169,Memória!A:S,2,FALSE)</f>
        <v>40676</v>
      </c>
      <c r="C169" s="492" t="str">
        <f>VLOOKUP(A169,Memória!A:S,3,FALSE)</f>
        <v>Descida d'água concreto simples (calha) c/ caiação (DSA-01) canal</v>
      </c>
      <c r="D169" s="516" t="str">
        <f>VLOOKUP(A169,Memória!A:T,20,FALSE)</f>
        <v>M</v>
      </c>
      <c r="E169" s="517">
        <f>VLOOKUP(A169,Memória!A:S,19,FALSE)</f>
        <v>38.5</v>
      </c>
      <c r="F169" s="517">
        <f>IF(LEFT(B169,1)="l",VLOOKUP(B169,Composições!$J:$K,2,FALSE),IF(B169&gt;60000,VLOOKUP(A169,Memória!A:AC,22,FALSE),VLOOKUP(B169,'DER 11-20'!$A:$F,6,FALSE)))</f>
        <v>347.65</v>
      </c>
      <c r="G169" s="684">
        <f t="shared" si="11"/>
        <v>13384.52</v>
      </c>
      <c r="H169" s="700"/>
      <c r="I169" s="701"/>
      <c r="J169" s="701"/>
      <c r="K169" s="706"/>
    </row>
    <row r="170" spans="1:11" s="510" customFormat="1" ht="23.25" customHeight="1" x14ac:dyDescent="0.2">
      <c r="A170" s="501" t="s">
        <v>571</v>
      </c>
      <c r="B170" s="515">
        <f>VLOOKUP(A170,Memória!A:S,2,FALSE)</f>
        <v>40677</v>
      </c>
      <c r="C170" s="492" t="str">
        <f>VLOOKUP(A170,Memória!A:S,3,FALSE)</f>
        <v>Descida d'água concreto simples (calha) c/ caiação (DSA-01) dispersor</v>
      </c>
      <c r="D170" s="516" t="str">
        <f>VLOOKUP(A170,Memória!A:T,20,FALSE)</f>
        <v>Ud</v>
      </c>
      <c r="E170" s="517">
        <f>VLOOKUP(A170,Memória!A:S,19,FALSE)</f>
        <v>13</v>
      </c>
      <c r="F170" s="517">
        <f>IF(LEFT(B170,1)="l",VLOOKUP(B170,Composições!$J:$K,2,FALSE),IF(B170&gt;60000,VLOOKUP(A170,Memória!A:AC,22,FALSE),VLOOKUP(B170,'DER 11-20'!$A:$F,6,FALSE)))</f>
        <v>745.83</v>
      </c>
      <c r="G170" s="684">
        <f t="shared" si="11"/>
        <v>9695.7900000000009</v>
      </c>
      <c r="H170" s="700"/>
      <c r="I170" s="701"/>
      <c r="J170" s="701"/>
      <c r="K170" s="516"/>
    </row>
    <row r="171" spans="1:11" s="510" customFormat="1" ht="23.25" customHeight="1" x14ac:dyDescent="0.2">
      <c r="A171" s="501" t="s">
        <v>572</v>
      </c>
      <c r="B171" s="515">
        <f>VLOOKUP(A171,Memória!A:S,2,FALSE)</f>
        <v>40681</v>
      </c>
      <c r="C171" s="492" t="str">
        <f>VLOOKUP(A171,Memória!A:S,3,FALSE)</f>
        <v>Descida d'água concreto simples (degraus) c/ caiação (DSA-03) apoio</v>
      </c>
      <c r="D171" s="516" t="str">
        <f>VLOOKUP(A171,Memória!A:T,20,FALSE)</f>
        <v>Ud</v>
      </c>
      <c r="E171" s="517">
        <f>VLOOKUP(A171,Memória!A:S,19,FALSE)</f>
        <v>13</v>
      </c>
      <c r="F171" s="517">
        <f>IF(LEFT(B171,1)="l",VLOOKUP(B171,Composições!$J:$K,2,FALSE),IF(B171&gt;60000,VLOOKUP(A171,Memória!A:AC,22,FALSE),VLOOKUP(B171,'DER 11-20'!$A:$F,6,FALSE)))</f>
        <v>838.72</v>
      </c>
      <c r="G171" s="684">
        <f t="shared" si="11"/>
        <v>10903.36</v>
      </c>
      <c r="H171" s="700"/>
      <c r="I171" s="701"/>
      <c r="J171" s="701"/>
      <c r="K171" s="516"/>
    </row>
    <row r="172" spans="1:11" ht="29.25" customHeight="1" x14ac:dyDescent="0.2">
      <c r="A172" s="501" t="s">
        <v>573</v>
      </c>
      <c r="B172" s="515">
        <f>VLOOKUP(A172,Memória!A:S,2,FALSE)</f>
        <v>40680</v>
      </c>
      <c r="C172" s="492" t="str">
        <f>VLOOKUP(A172,Memória!A:S,3,FALSE)</f>
        <v>Descida d'água concreto simples (degraus) c/ caiação (DSA-03) degrau</v>
      </c>
      <c r="D172" s="516" t="str">
        <f>VLOOKUP(A172,Memória!A:T,20,FALSE)</f>
        <v>M</v>
      </c>
      <c r="E172" s="517">
        <f>VLOOKUP(A172,Memória!A:S,19,FALSE)</f>
        <v>223.5</v>
      </c>
      <c r="F172" s="517">
        <f>IF(LEFT(B172,1)="l",VLOOKUP(B172,Composições!$J:$K,2,FALSE),IF(B172&gt;60000,VLOOKUP(A172,Memória!A:AC,22,FALSE),VLOOKUP(B172,'DER 11-20'!$A:$F,6,FALSE)))</f>
        <v>421.13</v>
      </c>
      <c r="G172" s="684">
        <f t="shared" si="11"/>
        <v>94122.55</v>
      </c>
      <c r="H172" s="708"/>
      <c r="I172" s="709"/>
      <c r="J172" s="709"/>
      <c r="K172" s="579"/>
    </row>
    <row r="173" spans="1:11" s="510" customFormat="1" ht="23.25" customHeight="1" x14ac:dyDescent="0.2">
      <c r="A173" s="501" t="s">
        <v>574</v>
      </c>
      <c r="B173" s="515">
        <f>VLOOKUP(A173,Memória!A:S,2,FALSE)</f>
        <v>40682</v>
      </c>
      <c r="C173" s="492" t="str">
        <f>VLOOKUP(A173,Memória!A:S,3,FALSE)</f>
        <v>Descida d'água concreto simples (degraus) c/ caiação (DSA-03) dispersor</v>
      </c>
      <c r="D173" s="516" t="str">
        <f>VLOOKUP(A173,Memória!A:T,20,FALSE)</f>
        <v>Ud</v>
      </c>
      <c r="E173" s="517">
        <f>VLOOKUP(A173,Memória!A:S,19,FALSE)</f>
        <v>36</v>
      </c>
      <c r="F173" s="517">
        <f>IF(LEFT(B173,1)="l",VLOOKUP(B173,Composições!$J:$K,2,FALSE),IF(B173&gt;60000,VLOOKUP(A173,Memória!A:AC,22,FALSE),VLOOKUP(B173,'DER 11-20'!$A:$F,6,FALSE)))</f>
        <v>741.36</v>
      </c>
      <c r="G173" s="684">
        <f t="shared" si="11"/>
        <v>26688.959999999999</v>
      </c>
      <c r="H173" s="700"/>
      <c r="I173" s="701"/>
      <c r="J173" s="701"/>
      <c r="K173" s="706"/>
    </row>
    <row r="174" spans="1:11" s="510" customFormat="1" ht="30" x14ac:dyDescent="0.2">
      <c r="A174" s="501" t="s">
        <v>575</v>
      </c>
      <c r="B174" s="515">
        <f>VLOOKUP(A174,Memória!A:S,2,FALSE)</f>
        <v>40646</v>
      </c>
      <c r="C174" s="492" t="str">
        <f>VLOOKUP(A174,Memória!A:S,3,FALSE)</f>
        <v>Dreno profundo D = 0,20 m com enchimento de areia, escavação em material 1ª categoria ( DPS-01), inclusive transporte da areia e do tubo</v>
      </c>
      <c r="D174" s="516" t="str">
        <f>VLOOKUP(A174,Memória!A:T,20,FALSE)</f>
        <v>M</v>
      </c>
      <c r="E174" s="517">
        <f>VLOOKUP(A174,Memória!A:S,19,FALSE)</f>
        <v>1815</v>
      </c>
      <c r="F174" s="517">
        <f>IF(LEFT(B174,1)="l",VLOOKUP(B174,Composições!$J:$K,2,FALSE),IF(B174&gt;60000,VLOOKUP(A174,Memória!A:AC,22,FALSE),VLOOKUP(B174,'DER 11-20'!$A:$F,6,FALSE)))</f>
        <v>156.58000000000001</v>
      </c>
      <c r="G174" s="684">
        <f t="shared" si="11"/>
        <v>284192.7</v>
      </c>
      <c r="H174" s="700"/>
      <c r="I174" s="701"/>
      <c r="J174" s="701"/>
      <c r="K174" s="516"/>
    </row>
    <row r="175" spans="1:11" s="510" customFormat="1" ht="23.25" customHeight="1" x14ac:dyDescent="0.2">
      <c r="A175" s="501" t="s">
        <v>576</v>
      </c>
      <c r="B175" s="515">
        <f>VLOOKUP(A175,Memória!A:S,2,FALSE)</f>
        <v>40656</v>
      </c>
      <c r="C175" s="492" t="str">
        <f>VLOOKUP(A175,Memória!A:S,3,FALSE)</f>
        <v>Boca de saída de dreno profundo BSD-01</v>
      </c>
      <c r="D175" s="516" t="str">
        <f>VLOOKUP(A175,Memória!A:T,20,FALSE)</f>
        <v>Ud</v>
      </c>
      <c r="E175" s="517">
        <f>VLOOKUP(A175,Memória!A:S,19,FALSE)</f>
        <v>10</v>
      </c>
      <c r="F175" s="517">
        <f>IF(LEFT(B175,1)="l",VLOOKUP(B175,Composições!$J:$K,2,FALSE),IF(B175&gt;60000,VLOOKUP(A175,Memória!A:AC,22,FALSE),VLOOKUP(B175,'DER 11-20'!$A:$F,6,FALSE)))</f>
        <v>288.26</v>
      </c>
      <c r="G175" s="684">
        <f t="shared" si="11"/>
        <v>2882.6</v>
      </c>
      <c r="H175" s="700"/>
      <c r="I175" s="701"/>
      <c r="J175" s="701"/>
      <c r="K175" s="516"/>
    </row>
    <row r="176" spans="1:11" ht="19.899999999999999" customHeight="1" x14ac:dyDescent="0.2">
      <c r="A176" s="501" t="s">
        <v>577</v>
      </c>
      <c r="B176" s="515" t="str">
        <f>VLOOKUP(A176,Memória!A:S,2,FALSE)</f>
        <v>PR-019</v>
      </c>
      <c r="C176" s="492" t="str">
        <f>VLOOKUP(A176,Memória!A:S,3,FALSE)</f>
        <v>Descida D'Água Tipo  DSC-01 entrada</v>
      </c>
      <c r="D176" s="516" t="str">
        <f>VLOOKUP(A176,Memória!A:T,20,FALSE)</f>
        <v>Um</v>
      </c>
      <c r="E176" s="517">
        <f>VLOOKUP(A176,Memória!A:S,19,FALSE)</f>
        <v>1</v>
      </c>
      <c r="F176" s="517">
        <f>Composições!I657</f>
        <v>924.57</v>
      </c>
      <c r="G176" s="684">
        <f t="shared" si="11"/>
        <v>924.57</v>
      </c>
      <c r="H176" s="708"/>
      <c r="I176" s="709"/>
      <c r="J176" s="709"/>
      <c r="K176" s="579"/>
    </row>
    <row r="177" spans="1:11" s="510" customFormat="1" ht="23.25" customHeight="1" x14ac:dyDescent="0.2">
      <c r="A177" s="501" t="s">
        <v>578</v>
      </c>
      <c r="B177" s="515" t="str">
        <f>VLOOKUP(A177,Memória!A:S,2,FALSE)</f>
        <v>PR-020</v>
      </c>
      <c r="C177" s="492" t="str">
        <f>VLOOKUP(A177,Memória!A:S,3,FALSE)</f>
        <v>Descida D'Água Tipo  DSC-01 canal</v>
      </c>
      <c r="D177" s="516" t="str">
        <f>VLOOKUP(A177,Memória!A:T,20,FALSE)</f>
        <v>M</v>
      </c>
      <c r="E177" s="517">
        <f>VLOOKUP(A177,Memória!A:S,19,FALSE)</f>
        <v>3</v>
      </c>
      <c r="F177" s="517">
        <f>Composições!I690</f>
        <v>520.74</v>
      </c>
      <c r="G177" s="684">
        <f t="shared" si="11"/>
        <v>1562.22</v>
      </c>
      <c r="H177" s="700"/>
      <c r="I177" s="701"/>
      <c r="J177" s="701"/>
      <c r="K177" s="706"/>
    </row>
    <row r="178" spans="1:11" s="510" customFormat="1" ht="23.25" customHeight="1" x14ac:dyDescent="0.2">
      <c r="A178" s="501" t="s">
        <v>579</v>
      </c>
      <c r="B178" s="515" t="str">
        <f>VLOOKUP(A178,Memória!A:S,2,FALSE)</f>
        <v>PR-021</v>
      </c>
      <c r="C178" s="492" t="str">
        <f>VLOOKUP(A178,Memória!A:S,3,FALSE)</f>
        <v>Descida D'Água Tipo  DSC-01 degrau</v>
      </c>
      <c r="D178" s="516" t="str">
        <f>VLOOKUP(A178,Memória!A:T,20,FALSE)</f>
        <v>M</v>
      </c>
      <c r="E178" s="517">
        <f>VLOOKUP(A178,Memória!A:S,19,FALSE)</f>
        <v>30</v>
      </c>
      <c r="F178" s="517">
        <f>Composições!I723</f>
        <v>387.1</v>
      </c>
      <c r="G178" s="684">
        <f t="shared" si="11"/>
        <v>11613</v>
      </c>
      <c r="H178" s="700"/>
      <c r="I178" s="701"/>
      <c r="J178" s="701"/>
      <c r="K178" s="516"/>
    </row>
    <row r="179" spans="1:11" s="518" customFormat="1" x14ac:dyDescent="0.2">
      <c r="A179" s="519"/>
      <c r="B179" s="591"/>
      <c r="C179" s="520" t="s">
        <v>123</v>
      </c>
      <c r="D179" s="521"/>
      <c r="E179" s="522"/>
      <c r="F179" s="523"/>
      <c r="G179" s="522">
        <f>SUM(G102:G178)</f>
        <v>4137940.36</v>
      </c>
      <c r="H179" s="690"/>
      <c r="I179" s="689"/>
      <c r="J179" s="689"/>
      <c r="K179" s="715"/>
    </row>
    <row r="180" spans="1:11" s="510" customFormat="1" x14ac:dyDescent="0.2">
      <c r="A180" s="497">
        <v>6</v>
      </c>
      <c r="B180" s="505"/>
      <c r="C180" s="506" t="str">
        <f>VLOOKUP(A180,Memória!A:S,3,FALSE)</f>
        <v>SINALIZAÇÃO</v>
      </c>
      <c r="D180" s="507"/>
      <c r="E180" s="524"/>
      <c r="F180" s="525"/>
      <c r="G180" s="685"/>
      <c r="H180" s="710"/>
      <c r="I180" s="711"/>
      <c r="J180" s="711"/>
      <c r="K180" s="717"/>
    </row>
    <row r="181" spans="1:11" ht="19.149999999999999" customHeight="1" x14ac:dyDescent="0.2">
      <c r="A181" s="501" t="s">
        <v>139</v>
      </c>
      <c r="B181" s="515" t="str">
        <f>VLOOKUP(A181,Memória!A:S,2,FALSE)</f>
        <v>PR-022</v>
      </c>
      <c r="C181" s="492" t="str">
        <f>VLOOKUP(A181,Memória!A:S,3,FALSE)</f>
        <v>Cerca Arame farpado, 4 fios,  mourões de madeira e esticador de concreto a cada 40m</v>
      </c>
      <c r="D181" s="516" t="str">
        <f>VLOOKUP(A181,Memória!A:T,20,FALSE)</f>
        <v>M</v>
      </c>
      <c r="E181" s="517">
        <f>VLOOKUP(A181,Memória!A:S,19,FALSE)</f>
        <v>7944.34</v>
      </c>
      <c r="F181" s="517">
        <f>Composições!I763</f>
        <v>21.2</v>
      </c>
      <c r="G181" s="684">
        <f>TRUNC(E181*F181,2)</f>
        <v>168420</v>
      </c>
      <c r="H181" s="700"/>
      <c r="I181" s="701"/>
      <c r="J181" s="701"/>
      <c r="K181" s="516"/>
    </row>
    <row r="182" spans="1:11" x14ac:dyDescent="0.2">
      <c r="A182" s="501" t="s">
        <v>141</v>
      </c>
      <c r="B182" s="515">
        <f>VLOOKUP(A182,Memória!A:S,2,FALSE)</f>
        <v>40929</v>
      </c>
      <c r="C182" s="492" t="str">
        <f>VLOOKUP(A182,Memória!A:S,3,FALSE)</f>
        <v>Defensa metálica (1 lâmina com espessura = 3 mm), fornecimento e colocação</v>
      </c>
      <c r="D182" s="516" t="str">
        <f>VLOOKUP(A182,Memória!A:T,20,FALSE)</f>
        <v>M</v>
      </c>
      <c r="E182" s="517">
        <f>VLOOKUP(A182,Memória!A:S,19,FALSE)</f>
        <v>2260</v>
      </c>
      <c r="F182" s="517">
        <f>IF(LEFT(B182,1)="l",VLOOKUP(B182,Composições!$J:$K,2,FALSE),IF(B182&gt;60000,VLOOKUP(A182,Memória!A:AC,22,FALSE),VLOOKUP(B182,'DER 11-20'!$A:$F,6,FALSE)))</f>
        <v>295.14</v>
      </c>
      <c r="G182" s="684">
        <f>TRUNC(E182*F182,2)</f>
        <v>667016.4</v>
      </c>
      <c r="H182" s="700"/>
      <c r="I182" s="701"/>
      <c r="J182" s="701"/>
      <c r="K182" s="703"/>
    </row>
    <row r="183" spans="1:11" ht="18" customHeight="1" x14ac:dyDescent="0.2">
      <c r="A183" s="501" t="s">
        <v>583</v>
      </c>
      <c r="B183" s="515">
        <f>VLOOKUP(A183,Memória!A:S,2,FALSE)</f>
        <v>41109</v>
      </c>
      <c r="C183" s="492" t="str">
        <f>VLOOKUP(A183,Memória!A:S,3,FALSE)</f>
        <v>Demolição de cerca de madeira com 4 fios</v>
      </c>
      <c r="D183" s="516" t="str">
        <f>VLOOKUP(A183,Memória!A:T,20,FALSE)</f>
        <v>M</v>
      </c>
      <c r="E183" s="517">
        <f>VLOOKUP(A183,Memória!A:S,19,FALSE)</f>
        <v>6669.34</v>
      </c>
      <c r="F183" s="517">
        <f>IF(LEFT(B183,1)="l",VLOOKUP(B183,Composições!$J:$K,2,FALSE),IF(B183&gt;60000,VLOOKUP(A183,Memória!A:AC,22,FALSE),VLOOKUP(B183,'DER 11-20'!$A:$F,6,FALSE)))</f>
        <v>3.03</v>
      </c>
      <c r="G183" s="684">
        <f>TRUNC(E183*F183,2)</f>
        <v>20208.099999999999</v>
      </c>
      <c r="H183" s="700"/>
      <c r="I183" s="701"/>
      <c r="J183" s="701"/>
      <c r="K183" s="516"/>
    </row>
    <row r="184" spans="1:11" ht="30" x14ac:dyDescent="0.2">
      <c r="A184" s="501" t="s">
        <v>585</v>
      </c>
      <c r="B184" s="515">
        <f>VLOOKUP(A184,Memória!A:S,2,FALSE)</f>
        <v>40915</v>
      </c>
      <c r="C184" s="492" t="str">
        <f>VLOOKUP(A184,Memória!A:S,3,FALSE)</f>
        <v>Calçada de concreto fck=15 MP, camurçado c/ argam. cimento e areia 1:4, lastro de brita e 8 cm de concreto, incl. preparo da caixa e transp. da brita</v>
      </c>
      <c r="D184" s="516" t="str">
        <f>VLOOKUP(A184,Memória!A:T,20,FALSE)</f>
        <v>M2</v>
      </c>
      <c r="E184" s="517">
        <f>VLOOKUP(A184,Memória!A:S,19,FALSE)</f>
        <v>1187.7</v>
      </c>
      <c r="F184" s="517">
        <f>IF(LEFT(B184,1)="l",VLOOKUP(B184,Composições!$J:$K,2,FALSE),IF(B184&gt;60000,VLOOKUP(A184,Memória!A:AC,22,FALSE),VLOOKUP(B184,'DER 11-20'!$A:$F,6,FALSE)))</f>
        <v>112.99</v>
      </c>
      <c r="G184" s="684">
        <f>TRUNC(E184*F184,2)</f>
        <v>134198.22</v>
      </c>
      <c r="H184" s="700"/>
      <c r="I184" s="701"/>
      <c r="J184" s="701"/>
      <c r="K184" s="516"/>
    </row>
    <row r="185" spans="1:11" x14ac:dyDescent="0.2">
      <c r="A185" s="498"/>
      <c r="B185" s="511">
        <v>40936</v>
      </c>
      <c r="C185" s="512" t="s">
        <v>603</v>
      </c>
      <c r="D185" s="513"/>
      <c r="E185" s="514"/>
      <c r="F185" s="517"/>
      <c r="G185" s="683"/>
      <c r="H185" s="707"/>
      <c r="I185" s="701"/>
      <c r="J185" s="701"/>
      <c r="K185" s="703"/>
    </row>
    <row r="186" spans="1:11" ht="18" customHeight="1" x14ac:dyDescent="0.2">
      <c r="A186" s="501" t="s">
        <v>586</v>
      </c>
      <c r="B186" s="515">
        <v>40936</v>
      </c>
      <c r="C186" s="492" t="str">
        <f>VLOOKUP(A186,Memória!A:S,3,FALSE)</f>
        <v>Circular -  Ø  0,75m</v>
      </c>
      <c r="D186" s="516" t="str">
        <f>VLOOKUP(A186,Memória!A:T,20,FALSE)</f>
        <v>M2</v>
      </c>
      <c r="E186" s="517">
        <f>VLOOKUP(A186,Memória!A:S,19,FALSE)</f>
        <v>4.4000000000000004</v>
      </c>
      <c r="F186" s="517">
        <f>IF(LEFT(B186,1)="l",VLOOKUP(B186,Composições!$J:$K,2,FALSE),IF(B186&gt;60000,VLOOKUP(A186,Memória!A:AC,22,FALSE),VLOOKUP(B186,'DER 11-20'!$A:$F,6,FALSE)))</f>
        <v>665.66</v>
      </c>
      <c r="G186" s="684">
        <f t="shared" ref="G186:G194" si="12">TRUNC(E186*F186,2)</f>
        <v>2928.9</v>
      </c>
      <c r="H186" s="700"/>
      <c r="I186" s="701"/>
      <c r="J186" s="701"/>
      <c r="K186" s="516"/>
    </row>
    <row r="187" spans="1:11" ht="19.149999999999999" customHeight="1" x14ac:dyDescent="0.2">
      <c r="A187" s="501" t="s">
        <v>587</v>
      </c>
      <c r="B187" s="515">
        <v>40936</v>
      </c>
      <c r="C187" s="492" t="str">
        <f>VLOOKUP(A187,Memória!A:S,3,FALSE)</f>
        <v>Quadrada - 0,60 x 0,60m</v>
      </c>
      <c r="D187" s="516" t="str">
        <f>VLOOKUP(A187,Memória!A:T,20,FALSE)</f>
        <v>M2</v>
      </c>
      <c r="E187" s="517">
        <f>VLOOKUP(A187,Memória!A:S,19,FALSE)</f>
        <v>10.44</v>
      </c>
      <c r="F187" s="517">
        <f>IF(LEFT(B187,1)="l",VLOOKUP(B187,Composições!$J:$K,2,FALSE),IF(B187&gt;60000,VLOOKUP(A187,Memória!A:AC,22,FALSE),VLOOKUP(B187,'DER 11-20'!$A:$F,6,FALSE)))</f>
        <v>665.66</v>
      </c>
      <c r="G187" s="684">
        <f t="shared" si="12"/>
        <v>6949.49</v>
      </c>
      <c r="H187" s="700"/>
      <c r="I187" s="701"/>
      <c r="J187" s="701"/>
      <c r="K187" s="516"/>
    </row>
    <row r="188" spans="1:11" x14ac:dyDescent="0.2">
      <c r="A188" s="501" t="s">
        <v>588</v>
      </c>
      <c r="B188" s="515">
        <v>40936</v>
      </c>
      <c r="C188" s="492" t="str">
        <f>VLOOKUP(A188,Memória!A:S,3,FALSE)</f>
        <v>Retangular -  2,00 x 0,50m</v>
      </c>
      <c r="D188" s="516" t="str">
        <f>VLOOKUP(A188,Memória!A:T,20,FALSE)</f>
        <v>M2</v>
      </c>
      <c r="E188" s="517">
        <f>VLOOKUP(A188,Memória!A:S,19,FALSE)</f>
        <v>1</v>
      </c>
      <c r="F188" s="517">
        <f>IF(LEFT(B188,1)="l",VLOOKUP(B188,Composições!$J:$K,2,FALSE),IF(B188&gt;60000,VLOOKUP(A188,Memória!A:AC,22,FALSE),VLOOKUP(B188,'DER 11-20'!$A:$F,6,FALSE)))</f>
        <v>665.66</v>
      </c>
      <c r="G188" s="684">
        <f t="shared" si="12"/>
        <v>665.66</v>
      </c>
      <c r="H188" s="700"/>
      <c r="I188" s="701"/>
      <c r="J188" s="701"/>
      <c r="K188" s="703"/>
    </row>
    <row r="189" spans="1:11" ht="18" customHeight="1" x14ac:dyDescent="0.2">
      <c r="A189" s="501" t="s">
        <v>589</v>
      </c>
      <c r="B189" s="515">
        <v>40936</v>
      </c>
      <c r="C189" s="492" t="str">
        <f>VLOOKUP(A189,Memória!A:S,3,FALSE)</f>
        <v>Retangular -  2,00 x 1,00m</v>
      </c>
      <c r="D189" s="516" t="str">
        <f>VLOOKUP(A189,Memória!A:T,20,FALSE)</f>
        <v>M2</v>
      </c>
      <c r="E189" s="517">
        <f>VLOOKUP(A189,Memória!A:S,19,FALSE)</f>
        <v>12</v>
      </c>
      <c r="F189" s="517">
        <f>IF(LEFT(B189,1)="l",VLOOKUP(B189,Composições!$J:$K,2,FALSE),IF(B189&gt;60000,VLOOKUP(A189,Memória!A:AC,22,FALSE),VLOOKUP(B189,'DER 11-20'!$A:$F,6,FALSE)))</f>
        <v>665.66</v>
      </c>
      <c r="G189" s="684">
        <f t="shared" si="12"/>
        <v>7987.92</v>
      </c>
      <c r="H189" s="700"/>
      <c r="I189" s="701"/>
      <c r="J189" s="701"/>
      <c r="K189" s="516"/>
    </row>
    <row r="190" spans="1:11" ht="18" customHeight="1" x14ac:dyDescent="0.2">
      <c r="A190" s="501" t="s">
        <v>590</v>
      </c>
      <c r="B190" s="515">
        <v>40936</v>
      </c>
      <c r="C190" s="492" t="str">
        <f>VLOOKUP(A190,Memória!A:S,3,FALSE)</f>
        <v>Retangular -  2,50 x 1,00m</v>
      </c>
      <c r="D190" s="516" t="str">
        <f>VLOOKUP(A190,Memória!A:T,20,FALSE)</f>
        <v>M2</v>
      </c>
      <c r="E190" s="517">
        <f>VLOOKUP(A190,Memória!A:S,19,FALSE)</f>
        <v>2.5</v>
      </c>
      <c r="F190" s="517">
        <f>IF(LEFT(B190,1)="l",VLOOKUP(B190,Composições!$J:$K,2,FALSE),IF(B190&gt;60000,VLOOKUP(A190,Memória!A:AC,22,FALSE),VLOOKUP(B190,'DER 11-20'!$A:$F,6,FALSE)))</f>
        <v>665.66</v>
      </c>
      <c r="G190" s="684">
        <f t="shared" si="12"/>
        <v>1664.15</v>
      </c>
      <c r="H190" s="700"/>
      <c r="I190" s="701"/>
      <c r="J190" s="701"/>
      <c r="K190" s="516"/>
    </row>
    <row r="191" spans="1:11" ht="19.149999999999999" customHeight="1" x14ac:dyDescent="0.2">
      <c r="A191" s="501" t="s">
        <v>591</v>
      </c>
      <c r="B191" s="515">
        <v>40936</v>
      </c>
      <c r="C191" s="492" t="str">
        <f>VLOOKUP(A191,Memória!A:S,3,FALSE)</f>
        <v>Retangular -  0,50 x 0,80m</v>
      </c>
      <c r="D191" s="516" t="str">
        <f>VLOOKUP(A191,Memória!A:T,20,FALSE)</f>
        <v>M2</v>
      </c>
      <c r="E191" s="517">
        <f>VLOOKUP(A191,Memória!A:S,19,FALSE)</f>
        <v>3.2</v>
      </c>
      <c r="F191" s="517">
        <f>IF(LEFT(B191,1)="l",VLOOKUP(B191,Composições!$J:$K,2,FALSE),IF(B191&gt;60000,VLOOKUP(A191,Memória!A:AC,22,FALSE),VLOOKUP(B191,'DER 11-20'!$A:$F,6,FALSE)))</f>
        <v>665.66</v>
      </c>
      <c r="G191" s="684">
        <f t="shared" si="12"/>
        <v>2130.11</v>
      </c>
      <c r="H191" s="700"/>
      <c r="I191" s="701"/>
      <c r="J191" s="701"/>
      <c r="K191" s="516"/>
    </row>
    <row r="192" spans="1:11" x14ac:dyDescent="0.2">
      <c r="A192" s="501" t="s">
        <v>592</v>
      </c>
      <c r="B192" s="515">
        <v>40936</v>
      </c>
      <c r="C192" s="492" t="str">
        <f>VLOOKUP(A192,Memória!A:S,3,FALSE)</f>
        <v>Octogonal - L = 0,35m</v>
      </c>
      <c r="D192" s="516" t="str">
        <f>VLOOKUP(A192,Memória!A:T,20,FALSE)</f>
        <v>M2</v>
      </c>
      <c r="E192" s="517">
        <f>VLOOKUP(A192,Memória!A:S,19,FALSE)</f>
        <v>1.77</v>
      </c>
      <c r="F192" s="517">
        <f>IF(LEFT(B192,1)="l",VLOOKUP(B192,Composições!$J:$K,2,FALSE),IF(B192&gt;60000,VLOOKUP(A192,Memória!A:AC,22,FALSE),VLOOKUP(B192,'DER 11-20'!$A:$F,6,FALSE)))</f>
        <v>665.66</v>
      </c>
      <c r="G192" s="684">
        <f t="shared" si="12"/>
        <v>1178.21</v>
      </c>
      <c r="H192" s="700"/>
      <c r="I192" s="701"/>
      <c r="J192" s="701"/>
      <c r="K192" s="703"/>
    </row>
    <row r="193" spans="1:11" ht="18" customHeight="1" x14ac:dyDescent="0.2">
      <c r="A193" s="501" t="s">
        <v>593</v>
      </c>
      <c r="B193" s="515">
        <v>40936</v>
      </c>
      <c r="C193" s="492" t="str">
        <f>VLOOKUP(A193,Memória!A:S,3,FALSE)</f>
        <v>Delineador  - 0,50 x 0,60m</v>
      </c>
      <c r="D193" s="516" t="str">
        <f>VLOOKUP(A193,Memória!A:T,20,FALSE)</f>
        <v>M2</v>
      </c>
      <c r="E193" s="517">
        <f>VLOOKUP(A193,Memória!A:S,19,FALSE)</f>
        <v>1.08</v>
      </c>
      <c r="F193" s="517">
        <f>IF(LEFT(B193,1)="l",VLOOKUP(B193,Composições!$J:$K,2,FALSE),IF(B193&gt;60000,VLOOKUP(A193,Memória!A:AC,22,FALSE),VLOOKUP(B193,'DER 11-20'!$A:$F,6,FALSE)))</f>
        <v>665.66</v>
      </c>
      <c r="G193" s="684">
        <f t="shared" si="12"/>
        <v>718.91</v>
      </c>
      <c r="H193" s="700"/>
      <c r="I193" s="701"/>
      <c r="J193" s="701"/>
      <c r="K193" s="516"/>
    </row>
    <row r="194" spans="1:11" ht="18" customHeight="1" x14ac:dyDescent="0.2">
      <c r="A194" s="501" t="s">
        <v>594</v>
      </c>
      <c r="B194" s="515">
        <v>40936</v>
      </c>
      <c r="C194" s="492" t="str">
        <f>VLOOKUP(A194,Memória!A:S,3,FALSE)</f>
        <v>Marcador de Obstáculos - 0,30 x 0,90m</v>
      </c>
      <c r="D194" s="516" t="str">
        <f>VLOOKUP(A194,Memória!A:T,20,FALSE)</f>
        <v>M2</v>
      </c>
      <c r="E194" s="517">
        <f>VLOOKUP(A194,Memória!A:S,19,FALSE)</f>
        <v>44.4</v>
      </c>
      <c r="F194" s="517">
        <f>IF(LEFT(B194,1)="l",VLOOKUP(B194,Composições!$J:$K,2,FALSE),IF(B194&gt;60000,VLOOKUP(A194,Memória!A:AC,22,FALSE),VLOOKUP(B194,'DER 11-20'!$A:$F,6,FALSE)))</f>
        <v>665.66</v>
      </c>
      <c r="G194" s="684">
        <f t="shared" si="12"/>
        <v>29555.3</v>
      </c>
      <c r="H194" s="700"/>
      <c r="I194" s="701"/>
      <c r="J194" s="701"/>
      <c r="K194" s="516"/>
    </row>
    <row r="195" spans="1:11" x14ac:dyDescent="0.2">
      <c r="A195" s="498"/>
      <c r="B195" s="511">
        <v>40926</v>
      </c>
      <c r="C195" s="512" t="s">
        <v>616</v>
      </c>
      <c r="D195" s="513"/>
      <c r="E195" s="514"/>
      <c r="F195" s="517"/>
      <c r="G195" s="683"/>
      <c r="H195" s="707"/>
      <c r="I195" s="701"/>
      <c r="J195" s="701"/>
      <c r="K195" s="703"/>
    </row>
    <row r="196" spans="1:11" ht="19.149999999999999" customHeight="1" x14ac:dyDescent="0.2">
      <c r="A196" s="501" t="s">
        <v>595</v>
      </c>
      <c r="B196" s="515">
        <v>40926</v>
      </c>
      <c r="C196" s="492" t="str">
        <f>VLOOKUP(A196,Memória!A:S,3,FALSE)</f>
        <v>Eixo - Rodovia</v>
      </c>
      <c r="D196" s="516" t="str">
        <f>VLOOKUP(A196,Memória!A:T,20,FALSE)</f>
        <v>M2</v>
      </c>
      <c r="E196" s="517">
        <f>VLOOKUP(A196,Memória!A:S,19,FALSE)</f>
        <v>890.93</v>
      </c>
      <c r="F196" s="517">
        <f>IF(LEFT(B196,1)="l",VLOOKUP(B196,Composições!$J:$K,2,FALSE),IF(B196&gt;60000,VLOOKUP(A196,Memória!A:AC,22,FALSE),VLOOKUP(B196,'DER 11-20'!$A:$F,6,FALSE)))</f>
        <v>26.28</v>
      </c>
      <c r="G196" s="684">
        <f t="shared" ref="G196:G202" si="13">TRUNC(E196*F196,2)</f>
        <v>23413.64</v>
      </c>
      <c r="H196" s="700"/>
      <c r="I196" s="701"/>
      <c r="J196" s="701"/>
      <c r="K196" s="516"/>
    </row>
    <row r="197" spans="1:11" x14ac:dyDescent="0.2">
      <c r="A197" s="501" t="s">
        <v>596</v>
      </c>
      <c r="B197" s="515">
        <v>40926</v>
      </c>
      <c r="C197" s="492" t="str">
        <f>VLOOKUP(A197,Memória!A:S,3,FALSE)</f>
        <v>Bordo - Rodovia</v>
      </c>
      <c r="D197" s="516" t="str">
        <f>VLOOKUP(A197,Memória!A:T,20,FALSE)</f>
        <v>M2</v>
      </c>
      <c r="E197" s="517">
        <f>VLOOKUP(A197,Memória!A:S,19,FALSE)</f>
        <v>887.02</v>
      </c>
      <c r="F197" s="517">
        <f>IF(LEFT(B197,1)="l",VLOOKUP(B197,Composições!$J:$K,2,FALSE),IF(B197&gt;60000,VLOOKUP(A197,Memória!A:AC,22,FALSE),VLOOKUP(B197,'DER 11-20'!$A:$F,6,FALSE)))</f>
        <v>26.28</v>
      </c>
      <c r="G197" s="684">
        <f t="shared" si="13"/>
        <v>23310.880000000001</v>
      </c>
      <c r="H197" s="700"/>
      <c r="I197" s="701"/>
      <c r="J197" s="701"/>
      <c r="K197" s="703"/>
    </row>
    <row r="198" spans="1:11" ht="18" customHeight="1" x14ac:dyDescent="0.2">
      <c r="A198" s="501" t="s">
        <v>597</v>
      </c>
      <c r="B198" s="515">
        <v>40926</v>
      </c>
      <c r="C198" s="492" t="str">
        <f>VLOOKUP(A198,Memória!A:S,3,FALSE)</f>
        <v>Zebrado</v>
      </c>
      <c r="D198" s="516" t="str">
        <f>VLOOKUP(A198,Memória!A:T,20,FALSE)</f>
        <v>M2</v>
      </c>
      <c r="E198" s="517">
        <f>VLOOKUP(A198,Memória!A:S,19,FALSE)</f>
        <v>16.96</v>
      </c>
      <c r="F198" s="517">
        <f>IF(LEFT(B198,1)="l",VLOOKUP(B198,Composições!$J:$K,2,FALSE),IF(B198&gt;60000,VLOOKUP(A198,Memória!A:AC,22,FALSE),VLOOKUP(B198,'DER 11-20'!$A:$F,6,FALSE)))</f>
        <v>26.28</v>
      </c>
      <c r="G198" s="684">
        <f t="shared" si="13"/>
        <v>445.7</v>
      </c>
      <c r="H198" s="700"/>
      <c r="I198" s="701"/>
      <c r="J198" s="701"/>
      <c r="K198" s="516"/>
    </row>
    <row r="199" spans="1:11" ht="18" customHeight="1" x14ac:dyDescent="0.2">
      <c r="A199" s="501" t="s">
        <v>598</v>
      </c>
      <c r="B199" s="515">
        <v>40926</v>
      </c>
      <c r="C199" s="492" t="str">
        <f>VLOOKUP(A199,Memória!A:S,3,FALSE)</f>
        <v>Eixo - Interseção Água Pretinha</v>
      </c>
      <c r="D199" s="516" t="str">
        <f>VLOOKUP(A199,Memória!A:T,20,FALSE)</f>
        <v>M2</v>
      </c>
      <c r="E199" s="517">
        <f>VLOOKUP(A199,Memória!A:S,19,FALSE)</f>
        <v>6.07</v>
      </c>
      <c r="F199" s="517">
        <f>IF(LEFT(B199,1)="l",VLOOKUP(B199,Composições!$J:$K,2,FALSE),IF(B199&gt;60000,VLOOKUP(A199,Memória!A:AC,22,FALSE),VLOOKUP(B199,'DER 11-20'!$A:$F,6,FALSE)))</f>
        <v>26.28</v>
      </c>
      <c r="G199" s="684">
        <f t="shared" si="13"/>
        <v>159.51</v>
      </c>
      <c r="H199" s="700"/>
      <c r="I199" s="701"/>
      <c r="J199" s="701"/>
      <c r="K199" s="516"/>
    </row>
    <row r="200" spans="1:11" ht="19.149999999999999" customHeight="1" x14ac:dyDescent="0.2">
      <c r="A200" s="501" t="s">
        <v>599</v>
      </c>
      <c r="B200" s="515">
        <v>40926</v>
      </c>
      <c r="C200" s="492" t="str">
        <f>VLOOKUP(A200,Memória!A:S,3,FALSE)</f>
        <v>Bordo -  Interseção Água Pretinha</v>
      </c>
      <c r="D200" s="516" t="str">
        <f>VLOOKUP(A200,Memória!A:T,20,FALSE)</f>
        <v>M2</v>
      </c>
      <c r="E200" s="517">
        <f>VLOOKUP(A200,Memória!A:S,19,FALSE)</f>
        <v>64.540000000000006</v>
      </c>
      <c r="F200" s="517">
        <f>IF(LEFT(B200,1)="l",VLOOKUP(B200,Composições!$J:$K,2,FALSE),IF(B200&gt;60000,VLOOKUP(A200,Memória!A:AC,22,FALSE),VLOOKUP(B200,'DER 11-20'!$A:$F,6,FALSE)))</f>
        <v>26.28</v>
      </c>
      <c r="G200" s="684">
        <f t="shared" si="13"/>
        <v>1696.11</v>
      </c>
      <c r="H200" s="700"/>
      <c r="I200" s="701"/>
      <c r="J200" s="701"/>
      <c r="K200" s="516"/>
    </row>
    <row r="201" spans="1:11" x14ac:dyDescent="0.2">
      <c r="A201" s="501" t="s">
        <v>600</v>
      </c>
      <c r="B201" s="515">
        <v>40926</v>
      </c>
      <c r="C201" s="492" t="str">
        <f>VLOOKUP(A201,Memória!A:S,3,FALSE)</f>
        <v>Zebrado - Interseção Água Pretinha</v>
      </c>
      <c r="D201" s="516" t="str">
        <f>VLOOKUP(A201,Memória!A:T,20,FALSE)</f>
        <v>M2</v>
      </c>
      <c r="E201" s="517">
        <f>VLOOKUP(A201,Memória!A:S,19,FALSE)</f>
        <v>22.91</v>
      </c>
      <c r="F201" s="517">
        <f>IF(LEFT(B201,1)="l",VLOOKUP(B201,Composições!$J:$K,2,FALSE),IF(B201&gt;60000,VLOOKUP(A201,Memória!A:AC,22,FALSE),VLOOKUP(B201,'DER 11-20'!$A:$F,6,FALSE)))</f>
        <v>26.28</v>
      </c>
      <c r="G201" s="684">
        <f t="shared" si="13"/>
        <v>602.07000000000005</v>
      </c>
      <c r="H201" s="700"/>
      <c r="I201" s="701"/>
      <c r="J201" s="701"/>
      <c r="K201" s="703"/>
    </row>
    <row r="202" spans="1:11" ht="18" customHeight="1" x14ac:dyDescent="0.2">
      <c r="A202" s="501" t="s">
        <v>601</v>
      </c>
      <c r="B202" s="515">
        <v>40926</v>
      </c>
      <c r="C202" s="492" t="str">
        <f>VLOOKUP(A202,Memória!A:S,3,FALSE)</f>
        <v>Inscrições no Pavimento - Interseção Água Pretinha</v>
      </c>
      <c r="D202" s="516" t="str">
        <f>VLOOKUP(A202,Memória!A:T,20,FALSE)</f>
        <v>M2</v>
      </c>
      <c r="E202" s="517">
        <f>VLOOKUP(A202,Memória!A:S,19,FALSE)</f>
        <v>18.03</v>
      </c>
      <c r="F202" s="517">
        <f>IF(LEFT(B202,1)="l",VLOOKUP(B202,Composições!$J:$K,2,FALSE),IF(B202&gt;60000,VLOOKUP(A202,Memória!A:AC,22,FALSE),VLOOKUP(B202,'DER 11-20'!$A:$F,6,FALSE)))</f>
        <v>26.28</v>
      </c>
      <c r="G202" s="684">
        <f t="shared" si="13"/>
        <v>473.82</v>
      </c>
      <c r="H202" s="700"/>
      <c r="I202" s="701"/>
      <c r="J202" s="701"/>
      <c r="K202" s="516"/>
    </row>
    <row r="203" spans="1:11" x14ac:dyDescent="0.2">
      <c r="A203" s="498"/>
      <c r="B203" s="511">
        <v>40932</v>
      </c>
      <c r="C203" s="512" t="s">
        <v>399</v>
      </c>
      <c r="D203" s="513"/>
      <c r="E203" s="514"/>
      <c r="F203" s="517"/>
      <c r="G203" s="683"/>
      <c r="H203" s="707"/>
      <c r="I203" s="701"/>
      <c r="J203" s="701"/>
      <c r="K203" s="703"/>
    </row>
    <row r="204" spans="1:11" ht="18" customHeight="1" x14ac:dyDescent="0.2">
      <c r="A204" s="501" t="s">
        <v>602</v>
      </c>
      <c r="B204" s="515">
        <v>40932</v>
      </c>
      <c r="C204" s="492" t="str">
        <f>VLOOKUP(A204,Memória!A:S,3,FALSE)</f>
        <v>Bordo - Acesso a Comunidade</v>
      </c>
      <c r="D204" s="516" t="str">
        <f>VLOOKUP(A204,Memória!A:T,20,FALSE)</f>
        <v>Ud</v>
      </c>
      <c r="E204" s="517">
        <f>VLOOKUP(A204,Memória!A:S,19,FALSE)</f>
        <v>20</v>
      </c>
      <c r="F204" s="517">
        <f>IF(LEFT(B204,1)="l",VLOOKUP(B204,Composições!$J:$K,2,FALSE),IF(B204&gt;60000,VLOOKUP(A204,Memória!A:AC,22,FALSE),VLOOKUP(B204,'DER 11-20'!$A:$F,6,FALSE)))</f>
        <v>24.13</v>
      </c>
      <c r="G204" s="684">
        <f>TRUNC(E204*F204,2)</f>
        <v>482.6</v>
      </c>
      <c r="H204" s="700"/>
      <c r="I204" s="701"/>
      <c r="J204" s="701"/>
      <c r="K204" s="516"/>
    </row>
    <row r="205" spans="1:11" x14ac:dyDescent="0.2">
      <c r="A205" s="498"/>
      <c r="B205" s="511">
        <v>40934</v>
      </c>
      <c r="C205" s="512" t="s">
        <v>261</v>
      </c>
      <c r="D205" s="513"/>
      <c r="E205" s="514"/>
      <c r="F205" s="517"/>
      <c r="G205" s="683"/>
      <c r="H205" s="707"/>
      <c r="I205" s="701"/>
      <c r="J205" s="701"/>
      <c r="K205" s="703"/>
    </row>
    <row r="206" spans="1:11" ht="19.149999999999999" customHeight="1" x14ac:dyDescent="0.2">
      <c r="A206" s="501" t="s">
        <v>610</v>
      </c>
      <c r="B206" s="515">
        <v>40934</v>
      </c>
      <c r="C206" s="492" t="str">
        <f>VLOOKUP(A206,Memória!A:S,3,FALSE)</f>
        <v>Eixo - Rodovia</v>
      </c>
      <c r="D206" s="516" t="str">
        <f>VLOOKUP(A206,Memória!A:T,20,FALSE)</f>
        <v>Ud</v>
      </c>
      <c r="E206" s="517">
        <f>VLOOKUP(A206,Memória!A:S,19,FALSE)</f>
        <v>1154</v>
      </c>
      <c r="F206" s="517">
        <f>IF(LEFT(B206,1)="l",VLOOKUP(B206,Composições!$J:$K,2,FALSE),IF(B206&gt;60000,VLOOKUP(A206,Memória!A:AC,22,FALSE),VLOOKUP(B206,'DER 11-20'!$A:$F,6,FALSE)))</f>
        <v>26.03</v>
      </c>
      <c r="G206" s="684">
        <f>TRUNC(E206*F206,2)</f>
        <v>30038.62</v>
      </c>
      <c r="H206" s="700"/>
      <c r="I206" s="701"/>
      <c r="J206" s="701"/>
      <c r="K206" s="516"/>
    </row>
    <row r="207" spans="1:11" x14ac:dyDescent="0.2">
      <c r="A207" s="501" t="s">
        <v>611</v>
      </c>
      <c r="B207" s="515">
        <v>40934</v>
      </c>
      <c r="C207" s="492" t="str">
        <f>VLOOKUP(A207,Memória!A:S,3,FALSE)</f>
        <v>Bordo - Rodovia</v>
      </c>
      <c r="D207" s="516" t="str">
        <f>VLOOKUP(A207,Memória!A:T,20,FALSE)</f>
        <v>M2</v>
      </c>
      <c r="E207" s="517">
        <f>VLOOKUP(A207,Memória!A:S,19,FALSE)</f>
        <v>619</v>
      </c>
      <c r="F207" s="517">
        <f>IF(LEFT(B207,1)="l",VLOOKUP(B207,Composições!$J:$K,2,FALSE),IF(B207&gt;60000,VLOOKUP(A207,Memória!A:AC,22,FALSE),VLOOKUP(B207,'DER 11-20'!$A:$F,6,FALSE)))</f>
        <v>26.03</v>
      </c>
      <c r="G207" s="684">
        <f>TRUNC(E207*F207,2)</f>
        <v>16112.57</v>
      </c>
      <c r="H207" s="700"/>
      <c r="I207" s="701"/>
      <c r="J207" s="701"/>
      <c r="K207" s="703"/>
    </row>
    <row r="208" spans="1:11" ht="18" customHeight="1" x14ac:dyDescent="0.2">
      <c r="A208" s="501" t="s">
        <v>612</v>
      </c>
      <c r="B208" s="515">
        <v>40934</v>
      </c>
      <c r="C208" s="492" t="str">
        <f>VLOOKUP(A208,Memória!A:S,3,FALSE)</f>
        <v>Eixo - Acesso a Comunidade</v>
      </c>
      <c r="D208" s="516" t="str">
        <f>VLOOKUP(A208,Memória!A:T,20,FALSE)</f>
        <v>M2</v>
      </c>
      <c r="E208" s="517">
        <f>VLOOKUP(A208,Memória!A:S,19,FALSE)</f>
        <v>9</v>
      </c>
      <c r="F208" s="517">
        <f>IF(LEFT(B208,1)="l",VLOOKUP(B208,Composições!$J:$K,2,FALSE),IF(B208&gt;60000,VLOOKUP(A208,Memória!A:AC,22,FALSE),VLOOKUP(B208,'DER 11-20'!$A:$F,6,FALSE)))</f>
        <v>26.03</v>
      </c>
      <c r="G208" s="684">
        <f>TRUNC(E208*F208,2)</f>
        <v>234.27</v>
      </c>
      <c r="H208" s="700"/>
      <c r="I208" s="701"/>
      <c r="J208" s="701"/>
      <c r="K208" s="516"/>
    </row>
    <row r="209" spans="1:11" ht="18" customHeight="1" x14ac:dyDescent="0.2">
      <c r="A209" s="501" t="s">
        <v>617</v>
      </c>
      <c r="B209" s="515">
        <v>40934</v>
      </c>
      <c r="C209" s="492" t="str">
        <f>VLOOKUP(A209,Memória!A:S,3,FALSE)</f>
        <v>Bordo - Acesso a Comunidade</v>
      </c>
      <c r="D209" s="516" t="str">
        <f>VLOOKUP(A209,Memória!A:T,20,FALSE)</f>
        <v>M2</v>
      </c>
      <c r="E209" s="517">
        <f>VLOOKUP(A209,Memória!A:S,19,FALSE)</f>
        <v>23</v>
      </c>
      <c r="F209" s="517">
        <f>IF(LEFT(B209,1)="l",VLOOKUP(B209,Composições!$J:$K,2,FALSE),IF(B209&gt;60000,VLOOKUP(A209,Memória!A:AC,22,FALSE),VLOOKUP(B209,'DER 11-20'!$A:$F,6,FALSE)))</f>
        <v>26.03</v>
      </c>
      <c r="G209" s="684">
        <f>TRUNC(E209*F209,2)</f>
        <v>598.69000000000005</v>
      </c>
      <c r="H209" s="700"/>
      <c r="I209" s="701"/>
      <c r="J209" s="701"/>
      <c r="K209" s="516"/>
    </row>
    <row r="210" spans="1:11" x14ac:dyDescent="0.2">
      <c r="A210" s="519"/>
      <c r="B210" s="591"/>
      <c r="C210" s="520" t="s">
        <v>142</v>
      </c>
      <c r="D210" s="521"/>
      <c r="E210" s="522"/>
      <c r="F210" s="523"/>
      <c r="G210" s="522">
        <f>SUM(G181:G209)</f>
        <v>1141189.8500000001</v>
      </c>
      <c r="H210" s="690"/>
      <c r="I210" s="689"/>
      <c r="J210" s="689"/>
      <c r="K210" s="692"/>
    </row>
    <row r="211" spans="1:11" x14ac:dyDescent="0.2">
      <c r="A211" s="497">
        <v>7</v>
      </c>
      <c r="B211" s="505"/>
      <c r="C211" s="506" t="str">
        <f>VLOOKUP(A211,Memória!A:S,3,FALSE)</f>
        <v>RECUPERAÇÃO AMBIENTAL</v>
      </c>
      <c r="D211" s="507"/>
      <c r="E211" s="524"/>
      <c r="F211" s="525"/>
      <c r="G211" s="685"/>
      <c r="H211" s="710"/>
      <c r="I211" s="711"/>
      <c r="J211" s="711"/>
      <c r="K211" s="716"/>
    </row>
    <row r="212" spans="1:11" x14ac:dyDescent="0.2">
      <c r="A212" s="498"/>
      <c r="B212" s="511"/>
      <c r="C212" s="512" t="s">
        <v>627</v>
      </c>
      <c r="D212" s="513"/>
      <c r="E212" s="514"/>
      <c r="F212" s="517"/>
      <c r="G212" s="683"/>
      <c r="H212" s="707"/>
      <c r="I212" s="701"/>
      <c r="J212" s="701"/>
      <c r="K212" s="703"/>
    </row>
    <row r="213" spans="1:11" ht="18.75" customHeight="1" x14ac:dyDescent="0.2">
      <c r="A213" s="501" t="str">
        <f>+Memória!A605</f>
        <v>7.1</v>
      </c>
      <c r="B213" s="515">
        <f>VLOOKUP(A213,Memória!A:S,2,FALSE)</f>
        <v>40171</v>
      </c>
      <c r="C213" s="492" t="str">
        <f>VLOOKUP(A213,Memória!A:S,3,FALSE)</f>
        <v>Destocamento de árvores com diâmetro de 15 a 30 cm, com trator de esteira</v>
      </c>
      <c r="D213" s="516" t="str">
        <f>VLOOKUP(A213,Memória!A:T,20,FALSE)</f>
        <v>Ud</v>
      </c>
      <c r="E213" s="517">
        <f>VLOOKUP(A213,Memória!A:S,19,FALSE)</f>
        <v>82</v>
      </c>
      <c r="F213" s="517">
        <f>IF(LEFT(B213,1)="l",VLOOKUP(B213,Composições!$J:$K,2,FALSE),IF(B213&gt;60000,VLOOKUP(A213,Memória!A:AC,22,FALSE),VLOOKUP(B213,'DER 11-20'!$A:$F,6,FALSE)))</f>
        <v>12.91</v>
      </c>
      <c r="G213" s="684">
        <f>TRUNC(E213*F213,2)</f>
        <v>1058.6199999999999</v>
      </c>
      <c r="H213" s="700"/>
      <c r="I213" s="701"/>
      <c r="J213" s="701"/>
      <c r="K213" s="516"/>
    </row>
    <row r="214" spans="1:11" x14ac:dyDescent="0.2">
      <c r="A214" s="498"/>
      <c r="B214" s="511"/>
      <c r="C214" s="512" t="s">
        <v>628</v>
      </c>
      <c r="D214" s="513"/>
      <c r="E214" s="514"/>
      <c r="F214" s="517"/>
      <c r="G214" s="683"/>
      <c r="H214" s="707"/>
      <c r="I214" s="701"/>
      <c r="J214" s="701"/>
      <c r="K214" s="703"/>
    </row>
    <row r="215" spans="1:11" ht="16.149999999999999" customHeight="1" x14ac:dyDescent="0.2">
      <c r="A215" s="502" t="s">
        <v>221</v>
      </c>
      <c r="B215" s="515">
        <f>VLOOKUP(A215,Memória!A:S,2,FALSE)</f>
        <v>42200</v>
      </c>
      <c r="C215" s="492" t="str">
        <f>VLOOKUP(A215,Memória!A:S,3,FALSE)</f>
        <v>Hidrossemeadura simples em taludes</v>
      </c>
      <c r="D215" s="516" t="str">
        <f>VLOOKUP(A215,Memória!A:T,20,FALSE)</f>
        <v>M2</v>
      </c>
      <c r="E215" s="517">
        <f>VLOOKUP(A215,Memória!A:S,19,FALSE)</f>
        <v>59574</v>
      </c>
      <c r="F215" s="517">
        <f>IF(LEFT(B215,1)="l",VLOOKUP(B215,Composições!$J:$K,2,FALSE),IF(B215&gt;60000,VLOOKUP(A215,Memória!A:AC,22,FALSE),VLOOKUP(B215,'DER 11-20'!$A:$F,6,FALSE)))</f>
        <v>5.72</v>
      </c>
      <c r="G215" s="684">
        <f>TRUNC(E215*F215,2)</f>
        <v>340763.28</v>
      </c>
      <c r="H215" s="700"/>
      <c r="I215" s="701"/>
      <c r="J215" s="701"/>
      <c r="K215" s="516"/>
    </row>
    <row r="216" spans="1:11" ht="18.75" customHeight="1" x14ac:dyDescent="0.2">
      <c r="A216" s="501" t="s">
        <v>308</v>
      </c>
      <c r="B216" s="515">
        <f>VLOOKUP(A216,Memória!A:S,2,FALSE)</f>
        <v>42044</v>
      </c>
      <c r="C216" s="492" t="str">
        <f>VLOOKUP(A216,Memória!A:S,3,FALSE)</f>
        <v>Reunião de Comunicação Social inclusive material de consumo</v>
      </c>
      <c r="D216" s="516" t="str">
        <f>VLOOKUP(A216,Memória!A:T,20,FALSE)</f>
        <v>Ud</v>
      </c>
      <c r="E216" s="517">
        <f>VLOOKUP(A216,Memória!A:S,19,FALSE)</f>
        <v>2</v>
      </c>
      <c r="F216" s="517">
        <f>IF(LEFT(B216,1)="l",VLOOKUP(B216,Composições!$J:$K,2,FALSE),IF(B216&gt;60000,VLOOKUP(A216,Memória!A:AC,22,FALSE),VLOOKUP(B216,'DER 11-20'!$A:$F,6,FALSE)))</f>
        <v>4497.16</v>
      </c>
      <c r="G216" s="684">
        <f>TRUNC(E216*F216,2)</f>
        <v>8994.32</v>
      </c>
      <c r="H216" s="700"/>
      <c r="I216" s="701"/>
      <c r="J216" s="701"/>
      <c r="K216" s="516"/>
    </row>
    <row r="217" spans="1:11" x14ac:dyDescent="0.2">
      <c r="A217" s="519"/>
      <c r="B217" s="591"/>
      <c r="C217" s="520" t="s">
        <v>222</v>
      </c>
      <c r="D217" s="521"/>
      <c r="E217" s="522"/>
      <c r="F217" s="523"/>
      <c r="G217" s="522">
        <f>SUM(G213:G216)</f>
        <v>350816.22</v>
      </c>
      <c r="H217" s="690"/>
      <c r="I217" s="689"/>
      <c r="J217" s="689"/>
      <c r="K217" s="692"/>
    </row>
    <row r="218" spans="1:11" x14ac:dyDescent="0.2">
      <c r="A218" s="519"/>
      <c r="B218" s="591"/>
      <c r="C218" s="928" t="s">
        <v>4</v>
      </c>
      <c r="D218" s="928"/>
      <c r="E218" s="928"/>
      <c r="F218" s="929"/>
      <c r="G218" s="687">
        <f>G11+G42+G75+G100+G179+G210+G217</f>
        <v>17129726.629999999</v>
      </c>
      <c r="H218" s="695"/>
      <c r="I218" s="692"/>
      <c r="J218" s="694"/>
      <c r="K218" s="675"/>
    </row>
    <row r="219" spans="1:11" x14ac:dyDescent="0.2">
      <c r="A219" s="519"/>
      <c r="B219" s="591"/>
      <c r="C219" s="917" t="s">
        <v>9</v>
      </c>
      <c r="D219" s="917"/>
      <c r="E219" s="917"/>
      <c r="F219" s="918"/>
      <c r="G219" s="688">
        <v>4.7</v>
      </c>
      <c r="H219" s="528"/>
      <c r="I219" s="692"/>
      <c r="J219" s="696"/>
      <c r="K219" s="676"/>
    </row>
    <row r="220" spans="1:11" x14ac:dyDescent="0.2">
      <c r="A220" s="519"/>
      <c r="B220" s="591"/>
      <c r="C220" s="917" t="s">
        <v>10</v>
      </c>
      <c r="D220" s="917"/>
      <c r="E220" s="917"/>
      <c r="F220" s="918"/>
      <c r="G220" s="688">
        <f>G218/G219</f>
        <v>3644622.69</v>
      </c>
      <c r="H220" s="528"/>
      <c r="I220" s="692"/>
      <c r="J220" s="693"/>
      <c r="K220" s="675"/>
    </row>
  </sheetData>
  <mergeCells count="10">
    <mergeCell ref="C220:F220"/>
    <mergeCell ref="C3:C4"/>
    <mergeCell ref="E3:E4"/>
    <mergeCell ref="D3:D4"/>
    <mergeCell ref="A1:G1"/>
    <mergeCell ref="A3:B3"/>
    <mergeCell ref="F3:G3"/>
    <mergeCell ref="A2:G2"/>
    <mergeCell ref="C218:F218"/>
    <mergeCell ref="C219:F219"/>
  </mergeCells>
  <printOptions horizontalCentered="1" gridLines="1"/>
  <pageMargins left="0.98425196850393704" right="0.39370078740157483" top="0.59055118110236227" bottom="0.39370078740157483" header="0.51181102362204722" footer="0.51181102362204722"/>
  <pageSetup paperSize="9" scale="61" firstPageNumber="12" fitToHeight="0" orientation="portrait" useFirstPageNumber="1" r:id="rId1"/>
  <headerFooter scaleWithDoc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55"/>
  <sheetViews>
    <sheetView workbookViewId="0">
      <selection activeCell="C55" sqref="C55"/>
    </sheetView>
  </sheetViews>
  <sheetFormatPr defaultColWidth="9" defaultRowHeight="11.25" x14ac:dyDescent="0.2"/>
  <cols>
    <col min="1" max="2" width="9" style="22"/>
    <col min="3" max="3" width="10.875" style="22" customWidth="1"/>
    <col min="4" max="16384" width="9" style="22"/>
  </cols>
  <sheetData>
    <row r="1" spans="1:10" ht="15.75" x14ac:dyDescent="0.2">
      <c r="A1" s="1034" t="s">
        <v>68</v>
      </c>
      <c r="B1" s="1035"/>
      <c r="C1" s="1035"/>
      <c r="D1" s="1035"/>
      <c r="E1" s="1035"/>
      <c r="F1" s="1035"/>
      <c r="G1" s="1035"/>
      <c r="H1" s="1035"/>
      <c r="I1" s="1035"/>
      <c r="J1" s="1036"/>
    </row>
    <row r="2" spans="1:10" x14ac:dyDescent="0.2">
      <c r="A2" s="32" t="s">
        <v>69</v>
      </c>
      <c r="B2" s="25" t="s">
        <v>70</v>
      </c>
      <c r="C2" s="25"/>
      <c r="D2" s="25"/>
      <c r="E2" s="25"/>
      <c r="F2" s="25"/>
      <c r="G2" s="25"/>
      <c r="H2" s="25"/>
      <c r="I2" s="32" t="s">
        <v>71</v>
      </c>
      <c r="J2" s="32" t="s">
        <v>72</v>
      </c>
    </row>
    <row r="3" spans="1:10" x14ac:dyDescent="0.2">
      <c r="A3" s="1037">
        <v>40358</v>
      </c>
      <c r="B3" s="1039" t="s">
        <v>166</v>
      </c>
      <c r="C3" s="1040"/>
      <c r="D3" s="1040"/>
      <c r="E3" s="1040"/>
      <c r="F3" s="1040"/>
      <c r="G3" s="1040"/>
      <c r="H3" s="1041"/>
      <c r="I3" s="1045" t="s">
        <v>67</v>
      </c>
      <c r="J3" s="1046" t="s">
        <v>153</v>
      </c>
    </row>
    <row r="4" spans="1:10" x14ac:dyDescent="0.2">
      <c r="A4" s="1038"/>
      <c r="B4" s="1042"/>
      <c r="C4" s="1043"/>
      <c r="D4" s="1043"/>
      <c r="E4" s="1043"/>
      <c r="F4" s="1043"/>
      <c r="G4" s="1043"/>
      <c r="H4" s="1044"/>
      <c r="I4" s="1038"/>
      <c r="J4" s="1047"/>
    </row>
    <row r="5" spans="1:10" ht="12.75" x14ac:dyDescent="0.25">
      <c r="A5" s="997" t="s">
        <v>73</v>
      </c>
      <c r="B5" s="997"/>
      <c r="C5" s="997"/>
      <c r="D5" s="987" t="s">
        <v>59</v>
      </c>
      <c r="E5" s="987" t="s">
        <v>74</v>
      </c>
      <c r="F5" s="989" t="s">
        <v>75</v>
      </c>
      <c r="G5" s="990"/>
      <c r="H5" s="989" t="s">
        <v>76</v>
      </c>
      <c r="I5" s="990"/>
      <c r="J5" s="986" t="s">
        <v>77</v>
      </c>
    </row>
    <row r="6" spans="1:10" ht="12.75" x14ac:dyDescent="0.25">
      <c r="A6" s="997"/>
      <c r="B6" s="997"/>
      <c r="C6" s="997"/>
      <c r="D6" s="988"/>
      <c r="E6" s="988"/>
      <c r="F6" s="120" t="s">
        <v>78</v>
      </c>
      <c r="G6" s="121" t="s">
        <v>79</v>
      </c>
      <c r="H6" s="120" t="s">
        <v>78</v>
      </c>
      <c r="I6" s="120" t="s">
        <v>79</v>
      </c>
      <c r="J6" s="986"/>
    </row>
    <row r="7" spans="1:10" ht="12.75" customHeight="1" x14ac:dyDescent="0.2">
      <c r="A7" s="1093" t="str">
        <f>VLOOKUP(D7,equip.!A1:G154,2,FALSE)</f>
        <v>Betoneira 600 l com carregador (elétrica)</v>
      </c>
      <c r="B7" s="1094"/>
      <c r="C7" s="1095"/>
      <c r="D7" s="35">
        <v>30070</v>
      </c>
      <c r="E7" s="36">
        <v>1</v>
      </c>
      <c r="F7" s="36">
        <v>1</v>
      </c>
      <c r="G7" s="36">
        <v>0</v>
      </c>
      <c r="H7" s="36">
        <f>VLOOKUP(D7,equip.!A1:G130,6,FALSE)</f>
        <v>26.5</v>
      </c>
      <c r="I7" s="36">
        <f>VLOOKUP(D7,equip.!A1:AB130,7,FALSE)</f>
        <v>21.55</v>
      </c>
      <c r="J7" s="36">
        <f>TRUNC(E7*F7*H7+E7*G7*I7,2)</f>
        <v>26.5</v>
      </c>
    </row>
    <row r="8" spans="1:10" x14ac:dyDescent="0.2">
      <c r="A8" s="1096" t="str">
        <f>VLOOKUP(D8,equip.!A2:G155,2,FALSE)</f>
        <v>Carrinho de mão</v>
      </c>
      <c r="B8" s="1097"/>
      <c r="C8" s="1098"/>
      <c r="D8" s="35">
        <v>30076</v>
      </c>
      <c r="E8" s="36">
        <v>3</v>
      </c>
      <c r="F8" s="36">
        <v>1</v>
      </c>
      <c r="G8" s="36">
        <v>0</v>
      </c>
      <c r="H8" s="36">
        <f>VLOOKUP(D8,equip.!A2:G131,6,FALSE)</f>
        <v>0.19</v>
      </c>
      <c r="I8" s="36">
        <f>VLOOKUP(D8,equip.!A2:AB131,7,FALSE)</f>
        <v>0.13</v>
      </c>
      <c r="J8" s="36">
        <f>TRUNC(E8*F8*H8+E8*G8*I8,2)</f>
        <v>0.56999999999999995</v>
      </c>
    </row>
    <row r="9" spans="1:10" x14ac:dyDescent="0.2">
      <c r="A9" s="1096" t="str">
        <f>VLOOKUP(D9,equip.!A3:G156,2,FALSE)</f>
        <v>Vibrador de imersao AA67 c/ mangote, marca de referência ATLAS COPCO ou equivalente</v>
      </c>
      <c r="B9" s="1097"/>
      <c r="C9" s="1098"/>
      <c r="D9" s="35">
        <v>30071</v>
      </c>
      <c r="E9" s="36">
        <v>2</v>
      </c>
      <c r="F9" s="36">
        <v>1</v>
      </c>
      <c r="G9" s="36">
        <v>0</v>
      </c>
      <c r="H9" s="36">
        <f>VLOOKUP(D9,equip.!A3:G132,6,FALSE)</f>
        <v>15.98</v>
      </c>
      <c r="I9" s="36">
        <f>VLOOKUP(D9,equip.!A3:AB132,7,FALSE)</f>
        <v>13.16</v>
      </c>
      <c r="J9" s="36">
        <f>TRUNC(E9*F9*H9+E9*G9*I9,2)</f>
        <v>31.96</v>
      </c>
    </row>
    <row r="10" spans="1:10" x14ac:dyDescent="0.2">
      <c r="A10" s="99"/>
      <c r="B10" s="100"/>
      <c r="C10" s="101"/>
      <c r="D10" s="35"/>
      <c r="E10" s="36"/>
      <c r="F10" s="36"/>
      <c r="G10" s="36"/>
      <c r="H10" s="36"/>
      <c r="I10" s="36"/>
      <c r="J10" s="36"/>
    </row>
    <row r="11" spans="1:10" x14ac:dyDescent="0.2">
      <c r="A11" s="99"/>
      <c r="B11" s="100"/>
      <c r="C11" s="101"/>
      <c r="D11" s="35"/>
      <c r="E11" s="36"/>
      <c r="F11" s="36"/>
      <c r="G11" s="36"/>
      <c r="H11" s="36"/>
      <c r="I11" s="36"/>
      <c r="J11" s="36"/>
    </row>
    <row r="12" spans="1:10" x14ac:dyDescent="0.2">
      <c r="A12" s="99"/>
      <c r="B12" s="100"/>
      <c r="C12" s="101"/>
      <c r="D12" s="35"/>
      <c r="E12" s="36"/>
      <c r="F12" s="36"/>
      <c r="G12" s="36"/>
      <c r="H12" s="36"/>
      <c r="I12" s="36"/>
      <c r="J12" s="36"/>
    </row>
    <row r="13" spans="1:10" ht="12.75" x14ac:dyDescent="0.25">
      <c r="A13" s="125" t="s">
        <v>127</v>
      </c>
      <c r="B13" s="126"/>
      <c r="C13" s="127"/>
      <c r="D13" s="122"/>
      <c r="E13" s="128">
        <v>0.05</v>
      </c>
      <c r="F13" s="123"/>
      <c r="G13" s="123"/>
      <c r="H13" s="123">
        <f>+J27</f>
        <v>72.66</v>
      </c>
      <c r="I13" s="123"/>
      <c r="J13" s="123">
        <f>TRUNC(H13*E13,2)</f>
        <v>3.63</v>
      </c>
    </row>
    <row r="14" spans="1:10" ht="12.75" x14ac:dyDescent="0.25">
      <c r="A14" s="991"/>
      <c r="B14" s="992"/>
      <c r="C14" s="993"/>
      <c r="D14" s="124"/>
      <c r="E14" s="123"/>
      <c r="F14" s="123"/>
      <c r="G14" s="123"/>
      <c r="H14" s="123"/>
      <c r="I14" s="123"/>
      <c r="J14" s="123"/>
    </row>
    <row r="15" spans="1:10" ht="12.75" x14ac:dyDescent="0.25">
      <c r="A15" s="998" t="s">
        <v>80</v>
      </c>
      <c r="B15" s="999"/>
      <c r="C15" s="999"/>
      <c r="D15" s="999"/>
      <c r="E15" s="999"/>
      <c r="F15" s="999"/>
      <c r="G15" s="999"/>
      <c r="H15" s="999"/>
      <c r="I15" s="1000"/>
      <c r="J15" s="136">
        <f>SUM(J7:J14)</f>
        <v>62.66</v>
      </c>
    </row>
    <row r="16" spans="1:10" x14ac:dyDescent="0.2">
      <c r="A16" s="1001" t="s">
        <v>81</v>
      </c>
      <c r="B16" s="1002"/>
      <c r="C16" s="1002"/>
      <c r="D16" s="1002"/>
      <c r="E16" s="1003"/>
      <c r="F16" s="987" t="s">
        <v>59</v>
      </c>
      <c r="G16" s="987" t="s">
        <v>82</v>
      </c>
      <c r="H16" s="987" t="s">
        <v>74</v>
      </c>
      <c r="I16" s="986" t="s">
        <v>83</v>
      </c>
      <c r="J16" s="987" t="s">
        <v>77</v>
      </c>
    </row>
    <row r="17" spans="1:10" x14ac:dyDescent="0.2">
      <c r="A17" s="1004"/>
      <c r="B17" s="1005"/>
      <c r="C17" s="1005"/>
      <c r="D17" s="1005"/>
      <c r="E17" s="1006"/>
      <c r="F17" s="988"/>
      <c r="G17" s="988"/>
      <c r="H17" s="988"/>
      <c r="I17" s="986"/>
      <c r="J17" s="988"/>
    </row>
    <row r="18" spans="1:10" ht="12.75" x14ac:dyDescent="0.25">
      <c r="A18" s="991" t="str">
        <f>VLOOKUP(F18,m.o.!A1:F153,2,FALSE)</f>
        <v>Encarregado de O.A.C.</v>
      </c>
      <c r="B18" s="992"/>
      <c r="C18" s="992"/>
      <c r="D18" s="992"/>
      <c r="E18" s="993"/>
      <c r="F18" s="137">
        <v>20060</v>
      </c>
      <c r="G18" s="138"/>
      <c r="H18" s="123">
        <v>1</v>
      </c>
      <c r="I18" s="123">
        <f>VLOOKUP(F18,m.o.!A1:F128,5,FALSE)</f>
        <v>11</v>
      </c>
      <c r="J18" s="123">
        <f>TRUNC(H18*I18,2)</f>
        <v>11</v>
      </c>
    </row>
    <row r="19" spans="1:10" ht="12.75" x14ac:dyDescent="0.25">
      <c r="A19" s="991" t="str">
        <f>VLOOKUP(F19,m.o.!A2:F154,2,FALSE)</f>
        <v>Operário braçal</v>
      </c>
      <c r="B19" s="992"/>
      <c r="C19" s="992"/>
      <c r="D19" s="992"/>
      <c r="E19" s="993"/>
      <c r="F19" s="137">
        <v>20107</v>
      </c>
      <c r="G19" s="138"/>
      <c r="H19" s="123">
        <v>10</v>
      </c>
      <c r="I19" s="123">
        <f>VLOOKUP(F19,m.o.!A2:F129,5,FALSE)</f>
        <v>4.96</v>
      </c>
      <c r="J19" s="123">
        <f>TRUNC(H19*I19,2)</f>
        <v>49.6</v>
      </c>
    </row>
    <row r="20" spans="1:10" ht="12.75" x14ac:dyDescent="0.25">
      <c r="A20" s="991" t="str">
        <f>VLOOKUP(F20,m.o.!A4:F155,2,FALSE)</f>
        <v>Pedreiro de O.A.C.</v>
      </c>
      <c r="B20" s="992"/>
      <c r="C20" s="992"/>
      <c r="D20" s="992"/>
      <c r="E20" s="993"/>
      <c r="F20" s="137">
        <v>20109</v>
      </c>
      <c r="G20" s="138"/>
      <c r="H20" s="123">
        <v>2</v>
      </c>
      <c r="I20" s="123">
        <f>VLOOKUP(F20,m.o.!A4:F130,5,FALSE)</f>
        <v>6.03</v>
      </c>
      <c r="J20" s="123">
        <f>TRUNC(H20*I20,2)</f>
        <v>12.06</v>
      </c>
    </row>
    <row r="21" spans="1:10" ht="12.75" x14ac:dyDescent="0.25">
      <c r="A21" s="139"/>
      <c r="B21" s="140"/>
      <c r="C21" s="140"/>
      <c r="D21" s="140"/>
      <c r="E21" s="141"/>
      <c r="F21" s="137"/>
      <c r="G21" s="138"/>
      <c r="H21" s="123"/>
      <c r="I21" s="123"/>
      <c r="J21" s="123"/>
    </row>
    <row r="22" spans="1:10" ht="12.75" x14ac:dyDescent="0.25">
      <c r="A22" s="139"/>
      <c r="B22" s="140"/>
      <c r="C22" s="140"/>
      <c r="D22" s="140"/>
      <c r="E22" s="141"/>
      <c r="F22" s="137"/>
      <c r="G22" s="142"/>
      <c r="H22" s="123"/>
      <c r="I22" s="123"/>
      <c r="J22" s="123"/>
    </row>
    <row r="23" spans="1:10" ht="12.75" x14ac:dyDescent="0.25">
      <c r="A23" s="125"/>
      <c r="B23" s="126"/>
      <c r="C23" s="126"/>
      <c r="D23" s="126"/>
      <c r="E23" s="127"/>
      <c r="F23" s="137"/>
      <c r="G23" s="142"/>
      <c r="H23" s="123"/>
      <c r="I23" s="123"/>
      <c r="J23" s="123"/>
    </row>
    <row r="24" spans="1:10" ht="12.75" x14ac:dyDescent="0.25">
      <c r="A24" s="139"/>
      <c r="B24" s="140"/>
      <c r="C24" s="140"/>
      <c r="D24" s="140"/>
      <c r="E24" s="141"/>
      <c r="F24" s="137"/>
      <c r="G24" s="142"/>
      <c r="H24" s="123"/>
      <c r="I24" s="123"/>
      <c r="J24" s="123"/>
    </row>
    <row r="25" spans="1:10" ht="12.75" x14ac:dyDescent="0.25">
      <c r="A25" s="139"/>
      <c r="B25" s="140"/>
      <c r="C25" s="140"/>
      <c r="D25" s="140"/>
      <c r="E25" s="141"/>
      <c r="F25" s="137"/>
      <c r="G25" s="142"/>
      <c r="H25" s="123"/>
      <c r="I25" s="123"/>
      <c r="J25" s="123"/>
    </row>
    <row r="26" spans="1:10" ht="12.75" x14ac:dyDescent="0.25">
      <c r="A26" s="994"/>
      <c r="B26" s="995"/>
      <c r="C26" s="995"/>
      <c r="D26" s="995"/>
      <c r="E26" s="996"/>
      <c r="F26" s="134"/>
      <c r="G26" s="143"/>
      <c r="H26" s="135"/>
      <c r="I26" s="135"/>
      <c r="J26" s="123"/>
    </row>
    <row r="27" spans="1:10" ht="12.75" x14ac:dyDescent="0.25">
      <c r="A27" s="998" t="s">
        <v>84</v>
      </c>
      <c r="B27" s="999"/>
      <c r="C27" s="999"/>
      <c r="D27" s="999"/>
      <c r="E27" s="999"/>
      <c r="F27" s="999"/>
      <c r="G27" s="999"/>
      <c r="H27" s="999"/>
      <c r="I27" s="1000"/>
      <c r="J27" s="136">
        <f>ROUND(SUM(J18:J26),2)</f>
        <v>72.66</v>
      </c>
    </row>
    <row r="28" spans="1:10" ht="12.75" x14ac:dyDescent="0.25">
      <c r="A28" s="1007" t="s">
        <v>85</v>
      </c>
      <c r="B28" s="1008"/>
      <c r="C28" s="1008"/>
      <c r="D28" s="1008"/>
      <c r="E28" s="1008"/>
      <c r="F28" s="135">
        <v>1</v>
      </c>
      <c r="G28" s="1007" t="s">
        <v>86</v>
      </c>
      <c r="H28" s="1008"/>
      <c r="I28" s="1008"/>
      <c r="J28" s="144">
        <f>+J27+J15</f>
        <v>135.32</v>
      </c>
    </row>
    <row r="29" spans="1:10" ht="12.75" x14ac:dyDescent="0.25">
      <c r="A29" s="1009" t="s">
        <v>87</v>
      </c>
      <c r="B29" s="1010"/>
      <c r="C29" s="1010"/>
      <c r="D29" s="1010"/>
      <c r="E29" s="1010"/>
      <c r="F29" s="1010"/>
      <c r="G29" s="1010"/>
      <c r="H29" s="1010"/>
      <c r="I29" s="1011"/>
      <c r="J29" s="136">
        <f>TRUNC(J28/F28,2)</f>
        <v>135.32</v>
      </c>
    </row>
    <row r="30" spans="1:10" x14ac:dyDescent="0.2">
      <c r="A30" s="1025" t="s">
        <v>88</v>
      </c>
      <c r="B30" s="1026"/>
      <c r="C30" s="1026"/>
      <c r="D30" s="1026"/>
      <c r="E30" s="1027"/>
      <c r="F30" s="987" t="s">
        <v>59</v>
      </c>
      <c r="G30" s="987" t="s">
        <v>1</v>
      </c>
      <c r="H30" s="986" t="s">
        <v>63</v>
      </c>
      <c r="I30" s="987" t="s">
        <v>89</v>
      </c>
      <c r="J30" s="987" t="s">
        <v>90</v>
      </c>
    </row>
    <row r="31" spans="1:10" x14ac:dyDescent="0.2">
      <c r="A31" s="1028"/>
      <c r="B31" s="1029"/>
      <c r="C31" s="1029"/>
      <c r="D31" s="1029"/>
      <c r="E31" s="1030"/>
      <c r="F31" s="988"/>
      <c r="G31" s="988"/>
      <c r="H31" s="986"/>
      <c r="I31" s="988"/>
      <c r="J31" s="988"/>
    </row>
    <row r="32" spans="1:10" ht="12.75" x14ac:dyDescent="0.25">
      <c r="A32" s="991" t="str">
        <f>VLOOKUP(F32,mat.!$A$3:$D$646,2,FALSE)</f>
        <v>Areia grossa jazida com carregamento mecânico</v>
      </c>
      <c r="B32" s="992"/>
      <c r="C32" s="992"/>
      <c r="D32" s="992"/>
      <c r="E32" s="993"/>
      <c r="F32" s="137">
        <v>10109</v>
      </c>
      <c r="G32" s="145" t="str">
        <f>VLOOKUP(F32,mat.!$A$3:$D$642,3,FALSE)</f>
        <v>m3</v>
      </c>
      <c r="H32" s="145">
        <f>VLOOKUP(F32,mat.!$A$3:$E$642,4,FALSE)</f>
        <v>60</v>
      </c>
      <c r="I32" s="146">
        <v>0.64470000000000005</v>
      </c>
      <c r="J32" s="123">
        <f>TRUNC(I32*H32,2)</f>
        <v>38.68</v>
      </c>
    </row>
    <row r="33" spans="1:13" ht="12.75" x14ac:dyDescent="0.25">
      <c r="A33" s="991" t="str">
        <f>VLOOKUP(F33,mat.!$A$3:$D$646,2,FALSE)</f>
        <v>Cimento CP III</v>
      </c>
      <c r="B33" s="992"/>
      <c r="C33" s="992"/>
      <c r="D33" s="992"/>
      <c r="E33" s="993"/>
      <c r="F33" s="147">
        <v>10092</v>
      </c>
      <c r="G33" s="145" t="str">
        <f>VLOOKUP(F33,mat.!$A$3:$D$642,3,FALSE)</f>
        <v>kg</v>
      </c>
      <c r="H33" s="145">
        <f>VLOOKUP(F33,mat.!$A$3:$E$642,4,FALSE)</f>
        <v>0.41</v>
      </c>
      <c r="I33" s="146">
        <v>357</v>
      </c>
      <c r="J33" s="123">
        <f>TRUNC(I33*H33,2)</f>
        <v>146.37</v>
      </c>
    </row>
    <row r="34" spans="1:13" ht="12.75" x14ac:dyDescent="0.25">
      <c r="A34" s="991" t="str">
        <f>VLOOKUP(F34,mat.!$A$3:$D$646,2,FALSE)</f>
        <v>Pedra britada p/ concreto, sem frete</v>
      </c>
      <c r="B34" s="992"/>
      <c r="C34" s="992"/>
      <c r="D34" s="992"/>
      <c r="E34" s="993"/>
      <c r="F34" s="147">
        <v>10125</v>
      </c>
      <c r="G34" s="145" t="str">
        <f>VLOOKUP(F34,mat.!$A$3:$D$642,3,FALSE)</f>
        <v>m3</v>
      </c>
      <c r="H34" s="145">
        <f>VLOOKUP(F34,mat.!$A$3:$E$642,4,FALSE)</f>
        <v>70.75</v>
      </c>
      <c r="I34" s="146">
        <v>0.77700000000000002</v>
      </c>
      <c r="J34" s="123">
        <f>TRUNC(I34*H34,2)</f>
        <v>54.97</v>
      </c>
    </row>
    <row r="35" spans="1:13" ht="12.75" x14ac:dyDescent="0.25">
      <c r="A35" s="991"/>
      <c r="B35" s="992"/>
      <c r="C35" s="992"/>
      <c r="D35" s="992"/>
      <c r="E35" s="993"/>
      <c r="F35" s="147"/>
      <c r="G35" s="145"/>
      <c r="H35" s="145"/>
      <c r="I35" s="146"/>
      <c r="J35" s="123"/>
    </row>
    <row r="36" spans="1:13" ht="12.75" x14ac:dyDescent="0.25">
      <c r="A36" s="139"/>
      <c r="B36" s="140"/>
      <c r="C36" s="140"/>
      <c r="D36" s="140"/>
      <c r="E36" s="141"/>
      <c r="F36" s="148"/>
      <c r="G36" s="145"/>
      <c r="H36" s="145"/>
      <c r="I36" s="146"/>
      <c r="J36" s="123"/>
    </row>
    <row r="37" spans="1:13" ht="12.75" x14ac:dyDescent="0.25">
      <c r="A37" s="149"/>
      <c r="B37" s="150"/>
      <c r="C37" s="150"/>
      <c r="D37" s="150"/>
      <c r="E37" s="151"/>
      <c r="F37" s="148"/>
      <c r="G37" s="152"/>
      <c r="H37" s="145"/>
      <c r="I37" s="146"/>
      <c r="J37" s="123"/>
    </row>
    <row r="38" spans="1:13" ht="12.75" x14ac:dyDescent="0.25">
      <c r="A38" s="125"/>
      <c r="B38" s="153"/>
      <c r="C38" s="153"/>
      <c r="D38" s="153"/>
      <c r="E38" s="154"/>
      <c r="F38" s="148"/>
      <c r="G38" s="152"/>
      <c r="H38" s="145"/>
      <c r="I38" s="146"/>
      <c r="J38" s="123"/>
    </row>
    <row r="39" spans="1:13" ht="12.75" x14ac:dyDescent="0.25">
      <c r="A39" s="991"/>
      <c r="B39" s="992"/>
      <c r="C39" s="992"/>
      <c r="D39" s="992"/>
      <c r="E39" s="993"/>
      <c r="F39" s="148"/>
      <c r="G39" s="152"/>
      <c r="H39" s="145"/>
      <c r="I39" s="146"/>
      <c r="J39" s="123"/>
    </row>
    <row r="40" spans="1:13" ht="12.75" x14ac:dyDescent="0.25">
      <c r="A40" s="991"/>
      <c r="B40" s="992"/>
      <c r="C40" s="992"/>
      <c r="D40" s="992"/>
      <c r="E40" s="993"/>
      <c r="F40" s="148"/>
      <c r="G40" s="152"/>
      <c r="H40" s="145"/>
      <c r="I40" s="146"/>
      <c r="J40" s="123"/>
    </row>
    <row r="41" spans="1:13" ht="12.75" x14ac:dyDescent="0.25">
      <c r="A41" s="994"/>
      <c r="B41" s="995"/>
      <c r="C41" s="995"/>
      <c r="D41" s="995"/>
      <c r="E41" s="996"/>
      <c r="F41" s="155"/>
      <c r="G41" s="156"/>
      <c r="H41" s="157"/>
      <c r="I41" s="146"/>
      <c r="J41" s="123"/>
    </row>
    <row r="42" spans="1:13" ht="12.75" x14ac:dyDescent="0.25">
      <c r="A42" s="998" t="s">
        <v>91</v>
      </c>
      <c r="B42" s="999"/>
      <c r="C42" s="999"/>
      <c r="D42" s="999"/>
      <c r="E42" s="999"/>
      <c r="F42" s="999"/>
      <c r="G42" s="999"/>
      <c r="H42" s="999"/>
      <c r="I42" s="1000"/>
      <c r="J42" s="136">
        <f>ROUND(SUM(J32:J41),2)</f>
        <v>240.02</v>
      </c>
    </row>
    <row r="43" spans="1:13" ht="12.75" x14ac:dyDescent="0.25">
      <c r="A43" s="1001" t="s">
        <v>92</v>
      </c>
      <c r="B43" s="1002"/>
      <c r="C43" s="1002"/>
      <c r="D43" s="1002"/>
      <c r="E43" s="1015" t="s">
        <v>59</v>
      </c>
      <c r="F43" s="989" t="s">
        <v>93</v>
      </c>
      <c r="G43" s="990"/>
      <c r="H43" s="1017" t="s">
        <v>94</v>
      </c>
      <c r="I43" s="1017" t="s">
        <v>95</v>
      </c>
      <c r="J43" s="987" t="s">
        <v>63</v>
      </c>
    </row>
    <row r="44" spans="1:13" ht="12.75" x14ac:dyDescent="0.25">
      <c r="A44" s="1004"/>
      <c r="B44" s="1005"/>
      <c r="C44" s="1005"/>
      <c r="D44" s="1005"/>
      <c r="E44" s="1016"/>
      <c r="F44" s="120" t="s">
        <v>21</v>
      </c>
      <c r="G44" s="120" t="s">
        <v>20</v>
      </c>
      <c r="H44" s="1017"/>
      <c r="I44" s="1017"/>
      <c r="J44" s="988"/>
    </row>
    <row r="45" spans="1:13" x14ac:dyDescent="0.2">
      <c r="A45" s="49" t="str">
        <f>VLOOKUP(E45,transp.!A4:J30,4,FALSE)</f>
        <v>0,719XP + 0,749XR + 2,997</v>
      </c>
      <c r="B45" s="104"/>
      <c r="C45" s="104" t="s">
        <v>113</v>
      </c>
      <c r="D45" s="105"/>
      <c r="E45" s="106">
        <v>60002</v>
      </c>
      <c r="F45" s="61">
        <v>28</v>
      </c>
      <c r="G45" s="36">
        <v>0</v>
      </c>
      <c r="H45" s="36">
        <f>TRUNC(F45*K45+G45*L45+M45,2)</f>
        <v>23.12</v>
      </c>
      <c r="I45" s="62">
        <v>0.96709999999999996</v>
      </c>
      <c r="J45" s="36">
        <f>TRUNC(I45*H45,2)</f>
        <v>22.35</v>
      </c>
      <c r="K45" s="22">
        <f>VLOOKUP(E45,transp.!$A$4:$K$21,5,FALSE)</f>
        <v>0.71899999999999997</v>
      </c>
      <c r="L45" s="22">
        <f>VLOOKUP(E45,transp.!$A$4:$G$19,6,FALSE)</f>
        <v>0.749</v>
      </c>
      <c r="M45" s="22">
        <f>VLOOKUP(E45,transp.!$A$4:$G$19,7,FALSE)</f>
        <v>2.9969999999999999</v>
      </c>
    </row>
    <row r="46" spans="1:13" x14ac:dyDescent="0.2">
      <c r="A46" s="107" t="str">
        <f>VLOOKUP(E46,transp.!A5:J30,4,FALSE)</f>
        <v>0,716XP + 0,745XR</v>
      </c>
      <c r="B46" s="108"/>
      <c r="C46" s="108" t="s">
        <v>159</v>
      </c>
      <c r="D46" s="109"/>
      <c r="E46" s="118">
        <v>60013</v>
      </c>
      <c r="F46" s="54">
        <v>141</v>
      </c>
      <c r="G46" s="54">
        <v>0</v>
      </c>
      <c r="H46" s="36">
        <f>TRUNC(F46*K46+G46*L46+M46,2)</f>
        <v>100.95</v>
      </c>
      <c r="I46" s="63">
        <v>0.35699999999999998</v>
      </c>
      <c r="J46" s="36">
        <f>TRUNC(I46*H46,2)</f>
        <v>36.03</v>
      </c>
      <c r="K46" s="22">
        <f>VLOOKUP(E46,transp.!$A$4:$K$21,5,FALSE)</f>
        <v>0.71599999999999997</v>
      </c>
      <c r="L46" s="22">
        <f>VLOOKUP(E46,transp.!$A$4:$G$19,6,FALSE)</f>
        <v>0.745</v>
      </c>
      <c r="M46" s="22">
        <f>VLOOKUP(E46,transp.!$A$4:$G$19,7,FALSE)</f>
        <v>0</v>
      </c>
    </row>
    <row r="47" spans="1:13" x14ac:dyDescent="0.2">
      <c r="A47" s="107" t="str">
        <f>VLOOKUP(E47,transp.!A6:J30,4,FALSE)</f>
        <v>0,719XP + 0,749XR + 2,997</v>
      </c>
      <c r="B47" s="108"/>
      <c r="C47" s="108" t="s">
        <v>160</v>
      </c>
      <c r="D47" s="109"/>
      <c r="E47" s="119">
        <v>60002</v>
      </c>
      <c r="F47" s="36">
        <v>7.5</v>
      </c>
      <c r="G47" s="36">
        <v>1</v>
      </c>
      <c r="H47" s="36">
        <f>TRUNC(F47*K47+G47*L47+M47,2)</f>
        <v>9.1300000000000008</v>
      </c>
      <c r="I47" s="62">
        <v>1.1655</v>
      </c>
      <c r="J47" s="36">
        <f>TRUNC(I47*H47,2)</f>
        <v>10.64</v>
      </c>
      <c r="K47" s="22">
        <f>VLOOKUP(E47,transp.!$A$4:$K$21,5,FALSE)</f>
        <v>0.71899999999999997</v>
      </c>
      <c r="L47" s="22">
        <f>VLOOKUP(E47,transp.!$A$4:$G$19,6,FALSE)</f>
        <v>0.749</v>
      </c>
      <c r="M47" s="22">
        <f>VLOOKUP(E47,transp.!$A$4:$G$19,7,FALSE)</f>
        <v>2.9969999999999999</v>
      </c>
    </row>
    <row r="48" spans="1:13" x14ac:dyDescent="0.2">
      <c r="A48" s="115"/>
      <c r="B48" s="116"/>
      <c r="C48" s="116"/>
      <c r="D48" s="117"/>
      <c r="E48" s="36"/>
      <c r="F48" s="36"/>
      <c r="G48" s="36"/>
      <c r="H48" s="36"/>
      <c r="I48" s="62"/>
      <c r="J48" s="54"/>
    </row>
    <row r="49" spans="1:10" ht="12.75" x14ac:dyDescent="0.25">
      <c r="A49" s="1012" t="s">
        <v>96</v>
      </c>
      <c r="B49" s="1013"/>
      <c r="C49" s="1013"/>
      <c r="D49" s="1013"/>
      <c r="E49" s="1013"/>
      <c r="F49" s="1013"/>
      <c r="G49" s="1013"/>
      <c r="H49" s="1013"/>
      <c r="I49" s="1014"/>
      <c r="J49" s="170">
        <f>SUM(J45:J48)</f>
        <v>69.02</v>
      </c>
    </row>
    <row r="50" spans="1:10" ht="12.75" x14ac:dyDescent="0.25">
      <c r="A50" s="1018" t="s">
        <v>97</v>
      </c>
      <c r="B50" s="1019"/>
      <c r="C50" s="1019"/>
      <c r="D50" s="1019"/>
      <c r="E50" s="1019"/>
      <c r="F50" s="1019"/>
      <c r="G50" s="171" t="s">
        <v>98</v>
      </c>
      <c r="H50" s="172"/>
      <c r="I50" s="173" t="s">
        <v>99</v>
      </c>
      <c r="J50" s="162">
        <f>J49+J42+J29</f>
        <v>444.36</v>
      </c>
    </row>
    <row r="51" spans="1:10" ht="12.75" x14ac:dyDescent="0.25">
      <c r="A51" s="1020" t="s">
        <v>100</v>
      </c>
      <c r="B51" s="1021"/>
      <c r="C51" s="1021"/>
      <c r="D51" s="1021"/>
      <c r="E51" s="1021"/>
      <c r="F51" s="1021"/>
      <c r="G51" s="174">
        <v>0.35</v>
      </c>
      <c r="H51" s="175"/>
      <c r="I51" s="176" t="s">
        <v>99</v>
      </c>
      <c r="J51" s="144">
        <f>+J50*G51</f>
        <v>155.53</v>
      </c>
    </row>
    <row r="52" spans="1:10" ht="12.75" x14ac:dyDescent="0.25">
      <c r="A52" s="1009" t="s">
        <v>101</v>
      </c>
      <c r="B52" s="1010"/>
      <c r="C52" s="1010"/>
      <c r="D52" s="1010"/>
      <c r="E52" s="1010"/>
      <c r="F52" s="1010"/>
      <c r="G52" s="177"/>
      <c r="H52" s="178"/>
      <c r="I52" s="179" t="s">
        <v>99</v>
      </c>
      <c r="J52" s="136">
        <f>+J51+J50</f>
        <v>599.89</v>
      </c>
    </row>
    <row r="53" spans="1:10" x14ac:dyDescent="0.2">
      <c r="A53" s="23" t="s">
        <v>102</v>
      </c>
      <c r="B53" s="25"/>
      <c r="C53" s="25"/>
      <c r="D53" s="25"/>
      <c r="E53" s="25"/>
      <c r="F53" s="25"/>
      <c r="G53" s="25"/>
      <c r="H53" s="24"/>
      <c r="I53" s="24"/>
      <c r="J53" s="73"/>
    </row>
    <row r="54" spans="1:10" x14ac:dyDescent="0.2">
      <c r="A54" s="26"/>
      <c r="B54" s="27"/>
      <c r="C54" s="27"/>
      <c r="D54" s="27"/>
      <c r="E54" s="27"/>
      <c r="F54" s="27"/>
      <c r="G54" s="27"/>
      <c r="H54" s="28"/>
      <c r="I54" s="28"/>
      <c r="J54" s="73"/>
    </row>
    <row r="55" spans="1:10" x14ac:dyDescent="0.2">
      <c r="A55" s="29"/>
      <c r="B55" s="31"/>
      <c r="C55" s="31"/>
      <c r="D55" s="30"/>
      <c r="E55" s="30"/>
      <c r="F55" s="30"/>
      <c r="G55" s="30"/>
      <c r="H55" s="30"/>
      <c r="I55" s="30"/>
      <c r="J55" s="74"/>
    </row>
  </sheetData>
  <mergeCells count="54">
    <mergeCell ref="J43:J44"/>
    <mergeCell ref="A49:I49"/>
    <mergeCell ref="A50:F50"/>
    <mergeCell ref="A51:F51"/>
    <mergeCell ref="A52:F52"/>
    <mergeCell ref="A40:E40"/>
    <mergeCell ref="A41:E41"/>
    <mergeCell ref="A42:I42"/>
    <mergeCell ref="A43:D44"/>
    <mergeCell ref="E43:E44"/>
    <mergeCell ref="F43:G43"/>
    <mergeCell ref="H43:H44"/>
    <mergeCell ref="I43:I44"/>
    <mergeCell ref="J30:J31"/>
    <mergeCell ref="A32:E32"/>
    <mergeCell ref="A33:E33"/>
    <mergeCell ref="A34:E34"/>
    <mergeCell ref="A35:E35"/>
    <mergeCell ref="A39:E39"/>
    <mergeCell ref="A28:E28"/>
    <mergeCell ref="G28:I28"/>
    <mergeCell ref="A29:I29"/>
    <mergeCell ref="A30:E31"/>
    <mergeCell ref="F30:F31"/>
    <mergeCell ref="G30:G31"/>
    <mergeCell ref="H30:H31"/>
    <mergeCell ref="I30:I31"/>
    <mergeCell ref="J16:J17"/>
    <mergeCell ref="A18:E18"/>
    <mergeCell ref="A19:E19"/>
    <mergeCell ref="A20:E20"/>
    <mergeCell ref="A26:E26"/>
    <mergeCell ref="A27:I27"/>
    <mergeCell ref="A15:I15"/>
    <mergeCell ref="A16:E17"/>
    <mergeCell ref="F16:F17"/>
    <mergeCell ref="G16:G17"/>
    <mergeCell ref="H16:H17"/>
    <mergeCell ref="I16:I17"/>
    <mergeCell ref="J5:J6"/>
    <mergeCell ref="A7:C7"/>
    <mergeCell ref="A8:C8"/>
    <mergeCell ref="A9:C9"/>
    <mergeCell ref="A14:C14"/>
    <mergeCell ref="A5:C6"/>
    <mergeCell ref="D5:D6"/>
    <mergeCell ref="E5:E6"/>
    <mergeCell ref="F5:G5"/>
    <mergeCell ref="H5:I5"/>
    <mergeCell ref="A1:J1"/>
    <mergeCell ref="A3:A4"/>
    <mergeCell ref="B3:H4"/>
    <mergeCell ref="I3:I4"/>
    <mergeCell ref="J3:J4"/>
  </mergeCells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596"/>
  <sheetViews>
    <sheetView showGridLines="0" view="pageBreakPreview" topLeftCell="A1893" zoomScale="85" zoomScaleNormal="85" zoomScaleSheetLayoutView="85" workbookViewId="0">
      <selection activeCell="D1905" sqref="D1905"/>
    </sheetView>
  </sheetViews>
  <sheetFormatPr defaultColWidth="9" defaultRowHeight="14.25" x14ac:dyDescent="0.2"/>
  <cols>
    <col min="1" max="1" width="23.625" style="295" customWidth="1"/>
    <col min="2" max="3" width="9" style="295"/>
    <col min="4" max="4" width="16.375" style="295" bestFit="1" customWidth="1"/>
    <col min="5" max="6" width="9" style="295"/>
    <col min="7" max="7" width="7.375" style="295" customWidth="1"/>
    <col min="8" max="8" width="8.625" style="295" customWidth="1"/>
    <col min="9" max="9" width="10.25" style="198" customWidth="1"/>
    <col min="10" max="10" width="16.875" style="400" bestFit="1" customWidth="1"/>
    <col min="11" max="11" width="8.75" style="400" bestFit="1" customWidth="1"/>
    <col min="12" max="16384" width="9" style="295"/>
  </cols>
  <sheetData>
    <row r="1" spans="1:13" x14ac:dyDescent="0.2">
      <c r="A1" s="1116" t="s">
        <v>213</v>
      </c>
      <c r="B1" s="1116"/>
      <c r="C1" s="1116"/>
      <c r="D1" s="1116"/>
      <c r="E1" s="1116"/>
      <c r="F1" s="1116"/>
      <c r="G1" s="1116"/>
      <c r="H1" s="1116"/>
      <c r="I1" s="1116"/>
    </row>
    <row r="2" spans="1:13" x14ac:dyDescent="0.2">
      <c r="A2" s="228" t="s">
        <v>214</v>
      </c>
      <c r="B2" s="229"/>
      <c r="C2" s="199"/>
      <c r="D2" s="199"/>
      <c r="E2" s="199"/>
      <c r="F2" s="199"/>
      <c r="G2" s="199"/>
      <c r="H2" s="199"/>
      <c r="I2" s="414" t="s">
        <v>2290</v>
      </c>
    </row>
    <row r="3" spans="1:13" x14ac:dyDescent="0.2">
      <c r="A3" s="228"/>
      <c r="B3" s="229"/>
      <c r="C3" s="199"/>
      <c r="D3" s="199"/>
      <c r="E3" s="199"/>
      <c r="F3" s="199"/>
      <c r="G3" s="199"/>
      <c r="H3" s="199" t="s">
        <v>344</v>
      </c>
      <c r="I3" s="735" t="s">
        <v>391</v>
      </c>
    </row>
    <row r="4" spans="1:13" x14ac:dyDescent="0.2">
      <c r="A4" s="228"/>
      <c r="B4" s="229"/>
      <c r="C4" s="199"/>
      <c r="D4" s="199"/>
      <c r="E4" s="199"/>
      <c r="F4" s="199"/>
      <c r="G4" s="199"/>
      <c r="H4" s="199"/>
      <c r="I4" s="736">
        <v>0.23319999999999999</v>
      </c>
    </row>
    <row r="5" spans="1:13" x14ac:dyDescent="0.2">
      <c r="A5" s="1116" t="str">
        <f>$A$1</f>
        <v>COMPOSIÇÃO DE CUSTOS UNITÁRIOS</v>
      </c>
      <c r="B5" s="1116"/>
      <c r="C5" s="1116"/>
      <c r="D5" s="1116"/>
      <c r="E5" s="1116"/>
      <c r="F5" s="1116"/>
      <c r="G5" s="1116"/>
      <c r="H5" s="1116"/>
      <c r="I5" s="1116"/>
    </row>
    <row r="6" spans="1:13" x14ac:dyDescent="0.2">
      <c r="A6" s="228" t="str">
        <f>$A$2</f>
        <v>Tabela Referencial de Preços - DER-ES</v>
      </c>
      <c r="B6" s="229"/>
      <c r="C6" s="199"/>
      <c r="D6" s="199"/>
      <c r="E6" s="199"/>
      <c r="F6" s="199"/>
      <c r="G6" s="199"/>
      <c r="H6" s="199"/>
      <c r="I6" s="414" t="str">
        <f>$I$2</f>
        <v>Data Base: novembro/2020</v>
      </c>
      <c r="J6" s="400">
        <v>40077</v>
      </c>
      <c r="K6" s="400">
        <f>VLOOKUP("Preço Unitário Total",F8:I3937,4,FALSE)</f>
        <v>0.22</v>
      </c>
      <c r="L6" s="295">
        <f>VLOOKUP(J6,'DER 11-20'!A:E,5,FALSE)</f>
        <v>0</v>
      </c>
      <c r="M6" s="295" t="str">
        <f>VLOOKUP(J6,'DER 11-20'!$A:$D,2,FALSE)</f>
        <v>Roçada mecanizada</v>
      </c>
    </row>
    <row r="7" spans="1:13" x14ac:dyDescent="0.2">
      <c r="A7" s="1117" t="str">
        <f>+CONCATENATE("Serviço: ",J6," ",VLOOKUP(J6,'DER 11-20'!$A:$D,2,FALSE))</f>
        <v>Serviço: 40077 Roçada mecanizada</v>
      </c>
      <c r="B7" s="1117"/>
      <c r="C7" s="1117"/>
      <c r="D7" s="1117"/>
      <c r="E7" s="1117"/>
      <c r="F7" s="1117"/>
      <c r="G7" s="1117"/>
      <c r="H7" s="1117"/>
      <c r="I7" s="1119" t="str">
        <f>CONCATENATE("Unidade: ", VLOOKUP(J6,'DER 11-20'!$A:$E,3,FALSE))</f>
        <v>Unidade: M2</v>
      </c>
    </row>
    <row r="8" spans="1:13" x14ac:dyDescent="0.2">
      <c r="A8" s="1118"/>
      <c r="B8" s="1118"/>
      <c r="C8" s="1118"/>
      <c r="D8" s="1118"/>
      <c r="E8" s="1118"/>
      <c r="F8" s="1118"/>
      <c r="G8" s="1118"/>
      <c r="H8" s="1118"/>
      <c r="I8" s="1120"/>
    </row>
    <row r="9" spans="1:13" ht="22.5" x14ac:dyDescent="0.2">
      <c r="A9" s="231" t="s">
        <v>177</v>
      </c>
      <c r="B9" s="232" t="s">
        <v>59</v>
      </c>
      <c r="C9" s="232" t="s">
        <v>178</v>
      </c>
      <c r="D9" s="232" t="s">
        <v>179</v>
      </c>
      <c r="E9" s="232" t="s">
        <v>180</v>
      </c>
      <c r="F9" s="232" t="s">
        <v>181</v>
      </c>
      <c r="G9" s="232" t="s">
        <v>182</v>
      </c>
      <c r="H9" s="232" t="s">
        <v>89</v>
      </c>
      <c r="I9" s="434" t="s">
        <v>183</v>
      </c>
      <c r="J9" s="295"/>
      <c r="K9" s="295"/>
    </row>
    <row r="10" spans="1:13" ht="22.5" x14ac:dyDescent="0.2">
      <c r="A10" s="233" t="str">
        <f>VLOOKUP(B10,equip.!$A:$G,2,FALSE)</f>
        <v>Roçadeira deslocavel adaptavel ao trator agrícola</v>
      </c>
      <c r="B10" s="234">
        <v>30055</v>
      </c>
      <c r="C10" s="235">
        <f>VLOOKUP(B10,equip.!$A$1:$G$239,3,FALSE)</f>
        <v>0</v>
      </c>
      <c r="D10" s="236">
        <v>0.8</v>
      </c>
      <c r="E10" s="203">
        <v>0.2</v>
      </c>
      <c r="F10" s="237">
        <f>VLOOKUP(B10,equip.!$A:$G,6,FALSE)</f>
        <v>13.7</v>
      </c>
      <c r="G10" s="237">
        <f>VLOOKUP(B10,equip.!$A:$G,7,FALSE)</f>
        <v>13.31</v>
      </c>
      <c r="H10" s="238">
        <v>1</v>
      </c>
      <c r="I10" s="418">
        <f>TRUNC(D10*F10*H10+E10*G10*H10,2)</f>
        <v>13.62</v>
      </c>
      <c r="J10" s="295"/>
      <c r="K10" s="295"/>
    </row>
    <row r="11" spans="1:13" ht="33.75" x14ac:dyDescent="0.2">
      <c r="A11" s="233" t="str">
        <f>VLOOKUP(B11,equip.!$A:$G,2,FALSE)</f>
        <v>Trator agrícola MF 297/4 -4 X 4 (MASSEY FERGUSSON) ou equivalente</v>
      </c>
      <c r="B11" s="234">
        <v>30030</v>
      </c>
      <c r="C11" s="235" t="str">
        <f>VLOOKUP(B11,equip.!$A$1:$G$239,3,FALSE)</f>
        <v>M</v>
      </c>
      <c r="D11" s="236">
        <v>0.8</v>
      </c>
      <c r="E11" s="203">
        <v>0.2</v>
      </c>
      <c r="F11" s="237">
        <f>VLOOKUP(B11,equip.!$A:$G,6,FALSE)</f>
        <v>116.59</v>
      </c>
      <c r="G11" s="237">
        <f>VLOOKUP(B11,equip.!$A:$G,7,FALSE)</f>
        <v>33.1</v>
      </c>
      <c r="H11" s="238">
        <v>1</v>
      </c>
      <c r="I11" s="418">
        <f>TRUNC(D11*F11*H11+E11*G11*H11,2)</f>
        <v>99.89</v>
      </c>
      <c r="J11" s="295"/>
      <c r="K11" s="295"/>
    </row>
    <row r="12" spans="1:13" x14ac:dyDescent="0.2">
      <c r="A12" s="199"/>
      <c r="B12" s="229"/>
      <c r="C12" s="229"/>
      <c r="D12" s="199"/>
      <c r="E12" s="199"/>
      <c r="F12" s="230" t="s">
        <v>184</v>
      </c>
      <c r="G12" s="240"/>
      <c r="H12" s="241"/>
      <c r="I12" s="438">
        <f>SUM(I10:I11)</f>
        <v>113.51</v>
      </c>
      <c r="J12" s="295"/>
      <c r="K12" s="295"/>
    </row>
    <row r="13" spans="1:13" x14ac:dyDescent="0.2">
      <c r="A13" s="199"/>
      <c r="B13" s="229"/>
      <c r="C13" s="229"/>
      <c r="D13" s="199"/>
      <c r="E13" s="199"/>
      <c r="F13" s="199"/>
      <c r="G13" s="199"/>
      <c r="H13" s="199"/>
      <c r="I13" s="439"/>
      <c r="J13" s="295"/>
      <c r="K13" s="295"/>
    </row>
    <row r="14" spans="1:13" x14ac:dyDescent="0.2">
      <c r="A14" s="242" t="s">
        <v>185</v>
      </c>
      <c r="B14" s="243" t="s">
        <v>59</v>
      </c>
      <c r="C14" s="232" t="s">
        <v>357</v>
      </c>
      <c r="D14" s="243" t="s">
        <v>187</v>
      </c>
      <c r="E14" s="1121" t="s">
        <v>89</v>
      </c>
      <c r="F14" s="1114"/>
      <c r="G14" s="1115"/>
      <c r="H14" s="1121" t="s">
        <v>183</v>
      </c>
      <c r="I14" s="1115"/>
      <c r="J14" s="295"/>
      <c r="K14" s="295"/>
    </row>
    <row r="15" spans="1:13" x14ac:dyDescent="0.2">
      <c r="A15" s="244" t="str">
        <f>VLOOKUP(B15,m.o.!$A:$H,2,FALSE)</f>
        <v>Feitor</v>
      </c>
      <c r="B15" s="234">
        <v>20087</v>
      </c>
      <c r="C15" s="239">
        <f>VLOOKUP(B15,m.o.!$A:$F,4,FALSE)</f>
        <v>2.2599999999999998</v>
      </c>
      <c r="D15" s="239">
        <f>VLOOKUP(B15,m.o.!$A:$G,7,FALSE)</f>
        <v>28.31</v>
      </c>
      <c r="E15" s="255"/>
      <c r="F15" s="253"/>
      <c r="G15" s="293">
        <v>1</v>
      </c>
      <c r="H15" s="240"/>
      <c r="I15" s="427">
        <f>TRUNC(D15*G15,2)</f>
        <v>28.31</v>
      </c>
      <c r="J15" s="295"/>
      <c r="K15" s="295"/>
    </row>
    <row r="16" spans="1:13" x14ac:dyDescent="0.2">
      <c r="A16" s="244" t="str">
        <f>VLOOKUP(B16,m.o.!$A:$H,2,FALSE)</f>
        <v>Servente</v>
      </c>
      <c r="B16" s="234">
        <v>20002</v>
      </c>
      <c r="C16" s="239">
        <f>VLOOKUP(B16,m.o.!$A:$F,4,FALSE)</f>
        <v>1</v>
      </c>
      <c r="D16" s="239">
        <f>VLOOKUP(B16,m.o.!$A:$G,7,FALSE)</f>
        <v>12.52</v>
      </c>
      <c r="E16" s="240"/>
      <c r="F16" s="241"/>
      <c r="G16" s="405">
        <v>3</v>
      </c>
      <c r="H16" s="240"/>
      <c r="I16" s="427">
        <f>TRUNC(D16*G16,2)</f>
        <v>37.56</v>
      </c>
      <c r="J16" s="295"/>
      <c r="K16" s="295"/>
    </row>
    <row r="17" spans="1:11" x14ac:dyDescent="0.2">
      <c r="A17" s="199"/>
      <c r="B17" s="229"/>
      <c r="C17" s="229"/>
      <c r="D17" s="199"/>
      <c r="E17" s="199"/>
      <c r="F17" s="230" t="s">
        <v>188</v>
      </c>
      <c r="G17" s="240"/>
      <c r="H17" s="241"/>
      <c r="I17" s="438">
        <f>SUM(I15:I16)</f>
        <v>65.87</v>
      </c>
      <c r="J17" s="295"/>
      <c r="K17" s="295"/>
    </row>
    <row r="18" spans="1:11" x14ac:dyDescent="0.2">
      <c r="A18" s="199"/>
      <c r="B18" s="229"/>
      <c r="C18" s="229"/>
      <c r="D18" s="199"/>
      <c r="E18" s="199"/>
      <c r="F18" s="199"/>
      <c r="G18" s="199"/>
      <c r="H18" s="199"/>
      <c r="I18" s="439"/>
      <c r="J18" s="295"/>
      <c r="K18" s="295"/>
    </row>
    <row r="19" spans="1:11" x14ac:dyDescent="0.2">
      <c r="A19" s="263" t="s">
        <v>189</v>
      </c>
      <c r="B19" s="243" t="s">
        <v>59</v>
      </c>
      <c r="C19" s="775" t="s">
        <v>17</v>
      </c>
      <c r="D19" s="243" t="s">
        <v>190</v>
      </c>
      <c r="E19" s="243" t="s">
        <v>191</v>
      </c>
      <c r="F19" s="243" t="s">
        <v>192</v>
      </c>
      <c r="G19" s="1121" t="s">
        <v>94</v>
      </c>
      <c r="H19" s="1114"/>
      <c r="I19" s="1115"/>
      <c r="J19" s="295"/>
      <c r="K19" s="295"/>
    </row>
    <row r="20" spans="1:11" x14ac:dyDescent="0.2">
      <c r="A20" s="244" t="s">
        <v>127</v>
      </c>
      <c r="B20" s="234">
        <v>2000</v>
      </c>
      <c r="C20" s="239">
        <v>5</v>
      </c>
      <c r="D20" s="235" t="s">
        <v>208</v>
      </c>
      <c r="E20" s="246"/>
      <c r="F20" s="246"/>
      <c r="G20" s="240"/>
      <c r="H20" s="241"/>
      <c r="I20" s="427">
        <f>TRUNC(C20/100*I17,2)</f>
        <v>3.29</v>
      </c>
      <c r="J20" s="295"/>
      <c r="K20" s="295"/>
    </row>
    <row r="21" spans="1:11" x14ac:dyDescent="0.2">
      <c r="A21" s="199"/>
      <c r="B21" s="229"/>
      <c r="C21" s="199"/>
      <c r="D21" s="199"/>
      <c r="E21" s="199"/>
      <c r="F21" s="230" t="s">
        <v>327</v>
      </c>
      <c r="G21" s="240"/>
      <c r="H21" s="241"/>
      <c r="I21" s="438">
        <f>SUM(I20)</f>
        <v>3.29</v>
      </c>
      <c r="K21" s="295"/>
    </row>
    <row r="22" spans="1:11" x14ac:dyDescent="0.2">
      <c r="A22" s="199"/>
      <c r="B22" s="229"/>
      <c r="C22" s="199"/>
      <c r="D22" s="199"/>
      <c r="E22" s="199"/>
      <c r="F22" s="199"/>
      <c r="G22" s="199"/>
      <c r="H22" s="199"/>
      <c r="I22" s="439"/>
      <c r="K22" s="295"/>
    </row>
    <row r="23" spans="1:11" x14ac:dyDescent="0.2">
      <c r="A23" s="247"/>
      <c r="B23" s="248"/>
      <c r="C23" s="249"/>
      <c r="D23" s="249"/>
      <c r="E23" s="249"/>
      <c r="F23" s="250" t="s">
        <v>193</v>
      </c>
      <c r="G23" s="401"/>
      <c r="H23" s="249"/>
      <c r="I23" s="445">
        <f>+I12+I17+I21</f>
        <v>182.67</v>
      </c>
      <c r="K23" s="295"/>
    </row>
    <row r="24" spans="1:11" x14ac:dyDescent="0.2">
      <c r="A24" s="251"/>
      <c r="B24" s="252"/>
      <c r="C24" s="253"/>
      <c r="D24" s="253"/>
      <c r="E24" s="253"/>
      <c r="F24" s="254" t="s">
        <v>194</v>
      </c>
      <c r="G24" s="255"/>
      <c r="H24" s="253"/>
      <c r="I24" s="446">
        <v>1000</v>
      </c>
      <c r="K24" s="295"/>
    </row>
    <row r="25" spans="1:11" x14ac:dyDescent="0.2">
      <c r="A25" s="233"/>
      <c r="B25" s="256"/>
      <c r="C25" s="241"/>
      <c r="D25" s="241"/>
      <c r="E25" s="241"/>
      <c r="F25" s="257" t="s">
        <v>216</v>
      </c>
      <c r="G25" s="240"/>
      <c r="H25" s="241"/>
      <c r="I25" s="447">
        <f>TRUNC(I23/I24,2)</f>
        <v>0.18</v>
      </c>
      <c r="K25" s="295"/>
    </row>
    <row r="26" spans="1:11" x14ac:dyDescent="0.2">
      <c r="A26" s="774"/>
      <c r="B26" s="229"/>
      <c r="C26" s="199"/>
      <c r="D26" s="199"/>
      <c r="E26" s="199"/>
      <c r="F26" s="258"/>
      <c r="G26" s="199"/>
      <c r="H26" s="199"/>
      <c r="I26" s="450"/>
      <c r="K26" s="295"/>
    </row>
    <row r="27" spans="1:11" x14ac:dyDescent="0.2">
      <c r="A27" s="242" t="s">
        <v>195</v>
      </c>
      <c r="B27" s="243" t="s">
        <v>59</v>
      </c>
      <c r="C27" s="243" t="s">
        <v>196</v>
      </c>
      <c r="D27" s="243" t="s">
        <v>217</v>
      </c>
      <c r="E27" s="1121" t="s">
        <v>89</v>
      </c>
      <c r="F27" s="1114"/>
      <c r="G27" s="1115"/>
      <c r="H27" s="1121" t="s">
        <v>183</v>
      </c>
      <c r="I27" s="1115"/>
      <c r="K27" s="295"/>
    </row>
    <row r="28" spans="1:11" x14ac:dyDescent="0.2">
      <c r="A28" s="259"/>
      <c r="B28" s="234"/>
      <c r="C28" s="260"/>
      <c r="D28" s="261"/>
      <c r="E28" s="255"/>
      <c r="F28" s="253"/>
      <c r="G28" s="293"/>
      <c r="H28" s="255"/>
      <c r="I28" s="423">
        <f>TRUNC(D28*G28,2)</f>
        <v>0</v>
      </c>
      <c r="K28" s="295"/>
    </row>
    <row r="29" spans="1:11" x14ac:dyDescent="0.2">
      <c r="A29" s="199"/>
      <c r="B29" s="229"/>
      <c r="C29" s="199"/>
      <c r="D29" s="199"/>
      <c r="E29" s="199"/>
      <c r="F29" s="230" t="s">
        <v>197</v>
      </c>
      <c r="G29" s="240"/>
      <c r="H29" s="241"/>
      <c r="I29" s="438">
        <f>SUM(I28:I28)</f>
        <v>0</v>
      </c>
      <c r="K29" s="295"/>
    </row>
    <row r="30" spans="1:11" x14ac:dyDescent="0.2">
      <c r="A30" s="199"/>
      <c r="B30" s="229"/>
      <c r="C30" s="199"/>
      <c r="D30" s="199"/>
      <c r="E30" s="199"/>
      <c r="F30" s="199"/>
      <c r="G30" s="262"/>
      <c r="H30" s="199"/>
      <c r="I30" s="439"/>
      <c r="K30" s="295"/>
    </row>
    <row r="31" spans="1:11" x14ac:dyDescent="0.2">
      <c r="A31" s="263" t="s">
        <v>198</v>
      </c>
      <c r="B31" s="243" t="s">
        <v>59</v>
      </c>
      <c r="C31" s="243" t="s">
        <v>196</v>
      </c>
      <c r="D31" s="775" t="s">
        <v>217</v>
      </c>
      <c r="E31" s="1121" t="s">
        <v>89</v>
      </c>
      <c r="F31" s="1114"/>
      <c r="G31" s="1115"/>
      <c r="H31" s="1121" t="s">
        <v>183</v>
      </c>
      <c r="I31" s="1115"/>
      <c r="K31" s="295"/>
    </row>
    <row r="32" spans="1:11" x14ac:dyDescent="0.2">
      <c r="A32" s="244"/>
      <c r="B32" s="234"/>
      <c r="C32" s="234"/>
      <c r="D32" s="239"/>
      <c r="E32" s="255"/>
      <c r="F32" s="253"/>
      <c r="G32" s="293"/>
      <c r="H32" s="240"/>
      <c r="I32" s="423">
        <f>TRUNC(D32*G32,2)</f>
        <v>0</v>
      </c>
      <c r="K32" s="295"/>
    </row>
    <row r="33" spans="1:13" x14ac:dyDescent="0.2">
      <c r="A33" s="200"/>
      <c r="B33" s="264"/>
      <c r="C33" s="200"/>
      <c r="D33" s="200"/>
      <c r="E33" s="200"/>
      <c r="F33" s="265" t="s">
        <v>199</v>
      </c>
      <c r="G33" s="255"/>
      <c r="H33" s="266"/>
      <c r="I33" s="441">
        <f>SUM(I30:I32)</f>
        <v>0</v>
      </c>
      <c r="K33" s="295"/>
    </row>
    <row r="34" spans="1:13" x14ac:dyDescent="0.2">
      <c r="A34" s="200"/>
      <c r="B34" s="264"/>
      <c r="C34" s="200"/>
      <c r="D34" s="200"/>
      <c r="E34" s="200"/>
      <c r="F34" s="200"/>
      <c r="G34" s="200"/>
      <c r="H34" s="200"/>
      <c r="I34" s="440"/>
      <c r="K34" s="295"/>
    </row>
    <row r="35" spans="1:13" x14ac:dyDescent="0.2">
      <c r="A35" s="406" t="s">
        <v>200</v>
      </c>
      <c r="B35" s="268" t="s">
        <v>59</v>
      </c>
      <c r="C35" s="268" t="s">
        <v>196</v>
      </c>
      <c r="D35" s="268" t="s">
        <v>201</v>
      </c>
      <c r="E35" s="268" t="s">
        <v>202</v>
      </c>
      <c r="F35" s="268" t="s">
        <v>203</v>
      </c>
      <c r="G35" s="268" t="s">
        <v>94</v>
      </c>
      <c r="H35" s="268" t="s">
        <v>89</v>
      </c>
      <c r="I35" s="442" t="s">
        <v>204</v>
      </c>
      <c r="K35" s="295"/>
    </row>
    <row r="36" spans="1:13" x14ac:dyDescent="0.2">
      <c r="A36" s="244"/>
      <c r="B36" s="234"/>
      <c r="C36" s="234"/>
      <c r="D36" s="269"/>
      <c r="E36" s="270"/>
      <c r="F36" s="270"/>
      <c r="G36" s="239"/>
      <c r="H36" s="271"/>
      <c r="I36" s="418">
        <f>TRUNC(G36*H36,2)</f>
        <v>0</v>
      </c>
      <c r="K36" s="295"/>
    </row>
    <row r="37" spans="1:13" x14ac:dyDescent="0.2">
      <c r="A37" s="200"/>
      <c r="B37" s="264"/>
      <c r="C37" s="200"/>
      <c r="D37" s="200"/>
      <c r="E37" s="200"/>
      <c r="F37" s="265" t="s">
        <v>205</v>
      </c>
      <c r="G37" s="240"/>
      <c r="H37" s="272"/>
      <c r="I37" s="443">
        <f>SUM(I36:I36)</f>
        <v>0</v>
      </c>
    </row>
    <row r="38" spans="1:13" x14ac:dyDescent="0.2">
      <c r="A38" s="200"/>
      <c r="B38" s="264"/>
      <c r="C38" s="200"/>
      <c r="D38" s="200"/>
      <c r="E38" s="200"/>
      <c r="F38" s="200"/>
      <c r="G38" s="200"/>
      <c r="H38" s="200"/>
      <c r="I38" s="444"/>
    </row>
    <row r="39" spans="1:13" x14ac:dyDescent="0.2">
      <c r="A39" s="273"/>
      <c r="B39" s="274"/>
      <c r="C39" s="275"/>
      <c r="D39" s="275"/>
      <c r="E39" s="275"/>
      <c r="F39" s="276" t="s">
        <v>206</v>
      </c>
      <c r="G39" s="273"/>
      <c r="H39" s="249"/>
      <c r="I39" s="445">
        <f>+I25+I29+I33+I37</f>
        <v>0.18</v>
      </c>
    </row>
    <row r="40" spans="1:13" x14ac:dyDescent="0.2">
      <c r="A40" s="255"/>
      <c r="B40" s="277"/>
      <c r="C40" s="266"/>
      <c r="D40" s="266"/>
      <c r="E40" s="266"/>
      <c r="F40" s="278" t="str">
        <f>CONCATENATE($H$3," ",$I$3)</f>
        <v>BDI: 23,32</v>
      </c>
      <c r="G40" s="403"/>
      <c r="H40" s="253"/>
      <c r="I40" s="446">
        <f>+ROUND(I39*$I$4,2)</f>
        <v>0.04</v>
      </c>
    </row>
    <row r="41" spans="1:13" x14ac:dyDescent="0.2">
      <c r="A41" s="240"/>
      <c r="B41" s="279"/>
      <c r="C41" s="272"/>
      <c r="D41" s="272"/>
      <c r="E41" s="272"/>
      <c r="F41" s="280" t="s">
        <v>207</v>
      </c>
      <c r="G41" s="404"/>
      <c r="H41" s="241"/>
      <c r="I41" s="720">
        <f>+I39+I40</f>
        <v>0.22</v>
      </c>
    </row>
    <row r="42" spans="1:13" x14ac:dyDescent="0.2">
      <c r="A42" s="1116" t="str">
        <f>$A$1</f>
        <v>COMPOSIÇÃO DE CUSTOS UNITÁRIOS</v>
      </c>
      <c r="B42" s="1116"/>
      <c r="C42" s="1116"/>
      <c r="D42" s="1116"/>
      <c r="E42" s="1116"/>
      <c r="F42" s="1116"/>
      <c r="G42" s="1116"/>
      <c r="H42" s="1116"/>
      <c r="I42" s="1116"/>
    </row>
    <row r="43" spans="1:13" x14ac:dyDescent="0.2">
      <c r="A43" s="228" t="str">
        <f>$A$2</f>
        <v>Tabela Referencial de Preços - DER-ES</v>
      </c>
      <c r="B43" s="229"/>
      <c r="C43" s="199"/>
      <c r="D43" s="199"/>
      <c r="E43" s="199"/>
      <c r="F43" s="199"/>
      <c r="G43" s="199"/>
      <c r="H43" s="199"/>
      <c r="I43" s="414" t="str">
        <f>$I$2</f>
        <v>Data Base: novembro/2020</v>
      </c>
      <c r="J43" s="400">
        <v>100882</v>
      </c>
      <c r="K43" s="400">
        <f>VLOOKUP("Preço Unitário Total",F45:I3937,4,FALSE)</f>
        <v>239.99</v>
      </c>
      <c r="L43" s="295">
        <f>VLOOKUP(J43,'DER 11-20'!A:E,5,FALSE)</f>
        <v>0</v>
      </c>
      <c r="M43" s="295" t="str">
        <f>VLOOKUP(J43,'DER 11-20'!$A:$D,2,FALSE)</f>
        <v>Tapume Telha Metálica Ondulada 0,50mm Branca h=2,20m, incl. montagem estr. mad. 8"x8", incl. faixas pint. esmalte sintético c/ h=40cm (Reaproveitamento 2x)</v>
      </c>
    </row>
    <row r="44" spans="1:13" x14ac:dyDescent="0.2">
      <c r="A44" s="1117" t="str">
        <f>+CONCATENATE("Serviço: ",J43," ",VLOOKUP(J43,'DER 11-20'!$A:$D,2,FALSE))</f>
        <v>Serviço: 100882 Tapume Telha Metálica Ondulada 0,50mm Branca h=2,20m, incl. montagem estr. mad. 8"x8", incl. faixas pint. esmalte sintético c/ h=40cm (Reaproveitamento 2x)</v>
      </c>
      <c r="B44" s="1117"/>
      <c r="C44" s="1117"/>
      <c r="D44" s="1117"/>
      <c r="E44" s="1117"/>
      <c r="F44" s="1117"/>
      <c r="G44" s="1117"/>
      <c r="H44" s="1117"/>
      <c r="I44" s="1119" t="str">
        <f>CONCATENATE("Unidade: ", VLOOKUP(J43,'DER 11-20'!$A:$E,3,FALSE))</f>
        <v>Unidade: M</v>
      </c>
    </row>
    <row r="45" spans="1:13" x14ac:dyDescent="0.2">
      <c r="A45" s="1118"/>
      <c r="B45" s="1118"/>
      <c r="C45" s="1118"/>
      <c r="D45" s="1118"/>
      <c r="E45" s="1118"/>
      <c r="F45" s="1118"/>
      <c r="G45" s="1118"/>
      <c r="H45" s="1118"/>
      <c r="I45" s="1120"/>
    </row>
    <row r="46" spans="1:13" ht="22.5" x14ac:dyDescent="0.2">
      <c r="A46" s="231" t="s">
        <v>177</v>
      </c>
      <c r="B46" s="232" t="s">
        <v>59</v>
      </c>
      <c r="C46" s="232" t="s">
        <v>178</v>
      </c>
      <c r="D46" s="232" t="s">
        <v>179</v>
      </c>
      <c r="E46" s="232" t="s">
        <v>180</v>
      </c>
      <c r="F46" s="232" t="s">
        <v>181</v>
      </c>
      <c r="G46" s="232" t="s">
        <v>182</v>
      </c>
      <c r="H46" s="232" t="s">
        <v>89</v>
      </c>
      <c r="I46" s="434" t="s">
        <v>183</v>
      </c>
      <c r="J46" s="295"/>
      <c r="K46" s="295"/>
    </row>
    <row r="47" spans="1:13" x14ac:dyDescent="0.2">
      <c r="A47" s="199"/>
      <c r="B47" s="229"/>
      <c r="C47" s="229"/>
      <c r="D47" s="199"/>
      <c r="E47" s="199"/>
      <c r="F47" s="230" t="s">
        <v>184</v>
      </c>
      <c r="G47" s="240"/>
      <c r="H47" s="241"/>
      <c r="I47" s="438">
        <v>0</v>
      </c>
      <c r="J47" s="295"/>
      <c r="K47" s="295"/>
    </row>
    <row r="48" spans="1:13" x14ac:dyDescent="0.2">
      <c r="A48" s="199"/>
      <c r="B48" s="229"/>
      <c r="C48" s="229"/>
      <c r="D48" s="199"/>
      <c r="E48" s="199"/>
      <c r="F48" s="199"/>
      <c r="G48" s="199"/>
      <c r="H48" s="199"/>
      <c r="I48" s="439"/>
      <c r="J48" s="295"/>
      <c r="K48" s="295"/>
    </row>
    <row r="49" spans="1:11" x14ac:dyDescent="0.2">
      <c r="A49" s="242" t="s">
        <v>185</v>
      </c>
      <c r="B49" s="243" t="s">
        <v>59</v>
      </c>
      <c r="C49" s="232" t="s">
        <v>357</v>
      </c>
      <c r="D49" s="243" t="s">
        <v>187</v>
      </c>
      <c r="E49" s="1121" t="s">
        <v>89</v>
      </c>
      <c r="F49" s="1114"/>
      <c r="G49" s="1115"/>
      <c r="H49" s="1121" t="s">
        <v>183</v>
      </c>
      <c r="I49" s="1115"/>
      <c r="J49" s="295"/>
      <c r="K49" s="295"/>
    </row>
    <row r="50" spans="1:11" x14ac:dyDescent="0.2">
      <c r="A50" s="199"/>
      <c r="B50" s="229"/>
      <c r="C50" s="229"/>
      <c r="D50" s="199"/>
      <c r="E50" s="199"/>
      <c r="F50" s="230" t="s">
        <v>188</v>
      </c>
      <c r="G50" s="240"/>
      <c r="H50" s="241"/>
      <c r="I50" s="438">
        <v>0</v>
      </c>
      <c r="J50" s="295"/>
      <c r="K50" s="295"/>
    </row>
    <row r="51" spans="1:11" x14ac:dyDescent="0.2">
      <c r="A51" s="199"/>
      <c r="B51" s="229"/>
      <c r="C51" s="229"/>
      <c r="D51" s="199"/>
      <c r="E51" s="199"/>
      <c r="F51" s="199"/>
      <c r="G51" s="199"/>
      <c r="H51" s="199"/>
      <c r="I51" s="439"/>
      <c r="J51" s="295"/>
      <c r="K51" s="295"/>
    </row>
    <row r="52" spans="1:11" x14ac:dyDescent="0.2">
      <c r="A52" s="263" t="s">
        <v>189</v>
      </c>
      <c r="B52" s="243" t="s">
        <v>59</v>
      </c>
      <c r="C52" s="779" t="s">
        <v>17</v>
      </c>
      <c r="D52" s="243" t="s">
        <v>190</v>
      </c>
      <c r="E52" s="243" t="s">
        <v>191</v>
      </c>
      <c r="F52" s="243" t="s">
        <v>192</v>
      </c>
      <c r="G52" s="1121" t="s">
        <v>94</v>
      </c>
      <c r="H52" s="1114"/>
      <c r="I52" s="1115"/>
      <c r="J52" s="295"/>
      <c r="K52" s="295"/>
    </row>
    <row r="53" spans="1:11" x14ac:dyDescent="0.2">
      <c r="A53" s="244" t="s">
        <v>127</v>
      </c>
      <c r="B53" s="234">
        <v>2000</v>
      </c>
      <c r="C53" s="239">
        <v>5</v>
      </c>
      <c r="D53" s="235" t="s">
        <v>208</v>
      </c>
      <c r="E53" s="246"/>
      <c r="F53" s="246"/>
      <c r="G53" s="240"/>
      <c r="H53" s="241"/>
      <c r="I53" s="427">
        <f>TRUNC(C53/100*I50,2)</f>
        <v>0</v>
      </c>
      <c r="J53" s="295"/>
      <c r="K53" s="295"/>
    </row>
    <row r="54" spans="1:11" x14ac:dyDescent="0.2">
      <c r="A54" s="199"/>
      <c r="B54" s="229"/>
      <c r="C54" s="199"/>
      <c r="D54" s="199"/>
      <c r="E54" s="199"/>
      <c r="F54" s="230" t="s">
        <v>327</v>
      </c>
      <c r="G54" s="240"/>
      <c r="H54" s="241"/>
      <c r="I54" s="438">
        <f>SUM(I53)</f>
        <v>0</v>
      </c>
      <c r="K54" s="295"/>
    </row>
    <row r="55" spans="1:11" x14ac:dyDescent="0.2">
      <c r="A55" s="199"/>
      <c r="B55" s="229"/>
      <c r="C55" s="199"/>
      <c r="D55" s="199"/>
      <c r="E55" s="199"/>
      <c r="F55" s="199"/>
      <c r="G55" s="199"/>
      <c r="H55" s="199"/>
      <c r="I55" s="439"/>
      <c r="K55" s="295"/>
    </row>
    <row r="56" spans="1:11" x14ac:dyDescent="0.2">
      <c r="A56" s="247"/>
      <c r="B56" s="248"/>
      <c r="C56" s="249"/>
      <c r="D56" s="249"/>
      <c r="E56" s="249"/>
      <c r="F56" s="250" t="s">
        <v>193</v>
      </c>
      <c r="G56" s="401"/>
      <c r="H56" s="249"/>
      <c r="I56" s="445">
        <f>+I47+I50+I54</f>
        <v>0</v>
      </c>
      <c r="K56" s="295"/>
    </row>
    <row r="57" spans="1:11" x14ac:dyDescent="0.2">
      <c r="A57" s="251"/>
      <c r="B57" s="252"/>
      <c r="C57" s="253"/>
      <c r="D57" s="253"/>
      <c r="E57" s="253"/>
      <c r="F57" s="254" t="s">
        <v>194</v>
      </c>
      <c r="G57" s="255"/>
      <c r="H57" s="253"/>
      <c r="I57" s="446">
        <v>1</v>
      </c>
      <c r="K57" s="295"/>
    </row>
    <row r="58" spans="1:11" x14ac:dyDescent="0.2">
      <c r="A58" s="233"/>
      <c r="B58" s="256"/>
      <c r="C58" s="241"/>
      <c r="D58" s="241"/>
      <c r="E58" s="241"/>
      <c r="F58" s="257" t="s">
        <v>216</v>
      </c>
      <c r="G58" s="240"/>
      <c r="H58" s="241"/>
      <c r="I58" s="447">
        <f>TRUNC(I56/I57,2)</f>
        <v>0</v>
      </c>
      <c r="K58" s="295"/>
    </row>
    <row r="59" spans="1:11" x14ac:dyDescent="0.2">
      <c r="A59" s="778"/>
      <c r="B59" s="229"/>
      <c r="C59" s="199"/>
      <c r="D59" s="199"/>
      <c r="E59" s="199"/>
      <c r="F59" s="258"/>
      <c r="G59" s="199"/>
      <c r="H59" s="199"/>
      <c r="I59" s="450"/>
      <c r="K59" s="295"/>
    </row>
    <row r="60" spans="1:11" x14ac:dyDescent="0.2">
      <c r="A60" s="242" t="s">
        <v>195</v>
      </c>
      <c r="B60" s="243" t="s">
        <v>59</v>
      </c>
      <c r="C60" s="243" t="s">
        <v>196</v>
      </c>
      <c r="D60" s="243" t="s">
        <v>217</v>
      </c>
      <c r="E60" s="1121" t="s">
        <v>89</v>
      </c>
      <c r="F60" s="1114"/>
      <c r="G60" s="1115"/>
      <c r="H60" s="1121" t="s">
        <v>183</v>
      </c>
      <c r="I60" s="1115"/>
      <c r="K60" s="295"/>
    </row>
    <row r="61" spans="1:11" x14ac:dyDescent="0.2">
      <c r="A61" s="259"/>
      <c r="B61" s="234"/>
      <c r="C61" s="260"/>
      <c r="D61" s="261"/>
      <c r="E61" s="255"/>
      <c r="F61" s="253"/>
      <c r="G61" s="293"/>
      <c r="H61" s="255"/>
      <c r="I61" s="423">
        <f>TRUNC(D61*G61,2)</f>
        <v>0</v>
      </c>
      <c r="K61" s="295"/>
    </row>
    <row r="62" spans="1:11" x14ac:dyDescent="0.2">
      <c r="A62" s="199"/>
      <c r="B62" s="229"/>
      <c r="C62" s="199"/>
      <c r="D62" s="199"/>
      <c r="E62" s="199"/>
      <c r="F62" s="230" t="s">
        <v>197</v>
      </c>
      <c r="G62" s="240"/>
      <c r="H62" s="241"/>
      <c r="I62" s="438">
        <f>SUM(I61:I61)</f>
        <v>0</v>
      </c>
      <c r="K62" s="295"/>
    </row>
    <row r="63" spans="1:11" x14ac:dyDescent="0.2">
      <c r="A63" s="199"/>
      <c r="B63" s="229"/>
      <c r="C63" s="199"/>
      <c r="D63" s="199"/>
      <c r="E63" s="199"/>
      <c r="F63" s="199"/>
      <c r="G63" s="262"/>
      <c r="H63" s="199"/>
      <c r="I63" s="439"/>
      <c r="K63" s="295"/>
    </row>
    <row r="64" spans="1:11" x14ac:dyDescent="0.2">
      <c r="A64" s="263" t="s">
        <v>198</v>
      </c>
      <c r="B64" s="243" t="s">
        <v>59</v>
      </c>
      <c r="C64" s="243" t="s">
        <v>196</v>
      </c>
      <c r="D64" s="779" t="s">
        <v>217</v>
      </c>
      <c r="E64" s="1121" t="s">
        <v>89</v>
      </c>
      <c r="F64" s="1114"/>
      <c r="G64" s="1115"/>
      <c r="H64" s="1121" t="s">
        <v>183</v>
      </c>
      <c r="I64" s="1115"/>
      <c r="K64" s="295"/>
    </row>
    <row r="65" spans="1:17" x14ac:dyDescent="0.2">
      <c r="A65" s="244"/>
      <c r="B65" s="234"/>
      <c r="C65" s="234"/>
      <c r="D65" s="239"/>
      <c r="E65" s="255"/>
      <c r="F65" s="253"/>
      <c r="G65" s="293"/>
      <c r="H65" s="240"/>
      <c r="I65" s="423">
        <f>TRUNC(D65*G65,2)</f>
        <v>0</v>
      </c>
      <c r="K65" s="295"/>
    </row>
    <row r="66" spans="1:17" x14ac:dyDescent="0.2">
      <c r="A66" s="200"/>
      <c r="B66" s="264"/>
      <c r="C66" s="200"/>
      <c r="D66" s="200"/>
      <c r="E66" s="200"/>
      <c r="F66" s="265" t="s">
        <v>199</v>
      </c>
      <c r="G66" s="255"/>
      <c r="H66" s="266"/>
      <c r="I66" s="441">
        <f>SUM(I63:I65)</f>
        <v>0</v>
      </c>
      <c r="K66" s="295"/>
    </row>
    <row r="67" spans="1:17" x14ac:dyDescent="0.2">
      <c r="A67" s="200"/>
      <c r="B67" s="264"/>
      <c r="C67" s="200"/>
      <c r="D67" s="200"/>
      <c r="E67" s="200"/>
      <c r="F67" s="200"/>
      <c r="G67" s="200"/>
      <c r="H67" s="200"/>
      <c r="I67" s="440"/>
      <c r="K67" s="295"/>
    </row>
    <row r="68" spans="1:17" x14ac:dyDescent="0.2">
      <c r="A68" s="406" t="s">
        <v>200</v>
      </c>
      <c r="B68" s="268" t="s">
        <v>59</v>
      </c>
      <c r="C68" s="268" t="s">
        <v>196</v>
      </c>
      <c r="D68" s="268" t="s">
        <v>201</v>
      </c>
      <c r="E68" s="268" t="s">
        <v>202</v>
      </c>
      <c r="F68" s="268" t="s">
        <v>203</v>
      </c>
      <c r="G68" s="268" t="s">
        <v>94</v>
      </c>
      <c r="H68" s="268" t="s">
        <v>89</v>
      </c>
      <c r="I68" s="442" t="s">
        <v>204</v>
      </c>
      <c r="K68" s="295"/>
    </row>
    <row r="69" spans="1:17" x14ac:dyDescent="0.2">
      <c r="A69" s="244"/>
      <c r="B69" s="234"/>
      <c r="C69" s="234"/>
      <c r="D69" s="269"/>
      <c r="E69" s="270"/>
      <c r="F69" s="270"/>
      <c r="G69" s="239"/>
      <c r="H69" s="271"/>
      <c r="I69" s="418">
        <f>TRUNC(G69*H69,2)</f>
        <v>0</v>
      </c>
      <c r="K69" s="295"/>
    </row>
    <row r="70" spans="1:17" x14ac:dyDescent="0.2">
      <c r="A70" s="200"/>
      <c r="B70" s="264"/>
      <c r="C70" s="200"/>
      <c r="D70" s="200"/>
      <c r="E70" s="200"/>
      <c r="F70" s="265" t="s">
        <v>205</v>
      </c>
      <c r="G70" s="240"/>
      <c r="H70" s="272"/>
      <c r="I70" s="443">
        <f>SUM(I69:I69)</f>
        <v>0</v>
      </c>
    </row>
    <row r="71" spans="1:17" x14ac:dyDescent="0.2">
      <c r="A71" s="200"/>
      <c r="B71" s="264"/>
      <c r="C71" s="200"/>
      <c r="D71" s="200"/>
      <c r="E71" s="200"/>
      <c r="F71" s="200"/>
      <c r="G71" s="200"/>
      <c r="H71" s="200"/>
      <c r="I71" s="444"/>
    </row>
    <row r="72" spans="1:17" x14ac:dyDescent="0.2">
      <c r="A72" s="273"/>
      <c r="B72" s="274"/>
      <c r="C72" s="275"/>
      <c r="D72" s="275"/>
      <c r="E72" s="275"/>
      <c r="F72" s="276" t="s">
        <v>315</v>
      </c>
      <c r="G72" s="273"/>
      <c r="H72" s="249"/>
      <c r="I72" s="445">
        <v>194.61</v>
      </c>
    </row>
    <row r="73" spans="1:17" x14ac:dyDescent="0.2">
      <c r="A73" s="255"/>
      <c r="B73" s="277"/>
      <c r="C73" s="266"/>
      <c r="D73" s="266"/>
      <c r="E73" s="266"/>
      <c r="F73" s="278" t="str">
        <f>CONCATENATE($H$3," ",$I$3)</f>
        <v>BDI: 23,32</v>
      </c>
      <c r="G73" s="403"/>
      <c r="H73" s="253"/>
      <c r="I73" s="446">
        <f>+ROUND(I72*$I$4,2)</f>
        <v>45.38</v>
      </c>
    </row>
    <row r="74" spans="1:17" x14ac:dyDescent="0.2">
      <c r="A74" s="240"/>
      <c r="B74" s="279"/>
      <c r="C74" s="272"/>
      <c r="D74" s="272"/>
      <c r="E74" s="272"/>
      <c r="F74" s="280" t="s">
        <v>207</v>
      </c>
      <c r="G74" s="404"/>
      <c r="H74" s="241"/>
      <c r="I74" s="720">
        <f>+I72+I73</f>
        <v>239.99</v>
      </c>
    </row>
    <row r="75" spans="1:17" x14ac:dyDescent="0.2">
      <c r="A75" s="1124" t="str">
        <f>$A$1</f>
        <v>COMPOSIÇÃO DE CUSTOS UNITÁRIOS</v>
      </c>
      <c r="B75" s="1124"/>
      <c r="C75" s="1124"/>
      <c r="D75" s="1124"/>
      <c r="E75" s="1124"/>
      <c r="F75" s="1124"/>
      <c r="G75" s="1124"/>
      <c r="H75" s="1124"/>
      <c r="I75" s="1124"/>
      <c r="J75" s="415"/>
      <c r="K75" s="415"/>
      <c r="L75" s="198"/>
      <c r="M75" s="198"/>
      <c r="N75" s="198"/>
      <c r="O75" s="475"/>
      <c r="P75" s="198"/>
      <c r="Q75" s="198"/>
    </row>
    <row r="76" spans="1:17" x14ac:dyDescent="0.2">
      <c r="A76" s="228" t="str">
        <f>$A$2</f>
        <v>Tabela Referencial de Preços - DER-ES</v>
      </c>
      <c r="B76" s="229"/>
      <c r="C76" s="199"/>
      <c r="D76" s="199"/>
      <c r="E76" s="199"/>
      <c r="F76" s="199"/>
      <c r="G76" s="199"/>
      <c r="H76" s="199"/>
      <c r="I76" s="414" t="str">
        <f>$I$2</f>
        <v>Data Base: novembro/2020</v>
      </c>
      <c r="J76" s="400">
        <v>40901</v>
      </c>
      <c r="K76" s="400">
        <f>VLOOKUP("Preço Unitário Total",F78:I4015,4,FALSE)</f>
        <v>21.58</v>
      </c>
      <c r="L76" s="295" t="str">
        <f>VLOOKUP(J76,'DER 11-20'!A:E,5,FALSE)</f>
        <v>A incluir</v>
      </c>
      <c r="M76" s="295" t="str">
        <f>VLOOKUP(J76,'DER 11-20'!$A:$D,2,FALSE)</f>
        <v>Cerca de arame liso 4 fios com mourões cada 2,0 m, esticadores de madeira, a cada 20,0 m, inclusive transporte de mourão e arame liso</v>
      </c>
      <c r="O76" s="359"/>
    </row>
    <row r="77" spans="1:17" x14ac:dyDescent="0.2">
      <c r="A77" s="1117" t="str">
        <f>+CONCATENATE("Serviço: ",J76," ",VLOOKUP(J76,'DER 11-20'!$A:$D,2,FALSE))</f>
        <v>Serviço: 40901 Cerca de arame liso 4 fios com mourões cada 2,0 m, esticadores de madeira, a cada 20,0 m, inclusive transporte de mourão e arame liso</v>
      </c>
      <c r="B77" s="1117"/>
      <c r="C77" s="1117"/>
      <c r="D77" s="1117"/>
      <c r="E77" s="1117"/>
      <c r="F77" s="1117"/>
      <c r="G77" s="1117"/>
      <c r="H77" s="1117"/>
      <c r="I77" s="1119" t="str">
        <f>CONCATENATE("Unidade: ", VLOOKUP(J76,'DER 11-20'!$A:$E,3,FALSE))</f>
        <v>Unidade: M</v>
      </c>
      <c r="O77" s="359"/>
    </row>
    <row r="78" spans="1:17" x14ac:dyDescent="0.2">
      <c r="A78" s="1118"/>
      <c r="B78" s="1118"/>
      <c r="C78" s="1118"/>
      <c r="D78" s="1118"/>
      <c r="E78" s="1118"/>
      <c r="F78" s="1118"/>
      <c r="G78" s="1118"/>
      <c r="H78" s="1118"/>
      <c r="I78" s="1120"/>
    </row>
    <row r="79" spans="1:17" ht="22.5" x14ac:dyDescent="0.2">
      <c r="A79" s="231" t="s">
        <v>177</v>
      </c>
      <c r="B79" s="232" t="s">
        <v>59</v>
      </c>
      <c r="C79" s="232" t="s">
        <v>178</v>
      </c>
      <c r="D79" s="232" t="s">
        <v>179</v>
      </c>
      <c r="E79" s="232" t="s">
        <v>180</v>
      </c>
      <c r="F79" s="232" t="s">
        <v>181</v>
      </c>
      <c r="G79" s="232" t="s">
        <v>182</v>
      </c>
      <c r="H79" s="232" t="s">
        <v>89</v>
      </c>
      <c r="I79" s="434" t="s">
        <v>183</v>
      </c>
    </row>
    <row r="80" spans="1:17" x14ac:dyDescent="0.2">
      <c r="A80" s="233"/>
      <c r="B80" s="234"/>
      <c r="C80" s="235"/>
      <c r="D80" s="236"/>
      <c r="E80" s="203"/>
      <c r="F80" s="237"/>
      <c r="G80" s="237"/>
      <c r="H80" s="238"/>
      <c r="I80" s="418">
        <f>TRUNC(D80*F80*H80+E80*G80*H80,2)</f>
        <v>0</v>
      </c>
      <c r="J80" s="295"/>
      <c r="K80" s="295"/>
    </row>
    <row r="81" spans="1:11" x14ac:dyDescent="0.2">
      <c r="A81" s="199"/>
      <c r="B81" s="229"/>
      <c r="C81" s="229"/>
      <c r="D81" s="199"/>
      <c r="E81" s="199"/>
      <c r="F81" s="230" t="s">
        <v>184</v>
      </c>
      <c r="G81" s="240"/>
      <c r="H81" s="241"/>
      <c r="I81" s="438">
        <f>SUM(I80:I80)</f>
        <v>0</v>
      </c>
      <c r="J81" s="295"/>
      <c r="K81" s="295"/>
    </row>
    <row r="82" spans="1:11" x14ac:dyDescent="0.2">
      <c r="A82" s="199"/>
      <c r="B82" s="229"/>
      <c r="C82" s="229"/>
      <c r="D82" s="199"/>
      <c r="E82" s="199"/>
      <c r="F82" s="199"/>
      <c r="G82" s="199"/>
      <c r="H82" s="199"/>
      <c r="I82" s="439"/>
      <c r="J82" s="295"/>
      <c r="K82" s="295"/>
    </row>
    <row r="83" spans="1:11" x14ac:dyDescent="0.2">
      <c r="A83" s="242" t="s">
        <v>185</v>
      </c>
      <c r="B83" s="243" t="s">
        <v>59</v>
      </c>
      <c r="C83" s="232" t="s">
        <v>357</v>
      </c>
      <c r="D83" s="243" t="s">
        <v>187</v>
      </c>
      <c r="E83" s="1111" t="s">
        <v>89</v>
      </c>
      <c r="F83" s="1112"/>
      <c r="G83" s="1113"/>
      <c r="H83" s="1121" t="s">
        <v>183</v>
      </c>
      <c r="I83" s="1115"/>
      <c r="J83" s="295"/>
      <c r="K83" s="295"/>
    </row>
    <row r="84" spans="1:11" x14ac:dyDescent="0.2">
      <c r="A84" s="244" t="str">
        <f>VLOOKUP(B84,m.o.!$A:$H,2,FALSE)</f>
        <v>Encarregado de O.A.C.</v>
      </c>
      <c r="B84" s="234">
        <v>20060</v>
      </c>
      <c r="C84" s="239">
        <f>VLOOKUP(B84,m.o.!$A:$F,4,FALSE)</f>
        <v>2.2599999999999998</v>
      </c>
      <c r="D84" s="239">
        <f>VLOOKUP(B84,m.o.!$A:$G,7,FALSE)</f>
        <v>28.31</v>
      </c>
      <c r="E84" s="255"/>
      <c r="F84" s="253"/>
      <c r="G84" s="293">
        <v>1</v>
      </c>
      <c r="H84" s="240"/>
      <c r="I84" s="427">
        <f>TRUNC(D84*G84,2)</f>
        <v>28.31</v>
      </c>
      <c r="J84" s="295"/>
      <c r="K84" s="295"/>
    </row>
    <row r="85" spans="1:11" x14ac:dyDescent="0.2">
      <c r="A85" s="244" t="str">
        <f>VLOOKUP(B85,m.o.!$A:$H,2,FALSE)</f>
        <v>Servente</v>
      </c>
      <c r="B85" s="234">
        <v>20002</v>
      </c>
      <c r="C85" s="239">
        <f>VLOOKUP(B85,m.o.!$A:$F,4,FALSE)</f>
        <v>1</v>
      </c>
      <c r="D85" s="239">
        <f>VLOOKUP(B85,m.o.!$A:$G,7,FALSE)</f>
        <v>12.52</v>
      </c>
      <c r="E85" s="255"/>
      <c r="F85" s="253"/>
      <c r="G85" s="293">
        <v>5</v>
      </c>
      <c r="H85" s="240"/>
      <c r="I85" s="427">
        <f>TRUNC(D85*G85,2)</f>
        <v>62.6</v>
      </c>
      <c r="J85" s="295"/>
      <c r="K85" s="295"/>
    </row>
    <row r="86" spans="1:11" x14ac:dyDescent="0.2">
      <c r="A86" s="199"/>
      <c r="B86" s="229"/>
      <c r="C86" s="229"/>
      <c r="D86" s="199"/>
      <c r="E86" s="199"/>
      <c r="F86" s="230" t="s">
        <v>188</v>
      </c>
      <c r="G86" s="240"/>
      <c r="H86" s="241"/>
      <c r="I86" s="438">
        <f>SUM(I84:I85)</f>
        <v>90.91</v>
      </c>
      <c r="J86" s="295"/>
      <c r="K86" s="295"/>
    </row>
    <row r="87" spans="1:11" x14ac:dyDescent="0.2">
      <c r="A87" s="199"/>
      <c r="B87" s="229"/>
      <c r="C87" s="229"/>
      <c r="D87" s="199"/>
      <c r="E87" s="199"/>
      <c r="F87" s="199"/>
      <c r="G87" s="199"/>
      <c r="H87" s="199"/>
      <c r="I87" s="439"/>
      <c r="J87" s="295"/>
      <c r="K87" s="295"/>
    </row>
    <row r="88" spans="1:11" x14ac:dyDescent="0.2">
      <c r="A88" s="245" t="s">
        <v>189</v>
      </c>
      <c r="B88" s="243" t="s">
        <v>59</v>
      </c>
      <c r="C88" s="635" t="s">
        <v>17</v>
      </c>
      <c r="D88" s="243" t="s">
        <v>190</v>
      </c>
      <c r="E88" s="243" t="s">
        <v>191</v>
      </c>
      <c r="F88" s="243" t="s">
        <v>192</v>
      </c>
      <c r="G88" s="1121" t="s">
        <v>94</v>
      </c>
      <c r="H88" s="1114"/>
      <c r="I88" s="1115"/>
      <c r="J88" s="295"/>
      <c r="K88" s="295"/>
    </row>
    <row r="89" spans="1:11" x14ac:dyDescent="0.2">
      <c r="A89" s="244" t="s">
        <v>127</v>
      </c>
      <c r="B89" s="234">
        <v>2000</v>
      </c>
      <c r="C89" s="239">
        <v>5</v>
      </c>
      <c r="D89" s="235" t="s">
        <v>208</v>
      </c>
      <c r="E89" s="246"/>
      <c r="F89" s="246"/>
      <c r="G89" s="240"/>
      <c r="H89" s="241"/>
      <c r="I89" s="427">
        <f>TRUNC(C89/100*I86,2)</f>
        <v>4.54</v>
      </c>
      <c r="J89" s="295"/>
      <c r="K89" s="295"/>
    </row>
    <row r="90" spans="1:11" x14ac:dyDescent="0.2">
      <c r="A90" s="199"/>
      <c r="B90" s="229"/>
      <c r="C90" s="199"/>
      <c r="D90" s="199"/>
      <c r="E90" s="199"/>
      <c r="F90" s="230" t="s">
        <v>327</v>
      </c>
      <c r="G90" s="240"/>
      <c r="H90" s="241"/>
      <c r="I90" s="438">
        <f>SUM(I89)</f>
        <v>4.54</v>
      </c>
      <c r="J90" s="295"/>
      <c r="K90" s="295"/>
    </row>
    <row r="91" spans="1:11" x14ac:dyDescent="0.2">
      <c r="A91" s="199"/>
      <c r="B91" s="229"/>
      <c r="C91" s="199"/>
      <c r="D91" s="199"/>
      <c r="E91" s="199"/>
      <c r="F91" s="199"/>
      <c r="G91" s="199"/>
      <c r="H91" s="199"/>
      <c r="I91" s="439"/>
      <c r="J91" s="295"/>
      <c r="K91" s="295"/>
    </row>
    <row r="92" spans="1:11" x14ac:dyDescent="0.2">
      <c r="A92" s="247"/>
      <c r="B92" s="248"/>
      <c r="C92" s="249"/>
      <c r="D92" s="249"/>
      <c r="E92" s="249"/>
      <c r="F92" s="250" t="s">
        <v>193</v>
      </c>
      <c r="G92" s="401"/>
      <c r="H92" s="249"/>
      <c r="I92" s="445">
        <f>+I81+I86+I90</f>
        <v>95.45</v>
      </c>
      <c r="J92" s="295"/>
      <c r="K92" s="295"/>
    </row>
    <row r="93" spans="1:11" x14ac:dyDescent="0.2">
      <c r="A93" s="251"/>
      <c r="B93" s="252"/>
      <c r="C93" s="253"/>
      <c r="D93" s="253"/>
      <c r="E93" s="253"/>
      <c r="F93" s="254" t="s">
        <v>194</v>
      </c>
      <c r="G93" s="255"/>
      <c r="H93" s="253"/>
      <c r="I93" s="446">
        <v>60</v>
      </c>
      <c r="J93" s="295"/>
      <c r="K93" s="295"/>
    </row>
    <row r="94" spans="1:11" x14ac:dyDescent="0.2">
      <c r="A94" s="233"/>
      <c r="B94" s="256"/>
      <c r="C94" s="241"/>
      <c r="D94" s="241"/>
      <c r="E94" s="241"/>
      <c r="F94" s="257" t="s">
        <v>216</v>
      </c>
      <c r="G94" s="240"/>
      <c r="H94" s="241"/>
      <c r="I94" s="447">
        <f>TRUNC(I92/I93,2)</f>
        <v>1.59</v>
      </c>
      <c r="J94" s="295"/>
      <c r="K94" s="295"/>
    </row>
    <row r="95" spans="1:11" x14ac:dyDescent="0.2">
      <c r="A95" s="636"/>
      <c r="B95" s="229"/>
      <c r="C95" s="199"/>
      <c r="D95" s="199"/>
      <c r="E95" s="199"/>
      <c r="F95" s="258"/>
      <c r="G95" s="199"/>
      <c r="H95" s="199"/>
      <c r="I95" s="450"/>
      <c r="J95" s="295"/>
      <c r="K95" s="295"/>
    </row>
    <row r="96" spans="1:11" x14ac:dyDescent="0.2">
      <c r="A96" s="242" t="s">
        <v>195</v>
      </c>
      <c r="B96" s="243" t="s">
        <v>59</v>
      </c>
      <c r="C96" s="243" t="s">
        <v>196</v>
      </c>
      <c r="D96" s="243" t="s">
        <v>217</v>
      </c>
      <c r="E96" s="1121" t="s">
        <v>89</v>
      </c>
      <c r="F96" s="1114"/>
      <c r="G96" s="1115"/>
      <c r="H96" s="1121" t="s">
        <v>183</v>
      </c>
      <c r="I96" s="1115"/>
      <c r="K96" s="295"/>
    </row>
    <row r="97" spans="1:15" ht="22.5" x14ac:dyDescent="0.2">
      <c r="A97" s="259" t="str">
        <f>VLOOKUP(B97,mat.!$A:$D,2,FALSE)</f>
        <v>Arame ovalado liso (cerca) 45 kg - 1.000m</v>
      </c>
      <c r="B97" s="234">
        <v>10138</v>
      </c>
      <c r="C97" s="260" t="str">
        <f>VLOOKUP(B97,mat.!$A:$D,3,FALSE)</f>
        <v>rl</v>
      </c>
      <c r="D97" s="261">
        <f>VLOOKUP(B97,mat.!$A:$D,4,FALSE)</f>
        <v>999.9</v>
      </c>
      <c r="E97" s="255"/>
      <c r="F97" s="253"/>
      <c r="G97" s="293">
        <v>4.0000000000000001E-3</v>
      </c>
      <c r="H97" s="255"/>
      <c r="I97" s="423">
        <f>TRUNC(D97*G97,2)</f>
        <v>3.99</v>
      </c>
      <c r="K97" s="295"/>
    </row>
    <row r="98" spans="1:15" ht="22.5" x14ac:dyDescent="0.2">
      <c r="A98" s="259" t="str">
        <f>VLOOKUP(B98,mat.!$A:$D,2,FALSE)</f>
        <v>Mourao p/ cerca (2,20m - D=0,10m) m. branca</v>
      </c>
      <c r="B98" s="234">
        <v>10074</v>
      </c>
      <c r="C98" s="260" t="str">
        <f>VLOOKUP(B98,mat.!$A:$D,3,FALSE)</f>
        <v>DZ</v>
      </c>
      <c r="D98" s="261">
        <f>VLOOKUP(B98,mat.!$A:$D,4,FALSE)</f>
        <v>162.62</v>
      </c>
      <c r="E98" s="255"/>
      <c r="F98" s="253"/>
      <c r="G98" s="293">
        <v>4.1700000000000001E-2</v>
      </c>
      <c r="H98" s="255"/>
      <c r="I98" s="423">
        <f>TRUNC(D98*G98,2)</f>
        <v>6.78</v>
      </c>
      <c r="K98" s="295"/>
    </row>
    <row r="99" spans="1:15" ht="22.5" x14ac:dyDescent="0.2">
      <c r="A99" s="259" t="str">
        <f>VLOOKUP(B99,mat.!$A:$D,2,FALSE)</f>
        <v>Mourão p/ cerca (2,50m - D=0,20m) madeira branca (estic.)</v>
      </c>
      <c r="B99" s="234">
        <v>10075</v>
      </c>
      <c r="C99" s="260" t="str">
        <f>VLOOKUP(B99,mat.!$A:$D,3,FALSE)</f>
        <v>DZ</v>
      </c>
      <c r="D99" s="261">
        <f>VLOOKUP(B99,mat.!$A:$D,4,FALSE)</f>
        <v>679.34</v>
      </c>
      <c r="E99" s="255"/>
      <c r="F99" s="253"/>
      <c r="G99" s="293">
        <v>4.1999999999999997E-3</v>
      </c>
      <c r="H99" s="255"/>
      <c r="I99" s="423">
        <f>TRUNC(D99*G99,2)</f>
        <v>2.85</v>
      </c>
      <c r="K99" s="295"/>
    </row>
    <row r="100" spans="1:15" x14ac:dyDescent="0.2">
      <c r="A100" s="199"/>
      <c r="B100" s="229"/>
      <c r="C100" s="199"/>
      <c r="D100" s="199"/>
      <c r="E100" s="199"/>
      <c r="F100" s="230" t="s">
        <v>197</v>
      </c>
      <c r="G100" s="240"/>
      <c r="H100" s="241"/>
      <c r="I100" s="438">
        <f>SUM(I97:I99)</f>
        <v>13.62</v>
      </c>
      <c r="K100" s="295"/>
      <c r="O100" s="198"/>
    </row>
    <row r="101" spans="1:15" x14ac:dyDescent="0.2">
      <c r="A101" s="199"/>
      <c r="B101" s="229"/>
      <c r="C101" s="199"/>
      <c r="D101" s="199"/>
      <c r="E101" s="199"/>
      <c r="F101" s="199"/>
      <c r="G101" s="262"/>
      <c r="H101" s="199"/>
      <c r="I101" s="439"/>
      <c r="K101" s="295"/>
    </row>
    <row r="102" spans="1:15" x14ac:dyDescent="0.2">
      <c r="A102" s="263" t="s">
        <v>198</v>
      </c>
      <c r="B102" s="243" t="s">
        <v>59</v>
      </c>
      <c r="C102" s="243" t="s">
        <v>196</v>
      </c>
      <c r="D102" s="635" t="s">
        <v>217</v>
      </c>
      <c r="E102" s="1111" t="s">
        <v>89</v>
      </c>
      <c r="F102" s="1112"/>
      <c r="G102" s="1113"/>
      <c r="H102" s="1114" t="s">
        <v>183</v>
      </c>
      <c r="I102" s="1115"/>
      <c r="K102" s="295"/>
    </row>
    <row r="103" spans="1:15" ht="33.75" x14ac:dyDescent="0.2">
      <c r="A103" s="244" t="str">
        <f>VLOOKUP(B103,'DER 11-20'!$A:$E,2,FALSE)</f>
        <v>Escavação manual furos, valetas mat. 1ª cat. H= 0,00 a 1,50 m (dim. reduz.)</v>
      </c>
      <c r="B103" s="234">
        <v>40256</v>
      </c>
      <c r="C103" s="234" t="str">
        <f>VLOOKUP(B103,'DER 11-20'!$A:$E,3,FALSE)</f>
        <v>M3</v>
      </c>
      <c r="D103" s="239">
        <f>TRUNC(VLOOKUP(B103,'DER 11-20'!$A:$F,6,FALSE)/(1+$I$4),2)</f>
        <v>83.41</v>
      </c>
      <c r="E103" s="255"/>
      <c r="F103" s="253"/>
      <c r="G103" s="293">
        <v>2.2499999999999999E-2</v>
      </c>
      <c r="H103" s="240"/>
      <c r="I103" s="423">
        <f>TRUNC(D103*G103,2)</f>
        <v>1.87</v>
      </c>
      <c r="K103" s="295"/>
    </row>
    <row r="104" spans="1:15" x14ac:dyDescent="0.2">
      <c r="A104" s="200"/>
      <c r="B104" s="264"/>
      <c r="C104" s="200"/>
      <c r="D104" s="200"/>
      <c r="E104" s="200"/>
      <c r="F104" s="265" t="s">
        <v>199</v>
      </c>
      <c r="G104" s="255"/>
      <c r="H104" s="266"/>
      <c r="I104" s="441">
        <f>SUM(I103:I103)</f>
        <v>1.87</v>
      </c>
      <c r="K104" s="295"/>
    </row>
    <row r="105" spans="1:15" ht="24.75" customHeight="1" x14ac:dyDescent="0.2">
      <c r="A105" s="200"/>
      <c r="B105" s="264"/>
      <c r="C105" s="200"/>
      <c r="D105" s="200"/>
      <c r="E105" s="200"/>
      <c r="F105" s="200"/>
      <c r="G105" s="200"/>
      <c r="H105" s="200"/>
      <c r="I105" s="440"/>
      <c r="K105" s="295"/>
    </row>
    <row r="106" spans="1:15" x14ac:dyDescent="0.2">
      <c r="A106" s="267" t="s">
        <v>200</v>
      </c>
      <c r="B106" s="268" t="s">
        <v>59</v>
      </c>
      <c r="C106" s="268" t="s">
        <v>196</v>
      </c>
      <c r="D106" s="268" t="s">
        <v>201</v>
      </c>
      <c r="E106" s="268" t="s">
        <v>202</v>
      </c>
      <c r="F106" s="268" t="s">
        <v>203</v>
      </c>
      <c r="G106" s="268" t="s">
        <v>94</v>
      </c>
      <c r="H106" s="268" t="s">
        <v>89</v>
      </c>
      <c r="I106" s="442" t="s">
        <v>204</v>
      </c>
      <c r="K106" s="295"/>
    </row>
    <row r="107" spans="1:15" ht="22.5" x14ac:dyDescent="0.2">
      <c r="A107" s="259" t="str">
        <f>VLOOKUP(B107,transp.!A:D,2,FALSE)</f>
        <v>Transp. de Arame ovalado liso (cerca) 45 kg - 1000 m</v>
      </c>
      <c r="B107" s="234">
        <v>1628</v>
      </c>
      <c r="C107" s="234" t="str">
        <f>VLOOKUP(B107,transp.!$A:$J,3,FALSE)</f>
        <v xml:space="preserve"> t  </v>
      </c>
      <c r="D107" s="269" t="str">
        <f>VLOOKUP(B107,transp.!$A:$J,4,FALSE)</f>
        <v>0,716XP + 0,745XR</v>
      </c>
      <c r="E107" s="455">
        <f>VLOOKUP(J107,Dis!$B:$F,4,FALSE)</f>
        <v>34.5</v>
      </c>
      <c r="F107" s="455">
        <f>VLOOKUP(J107,Dis!$B:$F,5,FALSE)</f>
        <v>2.34</v>
      </c>
      <c r="G107" s="239">
        <f>TRUNC(VLOOKUP(B107,transp.!$A:$J,5,FALSE)*E107+VLOOKUP(B107,transp.!$A:$J,6,FALSE)*F107+VLOOKUP(B107,transp.!$A:$J,7,FALSE),2)</f>
        <v>26.44</v>
      </c>
      <c r="H107" s="271">
        <v>2.0000000000000001E-4</v>
      </c>
      <c r="I107" s="418">
        <f>TRUNC(G107*H107,2)</f>
        <v>0</v>
      </c>
      <c r="J107" s="400" t="s">
        <v>297</v>
      </c>
      <c r="K107" s="295"/>
    </row>
    <row r="108" spans="1:15" ht="22.5" x14ac:dyDescent="0.2">
      <c r="A108" s="244" t="s">
        <v>303</v>
      </c>
      <c r="B108" s="234">
        <v>1015</v>
      </c>
      <c r="C108" s="234" t="str">
        <f>VLOOKUP(B108,transp.!$A:$J,3,FALSE)</f>
        <v xml:space="preserve"> t  </v>
      </c>
      <c r="D108" s="269" t="str">
        <f>VLOOKUP(B108,transp.!$A:$J,4,FALSE)</f>
        <v>0,716XP + 0,745XR</v>
      </c>
      <c r="E108" s="455">
        <f>VLOOKUP(J108,Dis!$B:$F,4,FALSE)</f>
        <v>34.5</v>
      </c>
      <c r="F108" s="455">
        <f>VLOOKUP(J108,Dis!$B:$F,5,FALSE)</f>
        <v>2.34</v>
      </c>
      <c r="G108" s="239">
        <f>TRUNC(VLOOKUP(B108,transp.!$A:$J,5,FALSE)*E108+VLOOKUP(B108,transp.!$A:$J,6,FALSE)*F108+VLOOKUP(B108,transp.!$A:$J,7,FALSE),2)</f>
        <v>26.44</v>
      </c>
      <c r="H108" s="271">
        <v>1.32E-2</v>
      </c>
      <c r="I108" s="418">
        <f>TRUNC(G108*H108,2)</f>
        <v>0.34</v>
      </c>
      <c r="J108" s="400" t="s">
        <v>296</v>
      </c>
      <c r="K108" s="295"/>
    </row>
    <row r="109" spans="1:15" ht="22.5" x14ac:dyDescent="0.2">
      <c r="A109" s="244" t="s">
        <v>304</v>
      </c>
      <c r="B109" s="234">
        <v>1000</v>
      </c>
      <c r="C109" s="234" t="str">
        <f>VLOOKUP(B109,transp.!$A:$J,3,FALSE)</f>
        <v xml:space="preserve"> t  </v>
      </c>
      <c r="D109" s="269" t="str">
        <f>VLOOKUP(B109,transp.!$A:$J,4,FALSE)</f>
        <v>0,716XP + 0,745XR</v>
      </c>
      <c r="E109" s="455">
        <f>VLOOKUP(J109,Dis!$B:$F,4,FALSE)</f>
        <v>34.5</v>
      </c>
      <c r="F109" s="455">
        <f>VLOOKUP(J109,Dis!$B:$F,5,FALSE)</f>
        <v>2.34</v>
      </c>
      <c r="G109" s="239">
        <f>TRUNC(VLOOKUP(B109,transp.!$A:$J,5,FALSE)*E109+VLOOKUP(B109,transp.!$A:$J,6,FALSE)*F109+VLOOKUP(B109,transp.!$A:$J,7,FALSE),2)</f>
        <v>26.44</v>
      </c>
      <c r="H109" s="271">
        <v>3.3999999999999998E-3</v>
      </c>
      <c r="I109" s="418">
        <f>TRUNC(G109*H109,2)</f>
        <v>0.08</v>
      </c>
      <c r="J109" s="400" t="s">
        <v>296</v>
      </c>
      <c r="K109" s="295"/>
    </row>
    <row r="110" spans="1:15" x14ac:dyDescent="0.2">
      <c r="A110" s="200"/>
      <c r="B110" s="264"/>
      <c r="C110" s="200"/>
      <c r="D110" s="200"/>
      <c r="E110" s="200"/>
      <c r="F110" s="265" t="s">
        <v>205</v>
      </c>
      <c r="G110" s="240"/>
      <c r="H110" s="272"/>
      <c r="I110" s="443">
        <f>SUM(I107:I109)</f>
        <v>0.42</v>
      </c>
      <c r="K110" s="295"/>
    </row>
    <row r="111" spans="1:15" x14ac:dyDescent="0.2">
      <c r="A111" s="200"/>
      <c r="B111" s="264"/>
      <c r="C111" s="200"/>
      <c r="D111" s="200"/>
      <c r="E111" s="200"/>
      <c r="F111" s="200"/>
      <c r="G111" s="200"/>
      <c r="H111" s="200"/>
      <c r="I111" s="444"/>
      <c r="J111" s="410"/>
      <c r="K111" s="295"/>
    </row>
    <row r="112" spans="1:15" x14ac:dyDescent="0.2">
      <c r="A112" s="273"/>
      <c r="B112" s="274"/>
      <c r="C112" s="275"/>
      <c r="D112" s="275"/>
      <c r="E112" s="275"/>
      <c r="F112" s="276" t="s">
        <v>206</v>
      </c>
      <c r="G112" s="273"/>
      <c r="H112" s="249"/>
      <c r="I112" s="445">
        <f>+I94+I100+I104+I110</f>
        <v>17.5</v>
      </c>
    </row>
    <row r="113" spans="1:17" x14ac:dyDescent="0.2">
      <c r="A113" s="255"/>
      <c r="B113" s="277"/>
      <c r="C113" s="266"/>
      <c r="D113" s="266"/>
      <c r="E113" s="266"/>
      <c r="F113" s="278" t="str">
        <f>CONCATENATE($H$3," ",$I$3)</f>
        <v>BDI: 23,32</v>
      </c>
      <c r="G113" s="403"/>
      <c r="H113" s="253"/>
      <c r="I113" s="446">
        <f>+ROUND(I112*$I$4,2)</f>
        <v>4.08</v>
      </c>
    </row>
    <row r="114" spans="1:17" x14ac:dyDescent="0.2">
      <c r="A114" s="240"/>
      <c r="B114" s="279"/>
      <c r="C114" s="272"/>
      <c r="D114" s="272"/>
      <c r="E114" s="272"/>
      <c r="F114" s="280" t="s">
        <v>207</v>
      </c>
      <c r="G114" s="404"/>
      <c r="H114" s="241"/>
      <c r="I114" s="720">
        <f>+I112+I113</f>
        <v>21.58</v>
      </c>
    </row>
    <row r="115" spans="1:17" x14ac:dyDescent="0.2">
      <c r="A115" s="1116" t="str">
        <f>$A$1</f>
        <v>COMPOSIÇÃO DE CUSTOS UNITÁRIOS</v>
      </c>
      <c r="B115" s="1116"/>
      <c r="C115" s="1116"/>
      <c r="D115" s="1116"/>
      <c r="E115" s="1116"/>
      <c r="F115" s="1116"/>
      <c r="G115" s="1116"/>
      <c r="H115" s="1116"/>
      <c r="I115" s="1116"/>
    </row>
    <row r="116" spans="1:17" x14ac:dyDescent="0.2">
      <c r="A116" s="228" t="str">
        <f>$A$2</f>
        <v>Tabela Referencial de Preços - DER-ES</v>
      </c>
      <c r="B116" s="229"/>
      <c r="C116" s="199"/>
      <c r="D116" s="199"/>
      <c r="E116" s="199"/>
      <c r="F116" s="199"/>
      <c r="G116" s="199"/>
      <c r="H116" s="199"/>
      <c r="I116" s="414" t="str">
        <f>$I$2</f>
        <v>Data Base: novembro/2020</v>
      </c>
      <c r="J116" s="400">
        <v>41500</v>
      </c>
      <c r="K116" s="400">
        <f>VLOOKUP("Preço Unitário Total",F118:I4015,4,FALSE)</f>
        <v>299.10000000000002</v>
      </c>
      <c r="L116" s="295">
        <f>VLOOKUP(J116,'DER 11-20'!A:E,5,FALSE)</f>
        <v>0</v>
      </c>
      <c r="M116" s="295" t="str">
        <f>VLOOKUP(J116,'DER 11-20'!$A:$D,2,FALSE)</f>
        <v>Placa de obra nas dimensões de 3,0 x 6,0 m, padrão DER-ES</v>
      </c>
    </row>
    <row r="117" spans="1:17" ht="22.5" customHeight="1" x14ac:dyDescent="0.2">
      <c r="A117" s="1117" t="str">
        <f>+CONCATENATE("Serviço: ",J116," ",VLOOKUP(J116,'DER 11-20'!$A:$D,2,FALSE))</f>
        <v>Serviço: 41500 Placa de obra nas dimensões de 3,0 x 6,0 m, padrão DER-ES</v>
      </c>
      <c r="B117" s="1117"/>
      <c r="C117" s="1117"/>
      <c r="D117" s="1117"/>
      <c r="E117" s="1117"/>
      <c r="F117" s="1117"/>
      <c r="G117" s="1117"/>
      <c r="H117" s="1117"/>
      <c r="I117" s="1119" t="str">
        <f>CONCATENATE("Unidade: ", VLOOKUP(J116,'DER 11-20'!$A:$E,3,FALSE))</f>
        <v>Unidade: M2</v>
      </c>
    </row>
    <row r="118" spans="1:17" x14ac:dyDescent="0.2">
      <c r="A118" s="1118"/>
      <c r="B118" s="1118"/>
      <c r="C118" s="1118"/>
      <c r="D118" s="1118"/>
      <c r="E118" s="1118"/>
      <c r="F118" s="1118"/>
      <c r="G118" s="1118"/>
      <c r="H118" s="1118"/>
      <c r="I118" s="1120"/>
      <c r="P118" s="359"/>
      <c r="Q118" s="359"/>
    </row>
    <row r="119" spans="1:17" ht="22.5" x14ac:dyDescent="0.2">
      <c r="A119" s="231" t="s">
        <v>177</v>
      </c>
      <c r="B119" s="232" t="s">
        <v>59</v>
      </c>
      <c r="C119" s="232" t="s">
        <v>178</v>
      </c>
      <c r="D119" s="232" t="s">
        <v>179</v>
      </c>
      <c r="E119" s="232" t="s">
        <v>180</v>
      </c>
      <c r="F119" s="232" t="s">
        <v>181</v>
      </c>
      <c r="G119" s="232" t="s">
        <v>182</v>
      </c>
      <c r="H119" s="232" t="s">
        <v>89</v>
      </c>
      <c r="I119" s="434" t="s">
        <v>183</v>
      </c>
      <c r="P119" s="359"/>
      <c r="Q119" s="359"/>
    </row>
    <row r="120" spans="1:17" x14ac:dyDescent="0.2">
      <c r="A120" s="233"/>
      <c r="B120" s="234"/>
      <c r="C120" s="235"/>
      <c r="D120" s="236"/>
      <c r="E120" s="203"/>
      <c r="F120" s="237"/>
      <c r="G120" s="237"/>
      <c r="H120" s="238"/>
      <c r="I120" s="418"/>
      <c r="P120" s="359"/>
      <c r="Q120" s="359"/>
    </row>
    <row r="121" spans="1:17" x14ac:dyDescent="0.2">
      <c r="A121" s="199"/>
      <c r="B121" s="229"/>
      <c r="C121" s="229"/>
      <c r="D121" s="199"/>
      <c r="E121" s="199"/>
      <c r="F121" s="230" t="s">
        <v>184</v>
      </c>
      <c r="G121" s="240"/>
      <c r="H121" s="241"/>
      <c r="I121" s="438">
        <f>SUM(I120:I120)</f>
        <v>0</v>
      </c>
    </row>
    <row r="122" spans="1:17" x14ac:dyDescent="0.2">
      <c r="A122" s="199"/>
      <c r="B122" s="229"/>
      <c r="C122" s="229"/>
      <c r="D122" s="199"/>
      <c r="E122" s="199"/>
      <c r="F122" s="199"/>
      <c r="G122" s="199"/>
      <c r="H122" s="199"/>
      <c r="I122" s="439"/>
    </row>
    <row r="123" spans="1:17" x14ac:dyDescent="0.2">
      <c r="A123" s="242" t="s">
        <v>185</v>
      </c>
      <c r="B123" s="243" t="s">
        <v>59</v>
      </c>
      <c r="C123" s="232" t="s">
        <v>357</v>
      </c>
      <c r="D123" s="243" t="s">
        <v>187</v>
      </c>
      <c r="E123" s="1121" t="s">
        <v>89</v>
      </c>
      <c r="F123" s="1114"/>
      <c r="G123" s="1115"/>
      <c r="H123" s="1121" t="s">
        <v>183</v>
      </c>
      <c r="I123" s="1115"/>
    </row>
    <row r="124" spans="1:17" x14ac:dyDescent="0.2">
      <c r="A124" s="244"/>
      <c r="B124" s="234"/>
      <c r="C124" s="239"/>
      <c r="D124" s="239"/>
      <c r="E124" s="240"/>
      <c r="F124" s="241"/>
      <c r="G124" s="405"/>
      <c r="H124" s="240"/>
      <c r="I124" s="427"/>
    </row>
    <row r="125" spans="1:17" x14ac:dyDescent="0.2">
      <c r="A125" s="199"/>
      <c r="B125" s="229"/>
      <c r="C125" s="229"/>
      <c r="D125" s="199"/>
      <c r="E125" s="199"/>
      <c r="F125" s="230" t="s">
        <v>188</v>
      </c>
      <c r="G125" s="240"/>
      <c r="H125" s="241"/>
      <c r="I125" s="438">
        <f>SUM(I124:I124)</f>
        <v>0</v>
      </c>
    </row>
    <row r="126" spans="1:17" x14ac:dyDescent="0.2">
      <c r="A126" s="199"/>
      <c r="B126" s="229"/>
      <c r="C126" s="229"/>
      <c r="D126" s="199"/>
      <c r="E126" s="199"/>
      <c r="F126" s="199"/>
      <c r="G126" s="199"/>
      <c r="H126" s="199"/>
      <c r="I126" s="439"/>
    </row>
    <row r="127" spans="1:17" x14ac:dyDescent="0.2">
      <c r="A127" s="245" t="s">
        <v>189</v>
      </c>
      <c r="B127" s="243" t="s">
        <v>59</v>
      </c>
      <c r="C127" s="635" t="s">
        <v>17</v>
      </c>
      <c r="D127" s="243" t="s">
        <v>190</v>
      </c>
      <c r="E127" s="243" t="s">
        <v>191</v>
      </c>
      <c r="F127" s="243" t="s">
        <v>192</v>
      </c>
      <c r="G127" s="1121" t="s">
        <v>94</v>
      </c>
      <c r="H127" s="1114"/>
      <c r="I127" s="1115"/>
      <c r="J127" s="295"/>
      <c r="K127" s="295"/>
    </row>
    <row r="128" spans="1:17" x14ac:dyDescent="0.2">
      <c r="A128" s="244"/>
      <c r="B128" s="234"/>
      <c r="C128" s="239"/>
      <c r="D128" s="235"/>
      <c r="E128" s="246"/>
      <c r="F128" s="246"/>
      <c r="G128" s="240"/>
      <c r="H128" s="241"/>
      <c r="I128" s="427"/>
      <c r="J128" s="295"/>
      <c r="K128" s="295"/>
    </row>
    <row r="129" spans="1:17" x14ac:dyDescent="0.2">
      <c r="A129" s="199"/>
      <c r="B129" s="229"/>
      <c r="C129" s="199"/>
      <c r="D129" s="199"/>
      <c r="E129" s="199"/>
      <c r="F129" s="230" t="s">
        <v>327</v>
      </c>
      <c r="G129" s="240"/>
      <c r="H129" s="241"/>
      <c r="I129" s="438">
        <f>SUM(I128)</f>
        <v>0</v>
      </c>
      <c r="J129" s="295"/>
      <c r="K129" s="295"/>
    </row>
    <row r="130" spans="1:17" x14ac:dyDescent="0.2">
      <c r="A130" s="199"/>
      <c r="B130" s="229"/>
      <c r="C130" s="199"/>
      <c r="D130" s="199"/>
      <c r="E130" s="199"/>
      <c r="F130" s="199"/>
      <c r="G130" s="199"/>
      <c r="H130" s="199"/>
      <c r="I130" s="439"/>
      <c r="J130" s="295"/>
      <c r="K130" s="295"/>
    </row>
    <row r="131" spans="1:17" x14ac:dyDescent="0.2">
      <c r="A131" s="247"/>
      <c r="B131" s="248"/>
      <c r="C131" s="249"/>
      <c r="D131" s="249"/>
      <c r="E131" s="249"/>
      <c r="F131" s="250" t="s">
        <v>193</v>
      </c>
      <c r="G131" s="401"/>
      <c r="H131" s="249"/>
      <c r="I131" s="445">
        <f>+I121+I125+I129</f>
        <v>0</v>
      </c>
      <c r="J131" s="295"/>
      <c r="K131" s="295"/>
    </row>
    <row r="132" spans="1:17" x14ac:dyDescent="0.2">
      <c r="A132" s="251"/>
      <c r="B132" s="252"/>
      <c r="C132" s="253"/>
      <c r="D132" s="253"/>
      <c r="E132" s="253"/>
      <c r="F132" s="254" t="s">
        <v>194</v>
      </c>
      <c r="G132" s="255"/>
      <c r="H132" s="253"/>
      <c r="I132" s="446">
        <v>1</v>
      </c>
      <c r="J132" s="295"/>
      <c r="K132" s="295"/>
    </row>
    <row r="133" spans="1:17" x14ac:dyDescent="0.2">
      <c r="A133" s="233"/>
      <c r="B133" s="256"/>
      <c r="C133" s="241"/>
      <c r="D133" s="241"/>
      <c r="E133" s="241"/>
      <c r="F133" s="257" t="s">
        <v>216</v>
      </c>
      <c r="G133" s="240"/>
      <c r="H133" s="241"/>
      <c r="I133" s="447">
        <f>TRUNC(I131/I132,2)</f>
        <v>0</v>
      </c>
      <c r="J133" s="295"/>
      <c r="K133" s="295"/>
    </row>
    <row r="134" spans="1:17" s="198" customFormat="1" x14ac:dyDescent="0.2">
      <c r="A134" s="636"/>
      <c r="B134" s="229"/>
      <c r="C134" s="199"/>
      <c r="D134" s="199"/>
      <c r="E134" s="199"/>
      <c r="F134" s="258"/>
      <c r="G134" s="199"/>
      <c r="H134" s="199"/>
      <c r="I134" s="450"/>
      <c r="J134" s="295"/>
      <c r="K134" s="295"/>
      <c r="L134" s="295"/>
      <c r="M134" s="295"/>
      <c r="N134" s="295"/>
      <c r="O134" s="295"/>
      <c r="P134" s="295"/>
      <c r="Q134" s="295"/>
    </row>
    <row r="135" spans="1:17" s="198" customFormat="1" x14ac:dyDescent="0.2">
      <c r="A135" s="242" t="s">
        <v>195</v>
      </c>
      <c r="B135" s="243" t="s">
        <v>59</v>
      </c>
      <c r="C135" s="243" t="s">
        <v>196</v>
      </c>
      <c r="D135" s="243" t="s">
        <v>217</v>
      </c>
      <c r="E135" s="1121" t="s">
        <v>89</v>
      </c>
      <c r="F135" s="1114"/>
      <c r="G135" s="1115"/>
      <c r="H135" s="1121" t="s">
        <v>183</v>
      </c>
      <c r="I135" s="1115"/>
      <c r="J135" s="295"/>
      <c r="K135" s="295"/>
      <c r="L135" s="295"/>
      <c r="M135" s="295"/>
      <c r="N135" s="295"/>
      <c r="O135" s="295"/>
      <c r="P135" s="295"/>
      <c r="Q135" s="295"/>
    </row>
    <row r="136" spans="1:17" x14ac:dyDescent="0.2">
      <c r="A136" s="259"/>
      <c r="B136" s="234"/>
      <c r="C136" s="260"/>
      <c r="D136" s="261"/>
      <c r="E136" s="255"/>
      <c r="F136" s="253"/>
      <c r="G136" s="405"/>
      <c r="H136" s="255"/>
      <c r="I136" s="423"/>
      <c r="J136" s="295"/>
      <c r="K136" s="295"/>
    </row>
    <row r="137" spans="1:17" x14ac:dyDescent="0.2">
      <c r="A137" s="199"/>
      <c r="B137" s="229"/>
      <c r="C137" s="199"/>
      <c r="D137" s="199"/>
      <c r="E137" s="199"/>
      <c r="F137" s="230" t="s">
        <v>197</v>
      </c>
      <c r="G137" s="240"/>
      <c r="H137" s="241"/>
      <c r="I137" s="438">
        <f>SUM(I136:I136)</f>
        <v>0</v>
      </c>
      <c r="J137" s="295"/>
      <c r="K137" s="295"/>
    </row>
    <row r="138" spans="1:17" x14ac:dyDescent="0.2">
      <c r="A138" s="199"/>
      <c r="B138" s="229"/>
      <c r="C138" s="199"/>
      <c r="D138" s="199"/>
      <c r="E138" s="199"/>
      <c r="F138" s="199"/>
      <c r="G138" s="262"/>
      <c r="H138" s="199"/>
      <c r="I138" s="439"/>
      <c r="J138" s="295"/>
      <c r="K138" s="295"/>
    </row>
    <row r="139" spans="1:17" x14ac:dyDescent="0.2">
      <c r="A139" s="263" t="s">
        <v>198</v>
      </c>
      <c r="B139" s="243" t="s">
        <v>59</v>
      </c>
      <c r="C139" s="243" t="s">
        <v>196</v>
      </c>
      <c r="D139" s="635" t="s">
        <v>217</v>
      </c>
      <c r="E139" s="1121" t="s">
        <v>89</v>
      </c>
      <c r="F139" s="1114"/>
      <c r="G139" s="1115"/>
      <c r="H139" s="1121" t="s">
        <v>183</v>
      </c>
      <c r="I139" s="1115"/>
      <c r="J139" s="295"/>
      <c r="K139" s="295"/>
    </row>
    <row r="140" spans="1:17" x14ac:dyDescent="0.2">
      <c r="A140" s="244"/>
      <c r="B140" s="234"/>
      <c r="C140" s="234"/>
      <c r="D140" s="239"/>
      <c r="E140" s="240"/>
      <c r="F140" s="253"/>
      <c r="G140" s="293"/>
      <c r="H140" s="240"/>
      <c r="I140" s="423"/>
      <c r="J140" s="295"/>
      <c r="K140" s="295"/>
      <c r="P140" s="359"/>
      <c r="Q140" s="359"/>
    </row>
    <row r="141" spans="1:17" x14ac:dyDescent="0.2">
      <c r="A141" s="200"/>
      <c r="B141" s="264"/>
      <c r="C141" s="200"/>
      <c r="D141" s="200"/>
      <c r="E141" s="200"/>
      <c r="F141" s="265" t="s">
        <v>199</v>
      </c>
      <c r="G141" s="255"/>
      <c r="H141" s="266"/>
      <c r="I141" s="441">
        <f>SUM(I140:I140)</f>
        <v>0</v>
      </c>
      <c r="J141" s="295"/>
      <c r="K141" s="295"/>
      <c r="P141" s="435"/>
      <c r="Q141" s="435"/>
    </row>
    <row r="142" spans="1:17" x14ac:dyDescent="0.2">
      <c r="A142" s="200"/>
      <c r="B142" s="264"/>
      <c r="C142" s="200"/>
      <c r="D142" s="200"/>
      <c r="E142" s="200"/>
      <c r="F142" s="200"/>
      <c r="G142" s="200"/>
      <c r="H142" s="200"/>
      <c r="I142" s="440"/>
      <c r="J142" s="295"/>
      <c r="K142" s="295"/>
    </row>
    <row r="143" spans="1:17" x14ac:dyDescent="0.2">
      <c r="A143" s="267" t="s">
        <v>200</v>
      </c>
      <c r="B143" s="268" t="s">
        <v>59</v>
      </c>
      <c r="C143" s="268" t="s">
        <v>196</v>
      </c>
      <c r="D143" s="268" t="s">
        <v>201</v>
      </c>
      <c r="E143" s="268" t="s">
        <v>202</v>
      </c>
      <c r="F143" s="268" t="s">
        <v>203</v>
      </c>
      <c r="G143" s="268" t="s">
        <v>94</v>
      </c>
      <c r="H143" s="268" t="s">
        <v>89</v>
      </c>
      <c r="I143" s="442" t="s">
        <v>204</v>
      </c>
    </row>
    <row r="144" spans="1:17" x14ac:dyDescent="0.2">
      <c r="A144" s="244"/>
      <c r="B144" s="234"/>
      <c r="C144" s="234"/>
      <c r="D144" s="269"/>
      <c r="E144" s="270"/>
      <c r="F144" s="270"/>
      <c r="G144" s="239"/>
      <c r="H144" s="271"/>
      <c r="I144" s="418"/>
    </row>
    <row r="145" spans="1:17" x14ac:dyDescent="0.2">
      <c r="A145" s="200"/>
      <c r="B145" s="264"/>
      <c r="C145" s="200"/>
      <c r="D145" s="200"/>
      <c r="E145" s="200"/>
      <c r="F145" s="265" t="s">
        <v>205</v>
      </c>
      <c r="G145" s="240"/>
      <c r="H145" s="272"/>
      <c r="I145" s="443">
        <f>SUM(I144:I144)</f>
        <v>0</v>
      </c>
    </row>
    <row r="146" spans="1:17" x14ac:dyDescent="0.2">
      <c r="A146" s="200"/>
      <c r="B146" s="264"/>
      <c r="C146" s="200"/>
      <c r="D146" s="200"/>
      <c r="E146" s="200"/>
      <c r="F146" s="200"/>
      <c r="G146" s="200"/>
      <c r="H146" s="200"/>
      <c r="I146" s="444"/>
    </row>
    <row r="147" spans="1:17" x14ac:dyDescent="0.2">
      <c r="A147" s="273"/>
      <c r="B147" s="274"/>
      <c r="C147" s="275"/>
      <c r="D147" s="275"/>
      <c r="E147" s="275"/>
      <c r="F147" s="276" t="s">
        <v>315</v>
      </c>
      <c r="G147" s="273"/>
      <c r="H147" s="249"/>
      <c r="I147" s="445">
        <v>242.54</v>
      </c>
    </row>
    <row r="148" spans="1:17" x14ac:dyDescent="0.2">
      <c r="A148" s="255"/>
      <c r="B148" s="277"/>
      <c r="C148" s="266"/>
      <c r="D148" s="266"/>
      <c r="E148" s="266"/>
      <c r="F148" s="278" t="str">
        <f>CONCATENATE($H$3," ",$I$3)</f>
        <v>BDI: 23,32</v>
      </c>
      <c r="G148" s="403"/>
      <c r="H148" s="253"/>
      <c r="I148" s="446">
        <f>+ROUND(I147*$I$4,2)</f>
        <v>56.56</v>
      </c>
    </row>
    <row r="149" spans="1:17" x14ac:dyDescent="0.2">
      <c r="A149" s="240"/>
      <c r="B149" s="279"/>
      <c r="C149" s="272"/>
      <c r="D149" s="272"/>
      <c r="E149" s="272"/>
      <c r="F149" s="280" t="s">
        <v>207</v>
      </c>
      <c r="G149" s="404"/>
      <c r="H149" s="241"/>
      <c r="I149" s="720">
        <f>+I147+I148</f>
        <v>299.10000000000002</v>
      </c>
    </row>
    <row r="150" spans="1:17" x14ac:dyDescent="0.2">
      <c r="A150" s="199"/>
      <c r="B150" s="530"/>
      <c r="C150" s="200"/>
      <c r="D150" s="200"/>
      <c r="E150" s="200"/>
      <c r="F150" s="265"/>
      <c r="G150" s="200"/>
      <c r="H150" s="199"/>
      <c r="I150" s="738"/>
      <c r="J150" s="400" t="s">
        <v>59</v>
      </c>
      <c r="K150" s="295"/>
      <c r="P150" s="359"/>
      <c r="Q150" s="359"/>
    </row>
    <row r="151" spans="1:17" x14ac:dyDescent="0.2">
      <c r="A151" s="1116" t="str">
        <f>$A$1</f>
        <v>COMPOSIÇÃO DE CUSTOS UNITÁRIOS</v>
      </c>
      <c r="B151" s="1116"/>
      <c r="C151" s="1116"/>
      <c r="D151" s="1116"/>
      <c r="E151" s="1116"/>
      <c r="F151" s="1116"/>
      <c r="G151" s="1116"/>
      <c r="H151" s="1116"/>
      <c r="I151" s="1116"/>
    </row>
    <row r="152" spans="1:17" x14ac:dyDescent="0.2">
      <c r="A152" s="228" t="str">
        <f>$A$2</f>
        <v>Tabela Referencial de Preços - DER-ES</v>
      </c>
      <c r="B152" s="229"/>
      <c r="C152" s="199"/>
      <c r="D152" s="199"/>
      <c r="E152" s="199"/>
      <c r="F152" s="199"/>
      <c r="G152" s="199"/>
      <c r="H152" s="199"/>
      <c r="I152" s="414" t="str">
        <f>$I$2</f>
        <v>Data Base: novembro/2020</v>
      </c>
      <c r="J152" s="400">
        <v>41498</v>
      </c>
      <c r="K152" s="400">
        <f>VLOOKUP("Preço Unitário Total",F154:I3979,4,FALSE)</f>
        <v>715.93</v>
      </c>
      <c r="L152" s="295">
        <f>VLOOKUP(J152,'DER 11-20'!A:E,5,FALSE)</f>
        <v>0</v>
      </c>
      <c r="M152" s="295" t="str">
        <f>VLOOKUP(J152,'DER 11-20'!$A:$D,2,FALSE)</f>
        <v>Barracão com sanitário, em chapa compensada 12 mm e pont. 8x8cm, piso cimentado e cobertura em telha de fibroc. 6mm, incl. ponto de luz e cx. inspeção</v>
      </c>
    </row>
    <row r="153" spans="1:17" x14ac:dyDescent="0.2">
      <c r="A153" s="1117" t="str">
        <f>+CONCATENATE("Serviço: ",J152," ",VLOOKUP(J152,'DER 11-20'!$A:$D,2,FALSE))</f>
        <v>Serviço: 41498 Barracão com sanitário, em chapa compensada 12 mm e pont. 8x8cm, piso cimentado e cobertura em telha de fibroc. 6mm, incl. ponto de luz e cx. inspeção</v>
      </c>
      <c r="B153" s="1117"/>
      <c r="C153" s="1117"/>
      <c r="D153" s="1117"/>
      <c r="E153" s="1117"/>
      <c r="F153" s="1117"/>
      <c r="G153" s="1117"/>
      <c r="H153" s="1117"/>
      <c r="I153" s="1119" t="str">
        <f>CONCATENATE("Unidade: ", VLOOKUP(J152,'DER 11-20'!$A:$E,3,FALSE))</f>
        <v>Unidade: M2</v>
      </c>
    </row>
    <row r="154" spans="1:17" x14ac:dyDescent="0.2">
      <c r="A154" s="1118"/>
      <c r="B154" s="1118"/>
      <c r="C154" s="1118"/>
      <c r="D154" s="1118"/>
      <c r="E154" s="1118"/>
      <c r="F154" s="1118"/>
      <c r="G154" s="1118"/>
      <c r="H154" s="1118"/>
      <c r="I154" s="1120"/>
    </row>
    <row r="155" spans="1:17" ht="22.5" x14ac:dyDescent="0.2">
      <c r="A155" s="231" t="s">
        <v>177</v>
      </c>
      <c r="B155" s="232" t="s">
        <v>59</v>
      </c>
      <c r="C155" s="232" t="s">
        <v>178</v>
      </c>
      <c r="D155" s="232" t="s">
        <v>179</v>
      </c>
      <c r="E155" s="232" t="s">
        <v>180</v>
      </c>
      <c r="F155" s="232" t="s">
        <v>181</v>
      </c>
      <c r="G155" s="232" t="s">
        <v>182</v>
      </c>
      <c r="H155" s="232" t="s">
        <v>89</v>
      </c>
      <c r="I155" s="434" t="s">
        <v>183</v>
      </c>
    </row>
    <row r="156" spans="1:17" x14ac:dyDescent="0.2">
      <c r="A156" s="233"/>
      <c r="B156" s="234"/>
      <c r="C156" s="235"/>
      <c r="D156" s="236"/>
      <c r="E156" s="203"/>
      <c r="F156" s="237"/>
      <c r="G156" s="237"/>
      <c r="H156" s="238"/>
      <c r="I156" s="418"/>
    </row>
    <row r="157" spans="1:17" x14ac:dyDescent="0.2">
      <c r="A157" s="199"/>
      <c r="B157" s="229"/>
      <c r="C157" s="229"/>
      <c r="D157" s="199"/>
      <c r="E157" s="199"/>
      <c r="F157" s="230" t="s">
        <v>184</v>
      </c>
      <c r="G157" s="240"/>
      <c r="H157" s="241"/>
      <c r="I157" s="438">
        <f>SUM(I156:I156)</f>
        <v>0</v>
      </c>
    </row>
    <row r="158" spans="1:17" x14ac:dyDescent="0.2">
      <c r="A158" s="199"/>
      <c r="B158" s="229"/>
      <c r="C158" s="229"/>
      <c r="D158" s="199"/>
      <c r="E158" s="199"/>
      <c r="F158" s="199"/>
      <c r="G158" s="199"/>
      <c r="H158" s="199"/>
      <c r="I158" s="439"/>
    </row>
    <row r="159" spans="1:17" x14ac:dyDescent="0.2">
      <c r="A159" s="242" t="s">
        <v>185</v>
      </c>
      <c r="B159" s="243" t="s">
        <v>59</v>
      </c>
      <c r="C159" s="232" t="s">
        <v>357</v>
      </c>
      <c r="D159" s="243" t="s">
        <v>187</v>
      </c>
      <c r="E159" s="1111" t="s">
        <v>89</v>
      </c>
      <c r="F159" s="1112"/>
      <c r="G159" s="1113"/>
      <c r="H159" s="1121" t="s">
        <v>183</v>
      </c>
      <c r="I159" s="1115"/>
    </row>
    <row r="160" spans="1:17" x14ac:dyDescent="0.2">
      <c r="A160" s="244"/>
      <c r="B160" s="234"/>
      <c r="C160" s="239"/>
      <c r="D160" s="239"/>
      <c r="E160" s="255"/>
      <c r="F160" s="253"/>
      <c r="G160" s="293"/>
      <c r="H160" s="240"/>
      <c r="I160" s="427"/>
    </row>
    <row r="161" spans="1:17" x14ac:dyDescent="0.2">
      <c r="A161" s="199"/>
      <c r="B161" s="229"/>
      <c r="C161" s="229"/>
      <c r="D161" s="199"/>
      <c r="E161" s="199"/>
      <c r="F161" s="230" t="s">
        <v>188</v>
      </c>
      <c r="G161" s="240"/>
      <c r="H161" s="241"/>
      <c r="I161" s="438">
        <f>SUM(I160:I160)</f>
        <v>0</v>
      </c>
    </row>
    <row r="162" spans="1:17" x14ac:dyDescent="0.2">
      <c r="A162" s="199"/>
      <c r="B162" s="229"/>
      <c r="C162" s="229"/>
      <c r="D162" s="199"/>
      <c r="E162" s="199"/>
      <c r="F162" s="199"/>
      <c r="G162" s="199"/>
      <c r="H162" s="199"/>
      <c r="I162" s="439"/>
    </row>
    <row r="163" spans="1:17" s="198" customFormat="1" x14ac:dyDescent="0.2">
      <c r="A163" s="245" t="s">
        <v>189</v>
      </c>
      <c r="B163" s="243" t="s">
        <v>59</v>
      </c>
      <c r="C163" s="731" t="s">
        <v>17</v>
      </c>
      <c r="D163" s="243" t="s">
        <v>190</v>
      </c>
      <c r="E163" s="243" t="s">
        <v>191</v>
      </c>
      <c r="F163" s="243" t="s">
        <v>192</v>
      </c>
      <c r="G163" s="1121" t="s">
        <v>94</v>
      </c>
      <c r="H163" s="1114"/>
      <c r="I163" s="1115"/>
      <c r="J163" s="400"/>
      <c r="K163" s="400"/>
      <c r="L163" s="295"/>
      <c r="M163" s="295"/>
      <c r="N163" s="295"/>
      <c r="O163" s="295"/>
      <c r="P163" s="295"/>
      <c r="Q163" s="295"/>
    </row>
    <row r="164" spans="1:17" x14ac:dyDescent="0.2">
      <c r="A164" s="244"/>
      <c r="B164" s="234"/>
      <c r="C164" s="239"/>
      <c r="D164" s="235"/>
      <c r="E164" s="246"/>
      <c r="F164" s="246"/>
      <c r="G164" s="240"/>
      <c r="H164" s="241"/>
      <c r="I164" s="427"/>
    </row>
    <row r="165" spans="1:17" x14ac:dyDescent="0.2">
      <c r="A165" s="199"/>
      <c r="B165" s="229"/>
      <c r="C165" s="199"/>
      <c r="D165" s="199"/>
      <c r="E165" s="199"/>
      <c r="F165" s="230" t="s">
        <v>327</v>
      </c>
      <c r="G165" s="240"/>
      <c r="H165" s="241"/>
      <c r="I165" s="438">
        <f>SUM(I164)</f>
        <v>0</v>
      </c>
    </row>
    <row r="166" spans="1:17" x14ac:dyDescent="0.2">
      <c r="A166" s="199"/>
      <c r="B166" s="229"/>
      <c r="C166" s="199"/>
      <c r="D166" s="199"/>
      <c r="E166" s="199"/>
      <c r="F166" s="199"/>
      <c r="G166" s="199"/>
      <c r="H166" s="199"/>
      <c r="I166" s="439"/>
    </row>
    <row r="167" spans="1:17" x14ac:dyDescent="0.2">
      <c r="A167" s="247"/>
      <c r="B167" s="248"/>
      <c r="C167" s="249"/>
      <c r="D167" s="249"/>
      <c r="E167" s="249"/>
      <c r="F167" s="250" t="s">
        <v>193</v>
      </c>
      <c r="G167" s="401"/>
      <c r="H167" s="249"/>
      <c r="I167" s="445">
        <f>+I157+I161+I165</f>
        <v>0</v>
      </c>
    </row>
    <row r="168" spans="1:17" x14ac:dyDescent="0.2">
      <c r="A168" s="251"/>
      <c r="B168" s="252"/>
      <c r="C168" s="253"/>
      <c r="D168" s="253"/>
      <c r="E168" s="253"/>
      <c r="F168" s="254" t="s">
        <v>194</v>
      </c>
      <c r="G168" s="255"/>
      <c r="H168" s="253"/>
      <c r="I168" s="446">
        <v>1</v>
      </c>
    </row>
    <row r="169" spans="1:17" x14ac:dyDescent="0.2">
      <c r="A169" s="233"/>
      <c r="B169" s="256"/>
      <c r="C169" s="241"/>
      <c r="D169" s="241"/>
      <c r="E169" s="241"/>
      <c r="F169" s="257" t="s">
        <v>216</v>
      </c>
      <c r="G169" s="240"/>
      <c r="H169" s="241"/>
      <c r="I169" s="447">
        <f>TRUNC(I167/I168,2)</f>
        <v>0</v>
      </c>
      <c r="O169" s="198"/>
    </row>
    <row r="170" spans="1:17" x14ac:dyDescent="0.2">
      <c r="A170" s="732"/>
      <c r="B170" s="229"/>
      <c r="C170" s="199"/>
      <c r="D170" s="199"/>
      <c r="E170" s="199"/>
      <c r="F170" s="258"/>
      <c r="G170" s="199"/>
      <c r="H170" s="199"/>
      <c r="I170" s="450"/>
      <c r="O170" s="198"/>
    </row>
    <row r="171" spans="1:17" x14ac:dyDescent="0.2">
      <c r="A171" s="242" t="s">
        <v>195</v>
      </c>
      <c r="B171" s="243" t="s">
        <v>59</v>
      </c>
      <c r="C171" s="243" t="s">
        <v>196</v>
      </c>
      <c r="D171" s="243" t="s">
        <v>217</v>
      </c>
      <c r="E171" s="1121" t="s">
        <v>89</v>
      </c>
      <c r="F171" s="1114"/>
      <c r="G171" s="1115"/>
      <c r="H171" s="1121" t="s">
        <v>183</v>
      </c>
      <c r="I171" s="1115"/>
    </row>
    <row r="172" spans="1:17" x14ac:dyDescent="0.2">
      <c r="A172" s="259"/>
      <c r="B172" s="234"/>
      <c r="C172" s="260"/>
      <c r="D172" s="261"/>
      <c r="E172" s="255"/>
      <c r="F172" s="253"/>
      <c r="G172" s="293"/>
      <c r="H172" s="255"/>
      <c r="I172" s="423"/>
    </row>
    <row r="173" spans="1:17" x14ac:dyDescent="0.2">
      <c r="A173" s="199"/>
      <c r="B173" s="229"/>
      <c r="C173" s="199"/>
      <c r="D173" s="199"/>
      <c r="E173" s="199"/>
      <c r="F173" s="230" t="s">
        <v>197</v>
      </c>
      <c r="G173" s="240"/>
      <c r="H173" s="241"/>
      <c r="I173" s="438">
        <f>SUM(I172:I172)</f>
        <v>0</v>
      </c>
    </row>
    <row r="174" spans="1:17" x14ac:dyDescent="0.2">
      <c r="A174" s="199"/>
      <c r="B174" s="229"/>
      <c r="C174" s="199"/>
      <c r="D174" s="199"/>
      <c r="E174" s="199"/>
      <c r="F174" s="199"/>
      <c r="G174" s="262"/>
      <c r="H174" s="199"/>
      <c r="I174" s="439"/>
      <c r="J174" s="415"/>
      <c r="K174" s="415"/>
      <c r="L174" s="198"/>
      <c r="M174" s="198"/>
      <c r="N174" s="198"/>
    </row>
    <row r="175" spans="1:17" x14ac:dyDescent="0.2">
      <c r="A175" s="431" t="s">
        <v>198</v>
      </c>
      <c r="B175" s="432" t="s">
        <v>59</v>
      </c>
      <c r="C175" s="432" t="s">
        <v>196</v>
      </c>
      <c r="D175" s="733" t="s">
        <v>217</v>
      </c>
      <c r="E175" s="1125" t="s">
        <v>89</v>
      </c>
      <c r="F175" s="1126"/>
      <c r="G175" s="1127"/>
      <c r="H175" s="1128" t="s">
        <v>183</v>
      </c>
      <c r="I175" s="1129"/>
      <c r="J175" s="415"/>
      <c r="K175" s="415"/>
      <c r="L175" s="198"/>
      <c r="M175" s="198"/>
      <c r="N175" s="198"/>
    </row>
    <row r="176" spans="1:17" x14ac:dyDescent="0.2">
      <c r="A176" s="416"/>
      <c r="B176" s="417"/>
      <c r="C176" s="417"/>
      <c r="D176" s="418"/>
      <c r="E176" s="419"/>
      <c r="F176" s="420"/>
      <c r="G176" s="421"/>
      <c r="H176" s="422"/>
      <c r="I176" s="423"/>
    </row>
    <row r="177" spans="1:13" x14ac:dyDescent="0.2">
      <c r="A177" s="200"/>
      <c r="B177" s="264"/>
      <c r="C177" s="200"/>
      <c r="D177" s="200"/>
      <c r="E177" s="200"/>
      <c r="F177" s="265" t="s">
        <v>199</v>
      </c>
      <c r="G177" s="255"/>
      <c r="H177" s="266"/>
      <c r="I177" s="441">
        <f>SUM(I176:I176)</f>
        <v>0</v>
      </c>
    </row>
    <row r="178" spans="1:13" x14ac:dyDescent="0.2">
      <c r="A178" s="200"/>
      <c r="B178" s="264"/>
      <c r="C178" s="200"/>
      <c r="D178" s="200"/>
      <c r="E178" s="200"/>
      <c r="F178" s="200"/>
      <c r="G178" s="200"/>
      <c r="H178" s="200"/>
      <c r="I178" s="440"/>
    </row>
    <row r="179" spans="1:13" x14ac:dyDescent="0.2">
      <c r="A179" s="267" t="s">
        <v>200</v>
      </c>
      <c r="B179" s="268" t="s">
        <v>59</v>
      </c>
      <c r="C179" s="268" t="s">
        <v>196</v>
      </c>
      <c r="D179" s="268" t="s">
        <v>201</v>
      </c>
      <c r="E179" s="268" t="s">
        <v>202</v>
      </c>
      <c r="F179" s="268" t="s">
        <v>203</v>
      </c>
      <c r="G179" s="268" t="s">
        <v>94</v>
      </c>
      <c r="H179" s="268" t="s">
        <v>89</v>
      </c>
      <c r="I179" s="442" t="s">
        <v>204</v>
      </c>
    </row>
    <row r="180" spans="1:13" x14ac:dyDescent="0.2">
      <c r="A180" s="244"/>
      <c r="B180" s="234"/>
      <c r="C180" s="234"/>
      <c r="D180" s="402"/>
      <c r="E180" s="270"/>
      <c r="F180" s="270"/>
      <c r="G180" s="239"/>
      <c r="H180" s="271"/>
      <c r="I180" s="418"/>
    </row>
    <row r="181" spans="1:13" x14ac:dyDescent="0.2">
      <c r="A181" s="200"/>
      <c r="B181" s="264"/>
      <c r="C181" s="200"/>
      <c r="D181" s="200"/>
      <c r="E181" s="200"/>
      <c r="F181" s="265" t="s">
        <v>205</v>
      </c>
      <c r="G181" s="240"/>
      <c r="H181" s="272"/>
      <c r="I181" s="443">
        <f>SUM(I180:I180)</f>
        <v>0</v>
      </c>
    </row>
    <row r="182" spans="1:13" x14ac:dyDescent="0.2">
      <c r="A182" s="200"/>
      <c r="B182" s="264"/>
      <c r="C182" s="200"/>
      <c r="D182" s="200"/>
      <c r="E182" s="200"/>
      <c r="F182" s="200"/>
      <c r="G182" s="200"/>
      <c r="H182" s="200"/>
      <c r="I182" s="444"/>
    </row>
    <row r="183" spans="1:13" x14ac:dyDescent="0.2">
      <c r="A183" s="273"/>
      <c r="B183" s="274"/>
      <c r="C183" s="275"/>
      <c r="D183" s="275"/>
      <c r="E183" s="275"/>
      <c r="F183" s="276" t="s">
        <v>315</v>
      </c>
      <c r="G183" s="273"/>
      <c r="H183" s="249"/>
      <c r="I183" s="445">
        <v>580.54999999999995</v>
      </c>
    </row>
    <row r="184" spans="1:13" x14ac:dyDescent="0.2">
      <c r="A184" s="255"/>
      <c r="B184" s="277"/>
      <c r="C184" s="266"/>
      <c r="D184" s="266"/>
      <c r="E184" s="266"/>
      <c r="F184" s="278" t="str">
        <f>CONCATENATE($H$3," ",$I$3)</f>
        <v>BDI: 23,32</v>
      </c>
      <c r="G184" s="403"/>
      <c r="H184" s="253"/>
      <c r="I184" s="446">
        <f>+ROUND(I183*$I$4,2)</f>
        <v>135.38</v>
      </c>
    </row>
    <row r="185" spans="1:13" x14ac:dyDescent="0.2">
      <c r="A185" s="240"/>
      <c r="B185" s="279"/>
      <c r="C185" s="272"/>
      <c r="D185" s="272"/>
      <c r="E185" s="272"/>
      <c r="F185" s="280" t="s">
        <v>207</v>
      </c>
      <c r="G185" s="404"/>
      <c r="H185" s="241"/>
      <c r="I185" s="720">
        <f>I183+I184</f>
        <v>715.93</v>
      </c>
    </row>
    <row r="186" spans="1:13" x14ac:dyDescent="0.2">
      <c r="A186" s="199"/>
      <c r="B186" s="530"/>
      <c r="C186" s="200"/>
      <c r="D186" s="200"/>
      <c r="E186" s="200"/>
      <c r="F186" s="265"/>
      <c r="G186" s="200"/>
      <c r="H186" s="785"/>
      <c r="I186" s="786"/>
    </row>
    <row r="187" spans="1:13" x14ac:dyDescent="0.2">
      <c r="A187" s="1116" t="str">
        <f>$A$1</f>
        <v>COMPOSIÇÃO DE CUSTOS UNITÁRIOS</v>
      </c>
      <c r="B187" s="1116"/>
      <c r="C187" s="1116"/>
      <c r="D187" s="1116"/>
      <c r="E187" s="1116"/>
      <c r="F187" s="1116"/>
      <c r="G187" s="1116"/>
      <c r="H187" s="1116"/>
      <c r="I187" s="1116"/>
    </row>
    <row r="188" spans="1:13" x14ac:dyDescent="0.2">
      <c r="A188" s="228" t="str">
        <f>$A$2</f>
        <v>Tabela Referencial de Preços - DER-ES</v>
      </c>
      <c r="B188" s="229"/>
      <c r="C188" s="199"/>
      <c r="D188" s="199"/>
      <c r="E188" s="199"/>
      <c r="F188" s="199"/>
      <c r="G188" s="199"/>
      <c r="H188" s="199"/>
      <c r="I188" s="414" t="str">
        <f>$I$2</f>
        <v>Data Base: novembro/2020</v>
      </c>
      <c r="J188" s="400">
        <v>41530</v>
      </c>
      <c r="K188" s="400">
        <f>VLOOKUP("Preço Unitário Total",F190:I4015,4,FALSE)</f>
        <v>397.57</v>
      </c>
      <c r="L188" s="295">
        <f>VLOOKUP(J188,'DER 11-20'!A:E,5,FALSE)</f>
        <v>0</v>
      </c>
      <c r="M188" s="295" t="str">
        <f>VLOOKUP(J188,'DER 11-20'!$A:$D,2,FALSE)</f>
        <v>Refeitório c/ paredes chapa de comp. 12mm e pont. 8x8cm, piso ciment. e cob. telhas fibroc. 6mm, incl. ponto de luz e cx. de insp. (1,21m²/func/turno)</v>
      </c>
    </row>
    <row r="189" spans="1:13" x14ac:dyDescent="0.2">
      <c r="A189" s="1117" t="str">
        <f>+CONCATENATE("Serviço: ",J188," ",VLOOKUP(J188,'DER 11-20'!$A:$D,2,FALSE))</f>
        <v>Serviço: 41530 Refeitório c/ paredes chapa de comp. 12mm e pont. 8x8cm, piso ciment. e cob. telhas fibroc. 6mm, incl. ponto de luz e cx. de insp. (1,21m²/func/turno)</v>
      </c>
      <c r="B189" s="1117"/>
      <c r="C189" s="1117"/>
      <c r="D189" s="1117"/>
      <c r="E189" s="1117"/>
      <c r="F189" s="1117"/>
      <c r="G189" s="1117"/>
      <c r="H189" s="1117"/>
      <c r="I189" s="1119" t="str">
        <f>CONCATENATE("Unidade: ", VLOOKUP(J188,'DER 11-20'!$A:$E,3,FALSE))</f>
        <v>Unidade: M2</v>
      </c>
      <c r="J189" s="295"/>
      <c r="K189" s="295"/>
    </row>
    <row r="190" spans="1:13" x14ac:dyDescent="0.2">
      <c r="A190" s="1118"/>
      <c r="B190" s="1118"/>
      <c r="C190" s="1118"/>
      <c r="D190" s="1118"/>
      <c r="E190" s="1118"/>
      <c r="F190" s="1118"/>
      <c r="G190" s="1118"/>
      <c r="H190" s="1118"/>
      <c r="I190" s="1120"/>
      <c r="J190" s="295"/>
      <c r="K190" s="295"/>
    </row>
    <row r="191" spans="1:13" ht="22.5" x14ac:dyDescent="0.2">
      <c r="A191" s="231" t="s">
        <v>177</v>
      </c>
      <c r="B191" s="232" t="s">
        <v>59</v>
      </c>
      <c r="C191" s="232" t="s">
        <v>178</v>
      </c>
      <c r="D191" s="232" t="s">
        <v>179</v>
      </c>
      <c r="E191" s="232" t="s">
        <v>180</v>
      </c>
      <c r="F191" s="232" t="s">
        <v>181</v>
      </c>
      <c r="G191" s="232" t="s">
        <v>182</v>
      </c>
      <c r="H191" s="232" t="s">
        <v>89</v>
      </c>
      <c r="I191" s="434" t="s">
        <v>183</v>
      </c>
      <c r="J191" s="295"/>
      <c r="K191" s="295"/>
    </row>
    <row r="192" spans="1:13" x14ac:dyDescent="0.2">
      <c r="A192" s="233"/>
      <c r="B192" s="234"/>
      <c r="C192" s="235"/>
      <c r="D192" s="236"/>
      <c r="E192" s="203"/>
      <c r="F192" s="237"/>
      <c r="G192" s="237"/>
      <c r="H192" s="238"/>
      <c r="I192" s="418"/>
      <c r="J192" s="295"/>
      <c r="K192" s="295"/>
    </row>
    <row r="193" spans="1:15" x14ac:dyDescent="0.2">
      <c r="A193" s="199"/>
      <c r="B193" s="229"/>
      <c r="C193" s="229"/>
      <c r="D193" s="199"/>
      <c r="E193" s="199"/>
      <c r="F193" s="230" t="s">
        <v>184</v>
      </c>
      <c r="G193" s="240"/>
      <c r="H193" s="241"/>
      <c r="I193" s="438">
        <f>SUM(I192:I192)</f>
        <v>0</v>
      </c>
      <c r="J193" s="295"/>
      <c r="K193" s="295"/>
    </row>
    <row r="194" spans="1:15" x14ac:dyDescent="0.2">
      <c r="A194" s="199"/>
      <c r="B194" s="229"/>
      <c r="C194" s="229"/>
      <c r="D194" s="199"/>
      <c r="E194" s="199"/>
      <c r="F194" s="199"/>
      <c r="G194" s="199"/>
      <c r="H194" s="199"/>
      <c r="I194" s="439"/>
      <c r="J194" s="295"/>
      <c r="K194" s="295"/>
    </row>
    <row r="195" spans="1:15" x14ac:dyDescent="0.2">
      <c r="A195" s="242" t="s">
        <v>185</v>
      </c>
      <c r="B195" s="243" t="s">
        <v>59</v>
      </c>
      <c r="C195" s="232" t="s">
        <v>357</v>
      </c>
      <c r="D195" s="243" t="s">
        <v>187</v>
      </c>
      <c r="E195" s="1111" t="s">
        <v>89</v>
      </c>
      <c r="F195" s="1112"/>
      <c r="G195" s="1113"/>
      <c r="H195" s="1121" t="s">
        <v>183</v>
      </c>
      <c r="I195" s="1115"/>
      <c r="J195" s="295"/>
      <c r="K195" s="295"/>
    </row>
    <row r="196" spans="1:15" x14ac:dyDescent="0.2">
      <c r="A196" s="244"/>
      <c r="B196" s="234"/>
      <c r="C196" s="239"/>
      <c r="D196" s="239"/>
      <c r="E196" s="255"/>
      <c r="F196" s="253"/>
      <c r="G196" s="293"/>
      <c r="H196" s="240"/>
      <c r="I196" s="427"/>
      <c r="J196" s="295"/>
      <c r="K196" s="295"/>
    </row>
    <row r="197" spans="1:15" x14ac:dyDescent="0.2">
      <c r="A197" s="199"/>
      <c r="B197" s="229"/>
      <c r="C197" s="229"/>
      <c r="D197" s="199"/>
      <c r="E197" s="199"/>
      <c r="F197" s="230" t="s">
        <v>188</v>
      </c>
      <c r="G197" s="240"/>
      <c r="H197" s="241"/>
      <c r="I197" s="438">
        <f>SUM(I196:I196)</f>
        <v>0</v>
      </c>
      <c r="J197" s="295"/>
      <c r="K197" s="295"/>
    </row>
    <row r="198" spans="1:15" x14ac:dyDescent="0.2">
      <c r="A198" s="199"/>
      <c r="B198" s="229"/>
      <c r="C198" s="229"/>
      <c r="D198" s="199"/>
      <c r="E198" s="199"/>
      <c r="F198" s="199"/>
      <c r="G198" s="199"/>
      <c r="H198" s="199"/>
      <c r="I198" s="439"/>
      <c r="J198" s="295"/>
      <c r="K198" s="295"/>
    </row>
    <row r="199" spans="1:15" x14ac:dyDescent="0.2">
      <c r="A199" s="245" t="s">
        <v>189</v>
      </c>
      <c r="B199" s="243" t="s">
        <v>59</v>
      </c>
      <c r="C199" s="635" t="s">
        <v>17</v>
      </c>
      <c r="D199" s="243" t="s">
        <v>190</v>
      </c>
      <c r="E199" s="243" t="s">
        <v>191</v>
      </c>
      <c r="F199" s="243" t="s">
        <v>192</v>
      </c>
      <c r="G199" s="1121" t="s">
        <v>94</v>
      </c>
      <c r="H199" s="1114"/>
      <c r="I199" s="1115"/>
      <c r="J199" s="295"/>
      <c r="K199" s="295"/>
    </row>
    <row r="200" spans="1:15" x14ac:dyDescent="0.2">
      <c r="A200" s="244"/>
      <c r="B200" s="234"/>
      <c r="C200" s="239"/>
      <c r="D200" s="235"/>
      <c r="E200" s="246"/>
      <c r="F200" s="246"/>
      <c r="G200" s="240"/>
      <c r="H200" s="241"/>
      <c r="I200" s="427">
        <f>TRUNC(C200/100*I197,2)</f>
        <v>0</v>
      </c>
      <c r="J200" s="295"/>
      <c r="K200" s="295"/>
    </row>
    <row r="201" spans="1:15" x14ac:dyDescent="0.2">
      <c r="A201" s="199"/>
      <c r="B201" s="229"/>
      <c r="C201" s="199"/>
      <c r="D201" s="199"/>
      <c r="E201" s="199"/>
      <c r="F201" s="230" t="s">
        <v>327</v>
      </c>
      <c r="G201" s="240"/>
      <c r="H201" s="241"/>
      <c r="I201" s="438">
        <f>SUM(I200)</f>
        <v>0</v>
      </c>
      <c r="J201" s="295"/>
      <c r="K201" s="295"/>
    </row>
    <row r="202" spans="1:15" x14ac:dyDescent="0.2">
      <c r="A202" s="199"/>
      <c r="B202" s="229"/>
      <c r="C202" s="199"/>
      <c r="D202" s="199"/>
      <c r="E202" s="199"/>
      <c r="F202" s="199"/>
      <c r="G202" s="199"/>
      <c r="H202" s="199"/>
      <c r="I202" s="439"/>
      <c r="J202" s="295"/>
      <c r="K202" s="295"/>
    </row>
    <row r="203" spans="1:15" x14ac:dyDescent="0.2">
      <c r="A203" s="247"/>
      <c r="B203" s="248"/>
      <c r="C203" s="249"/>
      <c r="D203" s="249"/>
      <c r="E203" s="249"/>
      <c r="F203" s="250" t="s">
        <v>193</v>
      </c>
      <c r="G203" s="401"/>
      <c r="H203" s="249"/>
      <c r="I203" s="445">
        <f>+I193+I197+I201</f>
        <v>0</v>
      </c>
      <c r="J203" s="295"/>
      <c r="K203" s="295"/>
    </row>
    <row r="204" spans="1:15" x14ac:dyDescent="0.2">
      <c r="A204" s="251"/>
      <c r="B204" s="252"/>
      <c r="C204" s="253"/>
      <c r="D204" s="253"/>
      <c r="E204" s="253"/>
      <c r="F204" s="254" t="s">
        <v>194</v>
      </c>
      <c r="G204" s="255"/>
      <c r="H204" s="253"/>
      <c r="I204" s="446">
        <v>1</v>
      </c>
      <c r="J204" s="295"/>
      <c r="K204" s="295"/>
    </row>
    <row r="205" spans="1:15" x14ac:dyDescent="0.2">
      <c r="A205" s="233"/>
      <c r="B205" s="256"/>
      <c r="C205" s="241"/>
      <c r="D205" s="241"/>
      <c r="E205" s="241"/>
      <c r="F205" s="257" t="s">
        <v>216</v>
      </c>
      <c r="G205" s="240"/>
      <c r="H205" s="241"/>
      <c r="I205" s="447">
        <f>TRUNC(I203/I204,2)</f>
        <v>0</v>
      </c>
    </row>
    <row r="206" spans="1:15" x14ac:dyDescent="0.2">
      <c r="A206" s="636"/>
      <c r="B206" s="229"/>
      <c r="C206" s="199"/>
      <c r="D206" s="199"/>
      <c r="E206" s="199"/>
      <c r="F206" s="258"/>
      <c r="G206" s="199"/>
      <c r="H206" s="199"/>
      <c r="I206" s="450"/>
    </row>
    <row r="207" spans="1:15" x14ac:dyDescent="0.2">
      <c r="A207" s="242" t="s">
        <v>195</v>
      </c>
      <c r="B207" s="243" t="s">
        <v>59</v>
      </c>
      <c r="C207" s="243" t="s">
        <v>196</v>
      </c>
      <c r="D207" s="243" t="s">
        <v>217</v>
      </c>
      <c r="E207" s="1121" t="s">
        <v>89</v>
      </c>
      <c r="F207" s="1114"/>
      <c r="G207" s="1115"/>
      <c r="H207" s="1121" t="s">
        <v>183</v>
      </c>
      <c r="I207" s="1115"/>
      <c r="O207" s="198"/>
    </row>
    <row r="208" spans="1:15" x14ac:dyDescent="0.2">
      <c r="A208" s="259"/>
      <c r="B208" s="234"/>
      <c r="C208" s="260"/>
      <c r="D208" s="261"/>
      <c r="E208" s="255"/>
      <c r="F208" s="253"/>
      <c r="G208" s="293"/>
      <c r="H208" s="255"/>
      <c r="I208" s="423"/>
      <c r="O208" s="198"/>
    </row>
    <row r="209" spans="1:17" ht="33.75" customHeight="1" x14ac:dyDescent="0.2">
      <c r="A209" s="199"/>
      <c r="B209" s="229"/>
      <c r="C209" s="199"/>
      <c r="D209" s="199"/>
      <c r="E209" s="199"/>
      <c r="F209" s="230" t="s">
        <v>197</v>
      </c>
      <c r="G209" s="240"/>
      <c r="H209" s="241"/>
      <c r="I209" s="438">
        <f>SUM(I208:I208)</f>
        <v>0</v>
      </c>
    </row>
    <row r="210" spans="1:17" x14ac:dyDescent="0.2">
      <c r="A210" s="199"/>
      <c r="B210" s="229"/>
      <c r="C210" s="199"/>
      <c r="D210" s="199"/>
      <c r="E210" s="199"/>
      <c r="F210" s="199"/>
      <c r="G210" s="262"/>
      <c r="H210" s="199"/>
      <c r="I210" s="439"/>
      <c r="J210" s="415"/>
      <c r="K210" s="415"/>
      <c r="L210" s="198"/>
      <c r="M210" s="198"/>
      <c r="N210" s="198"/>
    </row>
    <row r="211" spans="1:17" x14ac:dyDescent="0.2">
      <c r="A211" s="431" t="s">
        <v>198</v>
      </c>
      <c r="B211" s="432" t="s">
        <v>59</v>
      </c>
      <c r="C211" s="432" t="s">
        <v>196</v>
      </c>
      <c r="D211" s="637" t="s">
        <v>217</v>
      </c>
      <c r="E211" s="1125" t="s">
        <v>89</v>
      </c>
      <c r="F211" s="1126"/>
      <c r="G211" s="1127"/>
      <c r="H211" s="1128" t="s">
        <v>183</v>
      </c>
      <c r="I211" s="1129"/>
      <c r="J211" s="415"/>
      <c r="K211" s="415"/>
      <c r="L211" s="198"/>
      <c r="M211" s="198"/>
      <c r="N211" s="198"/>
    </row>
    <row r="212" spans="1:17" x14ac:dyDescent="0.2">
      <c r="A212" s="416"/>
      <c r="B212" s="417"/>
      <c r="C212" s="417"/>
      <c r="D212" s="418"/>
      <c r="E212" s="419"/>
      <c r="F212" s="420"/>
      <c r="G212" s="421"/>
      <c r="H212" s="422"/>
      <c r="I212" s="423"/>
      <c r="P212" s="198"/>
      <c r="Q212" s="198"/>
    </row>
    <row r="213" spans="1:17" x14ac:dyDescent="0.2">
      <c r="A213" s="200"/>
      <c r="B213" s="264"/>
      <c r="C213" s="200"/>
      <c r="D213" s="200"/>
      <c r="E213" s="200"/>
      <c r="F213" s="265" t="s">
        <v>199</v>
      </c>
      <c r="G213" s="255"/>
      <c r="H213" s="266"/>
      <c r="I213" s="441">
        <f>SUM(I212:I212)</f>
        <v>0</v>
      </c>
      <c r="P213" s="198"/>
      <c r="Q213" s="198"/>
    </row>
    <row r="214" spans="1:17" x14ac:dyDescent="0.2">
      <c r="A214" s="200"/>
      <c r="B214" s="264"/>
      <c r="C214" s="200"/>
      <c r="D214" s="200"/>
      <c r="E214" s="200"/>
      <c r="F214" s="200"/>
      <c r="G214" s="200"/>
      <c r="H214" s="200"/>
      <c r="I214" s="440"/>
    </row>
    <row r="215" spans="1:17" x14ac:dyDescent="0.2">
      <c r="A215" s="267" t="s">
        <v>200</v>
      </c>
      <c r="B215" s="268" t="s">
        <v>59</v>
      </c>
      <c r="C215" s="268" t="s">
        <v>196</v>
      </c>
      <c r="D215" s="268" t="s">
        <v>201</v>
      </c>
      <c r="E215" s="268" t="s">
        <v>202</v>
      </c>
      <c r="F215" s="268" t="s">
        <v>203</v>
      </c>
      <c r="G215" s="268" t="s">
        <v>94</v>
      </c>
      <c r="H215" s="268" t="s">
        <v>89</v>
      </c>
      <c r="I215" s="442" t="s">
        <v>204</v>
      </c>
      <c r="J215" s="400" t="s">
        <v>296</v>
      </c>
    </row>
    <row r="216" spans="1:17" x14ac:dyDescent="0.2">
      <c r="A216" s="244"/>
      <c r="B216" s="234"/>
      <c r="C216" s="234"/>
      <c r="D216" s="402"/>
      <c r="E216" s="270"/>
      <c r="F216" s="270"/>
      <c r="G216" s="239"/>
      <c r="H216" s="271"/>
      <c r="I216" s="418"/>
    </row>
    <row r="217" spans="1:17" x14ac:dyDescent="0.2">
      <c r="A217" s="200"/>
      <c r="B217" s="264"/>
      <c r="C217" s="200"/>
      <c r="D217" s="200"/>
      <c r="E217" s="200"/>
      <c r="F217" s="265" t="s">
        <v>205</v>
      </c>
      <c r="G217" s="240"/>
      <c r="H217" s="272"/>
      <c r="I217" s="443">
        <f>SUM(I216:I216)</f>
        <v>0</v>
      </c>
    </row>
    <row r="218" spans="1:17" x14ac:dyDescent="0.2">
      <c r="A218" s="200"/>
      <c r="B218" s="264"/>
      <c r="C218" s="200"/>
      <c r="D218" s="200"/>
      <c r="E218" s="200"/>
      <c r="F218" s="200"/>
      <c r="G218" s="200"/>
      <c r="H218" s="200"/>
      <c r="I218" s="444"/>
    </row>
    <row r="219" spans="1:17" x14ac:dyDescent="0.2">
      <c r="A219" s="273"/>
      <c r="B219" s="274"/>
      <c r="C219" s="275"/>
      <c r="D219" s="275"/>
      <c r="E219" s="275"/>
      <c r="F219" s="276" t="s">
        <v>315</v>
      </c>
      <c r="G219" s="273"/>
      <c r="H219" s="249"/>
      <c r="I219" s="445">
        <v>322.39</v>
      </c>
    </row>
    <row r="220" spans="1:17" x14ac:dyDescent="0.2">
      <c r="A220" s="255"/>
      <c r="B220" s="277"/>
      <c r="C220" s="266"/>
      <c r="D220" s="266"/>
      <c r="E220" s="266"/>
      <c r="F220" s="278" t="str">
        <f>CONCATENATE($H$3," ",$I$3)</f>
        <v>BDI: 23,32</v>
      </c>
      <c r="G220" s="403"/>
      <c r="H220" s="253"/>
      <c r="I220" s="446">
        <f>+ROUND(I219*$I$4,2)</f>
        <v>75.180000000000007</v>
      </c>
    </row>
    <row r="221" spans="1:17" x14ac:dyDescent="0.2">
      <c r="A221" s="240"/>
      <c r="B221" s="279"/>
      <c r="C221" s="272"/>
      <c r="D221" s="272"/>
      <c r="E221" s="272"/>
      <c r="F221" s="280" t="s">
        <v>207</v>
      </c>
      <c r="G221" s="404"/>
      <c r="H221" s="241"/>
      <c r="I221" s="720">
        <f>+I219+I220</f>
        <v>397.57</v>
      </c>
    </row>
    <row r="222" spans="1:17" x14ac:dyDescent="0.2">
      <c r="A222" s="199"/>
      <c r="B222" s="530"/>
      <c r="C222" s="200"/>
      <c r="D222" s="200"/>
      <c r="E222" s="200"/>
      <c r="F222" s="265"/>
      <c r="G222" s="200"/>
      <c r="H222" s="199"/>
      <c r="I222" s="738"/>
    </row>
    <row r="223" spans="1:17" x14ac:dyDescent="0.2">
      <c r="A223" s="1116" t="str">
        <f>$A$1</f>
        <v>COMPOSIÇÃO DE CUSTOS UNITÁRIOS</v>
      </c>
      <c r="B223" s="1116"/>
      <c r="C223" s="1116"/>
      <c r="D223" s="1116"/>
      <c r="E223" s="1116"/>
      <c r="F223" s="1116"/>
      <c r="G223" s="1116"/>
      <c r="H223" s="1116"/>
      <c r="I223" s="1116"/>
    </row>
    <row r="224" spans="1:17" x14ac:dyDescent="0.2">
      <c r="A224" s="228" t="str">
        <f>$A$2</f>
        <v>Tabela Referencial de Preços - DER-ES</v>
      </c>
      <c r="B224" s="229"/>
      <c r="C224" s="199"/>
      <c r="D224" s="199"/>
      <c r="E224" s="199"/>
      <c r="F224" s="199"/>
      <c r="G224" s="199"/>
      <c r="H224" s="199"/>
      <c r="I224" s="414" t="str">
        <f>$I$2</f>
        <v>Data Base: novembro/2020</v>
      </c>
      <c r="J224" s="400">
        <v>41501</v>
      </c>
      <c r="K224" s="400">
        <f>VLOOKUP("Preço Unitário Total",F226:I4015,4,FALSE)</f>
        <v>42.63</v>
      </c>
      <c r="L224" s="295">
        <f>VLOOKUP(J224,'DER 11-20'!A:E,5,FALSE)</f>
        <v>0</v>
      </c>
      <c r="M224" s="295" t="str">
        <f>VLOOKUP(J224,'DER 11-20'!$A:$D,2,FALSE)</f>
        <v>Rede de água c/ padrão de entrada d'água diâm. 3/4" conf. CESAN, incl. tubos e conexões p/ aliment., distrib., extravas. e limp., cons. o padrão a 25m</v>
      </c>
    </row>
    <row r="225" spans="1:11" x14ac:dyDescent="0.2">
      <c r="A225" s="1117" t="str">
        <f>+CONCATENATE("Serviço: ",J224," ",VLOOKUP(J224,'DER 11-20'!$A:$D,2,FALSE))</f>
        <v>Serviço: 41501 Rede de água c/ padrão de entrada d'água diâm. 3/4" conf. CESAN, incl. tubos e conexões p/ aliment., distrib., extravas. e limp., cons. o padrão a 25m</v>
      </c>
      <c r="B225" s="1117"/>
      <c r="C225" s="1117"/>
      <c r="D225" s="1117"/>
      <c r="E225" s="1117"/>
      <c r="F225" s="1117"/>
      <c r="G225" s="1117"/>
      <c r="H225" s="1117"/>
      <c r="I225" s="1119" t="str">
        <f>CONCATENATE("Unidade: ", VLOOKUP(J224,'DER 11-20'!$A:$E,3,FALSE))</f>
        <v>Unidade: M</v>
      </c>
    </row>
    <row r="226" spans="1:11" ht="22.5" customHeight="1" x14ac:dyDescent="0.2">
      <c r="A226" s="1118"/>
      <c r="B226" s="1118"/>
      <c r="C226" s="1118"/>
      <c r="D226" s="1118"/>
      <c r="E226" s="1118"/>
      <c r="F226" s="1118"/>
      <c r="G226" s="1118"/>
      <c r="H226" s="1118"/>
      <c r="I226" s="1120"/>
    </row>
    <row r="227" spans="1:11" ht="22.5" x14ac:dyDescent="0.2">
      <c r="A227" s="231" t="s">
        <v>177</v>
      </c>
      <c r="B227" s="232" t="s">
        <v>59</v>
      </c>
      <c r="C227" s="232" t="s">
        <v>178</v>
      </c>
      <c r="D227" s="232" t="s">
        <v>179</v>
      </c>
      <c r="E227" s="232" t="s">
        <v>180</v>
      </c>
      <c r="F227" s="232" t="s">
        <v>181</v>
      </c>
      <c r="G227" s="232" t="s">
        <v>182</v>
      </c>
      <c r="H227" s="232" t="s">
        <v>89</v>
      </c>
      <c r="I227" s="434" t="s">
        <v>183</v>
      </c>
    </row>
    <row r="228" spans="1:11" x14ac:dyDescent="0.2">
      <c r="A228" s="233"/>
      <c r="B228" s="234"/>
      <c r="C228" s="235"/>
      <c r="D228" s="236"/>
      <c r="E228" s="203"/>
      <c r="F228" s="237"/>
      <c r="G228" s="237"/>
      <c r="H228" s="238"/>
      <c r="I228" s="418"/>
    </row>
    <row r="229" spans="1:11" x14ac:dyDescent="0.2">
      <c r="A229" s="199"/>
      <c r="B229" s="229"/>
      <c r="C229" s="229"/>
      <c r="D229" s="199"/>
      <c r="E229" s="199"/>
      <c r="F229" s="230" t="s">
        <v>184</v>
      </c>
      <c r="G229" s="240"/>
      <c r="H229" s="241"/>
      <c r="I229" s="438">
        <f>SUM(I228:I228)</f>
        <v>0</v>
      </c>
    </row>
    <row r="230" spans="1:11" x14ac:dyDescent="0.2">
      <c r="A230" s="199"/>
      <c r="B230" s="229"/>
      <c r="C230" s="229"/>
      <c r="D230" s="199"/>
      <c r="E230" s="199"/>
      <c r="F230" s="199"/>
      <c r="G230" s="199"/>
      <c r="H230" s="199"/>
      <c r="I230" s="439"/>
    </row>
    <row r="231" spans="1:11" x14ac:dyDescent="0.2">
      <c r="A231" s="242" t="s">
        <v>185</v>
      </c>
      <c r="B231" s="243" t="s">
        <v>59</v>
      </c>
      <c r="C231" s="232" t="s">
        <v>357</v>
      </c>
      <c r="D231" s="243" t="s">
        <v>187</v>
      </c>
      <c r="E231" s="1121" t="s">
        <v>89</v>
      </c>
      <c r="F231" s="1114"/>
      <c r="G231" s="1115"/>
      <c r="H231" s="1121" t="s">
        <v>183</v>
      </c>
      <c r="I231" s="1115"/>
    </row>
    <row r="232" spans="1:11" x14ac:dyDescent="0.2">
      <c r="A232" s="244"/>
      <c r="B232" s="234"/>
      <c r="C232" s="239"/>
      <c r="D232" s="239"/>
      <c r="E232" s="240"/>
      <c r="F232" s="241"/>
      <c r="G232" s="405"/>
      <c r="H232" s="240"/>
      <c r="I232" s="427"/>
      <c r="J232" s="295"/>
      <c r="K232" s="295"/>
    </row>
    <row r="233" spans="1:11" x14ac:dyDescent="0.2">
      <c r="A233" s="199"/>
      <c r="B233" s="229"/>
      <c r="C233" s="229"/>
      <c r="D233" s="199"/>
      <c r="E233" s="199"/>
      <c r="F233" s="230" t="s">
        <v>188</v>
      </c>
      <c r="G233" s="240"/>
      <c r="H233" s="241"/>
      <c r="I233" s="438">
        <f>SUM(I232:I232)</f>
        <v>0</v>
      </c>
      <c r="J233" s="295"/>
      <c r="K233" s="295"/>
    </row>
    <row r="234" spans="1:11" x14ac:dyDescent="0.2">
      <c r="A234" s="199"/>
      <c r="B234" s="229"/>
      <c r="C234" s="229"/>
      <c r="D234" s="199"/>
      <c r="E234" s="199"/>
      <c r="F234" s="199"/>
      <c r="G234" s="199"/>
      <c r="H234" s="199"/>
      <c r="I234" s="439"/>
      <c r="J234" s="295"/>
      <c r="K234" s="295"/>
    </row>
    <row r="235" spans="1:11" x14ac:dyDescent="0.2">
      <c r="A235" s="245" t="s">
        <v>189</v>
      </c>
      <c r="B235" s="243" t="s">
        <v>59</v>
      </c>
      <c r="C235" s="635" t="s">
        <v>17</v>
      </c>
      <c r="D235" s="243" t="s">
        <v>190</v>
      </c>
      <c r="E235" s="243" t="s">
        <v>191</v>
      </c>
      <c r="F235" s="243" t="s">
        <v>192</v>
      </c>
      <c r="G235" s="1121" t="s">
        <v>94</v>
      </c>
      <c r="H235" s="1114"/>
      <c r="I235" s="1115"/>
      <c r="J235" s="295"/>
      <c r="K235" s="295"/>
    </row>
    <row r="236" spans="1:11" x14ac:dyDescent="0.2">
      <c r="A236" s="244"/>
      <c r="B236" s="234"/>
      <c r="C236" s="239"/>
      <c r="D236" s="235"/>
      <c r="E236" s="246"/>
      <c r="F236" s="246"/>
      <c r="G236" s="240"/>
      <c r="H236" s="241"/>
      <c r="I236" s="427"/>
      <c r="J236" s="295"/>
      <c r="K236" s="295"/>
    </row>
    <row r="237" spans="1:11" x14ac:dyDescent="0.2">
      <c r="A237" s="199"/>
      <c r="B237" s="229"/>
      <c r="C237" s="199"/>
      <c r="D237" s="199"/>
      <c r="E237" s="199"/>
      <c r="F237" s="230" t="s">
        <v>327</v>
      </c>
      <c r="G237" s="240"/>
      <c r="H237" s="241"/>
      <c r="I237" s="438">
        <f>SUM(I236)</f>
        <v>0</v>
      </c>
      <c r="J237" s="295"/>
      <c r="K237" s="295"/>
    </row>
    <row r="238" spans="1:11" x14ac:dyDescent="0.2">
      <c r="A238" s="199"/>
      <c r="B238" s="229"/>
      <c r="C238" s="199"/>
      <c r="D238" s="199"/>
      <c r="E238" s="199"/>
      <c r="F238" s="199"/>
      <c r="G238" s="199"/>
      <c r="H238" s="199"/>
      <c r="I238" s="439"/>
      <c r="J238" s="295"/>
      <c r="K238" s="295"/>
    </row>
    <row r="239" spans="1:11" x14ac:dyDescent="0.2">
      <c r="A239" s="247"/>
      <c r="B239" s="248"/>
      <c r="C239" s="249"/>
      <c r="D239" s="249"/>
      <c r="E239" s="249"/>
      <c r="F239" s="250" t="s">
        <v>193</v>
      </c>
      <c r="G239" s="401"/>
      <c r="H239" s="249"/>
      <c r="I239" s="445">
        <f>+I229+I233+I237</f>
        <v>0</v>
      </c>
      <c r="J239" s="295"/>
      <c r="K239" s="295"/>
    </row>
    <row r="240" spans="1:11" x14ac:dyDescent="0.2">
      <c r="A240" s="251"/>
      <c r="B240" s="252"/>
      <c r="C240" s="253"/>
      <c r="D240" s="253"/>
      <c r="E240" s="253"/>
      <c r="F240" s="254" t="s">
        <v>194</v>
      </c>
      <c r="G240" s="255"/>
      <c r="H240" s="253"/>
      <c r="I240" s="446">
        <v>1</v>
      </c>
      <c r="J240" s="295"/>
      <c r="K240" s="295"/>
    </row>
    <row r="241" spans="1:17" x14ac:dyDescent="0.2">
      <c r="A241" s="233"/>
      <c r="B241" s="256"/>
      <c r="C241" s="241"/>
      <c r="D241" s="241"/>
      <c r="E241" s="241"/>
      <c r="F241" s="257" t="s">
        <v>216</v>
      </c>
      <c r="G241" s="240"/>
      <c r="H241" s="241"/>
      <c r="I241" s="447">
        <f>TRUNC(I239/I240,2)</f>
        <v>0</v>
      </c>
      <c r="J241" s="295"/>
      <c r="K241" s="295"/>
    </row>
    <row r="242" spans="1:17" x14ac:dyDescent="0.2">
      <c r="A242" s="636"/>
      <c r="B242" s="229"/>
      <c r="C242" s="199"/>
      <c r="D242" s="199"/>
      <c r="E242" s="199"/>
      <c r="F242" s="258"/>
      <c r="G242" s="199"/>
      <c r="H242" s="199"/>
      <c r="I242" s="450"/>
      <c r="J242" s="295"/>
      <c r="K242" s="295"/>
    </row>
    <row r="243" spans="1:17" x14ac:dyDescent="0.2">
      <c r="A243" s="242" t="s">
        <v>195</v>
      </c>
      <c r="B243" s="243" t="s">
        <v>59</v>
      </c>
      <c r="C243" s="243" t="s">
        <v>196</v>
      </c>
      <c r="D243" s="243" t="s">
        <v>217</v>
      </c>
      <c r="E243" s="1121" t="s">
        <v>89</v>
      </c>
      <c r="F243" s="1114"/>
      <c r="G243" s="1115"/>
      <c r="H243" s="1121" t="s">
        <v>183</v>
      </c>
      <c r="I243" s="1115"/>
      <c r="J243" s="295"/>
      <c r="K243" s="295"/>
    </row>
    <row r="244" spans="1:17" s="198" customFormat="1" x14ac:dyDescent="0.2">
      <c r="A244" s="259"/>
      <c r="B244" s="234"/>
      <c r="C244" s="260"/>
      <c r="D244" s="261"/>
      <c r="E244" s="255"/>
      <c r="F244" s="253"/>
      <c r="G244" s="293"/>
      <c r="H244" s="255"/>
      <c r="I244" s="423"/>
      <c r="J244" s="295"/>
      <c r="K244" s="295"/>
      <c r="L244" s="295"/>
      <c r="M244" s="295"/>
      <c r="N244" s="295"/>
      <c r="O244" s="295"/>
      <c r="P244" s="295"/>
      <c r="Q244" s="295"/>
    </row>
    <row r="245" spans="1:17" s="198" customFormat="1" x14ac:dyDescent="0.2">
      <c r="A245" s="199"/>
      <c r="B245" s="229"/>
      <c r="C245" s="199"/>
      <c r="D245" s="199"/>
      <c r="E245" s="199"/>
      <c r="F245" s="230" t="s">
        <v>197</v>
      </c>
      <c r="G245" s="240"/>
      <c r="H245" s="241"/>
      <c r="I245" s="438">
        <f>SUM(I244:I244)</f>
        <v>0</v>
      </c>
      <c r="J245" s="295"/>
      <c r="K245" s="295"/>
      <c r="L245" s="295"/>
      <c r="M245" s="295"/>
      <c r="N245" s="295"/>
      <c r="O245" s="295"/>
      <c r="P245" s="295"/>
      <c r="Q245" s="295"/>
    </row>
    <row r="246" spans="1:17" x14ac:dyDescent="0.2">
      <c r="A246" s="199"/>
      <c r="B246" s="229"/>
      <c r="C246" s="199"/>
      <c r="D246" s="199"/>
      <c r="E246" s="199"/>
      <c r="F246" s="199"/>
      <c r="G246" s="262"/>
      <c r="H246" s="199"/>
      <c r="I246" s="439"/>
      <c r="J246" s="295"/>
      <c r="K246" s="295"/>
    </row>
    <row r="247" spans="1:17" x14ac:dyDescent="0.2">
      <c r="A247" s="263" t="s">
        <v>198</v>
      </c>
      <c r="B247" s="243" t="s">
        <v>59</v>
      </c>
      <c r="C247" s="243" t="s">
        <v>196</v>
      </c>
      <c r="D247" s="635" t="s">
        <v>217</v>
      </c>
      <c r="E247" s="1121" t="s">
        <v>89</v>
      </c>
      <c r="F247" s="1114"/>
      <c r="G247" s="1115"/>
      <c r="H247" s="1121" t="s">
        <v>183</v>
      </c>
      <c r="I247" s="1115"/>
      <c r="J247" s="295"/>
      <c r="K247" s="295"/>
    </row>
    <row r="248" spans="1:17" x14ac:dyDescent="0.2">
      <c r="A248" s="244"/>
      <c r="B248" s="234"/>
      <c r="C248" s="234"/>
      <c r="D248" s="239"/>
      <c r="E248" s="240"/>
      <c r="F248" s="253"/>
      <c r="G248" s="293"/>
      <c r="H248" s="240"/>
      <c r="I248" s="423"/>
    </row>
    <row r="249" spans="1:17" x14ac:dyDescent="0.2">
      <c r="A249" s="200"/>
      <c r="B249" s="264"/>
      <c r="C249" s="200"/>
      <c r="D249" s="200"/>
      <c r="E249" s="200"/>
      <c r="F249" s="265" t="s">
        <v>199</v>
      </c>
      <c r="G249" s="255"/>
      <c r="H249" s="266"/>
      <c r="I249" s="441">
        <f>SUM(I248:I248)</f>
        <v>0</v>
      </c>
    </row>
    <row r="250" spans="1:17" x14ac:dyDescent="0.2">
      <c r="A250" s="200"/>
      <c r="B250" s="264"/>
      <c r="C250" s="200"/>
      <c r="D250" s="200"/>
      <c r="E250" s="200"/>
      <c r="F250" s="200"/>
      <c r="G250" s="200"/>
      <c r="H250" s="200"/>
      <c r="I250" s="440"/>
    </row>
    <row r="251" spans="1:17" x14ac:dyDescent="0.2">
      <c r="A251" s="267" t="s">
        <v>200</v>
      </c>
      <c r="B251" s="268" t="s">
        <v>59</v>
      </c>
      <c r="C251" s="268" t="s">
        <v>196</v>
      </c>
      <c r="D251" s="268" t="s">
        <v>201</v>
      </c>
      <c r="E251" s="268" t="s">
        <v>202</v>
      </c>
      <c r="F251" s="268" t="s">
        <v>203</v>
      </c>
      <c r="G251" s="268" t="s">
        <v>94</v>
      </c>
      <c r="H251" s="268" t="s">
        <v>89</v>
      </c>
      <c r="I251" s="442" t="s">
        <v>204</v>
      </c>
    </row>
    <row r="252" spans="1:17" x14ac:dyDescent="0.2">
      <c r="A252" s="244"/>
      <c r="B252" s="234"/>
      <c r="C252" s="234"/>
      <c r="D252" s="269"/>
      <c r="E252" s="270"/>
      <c r="F252" s="270"/>
      <c r="G252" s="239"/>
      <c r="H252" s="271"/>
      <c r="I252" s="418"/>
    </row>
    <row r="253" spans="1:17" x14ac:dyDescent="0.2">
      <c r="A253" s="200"/>
      <c r="B253" s="264"/>
      <c r="C253" s="200"/>
      <c r="D253" s="200"/>
      <c r="E253" s="200"/>
      <c r="F253" s="265" t="s">
        <v>205</v>
      </c>
      <c r="G253" s="240"/>
      <c r="H253" s="272"/>
      <c r="I253" s="443">
        <f>SUM(I252:I252)</f>
        <v>0</v>
      </c>
    </row>
    <row r="254" spans="1:17" x14ac:dyDescent="0.2">
      <c r="A254" s="200"/>
      <c r="B254" s="264"/>
      <c r="C254" s="200"/>
      <c r="D254" s="200"/>
      <c r="E254" s="200"/>
      <c r="F254" s="200"/>
      <c r="G254" s="200"/>
      <c r="H254" s="200"/>
      <c r="I254" s="444"/>
    </row>
    <row r="255" spans="1:17" x14ac:dyDescent="0.2">
      <c r="A255" s="273"/>
      <c r="B255" s="274"/>
      <c r="C255" s="275"/>
      <c r="D255" s="275"/>
      <c r="E255" s="275"/>
      <c r="F255" s="276" t="s">
        <v>315</v>
      </c>
      <c r="G255" s="273"/>
      <c r="H255" s="249"/>
      <c r="I255" s="445">
        <v>34.57</v>
      </c>
    </row>
    <row r="256" spans="1:17" x14ac:dyDescent="0.2">
      <c r="A256" s="255"/>
      <c r="B256" s="277"/>
      <c r="C256" s="266"/>
      <c r="D256" s="266"/>
      <c r="E256" s="266"/>
      <c r="F256" s="278" t="str">
        <f>CONCATENATE($H$3," ",$I$3)</f>
        <v>BDI: 23,32</v>
      </c>
      <c r="G256" s="403"/>
      <c r="H256" s="253"/>
      <c r="I256" s="446">
        <f>+ROUND(I255*$I$4,2)</f>
        <v>8.06</v>
      </c>
    </row>
    <row r="257" spans="1:13" x14ac:dyDescent="0.2">
      <c r="A257" s="240"/>
      <c r="B257" s="279"/>
      <c r="C257" s="272"/>
      <c r="D257" s="272"/>
      <c r="E257" s="272"/>
      <c r="F257" s="280" t="s">
        <v>207</v>
      </c>
      <c r="G257" s="404"/>
      <c r="H257" s="241"/>
      <c r="I257" s="720">
        <f>+I255+I256</f>
        <v>42.63</v>
      </c>
    </row>
    <row r="258" spans="1:13" x14ac:dyDescent="0.2">
      <c r="A258" s="1116" t="str">
        <f>$A$1</f>
        <v>COMPOSIÇÃO DE CUSTOS UNITÁRIOS</v>
      </c>
      <c r="B258" s="1116"/>
      <c r="C258" s="1116"/>
      <c r="D258" s="1116"/>
      <c r="E258" s="1116"/>
      <c r="F258" s="1116"/>
      <c r="G258" s="1116"/>
      <c r="H258" s="1116"/>
      <c r="I258" s="1116"/>
    </row>
    <row r="259" spans="1:13" x14ac:dyDescent="0.2">
      <c r="A259" s="228" t="str">
        <f>$A$2</f>
        <v>Tabela Referencial de Preços - DER-ES</v>
      </c>
      <c r="B259" s="229"/>
      <c r="C259" s="199"/>
      <c r="D259" s="199"/>
      <c r="E259" s="199"/>
      <c r="F259" s="199"/>
      <c r="G259" s="199"/>
      <c r="H259" s="199"/>
      <c r="I259" s="414" t="str">
        <f>$I$2</f>
        <v>Data Base: novembro/2020</v>
      </c>
      <c r="J259" s="400">
        <v>41499</v>
      </c>
      <c r="K259" s="400">
        <f>VLOOKUP("Preço Unitário Total",F261:I4015,4,FALSE)</f>
        <v>354.36</v>
      </c>
      <c r="L259" s="295">
        <f>VLOOKUP(J259,'DER 11-20'!A:E,5,FALSE)</f>
        <v>0</v>
      </c>
      <c r="M259" s="295" t="str">
        <f>VLOOKUP(J259,'DER 11-20'!$A:$D,2,FALSE)</f>
        <v>Rede de esgoto, contendo fossa e filtro, incl. tubos e conexões de ligação entre caixas, considerando distância de 25m</v>
      </c>
    </row>
    <row r="260" spans="1:13" x14ac:dyDescent="0.2">
      <c r="A260" s="1117" t="str">
        <f>+CONCATENATE("Serviço: ",J259," ",VLOOKUP(J259,'DER 11-20'!$A:$D,2,FALSE))</f>
        <v>Serviço: 41499 Rede de esgoto, contendo fossa e filtro, incl. tubos e conexões de ligação entre caixas, considerando distância de 25m</v>
      </c>
      <c r="B260" s="1117"/>
      <c r="C260" s="1117"/>
      <c r="D260" s="1117"/>
      <c r="E260" s="1117"/>
      <c r="F260" s="1117"/>
      <c r="G260" s="1117"/>
      <c r="H260" s="1117"/>
      <c r="I260" s="1119" t="str">
        <f>CONCATENATE("Unidade: ", VLOOKUP(J259,'DER 11-20'!$A:$E,3,FALSE))</f>
        <v>Unidade: M</v>
      </c>
    </row>
    <row r="261" spans="1:13" x14ac:dyDescent="0.2">
      <c r="A261" s="1118"/>
      <c r="B261" s="1118"/>
      <c r="C261" s="1118"/>
      <c r="D261" s="1118"/>
      <c r="E261" s="1118"/>
      <c r="F261" s="1118"/>
      <c r="G261" s="1118"/>
      <c r="H261" s="1118"/>
      <c r="I261" s="1120"/>
    </row>
    <row r="262" spans="1:13" ht="22.5" x14ac:dyDescent="0.2">
      <c r="A262" s="231" t="s">
        <v>177</v>
      </c>
      <c r="B262" s="232" t="s">
        <v>59</v>
      </c>
      <c r="C262" s="232" t="s">
        <v>178</v>
      </c>
      <c r="D262" s="232" t="s">
        <v>179</v>
      </c>
      <c r="E262" s="232" t="s">
        <v>180</v>
      </c>
      <c r="F262" s="232" t="s">
        <v>181</v>
      </c>
      <c r="G262" s="232" t="s">
        <v>182</v>
      </c>
      <c r="H262" s="232" t="s">
        <v>89</v>
      </c>
      <c r="I262" s="434" t="s">
        <v>183</v>
      </c>
    </row>
    <row r="263" spans="1:13" x14ac:dyDescent="0.2">
      <c r="A263" s="233"/>
      <c r="B263" s="234"/>
      <c r="C263" s="235"/>
      <c r="D263" s="236"/>
      <c r="E263" s="203"/>
      <c r="F263" s="237"/>
      <c r="G263" s="237"/>
      <c r="H263" s="238"/>
      <c r="I263" s="418"/>
    </row>
    <row r="264" spans="1:13" x14ac:dyDescent="0.2">
      <c r="A264" s="199"/>
      <c r="B264" s="229"/>
      <c r="C264" s="229"/>
      <c r="D264" s="199"/>
      <c r="E264" s="199"/>
      <c r="F264" s="230" t="s">
        <v>184</v>
      </c>
      <c r="G264" s="240"/>
      <c r="H264" s="241"/>
      <c r="I264" s="438">
        <f>SUM(I263:I263)</f>
        <v>0</v>
      </c>
    </row>
    <row r="265" spans="1:13" ht="22.5" customHeight="1" x14ac:dyDescent="0.2">
      <c r="A265" s="199"/>
      <c r="B265" s="229"/>
      <c r="C265" s="229"/>
      <c r="D265" s="199"/>
      <c r="E265" s="199"/>
      <c r="F265" s="199"/>
      <c r="G265" s="199"/>
      <c r="H265" s="199"/>
      <c r="I265" s="439"/>
    </row>
    <row r="266" spans="1:13" x14ac:dyDescent="0.2">
      <c r="A266" s="242" t="s">
        <v>185</v>
      </c>
      <c r="B266" s="243" t="s">
        <v>59</v>
      </c>
      <c r="C266" s="232" t="s">
        <v>357</v>
      </c>
      <c r="D266" s="243" t="s">
        <v>187</v>
      </c>
      <c r="E266" s="1121" t="s">
        <v>89</v>
      </c>
      <c r="F266" s="1114"/>
      <c r="G266" s="1115"/>
      <c r="H266" s="1121" t="s">
        <v>183</v>
      </c>
      <c r="I266" s="1115"/>
    </row>
    <row r="267" spans="1:13" x14ac:dyDescent="0.2">
      <c r="A267" s="244"/>
      <c r="B267" s="234"/>
      <c r="C267" s="239"/>
      <c r="D267" s="239"/>
      <c r="E267" s="240"/>
      <c r="F267" s="241"/>
      <c r="G267" s="405"/>
      <c r="H267" s="240"/>
      <c r="I267" s="427"/>
      <c r="J267" s="295"/>
      <c r="K267" s="295"/>
    </row>
    <row r="268" spans="1:13" x14ac:dyDescent="0.2">
      <c r="A268" s="199"/>
      <c r="B268" s="229"/>
      <c r="C268" s="229"/>
      <c r="D268" s="199"/>
      <c r="E268" s="199"/>
      <c r="F268" s="230" t="s">
        <v>188</v>
      </c>
      <c r="G268" s="240"/>
      <c r="H268" s="241"/>
      <c r="I268" s="438">
        <f>SUM(I267:I267)</f>
        <v>0</v>
      </c>
      <c r="J268" s="295"/>
      <c r="K268" s="295"/>
    </row>
    <row r="269" spans="1:13" x14ac:dyDescent="0.2">
      <c r="A269" s="199"/>
      <c r="B269" s="229"/>
      <c r="C269" s="229"/>
      <c r="D269" s="199"/>
      <c r="E269" s="199"/>
      <c r="F269" s="199"/>
      <c r="G269" s="199"/>
      <c r="H269" s="199"/>
      <c r="I269" s="439"/>
      <c r="J269" s="295"/>
      <c r="K269" s="295"/>
    </row>
    <row r="270" spans="1:13" x14ac:dyDescent="0.2">
      <c r="A270" s="245" t="s">
        <v>189</v>
      </c>
      <c r="B270" s="243" t="s">
        <v>59</v>
      </c>
      <c r="C270" s="635" t="s">
        <v>17</v>
      </c>
      <c r="D270" s="243" t="s">
        <v>190</v>
      </c>
      <c r="E270" s="243" t="s">
        <v>191</v>
      </c>
      <c r="F270" s="243" t="s">
        <v>192</v>
      </c>
      <c r="G270" s="1121" t="s">
        <v>94</v>
      </c>
      <c r="H270" s="1114"/>
      <c r="I270" s="1115"/>
      <c r="J270" s="295"/>
      <c r="K270" s="295"/>
    </row>
    <row r="271" spans="1:13" x14ac:dyDescent="0.2">
      <c r="A271" s="244"/>
      <c r="B271" s="234"/>
      <c r="C271" s="239"/>
      <c r="D271" s="235"/>
      <c r="E271" s="246"/>
      <c r="F271" s="246"/>
      <c r="G271" s="240"/>
      <c r="H271" s="241"/>
      <c r="I271" s="427"/>
      <c r="J271" s="295"/>
      <c r="K271" s="295"/>
    </row>
    <row r="272" spans="1:13" x14ac:dyDescent="0.2">
      <c r="A272" s="199"/>
      <c r="B272" s="229"/>
      <c r="C272" s="199"/>
      <c r="D272" s="199"/>
      <c r="E272" s="199"/>
      <c r="F272" s="230" t="s">
        <v>327</v>
      </c>
      <c r="G272" s="240"/>
      <c r="H272" s="241"/>
      <c r="I272" s="438">
        <f>SUM(I271)</f>
        <v>0</v>
      </c>
      <c r="J272" s="295"/>
      <c r="K272" s="295"/>
    </row>
    <row r="273" spans="1:17" x14ac:dyDescent="0.2">
      <c r="A273" s="199"/>
      <c r="B273" s="229"/>
      <c r="C273" s="199"/>
      <c r="D273" s="199"/>
      <c r="E273" s="199"/>
      <c r="F273" s="199"/>
      <c r="G273" s="199"/>
      <c r="H273" s="199"/>
      <c r="I273" s="439"/>
      <c r="J273" s="295"/>
      <c r="K273" s="295"/>
    </row>
    <row r="274" spans="1:17" x14ac:dyDescent="0.2">
      <c r="A274" s="247"/>
      <c r="B274" s="248"/>
      <c r="C274" s="249"/>
      <c r="D274" s="249"/>
      <c r="E274" s="249"/>
      <c r="F274" s="250" t="s">
        <v>193</v>
      </c>
      <c r="G274" s="401"/>
      <c r="H274" s="249"/>
      <c r="I274" s="445">
        <f>+I264+I268+I272</f>
        <v>0</v>
      </c>
      <c r="J274" s="295"/>
      <c r="K274" s="295"/>
    </row>
    <row r="275" spans="1:17" x14ac:dyDescent="0.2">
      <c r="A275" s="251"/>
      <c r="B275" s="252"/>
      <c r="C275" s="253"/>
      <c r="D275" s="253"/>
      <c r="E275" s="253"/>
      <c r="F275" s="254" t="s">
        <v>194</v>
      </c>
      <c r="G275" s="255"/>
      <c r="H275" s="253"/>
      <c r="I275" s="446">
        <v>1</v>
      </c>
      <c r="J275" s="295"/>
      <c r="K275" s="295"/>
    </row>
    <row r="276" spans="1:17" x14ac:dyDescent="0.2">
      <c r="A276" s="233"/>
      <c r="B276" s="256"/>
      <c r="C276" s="241"/>
      <c r="D276" s="241"/>
      <c r="E276" s="241"/>
      <c r="F276" s="257" t="s">
        <v>216</v>
      </c>
      <c r="G276" s="240"/>
      <c r="H276" s="241"/>
      <c r="I276" s="447">
        <f>TRUNC(I274/I275,2)</f>
        <v>0</v>
      </c>
      <c r="J276" s="295"/>
      <c r="K276" s="295"/>
    </row>
    <row r="277" spans="1:17" x14ac:dyDescent="0.2">
      <c r="A277" s="636"/>
      <c r="B277" s="229"/>
      <c r="C277" s="199"/>
      <c r="D277" s="199"/>
      <c r="E277" s="199"/>
      <c r="F277" s="258"/>
      <c r="G277" s="199"/>
      <c r="H277" s="199"/>
      <c r="I277" s="450"/>
      <c r="J277" s="295"/>
      <c r="K277" s="295"/>
    </row>
    <row r="278" spans="1:17" x14ac:dyDescent="0.2">
      <c r="A278" s="242" t="s">
        <v>195</v>
      </c>
      <c r="B278" s="243" t="s">
        <v>59</v>
      </c>
      <c r="C278" s="243" t="s">
        <v>196</v>
      </c>
      <c r="D278" s="243" t="s">
        <v>217</v>
      </c>
      <c r="E278" s="1121" t="s">
        <v>89</v>
      </c>
      <c r="F278" s="1114"/>
      <c r="G278" s="1115"/>
      <c r="H278" s="1121" t="s">
        <v>183</v>
      </c>
      <c r="I278" s="1115"/>
      <c r="J278" s="295"/>
      <c r="K278" s="295"/>
    </row>
    <row r="279" spans="1:17" x14ac:dyDescent="0.2">
      <c r="A279" s="259"/>
      <c r="B279" s="234"/>
      <c r="C279" s="260"/>
      <c r="D279" s="261"/>
      <c r="E279" s="255"/>
      <c r="F279" s="253"/>
      <c r="G279" s="293"/>
      <c r="H279" s="255"/>
      <c r="I279" s="423"/>
      <c r="J279" s="295"/>
      <c r="K279" s="295"/>
    </row>
    <row r="280" spans="1:17" x14ac:dyDescent="0.2">
      <c r="A280" s="199"/>
      <c r="B280" s="229"/>
      <c r="C280" s="199"/>
      <c r="D280" s="199"/>
      <c r="E280" s="199"/>
      <c r="F280" s="230" t="s">
        <v>197</v>
      </c>
      <c r="G280" s="240"/>
      <c r="H280" s="241"/>
      <c r="I280" s="438">
        <f>SUM(I279:I279)</f>
        <v>0</v>
      </c>
      <c r="J280" s="295"/>
      <c r="K280" s="295"/>
    </row>
    <row r="281" spans="1:17" x14ac:dyDescent="0.2">
      <c r="A281" s="199"/>
      <c r="B281" s="229"/>
      <c r="C281" s="199"/>
      <c r="D281" s="199"/>
      <c r="E281" s="199"/>
      <c r="F281" s="199"/>
      <c r="G281" s="262"/>
      <c r="H281" s="199"/>
      <c r="I281" s="439"/>
      <c r="J281" s="295"/>
      <c r="K281" s="295"/>
    </row>
    <row r="282" spans="1:17" x14ac:dyDescent="0.2">
      <c r="A282" s="263" t="s">
        <v>198</v>
      </c>
      <c r="B282" s="243" t="s">
        <v>59</v>
      </c>
      <c r="C282" s="243" t="s">
        <v>196</v>
      </c>
      <c r="D282" s="635" t="s">
        <v>217</v>
      </c>
      <c r="E282" s="1121" t="s">
        <v>89</v>
      </c>
      <c r="F282" s="1114"/>
      <c r="G282" s="1115"/>
      <c r="H282" s="1121" t="s">
        <v>183</v>
      </c>
      <c r="I282" s="1115"/>
      <c r="J282" s="295"/>
      <c r="K282" s="295"/>
    </row>
    <row r="283" spans="1:17" ht="27.75" customHeight="1" x14ac:dyDescent="0.2">
      <c r="A283" s="244"/>
      <c r="B283" s="234"/>
      <c r="C283" s="234"/>
      <c r="D283" s="239"/>
      <c r="E283" s="240"/>
      <c r="F283" s="253"/>
      <c r="G283" s="293"/>
      <c r="H283" s="240"/>
      <c r="I283" s="423"/>
    </row>
    <row r="284" spans="1:17" x14ac:dyDescent="0.2">
      <c r="A284" s="200"/>
      <c r="B284" s="264"/>
      <c r="C284" s="200"/>
      <c r="D284" s="200"/>
      <c r="E284" s="200"/>
      <c r="F284" s="265" t="s">
        <v>199</v>
      </c>
      <c r="G284" s="255"/>
      <c r="H284" s="266"/>
      <c r="I284" s="441">
        <f>SUM(I283:I283)</f>
        <v>0</v>
      </c>
    </row>
    <row r="285" spans="1:17" x14ac:dyDescent="0.2">
      <c r="A285" s="200"/>
      <c r="B285" s="264"/>
      <c r="C285" s="200"/>
      <c r="D285" s="200"/>
      <c r="E285" s="200"/>
      <c r="F285" s="200"/>
      <c r="G285" s="200"/>
      <c r="H285" s="200"/>
      <c r="I285" s="440"/>
    </row>
    <row r="286" spans="1:17" x14ac:dyDescent="0.2">
      <c r="A286" s="267" t="s">
        <v>200</v>
      </c>
      <c r="B286" s="268" t="s">
        <v>59</v>
      </c>
      <c r="C286" s="268" t="s">
        <v>196</v>
      </c>
      <c r="D286" s="268" t="s">
        <v>201</v>
      </c>
      <c r="E286" s="268" t="s">
        <v>202</v>
      </c>
      <c r="F286" s="268" t="s">
        <v>203</v>
      </c>
      <c r="G286" s="268" t="s">
        <v>94</v>
      </c>
      <c r="H286" s="268" t="s">
        <v>89</v>
      </c>
      <c r="I286" s="442" t="s">
        <v>204</v>
      </c>
    </row>
    <row r="287" spans="1:17" s="198" customFormat="1" x14ac:dyDescent="0.2">
      <c r="A287" s="244"/>
      <c r="B287" s="234"/>
      <c r="C287" s="234"/>
      <c r="D287" s="269"/>
      <c r="E287" s="270"/>
      <c r="F287" s="270"/>
      <c r="G287" s="239"/>
      <c r="H287" s="271"/>
      <c r="I287" s="418"/>
      <c r="J287" s="400"/>
      <c r="K287" s="400"/>
      <c r="L287" s="295"/>
      <c r="M287" s="295"/>
      <c r="N287" s="295"/>
      <c r="O287" s="295"/>
      <c r="P287" s="295"/>
      <c r="Q287" s="295"/>
    </row>
    <row r="288" spans="1:17" s="198" customFormat="1" x14ac:dyDescent="0.2">
      <c r="A288" s="200"/>
      <c r="B288" s="264"/>
      <c r="C288" s="200"/>
      <c r="D288" s="200"/>
      <c r="E288" s="200"/>
      <c r="F288" s="265" t="s">
        <v>205</v>
      </c>
      <c r="G288" s="240"/>
      <c r="H288" s="272"/>
      <c r="I288" s="443">
        <f>SUM(I287:I287)</f>
        <v>0</v>
      </c>
      <c r="J288" s="400"/>
      <c r="K288" s="400"/>
      <c r="L288" s="295"/>
      <c r="M288" s="295"/>
      <c r="N288" s="295"/>
      <c r="O288" s="295"/>
      <c r="P288" s="295"/>
      <c r="Q288" s="295"/>
    </row>
    <row r="289" spans="1:13" x14ac:dyDescent="0.2">
      <c r="A289" s="200"/>
      <c r="B289" s="264"/>
      <c r="C289" s="200"/>
      <c r="D289" s="200"/>
      <c r="E289" s="200"/>
      <c r="F289" s="200"/>
      <c r="G289" s="200"/>
      <c r="H289" s="200"/>
      <c r="I289" s="444"/>
    </row>
    <row r="290" spans="1:13" x14ac:dyDescent="0.2">
      <c r="A290" s="273"/>
      <c r="B290" s="274"/>
      <c r="C290" s="275"/>
      <c r="D290" s="275"/>
      <c r="E290" s="275"/>
      <c r="F290" s="276" t="s">
        <v>315</v>
      </c>
      <c r="G290" s="273"/>
      <c r="H290" s="249"/>
      <c r="I290" s="445">
        <v>287.35000000000002</v>
      </c>
    </row>
    <row r="291" spans="1:13" x14ac:dyDescent="0.2">
      <c r="A291" s="255"/>
      <c r="B291" s="277"/>
      <c r="C291" s="266"/>
      <c r="D291" s="266"/>
      <c r="E291" s="266"/>
      <c r="F291" s="278" t="str">
        <f>CONCATENATE($H$3," ",$I$3)</f>
        <v>BDI: 23,32</v>
      </c>
      <c r="G291" s="403"/>
      <c r="H291" s="253"/>
      <c r="I291" s="446">
        <f>+ROUND(I290*$I$4,2)</f>
        <v>67.010000000000005</v>
      </c>
    </row>
    <row r="292" spans="1:13" x14ac:dyDescent="0.2">
      <c r="A292" s="240"/>
      <c r="B292" s="279"/>
      <c r="C292" s="272"/>
      <c r="D292" s="272"/>
      <c r="E292" s="272"/>
      <c r="F292" s="280" t="s">
        <v>207</v>
      </c>
      <c r="G292" s="404"/>
      <c r="H292" s="241"/>
      <c r="I292" s="720">
        <f>+I290+I291</f>
        <v>354.36</v>
      </c>
    </row>
    <row r="293" spans="1:13" x14ac:dyDescent="0.2">
      <c r="A293" s="1116" t="str">
        <f>$A$1</f>
        <v>COMPOSIÇÃO DE CUSTOS UNITÁRIOS</v>
      </c>
      <c r="B293" s="1116"/>
      <c r="C293" s="1116"/>
      <c r="D293" s="1116"/>
      <c r="E293" s="1116"/>
      <c r="F293" s="1116"/>
      <c r="G293" s="1116"/>
      <c r="H293" s="1116"/>
      <c r="I293" s="1116"/>
    </row>
    <row r="294" spans="1:13" x14ac:dyDescent="0.2">
      <c r="A294" s="228" t="str">
        <f>$A$2</f>
        <v>Tabela Referencial de Preços - DER-ES</v>
      </c>
      <c r="B294" s="229"/>
      <c r="C294" s="199"/>
      <c r="D294" s="199"/>
      <c r="E294" s="199"/>
      <c r="F294" s="199"/>
      <c r="G294" s="199"/>
      <c r="H294" s="199"/>
      <c r="I294" s="414" t="str">
        <f>$I$2</f>
        <v>Data Base: novembro/2020</v>
      </c>
      <c r="J294" s="400">
        <v>41503</v>
      </c>
      <c r="K294" s="400">
        <f>VLOOKUP("Preço Unitário Total",F296:I4015,4,FALSE)</f>
        <v>610.19000000000005</v>
      </c>
      <c r="L294" s="295">
        <f>VLOOKUP(J294,'DER 11-20'!A:E,5,FALSE)</f>
        <v>0</v>
      </c>
      <c r="M294" s="295" t="str">
        <f>VLOOKUP(J294,'DER 11-20'!$A:$D,2,FALSE)</f>
        <v>Rede de luz, incl. padrão entr. energia trifás. cabo ligação até barracões, quadro distrib., disj. e chave de força, cons. 20m entre padrão entr.e QDG</v>
      </c>
    </row>
    <row r="295" spans="1:13" x14ac:dyDescent="0.2">
      <c r="A295" s="1117" t="str">
        <f>+CONCATENATE("Serviço: ",J294," ",VLOOKUP(J294,'DER 11-20'!$A:$D,2,FALSE))</f>
        <v>Serviço: 41503 Rede de luz, incl. padrão entr. energia trifás. cabo ligação até barracões, quadro distrib., disj. e chave de força, cons. 20m entre padrão entr.e QDG</v>
      </c>
      <c r="B295" s="1117"/>
      <c r="C295" s="1117"/>
      <c r="D295" s="1117"/>
      <c r="E295" s="1117"/>
      <c r="F295" s="1117"/>
      <c r="G295" s="1117"/>
      <c r="H295" s="1117"/>
      <c r="I295" s="1119" t="str">
        <f>CONCATENATE("Unidade: ", VLOOKUP(J294,'DER 11-20'!$A:$E,3,FALSE))</f>
        <v>Unidade: M</v>
      </c>
    </row>
    <row r="296" spans="1:13" x14ac:dyDescent="0.2">
      <c r="A296" s="1118"/>
      <c r="B296" s="1118"/>
      <c r="C296" s="1118"/>
      <c r="D296" s="1118"/>
      <c r="E296" s="1118"/>
      <c r="F296" s="1118"/>
      <c r="G296" s="1118"/>
      <c r="H296" s="1118"/>
      <c r="I296" s="1120"/>
    </row>
    <row r="297" spans="1:13" ht="22.5" x14ac:dyDescent="0.2">
      <c r="A297" s="231" t="s">
        <v>177</v>
      </c>
      <c r="B297" s="232" t="s">
        <v>59</v>
      </c>
      <c r="C297" s="232" t="s">
        <v>178</v>
      </c>
      <c r="D297" s="232" t="s">
        <v>179</v>
      </c>
      <c r="E297" s="232" t="s">
        <v>180</v>
      </c>
      <c r="F297" s="232" t="s">
        <v>181</v>
      </c>
      <c r="G297" s="232" t="s">
        <v>182</v>
      </c>
      <c r="H297" s="232" t="s">
        <v>89</v>
      </c>
      <c r="I297" s="434" t="s">
        <v>183</v>
      </c>
    </row>
    <row r="298" spans="1:13" x14ac:dyDescent="0.2">
      <c r="A298" s="233"/>
      <c r="B298" s="234"/>
      <c r="C298" s="235"/>
      <c r="D298" s="236"/>
      <c r="E298" s="203"/>
      <c r="F298" s="237"/>
      <c r="G298" s="237"/>
      <c r="H298" s="238"/>
      <c r="I298" s="418"/>
    </row>
    <row r="299" spans="1:13" x14ac:dyDescent="0.2">
      <c r="A299" s="199"/>
      <c r="B299" s="229"/>
      <c r="C299" s="229"/>
      <c r="D299" s="199"/>
      <c r="E299" s="199"/>
      <c r="F299" s="230" t="s">
        <v>184</v>
      </c>
      <c r="G299" s="240"/>
      <c r="H299" s="241"/>
      <c r="I299" s="438">
        <f>SUM(I298:I298)</f>
        <v>0</v>
      </c>
      <c r="J299" s="295"/>
      <c r="K299" s="295"/>
    </row>
    <row r="300" spans="1:13" x14ac:dyDescent="0.2">
      <c r="A300" s="199"/>
      <c r="B300" s="229"/>
      <c r="C300" s="229"/>
      <c r="D300" s="199"/>
      <c r="E300" s="199"/>
      <c r="F300" s="199"/>
      <c r="G300" s="199"/>
      <c r="H300" s="199"/>
      <c r="I300" s="439"/>
      <c r="J300" s="295"/>
      <c r="K300" s="295"/>
    </row>
    <row r="301" spans="1:13" x14ac:dyDescent="0.2">
      <c r="A301" s="242" t="s">
        <v>185</v>
      </c>
      <c r="B301" s="243" t="s">
        <v>59</v>
      </c>
      <c r="C301" s="232" t="s">
        <v>357</v>
      </c>
      <c r="D301" s="243" t="s">
        <v>187</v>
      </c>
      <c r="E301" s="1121" t="s">
        <v>89</v>
      </c>
      <c r="F301" s="1114"/>
      <c r="G301" s="1115"/>
      <c r="H301" s="1121" t="s">
        <v>183</v>
      </c>
      <c r="I301" s="1115"/>
      <c r="J301" s="295"/>
      <c r="K301" s="295"/>
    </row>
    <row r="302" spans="1:13" x14ac:dyDescent="0.2">
      <c r="A302" s="244"/>
      <c r="B302" s="234"/>
      <c r="C302" s="239"/>
      <c r="D302" s="239"/>
      <c r="E302" s="240"/>
      <c r="F302" s="241"/>
      <c r="G302" s="405"/>
      <c r="H302" s="240"/>
      <c r="I302" s="427"/>
      <c r="J302" s="295"/>
      <c r="K302" s="295"/>
    </row>
    <row r="303" spans="1:13" x14ac:dyDescent="0.2">
      <c r="A303" s="199"/>
      <c r="B303" s="229"/>
      <c r="C303" s="229"/>
      <c r="D303" s="199"/>
      <c r="E303" s="199"/>
      <c r="F303" s="230" t="s">
        <v>188</v>
      </c>
      <c r="G303" s="240"/>
      <c r="H303" s="241"/>
      <c r="I303" s="438">
        <f>SUM(I302:I302)</f>
        <v>0</v>
      </c>
      <c r="J303" s="295"/>
      <c r="K303" s="295"/>
    </row>
    <row r="304" spans="1:13" x14ac:dyDescent="0.2">
      <c r="A304" s="199"/>
      <c r="B304" s="229"/>
      <c r="C304" s="229"/>
      <c r="D304" s="199"/>
      <c r="E304" s="199"/>
      <c r="F304" s="199"/>
      <c r="G304" s="199"/>
      <c r="H304" s="199"/>
      <c r="I304" s="439"/>
      <c r="J304" s="295"/>
      <c r="K304" s="295"/>
    </row>
    <row r="305" spans="1:11" x14ac:dyDescent="0.2">
      <c r="A305" s="245" t="s">
        <v>189</v>
      </c>
      <c r="B305" s="243" t="s">
        <v>59</v>
      </c>
      <c r="C305" s="635" t="s">
        <v>17</v>
      </c>
      <c r="D305" s="243" t="s">
        <v>190</v>
      </c>
      <c r="E305" s="243" t="s">
        <v>191</v>
      </c>
      <c r="F305" s="243" t="s">
        <v>192</v>
      </c>
      <c r="G305" s="1121" t="s">
        <v>94</v>
      </c>
      <c r="H305" s="1114"/>
      <c r="I305" s="1115"/>
      <c r="J305" s="295"/>
      <c r="K305" s="295"/>
    </row>
    <row r="306" spans="1:11" x14ac:dyDescent="0.2">
      <c r="A306" s="244"/>
      <c r="B306" s="234"/>
      <c r="C306" s="239"/>
      <c r="D306" s="235"/>
      <c r="E306" s="246"/>
      <c r="F306" s="246"/>
      <c r="G306" s="240"/>
      <c r="H306" s="241"/>
      <c r="I306" s="427"/>
      <c r="J306" s="295"/>
      <c r="K306" s="295"/>
    </row>
    <row r="307" spans="1:11" x14ac:dyDescent="0.2">
      <c r="A307" s="199"/>
      <c r="B307" s="229"/>
      <c r="C307" s="199"/>
      <c r="D307" s="199"/>
      <c r="E307" s="199"/>
      <c r="F307" s="230" t="s">
        <v>327</v>
      </c>
      <c r="G307" s="240"/>
      <c r="H307" s="241"/>
      <c r="I307" s="438">
        <f>SUM(I306)</f>
        <v>0</v>
      </c>
      <c r="J307" s="295"/>
      <c r="K307" s="295"/>
    </row>
    <row r="308" spans="1:11" x14ac:dyDescent="0.2">
      <c r="A308" s="199"/>
      <c r="B308" s="229"/>
      <c r="C308" s="199"/>
      <c r="D308" s="199"/>
      <c r="E308" s="199"/>
      <c r="F308" s="199"/>
      <c r="G308" s="199"/>
      <c r="H308" s="199"/>
      <c r="I308" s="439"/>
      <c r="J308" s="295"/>
      <c r="K308" s="295"/>
    </row>
    <row r="309" spans="1:11" ht="24" customHeight="1" x14ac:dyDescent="0.2">
      <c r="A309" s="247"/>
      <c r="B309" s="248"/>
      <c r="C309" s="249"/>
      <c r="D309" s="249"/>
      <c r="E309" s="249"/>
      <c r="F309" s="250" t="s">
        <v>193</v>
      </c>
      <c r="G309" s="401"/>
      <c r="H309" s="249"/>
      <c r="I309" s="445">
        <f>+I299+I303+I307</f>
        <v>0</v>
      </c>
      <c r="J309" s="295"/>
      <c r="K309" s="295"/>
    </row>
    <row r="310" spans="1:11" x14ac:dyDescent="0.2">
      <c r="A310" s="251"/>
      <c r="B310" s="252"/>
      <c r="C310" s="253"/>
      <c r="D310" s="253"/>
      <c r="E310" s="253"/>
      <c r="F310" s="254" t="s">
        <v>194</v>
      </c>
      <c r="G310" s="255"/>
      <c r="H310" s="253"/>
      <c r="I310" s="446">
        <v>1</v>
      </c>
      <c r="J310" s="295"/>
      <c r="K310" s="295"/>
    </row>
    <row r="311" spans="1:11" x14ac:dyDescent="0.2">
      <c r="A311" s="233"/>
      <c r="B311" s="256"/>
      <c r="C311" s="241"/>
      <c r="D311" s="241"/>
      <c r="E311" s="241"/>
      <c r="F311" s="257" t="s">
        <v>216</v>
      </c>
      <c r="G311" s="240"/>
      <c r="H311" s="241"/>
      <c r="I311" s="447">
        <f>TRUNC(I309/I310,2)</f>
        <v>0</v>
      </c>
      <c r="J311" s="295"/>
      <c r="K311" s="295"/>
    </row>
    <row r="312" spans="1:11" x14ac:dyDescent="0.2">
      <c r="A312" s="636"/>
      <c r="B312" s="229"/>
      <c r="C312" s="199"/>
      <c r="D312" s="199"/>
      <c r="E312" s="199"/>
      <c r="F312" s="258"/>
      <c r="G312" s="199"/>
      <c r="H312" s="199"/>
      <c r="I312" s="450"/>
      <c r="J312" s="295"/>
      <c r="K312" s="295"/>
    </row>
    <row r="313" spans="1:11" x14ac:dyDescent="0.2">
      <c r="A313" s="242" t="s">
        <v>195</v>
      </c>
      <c r="B313" s="243" t="s">
        <v>59</v>
      </c>
      <c r="C313" s="243" t="s">
        <v>196</v>
      </c>
      <c r="D313" s="243" t="s">
        <v>217</v>
      </c>
      <c r="E313" s="1121" t="s">
        <v>89</v>
      </c>
      <c r="F313" s="1114"/>
      <c r="G313" s="1115"/>
      <c r="H313" s="1121" t="s">
        <v>183</v>
      </c>
      <c r="I313" s="1115"/>
      <c r="J313" s="295"/>
      <c r="K313" s="295"/>
    </row>
    <row r="314" spans="1:11" x14ac:dyDescent="0.2">
      <c r="A314" s="259"/>
      <c r="B314" s="234"/>
      <c r="C314" s="260"/>
      <c r="D314" s="261"/>
      <c r="E314" s="255"/>
      <c r="F314" s="253"/>
      <c r="G314" s="405"/>
      <c r="H314" s="255"/>
      <c r="I314" s="423"/>
      <c r="J314" s="295"/>
      <c r="K314" s="295"/>
    </row>
    <row r="315" spans="1:11" x14ac:dyDescent="0.2">
      <c r="A315" s="199"/>
      <c r="B315" s="229"/>
      <c r="C315" s="199"/>
      <c r="D315" s="199"/>
      <c r="E315" s="199"/>
      <c r="F315" s="230" t="s">
        <v>197</v>
      </c>
      <c r="G315" s="240"/>
      <c r="H315" s="241"/>
      <c r="I315" s="438">
        <f>SUM(I314:I314)</f>
        <v>0</v>
      </c>
    </row>
    <row r="316" spans="1:11" x14ac:dyDescent="0.2">
      <c r="A316" s="199"/>
      <c r="B316" s="229"/>
      <c r="C316" s="199"/>
      <c r="D316" s="199"/>
      <c r="E316" s="199"/>
      <c r="F316" s="199"/>
      <c r="G316" s="262"/>
      <c r="H316" s="199"/>
      <c r="I316" s="439"/>
    </row>
    <row r="317" spans="1:11" x14ac:dyDescent="0.2">
      <c r="A317" s="263" t="s">
        <v>198</v>
      </c>
      <c r="B317" s="243" t="s">
        <v>59</v>
      </c>
      <c r="C317" s="243" t="s">
        <v>196</v>
      </c>
      <c r="D317" s="635" t="s">
        <v>217</v>
      </c>
      <c r="E317" s="1121" t="s">
        <v>89</v>
      </c>
      <c r="F317" s="1114"/>
      <c r="G317" s="1115"/>
      <c r="H317" s="1121" t="s">
        <v>183</v>
      </c>
      <c r="I317" s="1115"/>
    </row>
    <row r="318" spans="1:11" x14ac:dyDescent="0.2">
      <c r="A318" s="244"/>
      <c r="B318" s="234"/>
      <c r="C318" s="234"/>
      <c r="D318" s="239"/>
      <c r="E318" s="240"/>
      <c r="F318" s="253"/>
      <c r="G318" s="293"/>
      <c r="H318" s="240"/>
      <c r="I318" s="423"/>
    </row>
    <row r="319" spans="1:11" x14ac:dyDescent="0.2">
      <c r="A319" s="200"/>
      <c r="B319" s="264"/>
      <c r="C319" s="200"/>
      <c r="D319" s="200"/>
      <c r="E319" s="200"/>
      <c r="F319" s="265" t="s">
        <v>199</v>
      </c>
      <c r="G319" s="255"/>
      <c r="H319" s="266"/>
      <c r="I319" s="441">
        <f>SUM(I318:I318)</f>
        <v>0</v>
      </c>
    </row>
    <row r="320" spans="1:11" x14ac:dyDescent="0.2">
      <c r="A320" s="200"/>
      <c r="B320" s="264"/>
      <c r="C320" s="200"/>
      <c r="D320" s="200"/>
      <c r="E320" s="200"/>
      <c r="F320" s="200"/>
      <c r="G320" s="200"/>
      <c r="H320" s="200"/>
      <c r="I320" s="440"/>
    </row>
    <row r="321" spans="1:17" x14ac:dyDescent="0.2">
      <c r="A321" s="267" t="s">
        <v>200</v>
      </c>
      <c r="B321" s="268" t="s">
        <v>59</v>
      </c>
      <c r="C321" s="268" t="s">
        <v>196</v>
      </c>
      <c r="D321" s="268" t="s">
        <v>201</v>
      </c>
      <c r="E321" s="268" t="s">
        <v>202</v>
      </c>
      <c r="F321" s="268" t="s">
        <v>203</v>
      </c>
      <c r="G321" s="268" t="s">
        <v>94</v>
      </c>
      <c r="H321" s="268" t="s">
        <v>89</v>
      </c>
      <c r="I321" s="442" t="s">
        <v>204</v>
      </c>
    </row>
    <row r="322" spans="1:17" x14ac:dyDescent="0.2">
      <c r="A322" s="244"/>
      <c r="B322" s="234"/>
      <c r="C322" s="234"/>
      <c r="D322" s="269"/>
      <c r="E322" s="270"/>
      <c r="F322" s="270"/>
      <c r="G322" s="239"/>
      <c r="H322" s="271"/>
      <c r="I322" s="418"/>
    </row>
    <row r="323" spans="1:17" x14ac:dyDescent="0.2">
      <c r="A323" s="200"/>
      <c r="B323" s="264"/>
      <c r="C323" s="200"/>
      <c r="D323" s="200"/>
      <c r="E323" s="200"/>
      <c r="F323" s="265" t="s">
        <v>205</v>
      </c>
      <c r="G323" s="240"/>
      <c r="H323" s="272"/>
      <c r="I323" s="443">
        <f>SUM(I322:I322)</f>
        <v>0</v>
      </c>
    </row>
    <row r="324" spans="1:17" x14ac:dyDescent="0.2">
      <c r="A324" s="200"/>
      <c r="B324" s="264"/>
      <c r="C324" s="200"/>
      <c r="D324" s="200"/>
      <c r="E324" s="200"/>
      <c r="F324" s="200"/>
      <c r="G324" s="200"/>
      <c r="H324" s="200"/>
      <c r="I324" s="444"/>
    </row>
    <row r="325" spans="1:17" x14ac:dyDescent="0.2">
      <c r="A325" s="273"/>
      <c r="B325" s="274"/>
      <c r="C325" s="275"/>
      <c r="D325" s="275"/>
      <c r="E325" s="275"/>
      <c r="F325" s="276" t="s">
        <v>315</v>
      </c>
      <c r="G325" s="273"/>
      <c r="H325" s="249"/>
      <c r="I325" s="445">
        <v>494.8</v>
      </c>
    </row>
    <row r="326" spans="1:17" x14ac:dyDescent="0.2">
      <c r="A326" s="255"/>
      <c r="B326" s="277"/>
      <c r="C326" s="266"/>
      <c r="D326" s="266"/>
      <c r="E326" s="266"/>
      <c r="F326" s="278" t="str">
        <f>CONCATENATE($H$3," ",$I$3)</f>
        <v>BDI: 23,32</v>
      </c>
      <c r="G326" s="403"/>
      <c r="H326" s="253"/>
      <c r="I326" s="446">
        <f>+ROUND(I325*$I$4,2)</f>
        <v>115.39</v>
      </c>
    </row>
    <row r="327" spans="1:17" s="198" customFormat="1" x14ac:dyDescent="0.2">
      <c r="A327" s="240"/>
      <c r="B327" s="279"/>
      <c r="C327" s="272"/>
      <c r="D327" s="272"/>
      <c r="E327" s="272"/>
      <c r="F327" s="280" t="s">
        <v>207</v>
      </c>
      <c r="G327" s="404"/>
      <c r="H327" s="241"/>
      <c r="I327" s="720">
        <f>+I325+I326</f>
        <v>610.19000000000005</v>
      </c>
      <c r="J327" s="400"/>
      <c r="K327" s="400"/>
      <c r="L327" s="295"/>
      <c r="M327" s="295"/>
      <c r="N327" s="295"/>
      <c r="O327" s="295"/>
      <c r="P327" s="295"/>
      <c r="Q327" s="295"/>
    </row>
    <row r="328" spans="1:17" s="198" customFormat="1" x14ac:dyDescent="0.2">
      <c r="A328" s="1116" t="str">
        <f>$A$1</f>
        <v>COMPOSIÇÃO DE CUSTOS UNITÁRIOS</v>
      </c>
      <c r="B328" s="1116"/>
      <c r="C328" s="1116"/>
      <c r="D328" s="1116"/>
      <c r="E328" s="1116"/>
      <c r="F328" s="1116"/>
      <c r="G328" s="1116"/>
      <c r="H328" s="1116"/>
      <c r="I328" s="1116"/>
      <c r="J328" s="400"/>
      <c r="K328" s="400"/>
      <c r="L328" s="295"/>
      <c r="M328" s="295"/>
      <c r="N328" s="295"/>
      <c r="O328" s="295"/>
      <c r="P328" s="295"/>
      <c r="Q328" s="295"/>
    </row>
    <row r="329" spans="1:17" x14ac:dyDescent="0.2">
      <c r="A329" s="228" t="str">
        <f>$A$2</f>
        <v>Tabela Referencial de Preços - DER-ES</v>
      </c>
      <c r="B329" s="229"/>
      <c r="C329" s="199"/>
      <c r="D329" s="199"/>
      <c r="E329" s="199"/>
      <c r="F329" s="199"/>
      <c r="G329" s="199"/>
      <c r="H329" s="199"/>
      <c r="I329" s="414" t="str">
        <f>$I$2</f>
        <v>Data Base: novembro/2020</v>
      </c>
      <c r="J329" s="400">
        <v>41527</v>
      </c>
      <c r="K329" s="400">
        <f>VLOOKUP("Preço Unitário Total",F331:I4015,4,FALSE)</f>
        <v>2454.9899999999998</v>
      </c>
      <c r="L329" s="295">
        <f>VLOOKUP(J329,'DER 11-20'!A:E,5,FALSE)</f>
        <v>0</v>
      </c>
      <c r="M329" s="295" t="str">
        <f>VLOOKUP(J329,'DER 11-20'!$A:$D,2,FALSE)</f>
        <v>Reservatório de fibra de vidro de 1000 L, incl. suporte em madeira de 7x12cm, elevado de 4m</v>
      </c>
    </row>
    <row r="330" spans="1:17" x14ac:dyDescent="0.2">
      <c r="A330" s="1117" t="str">
        <f>+CONCATENATE("Serviço: ",J329," ",VLOOKUP(J329,'DER 11-20'!$A:$D,2,FALSE))</f>
        <v>Serviço: 41527 Reservatório de fibra de vidro de 1000 L, incl. suporte em madeira de 7x12cm, elevado de 4m</v>
      </c>
      <c r="B330" s="1117"/>
      <c r="C330" s="1117"/>
      <c r="D330" s="1117"/>
      <c r="E330" s="1117"/>
      <c r="F330" s="1117"/>
      <c r="G330" s="1117"/>
      <c r="H330" s="1117"/>
      <c r="I330" s="1119" t="str">
        <f>CONCATENATE("Unidade: ", VLOOKUP(J329,'DER 11-20'!$A:$E,3,FALSE))</f>
        <v>Unidade: Ud</v>
      </c>
    </row>
    <row r="331" spans="1:17" x14ac:dyDescent="0.2">
      <c r="A331" s="1118"/>
      <c r="B331" s="1118"/>
      <c r="C331" s="1118"/>
      <c r="D331" s="1118"/>
      <c r="E331" s="1118"/>
      <c r="F331" s="1118"/>
      <c r="G331" s="1118"/>
      <c r="H331" s="1118"/>
      <c r="I331" s="1120"/>
      <c r="J331" s="295"/>
      <c r="K331" s="295"/>
    </row>
    <row r="332" spans="1:17" ht="22.5" x14ac:dyDescent="0.2">
      <c r="A332" s="231" t="s">
        <v>177</v>
      </c>
      <c r="B332" s="232" t="s">
        <v>59</v>
      </c>
      <c r="C332" s="232" t="s">
        <v>178</v>
      </c>
      <c r="D332" s="232" t="s">
        <v>179</v>
      </c>
      <c r="E332" s="232" t="s">
        <v>180</v>
      </c>
      <c r="F332" s="232" t="s">
        <v>181</v>
      </c>
      <c r="G332" s="232" t="s">
        <v>182</v>
      </c>
      <c r="H332" s="232" t="s">
        <v>89</v>
      </c>
      <c r="I332" s="434" t="s">
        <v>183</v>
      </c>
      <c r="J332" s="295"/>
      <c r="K332" s="295"/>
    </row>
    <row r="333" spans="1:17" x14ac:dyDescent="0.2">
      <c r="A333" s="233"/>
      <c r="B333" s="234"/>
      <c r="C333" s="235"/>
      <c r="D333" s="236"/>
      <c r="E333" s="203"/>
      <c r="F333" s="237"/>
      <c r="G333" s="237"/>
      <c r="H333" s="238"/>
      <c r="I333" s="418"/>
      <c r="J333" s="295"/>
      <c r="K333" s="295"/>
    </row>
    <row r="334" spans="1:17" x14ac:dyDescent="0.2">
      <c r="A334" s="199"/>
      <c r="B334" s="229"/>
      <c r="C334" s="229"/>
      <c r="D334" s="199"/>
      <c r="E334" s="199"/>
      <c r="F334" s="230" t="s">
        <v>184</v>
      </c>
      <c r="G334" s="240"/>
      <c r="H334" s="241"/>
      <c r="I334" s="438">
        <f>SUM(I333:I333)</f>
        <v>0</v>
      </c>
      <c r="J334" s="295"/>
      <c r="K334" s="295"/>
    </row>
    <row r="335" spans="1:17" x14ac:dyDescent="0.2">
      <c r="A335" s="199"/>
      <c r="B335" s="229"/>
      <c r="C335" s="229"/>
      <c r="D335" s="199"/>
      <c r="E335" s="199"/>
      <c r="F335" s="199"/>
      <c r="G335" s="199"/>
      <c r="H335" s="199"/>
      <c r="I335" s="439"/>
      <c r="J335" s="295"/>
      <c r="K335" s="295"/>
    </row>
    <row r="336" spans="1:17" x14ac:dyDescent="0.2">
      <c r="A336" s="242" t="s">
        <v>185</v>
      </c>
      <c r="B336" s="243" t="s">
        <v>59</v>
      </c>
      <c r="C336" s="232" t="s">
        <v>357</v>
      </c>
      <c r="D336" s="243" t="s">
        <v>187</v>
      </c>
      <c r="E336" s="1121" t="s">
        <v>89</v>
      </c>
      <c r="F336" s="1114"/>
      <c r="G336" s="1115"/>
      <c r="H336" s="1121" t="s">
        <v>183</v>
      </c>
      <c r="I336" s="1115"/>
      <c r="J336" s="295"/>
      <c r="K336" s="295"/>
    </row>
    <row r="337" spans="1:11" x14ac:dyDescent="0.2">
      <c r="A337" s="244"/>
      <c r="B337" s="234"/>
      <c r="C337" s="239"/>
      <c r="D337" s="239"/>
      <c r="E337" s="240"/>
      <c r="F337" s="241"/>
      <c r="G337" s="405"/>
      <c r="H337" s="240"/>
      <c r="I337" s="427"/>
      <c r="J337" s="295"/>
      <c r="K337" s="295"/>
    </row>
    <row r="338" spans="1:11" x14ac:dyDescent="0.2">
      <c r="A338" s="199"/>
      <c r="B338" s="229"/>
      <c r="C338" s="229"/>
      <c r="D338" s="199"/>
      <c r="E338" s="199"/>
      <c r="F338" s="230" t="s">
        <v>188</v>
      </c>
      <c r="G338" s="240"/>
      <c r="H338" s="241"/>
      <c r="I338" s="438">
        <f>SUM(I337:I337)</f>
        <v>0</v>
      </c>
      <c r="J338" s="295"/>
      <c r="K338" s="295"/>
    </row>
    <row r="339" spans="1:11" x14ac:dyDescent="0.2">
      <c r="A339" s="199"/>
      <c r="B339" s="229"/>
      <c r="C339" s="229"/>
      <c r="D339" s="199"/>
      <c r="E339" s="199"/>
      <c r="F339" s="199"/>
      <c r="G339" s="199"/>
      <c r="H339" s="199"/>
      <c r="I339" s="439"/>
      <c r="J339" s="295"/>
      <c r="K339" s="295"/>
    </row>
    <row r="340" spans="1:11" x14ac:dyDescent="0.2">
      <c r="A340" s="245" t="s">
        <v>189</v>
      </c>
      <c r="B340" s="243" t="s">
        <v>59</v>
      </c>
      <c r="C340" s="635" t="s">
        <v>17</v>
      </c>
      <c r="D340" s="243" t="s">
        <v>190</v>
      </c>
      <c r="E340" s="243" t="s">
        <v>191</v>
      </c>
      <c r="F340" s="243" t="s">
        <v>192</v>
      </c>
      <c r="G340" s="1121" t="s">
        <v>94</v>
      </c>
      <c r="H340" s="1114"/>
      <c r="I340" s="1115"/>
      <c r="J340" s="295"/>
      <c r="K340" s="295"/>
    </row>
    <row r="341" spans="1:11" x14ac:dyDescent="0.2">
      <c r="A341" s="244"/>
      <c r="B341" s="234"/>
      <c r="C341" s="239"/>
      <c r="D341" s="235"/>
      <c r="E341" s="246"/>
      <c r="F341" s="246"/>
      <c r="G341" s="240"/>
      <c r="H341" s="241"/>
      <c r="I341" s="427"/>
      <c r="J341" s="295"/>
      <c r="K341" s="295"/>
    </row>
    <row r="342" spans="1:11" x14ac:dyDescent="0.2">
      <c r="A342" s="199"/>
      <c r="B342" s="229"/>
      <c r="C342" s="199"/>
      <c r="D342" s="199"/>
      <c r="E342" s="199"/>
      <c r="F342" s="230" t="s">
        <v>327</v>
      </c>
      <c r="G342" s="240"/>
      <c r="H342" s="241"/>
      <c r="I342" s="438">
        <f>SUM(I341)</f>
        <v>0</v>
      </c>
      <c r="J342" s="295"/>
      <c r="K342" s="295"/>
    </row>
    <row r="343" spans="1:11" x14ac:dyDescent="0.2">
      <c r="A343" s="199"/>
      <c r="B343" s="229"/>
      <c r="C343" s="199"/>
      <c r="D343" s="199"/>
      <c r="E343" s="199"/>
      <c r="F343" s="199"/>
      <c r="G343" s="199"/>
      <c r="H343" s="199"/>
      <c r="I343" s="439"/>
      <c r="J343" s="295"/>
      <c r="K343" s="295"/>
    </row>
    <row r="344" spans="1:11" x14ac:dyDescent="0.2">
      <c r="A344" s="247"/>
      <c r="B344" s="248"/>
      <c r="C344" s="249"/>
      <c r="D344" s="249"/>
      <c r="E344" s="249"/>
      <c r="F344" s="250" t="s">
        <v>193</v>
      </c>
      <c r="G344" s="401"/>
      <c r="H344" s="249"/>
      <c r="I344" s="445">
        <f>+I334+I338+I342</f>
        <v>0</v>
      </c>
      <c r="J344" s="295"/>
      <c r="K344" s="295"/>
    </row>
    <row r="345" spans="1:11" x14ac:dyDescent="0.2">
      <c r="A345" s="251"/>
      <c r="B345" s="252"/>
      <c r="C345" s="253"/>
      <c r="D345" s="253"/>
      <c r="E345" s="253"/>
      <c r="F345" s="254" t="s">
        <v>194</v>
      </c>
      <c r="G345" s="255"/>
      <c r="H345" s="253"/>
      <c r="I345" s="446">
        <v>1</v>
      </c>
      <c r="J345" s="295"/>
      <c r="K345" s="295"/>
    </row>
    <row r="346" spans="1:11" x14ac:dyDescent="0.2">
      <c r="A346" s="233"/>
      <c r="B346" s="256"/>
      <c r="C346" s="241"/>
      <c r="D346" s="241"/>
      <c r="E346" s="241"/>
      <c r="F346" s="257" t="s">
        <v>216</v>
      </c>
      <c r="G346" s="240"/>
      <c r="H346" s="241"/>
      <c r="I346" s="447">
        <f>TRUNC(I344/I345,2)</f>
        <v>0</v>
      </c>
      <c r="J346" s="295"/>
      <c r="K346" s="295"/>
    </row>
    <row r="347" spans="1:11" x14ac:dyDescent="0.2">
      <c r="A347" s="636"/>
      <c r="B347" s="229"/>
      <c r="C347" s="199"/>
      <c r="D347" s="199"/>
      <c r="E347" s="199"/>
      <c r="F347" s="258"/>
      <c r="G347" s="199"/>
      <c r="H347" s="199"/>
      <c r="I347" s="450"/>
    </row>
    <row r="348" spans="1:11" x14ac:dyDescent="0.2">
      <c r="A348" s="242" t="s">
        <v>195</v>
      </c>
      <c r="B348" s="243" t="s">
        <v>59</v>
      </c>
      <c r="C348" s="243" t="s">
        <v>196</v>
      </c>
      <c r="D348" s="243" t="s">
        <v>217</v>
      </c>
      <c r="E348" s="1121" t="s">
        <v>89</v>
      </c>
      <c r="F348" s="1114"/>
      <c r="G348" s="1115"/>
      <c r="H348" s="1121" t="s">
        <v>183</v>
      </c>
      <c r="I348" s="1115"/>
    </row>
    <row r="349" spans="1:11" x14ac:dyDescent="0.2">
      <c r="A349" s="259"/>
      <c r="B349" s="234"/>
      <c r="C349" s="260"/>
      <c r="D349" s="261"/>
      <c r="E349" s="255"/>
      <c r="F349" s="253"/>
      <c r="G349" s="405"/>
      <c r="H349" s="255"/>
      <c r="I349" s="423"/>
    </row>
    <row r="350" spans="1:11" x14ac:dyDescent="0.2">
      <c r="A350" s="199"/>
      <c r="B350" s="229"/>
      <c r="C350" s="199"/>
      <c r="D350" s="199"/>
      <c r="E350" s="199"/>
      <c r="F350" s="230" t="s">
        <v>197</v>
      </c>
      <c r="G350" s="240"/>
      <c r="H350" s="241"/>
      <c r="I350" s="438">
        <f>SUM(I349:I349)</f>
        <v>0</v>
      </c>
    </row>
    <row r="351" spans="1:11" x14ac:dyDescent="0.2">
      <c r="A351" s="199"/>
      <c r="B351" s="229"/>
      <c r="C351" s="199"/>
      <c r="D351" s="199"/>
      <c r="E351" s="199"/>
      <c r="F351" s="199"/>
      <c r="G351" s="262"/>
      <c r="H351" s="199"/>
      <c r="I351" s="439"/>
    </row>
    <row r="352" spans="1:11" x14ac:dyDescent="0.2">
      <c r="A352" s="263" t="s">
        <v>198</v>
      </c>
      <c r="B352" s="243" t="s">
        <v>59</v>
      </c>
      <c r="C352" s="243" t="s">
        <v>196</v>
      </c>
      <c r="D352" s="635" t="s">
        <v>217</v>
      </c>
      <c r="E352" s="1121" t="s">
        <v>89</v>
      </c>
      <c r="F352" s="1114"/>
      <c r="G352" s="1115"/>
      <c r="H352" s="1121" t="s">
        <v>183</v>
      </c>
      <c r="I352" s="1115"/>
    </row>
    <row r="353" spans="1:17" ht="23.25" customHeight="1" x14ac:dyDescent="0.2">
      <c r="A353" s="244"/>
      <c r="B353" s="234"/>
      <c r="C353" s="234"/>
      <c r="D353" s="239"/>
      <c r="E353" s="240"/>
      <c r="F353" s="253"/>
      <c r="G353" s="293"/>
      <c r="H353" s="240"/>
      <c r="I353" s="423"/>
    </row>
    <row r="354" spans="1:17" x14ac:dyDescent="0.2">
      <c r="A354" s="200"/>
      <c r="B354" s="264"/>
      <c r="C354" s="200"/>
      <c r="D354" s="200"/>
      <c r="E354" s="200"/>
      <c r="F354" s="265" t="s">
        <v>199</v>
      </c>
      <c r="G354" s="255"/>
      <c r="H354" s="266"/>
      <c r="I354" s="441">
        <f>SUM(I353:I353)</f>
        <v>0</v>
      </c>
    </row>
    <row r="355" spans="1:17" x14ac:dyDescent="0.2">
      <c r="A355" s="200"/>
      <c r="B355" s="264"/>
      <c r="C355" s="200"/>
      <c r="D355" s="200"/>
      <c r="E355" s="200"/>
      <c r="F355" s="200"/>
      <c r="G355" s="200"/>
      <c r="H355" s="200"/>
      <c r="I355" s="440"/>
    </row>
    <row r="356" spans="1:17" x14ac:dyDescent="0.2">
      <c r="A356" s="267" t="s">
        <v>200</v>
      </c>
      <c r="B356" s="268" t="s">
        <v>59</v>
      </c>
      <c r="C356" s="268" t="s">
        <v>196</v>
      </c>
      <c r="D356" s="268" t="s">
        <v>201</v>
      </c>
      <c r="E356" s="268" t="s">
        <v>202</v>
      </c>
      <c r="F356" s="268" t="s">
        <v>203</v>
      </c>
      <c r="G356" s="268" t="s">
        <v>94</v>
      </c>
      <c r="H356" s="268" t="s">
        <v>89</v>
      </c>
      <c r="I356" s="442" t="s">
        <v>204</v>
      </c>
    </row>
    <row r="357" spans="1:17" x14ac:dyDescent="0.2">
      <c r="A357" s="244"/>
      <c r="B357" s="234"/>
      <c r="C357" s="234"/>
      <c r="D357" s="269"/>
      <c r="E357" s="270"/>
      <c r="F357" s="270"/>
      <c r="G357" s="239"/>
      <c r="H357" s="271"/>
      <c r="I357" s="418"/>
    </row>
    <row r="358" spans="1:17" x14ac:dyDescent="0.2">
      <c r="A358" s="200"/>
      <c r="B358" s="264"/>
      <c r="C358" s="200"/>
      <c r="D358" s="200"/>
      <c r="E358" s="200"/>
      <c r="F358" s="265" t="s">
        <v>205</v>
      </c>
      <c r="G358" s="240"/>
      <c r="H358" s="272"/>
      <c r="I358" s="443">
        <f>SUM(I357:I357)</f>
        <v>0</v>
      </c>
    </row>
    <row r="359" spans="1:17" x14ac:dyDescent="0.2">
      <c r="A359" s="200"/>
      <c r="B359" s="264"/>
      <c r="C359" s="200"/>
      <c r="D359" s="200"/>
      <c r="E359" s="200"/>
      <c r="F359" s="200"/>
      <c r="G359" s="200"/>
      <c r="H359" s="200"/>
      <c r="I359" s="444"/>
    </row>
    <row r="360" spans="1:17" x14ac:dyDescent="0.2">
      <c r="A360" s="273"/>
      <c r="B360" s="274"/>
      <c r="C360" s="275"/>
      <c r="D360" s="275"/>
      <c r="E360" s="275"/>
      <c r="F360" s="276" t="s">
        <v>315</v>
      </c>
      <c r="G360" s="273"/>
      <c r="H360" s="249"/>
      <c r="I360" s="445">
        <v>1990.75</v>
      </c>
    </row>
    <row r="361" spans="1:17" x14ac:dyDescent="0.2">
      <c r="A361" s="255"/>
      <c r="B361" s="277"/>
      <c r="C361" s="266"/>
      <c r="D361" s="266"/>
      <c r="E361" s="266"/>
      <c r="F361" s="278" t="str">
        <f>CONCATENATE($H$3," ",$I$3)</f>
        <v>BDI: 23,32</v>
      </c>
      <c r="G361" s="403"/>
      <c r="H361" s="253"/>
      <c r="I361" s="446">
        <f>+ROUND(I360*$I$4,2)</f>
        <v>464.24</v>
      </c>
    </row>
    <row r="362" spans="1:17" x14ac:dyDescent="0.2">
      <c r="A362" s="240"/>
      <c r="B362" s="279"/>
      <c r="C362" s="272"/>
      <c r="D362" s="272"/>
      <c r="E362" s="272"/>
      <c r="F362" s="280" t="s">
        <v>207</v>
      </c>
      <c r="G362" s="404"/>
      <c r="H362" s="241"/>
      <c r="I362" s="720">
        <f>+I360+I361</f>
        <v>2454.9899999999998</v>
      </c>
    </row>
    <row r="363" spans="1:17" x14ac:dyDescent="0.2">
      <c r="A363" s="199"/>
      <c r="B363" s="530"/>
      <c r="C363" s="200"/>
      <c r="D363" s="200"/>
      <c r="E363" s="200"/>
      <c r="F363" s="265"/>
      <c r="G363" s="200"/>
      <c r="H363" s="199"/>
      <c r="I363" s="738"/>
      <c r="K363" s="295"/>
      <c r="P363" s="359"/>
      <c r="Q363" s="359"/>
    </row>
    <row r="364" spans="1:17" x14ac:dyDescent="0.2">
      <c r="A364" s="1116" t="str">
        <f>$A$1</f>
        <v>COMPOSIÇÃO DE CUSTOS UNITÁRIOS</v>
      </c>
      <c r="B364" s="1116"/>
      <c r="C364" s="1116"/>
      <c r="D364" s="1116"/>
      <c r="E364" s="1116"/>
      <c r="F364" s="1116"/>
      <c r="G364" s="1116"/>
      <c r="H364" s="1116"/>
      <c r="I364" s="1116"/>
    </row>
    <row r="365" spans="1:17" x14ac:dyDescent="0.2">
      <c r="A365" s="228" t="str">
        <f>$A$2</f>
        <v>Tabela Referencial de Preços - DER-ES</v>
      </c>
      <c r="B365" s="229"/>
      <c r="C365" s="199"/>
      <c r="D365" s="199"/>
      <c r="E365" s="199"/>
      <c r="F365" s="199"/>
      <c r="G365" s="199"/>
      <c r="H365" s="199"/>
      <c r="I365" s="414" t="str">
        <f>$I$2</f>
        <v>Data Base: novembro/2020</v>
      </c>
      <c r="J365" s="400">
        <v>41528</v>
      </c>
      <c r="K365" s="400">
        <f>VLOOKUP("Preço Unitário Total",F367:I4015,4,FALSE)</f>
        <v>265</v>
      </c>
      <c r="L365" s="295">
        <f>VLOOKUP(J365,'DER 11-20'!A:E,5,FALSE)</f>
        <v>0</v>
      </c>
      <c r="M365" s="295" t="str">
        <f>VLOOKUP(J365,'DER 11-20'!$A:$D,2,FALSE)</f>
        <v>Galpão em peças de madeira 8x8cm e contravent. de 5x7cm, cobertura de telhas de fibroc. de 6mm, incl. ponto e cabo de alimentação da máquina</v>
      </c>
    </row>
    <row r="366" spans="1:17" x14ac:dyDescent="0.2">
      <c r="A366" s="1117" t="str">
        <f>+CONCATENATE("Serviço: ",J365," ",VLOOKUP(J365,'DER 11-20'!$A:$D,2,FALSE))</f>
        <v>Serviço: 41528 Galpão em peças de madeira 8x8cm e contravent. de 5x7cm, cobertura de telhas de fibroc. de 6mm, incl. ponto e cabo de alimentação da máquina</v>
      </c>
      <c r="B366" s="1117"/>
      <c r="C366" s="1117"/>
      <c r="D366" s="1117"/>
      <c r="E366" s="1117"/>
      <c r="F366" s="1117"/>
      <c r="G366" s="1117"/>
      <c r="H366" s="1117"/>
      <c r="I366" s="1119" t="str">
        <f>CONCATENATE("Unidade: ", VLOOKUP(J365,'DER 11-20'!$A:$E,3,FALSE))</f>
        <v>Unidade: M2</v>
      </c>
    </row>
    <row r="367" spans="1:17" x14ac:dyDescent="0.2">
      <c r="A367" s="1118"/>
      <c r="B367" s="1118"/>
      <c r="C367" s="1118"/>
      <c r="D367" s="1118"/>
      <c r="E367" s="1118"/>
      <c r="F367" s="1118"/>
      <c r="G367" s="1118"/>
      <c r="H367" s="1118"/>
      <c r="I367" s="1120"/>
    </row>
    <row r="368" spans="1:17" ht="22.5" x14ac:dyDescent="0.2">
      <c r="A368" s="231" t="s">
        <v>177</v>
      </c>
      <c r="B368" s="232" t="s">
        <v>59</v>
      </c>
      <c r="C368" s="232" t="s">
        <v>178</v>
      </c>
      <c r="D368" s="232" t="s">
        <v>179</v>
      </c>
      <c r="E368" s="232" t="s">
        <v>180</v>
      </c>
      <c r="F368" s="232" t="s">
        <v>181</v>
      </c>
      <c r="G368" s="232" t="s">
        <v>182</v>
      </c>
      <c r="H368" s="232" t="s">
        <v>89</v>
      </c>
      <c r="I368" s="434" t="s">
        <v>183</v>
      </c>
    </row>
    <row r="369" spans="1:17" x14ac:dyDescent="0.2">
      <c r="A369" s="233"/>
      <c r="B369" s="234"/>
      <c r="C369" s="235"/>
      <c r="D369" s="236"/>
      <c r="E369" s="203"/>
      <c r="F369" s="237"/>
      <c r="G369" s="237"/>
      <c r="H369" s="238"/>
      <c r="I369" s="418"/>
    </row>
    <row r="370" spans="1:17" x14ac:dyDescent="0.2">
      <c r="A370" s="199"/>
      <c r="B370" s="229"/>
      <c r="C370" s="229"/>
      <c r="D370" s="199"/>
      <c r="E370" s="199"/>
      <c r="F370" s="230" t="s">
        <v>184</v>
      </c>
      <c r="G370" s="240"/>
      <c r="H370" s="241"/>
      <c r="I370" s="438">
        <f>SUM(I369:I369)</f>
        <v>0</v>
      </c>
    </row>
    <row r="371" spans="1:17" x14ac:dyDescent="0.2">
      <c r="A371" s="199"/>
      <c r="B371" s="229"/>
      <c r="C371" s="229"/>
      <c r="D371" s="199"/>
      <c r="E371" s="199"/>
      <c r="F371" s="199"/>
      <c r="G371" s="199"/>
      <c r="H371" s="199"/>
      <c r="I371" s="439"/>
    </row>
    <row r="372" spans="1:17" x14ac:dyDescent="0.2">
      <c r="A372" s="242" t="s">
        <v>185</v>
      </c>
      <c r="B372" s="243" t="s">
        <v>59</v>
      </c>
      <c r="C372" s="232" t="s">
        <v>357</v>
      </c>
      <c r="D372" s="243" t="s">
        <v>187</v>
      </c>
      <c r="E372" s="1111" t="s">
        <v>89</v>
      </c>
      <c r="F372" s="1112"/>
      <c r="G372" s="1113"/>
      <c r="H372" s="1121" t="s">
        <v>183</v>
      </c>
      <c r="I372" s="1115"/>
    </row>
    <row r="373" spans="1:17" x14ac:dyDescent="0.2">
      <c r="A373" s="244"/>
      <c r="B373" s="234"/>
      <c r="C373" s="239"/>
      <c r="D373" s="239"/>
      <c r="E373" s="255"/>
      <c r="F373" s="253"/>
      <c r="G373" s="293"/>
      <c r="H373" s="240"/>
      <c r="I373" s="427"/>
    </row>
    <row r="374" spans="1:17" x14ac:dyDescent="0.2">
      <c r="A374" s="199"/>
      <c r="B374" s="229"/>
      <c r="C374" s="229"/>
      <c r="D374" s="199"/>
      <c r="E374" s="199"/>
      <c r="F374" s="230" t="s">
        <v>188</v>
      </c>
      <c r="G374" s="240"/>
      <c r="H374" s="241"/>
      <c r="I374" s="438">
        <f>SUM(I373:I373)</f>
        <v>0</v>
      </c>
    </row>
    <row r="375" spans="1:17" x14ac:dyDescent="0.2">
      <c r="A375" s="199"/>
      <c r="B375" s="229"/>
      <c r="C375" s="229"/>
      <c r="D375" s="199"/>
      <c r="E375" s="199"/>
      <c r="F375" s="199"/>
      <c r="G375" s="199"/>
      <c r="H375" s="199"/>
      <c r="I375" s="439"/>
    </row>
    <row r="376" spans="1:17" s="198" customFormat="1" x14ac:dyDescent="0.2">
      <c r="A376" s="245" t="s">
        <v>189</v>
      </c>
      <c r="B376" s="243" t="s">
        <v>59</v>
      </c>
      <c r="C376" s="635" t="s">
        <v>17</v>
      </c>
      <c r="D376" s="243" t="s">
        <v>190</v>
      </c>
      <c r="E376" s="243" t="s">
        <v>191</v>
      </c>
      <c r="F376" s="243" t="s">
        <v>192</v>
      </c>
      <c r="G376" s="1121" t="s">
        <v>94</v>
      </c>
      <c r="H376" s="1114"/>
      <c r="I376" s="1115"/>
      <c r="J376" s="400"/>
      <c r="K376" s="400"/>
      <c r="L376" s="295"/>
      <c r="M376" s="295"/>
      <c r="N376" s="295"/>
      <c r="O376" s="295"/>
      <c r="P376" s="295"/>
      <c r="Q376" s="295"/>
    </row>
    <row r="377" spans="1:17" x14ac:dyDescent="0.2">
      <c r="A377" s="244"/>
      <c r="B377" s="234"/>
      <c r="C377" s="239"/>
      <c r="D377" s="235"/>
      <c r="E377" s="246"/>
      <c r="F377" s="246"/>
      <c r="G377" s="240"/>
      <c r="H377" s="241"/>
      <c r="I377" s="427"/>
    </row>
    <row r="378" spans="1:17" x14ac:dyDescent="0.2">
      <c r="A378" s="199"/>
      <c r="B378" s="229"/>
      <c r="C378" s="199"/>
      <c r="D378" s="199"/>
      <c r="E378" s="199"/>
      <c r="F378" s="230" t="s">
        <v>327</v>
      </c>
      <c r="G378" s="240"/>
      <c r="H378" s="241"/>
      <c r="I378" s="438">
        <f>SUM(I377)</f>
        <v>0</v>
      </c>
    </row>
    <row r="379" spans="1:17" x14ac:dyDescent="0.2">
      <c r="A379" s="199"/>
      <c r="B379" s="229"/>
      <c r="C379" s="199"/>
      <c r="D379" s="199"/>
      <c r="E379" s="199"/>
      <c r="F379" s="199"/>
      <c r="G379" s="199"/>
      <c r="H379" s="199"/>
      <c r="I379" s="439"/>
    </row>
    <row r="380" spans="1:17" x14ac:dyDescent="0.2">
      <c r="A380" s="247"/>
      <c r="B380" s="248"/>
      <c r="C380" s="249"/>
      <c r="D380" s="249"/>
      <c r="E380" s="249"/>
      <c r="F380" s="250" t="s">
        <v>193</v>
      </c>
      <c r="G380" s="401"/>
      <c r="H380" s="249"/>
      <c r="I380" s="445">
        <f>+I370+I374+I378</f>
        <v>0</v>
      </c>
    </row>
    <row r="381" spans="1:17" x14ac:dyDescent="0.2">
      <c r="A381" s="251"/>
      <c r="B381" s="252"/>
      <c r="C381" s="253"/>
      <c r="D381" s="253"/>
      <c r="E381" s="253"/>
      <c r="F381" s="254" t="s">
        <v>194</v>
      </c>
      <c r="G381" s="255"/>
      <c r="H381" s="253"/>
      <c r="I381" s="446">
        <v>1</v>
      </c>
    </row>
    <row r="382" spans="1:17" x14ac:dyDescent="0.2">
      <c r="A382" s="233"/>
      <c r="B382" s="256"/>
      <c r="C382" s="241"/>
      <c r="D382" s="241"/>
      <c r="E382" s="241"/>
      <c r="F382" s="257" t="s">
        <v>216</v>
      </c>
      <c r="G382" s="240"/>
      <c r="H382" s="241"/>
      <c r="I382" s="447">
        <f>TRUNC(I380/I381,2)</f>
        <v>0</v>
      </c>
      <c r="O382" s="198"/>
    </row>
    <row r="383" spans="1:17" x14ac:dyDescent="0.2">
      <c r="A383" s="636"/>
      <c r="B383" s="229"/>
      <c r="C383" s="199"/>
      <c r="D383" s="199"/>
      <c r="E383" s="199"/>
      <c r="F383" s="258"/>
      <c r="G383" s="199"/>
      <c r="H383" s="199"/>
      <c r="I383" s="450"/>
      <c r="O383" s="198"/>
    </row>
    <row r="384" spans="1:17" x14ac:dyDescent="0.2">
      <c r="A384" s="242" t="s">
        <v>195</v>
      </c>
      <c r="B384" s="243" t="s">
        <v>59</v>
      </c>
      <c r="C384" s="243" t="s">
        <v>196</v>
      </c>
      <c r="D384" s="243" t="s">
        <v>217</v>
      </c>
      <c r="E384" s="1121" t="s">
        <v>89</v>
      </c>
      <c r="F384" s="1114"/>
      <c r="G384" s="1115"/>
      <c r="H384" s="1121" t="s">
        <v>183</v>
      </c>
      <c r="I384" s="1115"/>
    </row>
    <row r="385" spans="1:14" x14ac:dyDescent="0.2">
      <c r="A385" s="259"/>
      <c r="B385" s="234"/>
      <c r="C385" s="260"/>
      <c r="D385" s="261"/>
      <c r="E385" s="255"/>
      <c r="F385" s="253"/>
      <c r="G385" s="293"/>
      <c r="H385" s="255"/>
      <c r="I385" s="423"/>
    </row>
    <row r="386" spans="1:14" x14ac:dyDescent="0.2">
      <c r="A386" s="199"/>
      <c r="B386" s="229"/>
      <c r="C386" s="199"/>
      <c r="D386" s="199"/>
      <c r="E386" s="199"/>
      <c r="F386" s="230" t="s">
        <v>197</v>
      </c>
      <c r="G386" s="240"/>
      <c r="H386" s="241"/>
      <c r="I386" s="438">
        <f>SUM(I385:I385)</f>
        <v>0</v>
      </c>
    </row>
    <row r="387" spans="1:14" x14ac:dyDescent="0.2">
      <c r="A387" s="199"/>
      <c r="B387" s="229"/>
      <c r="C387" s="199"/>
      <c r="D387" s="199"/>
      <c r="E387" s="199"/>
      <c r="F387" s="199"/>
      <c r="G387" s="262"/>
      <c r="H387" s="199"/>
      <c r="I387" s="439"/>
      <c r="J387" s="415"/>
      <c r="K387" s="415"/>
      <c r="L387" s="198"/>
      <c r="M387" s="198"/>
      <c r="N387" s="198"/>
    </row>
    <row r="388" spans="1:14" x14ac:dyDescent="0.2">
      <c r="A388" s="431" t="s">
        <v>198</v>
      </c>
      <c r="B388" s="432" t="s">
        <v>59</v>
      </c>
      <c r="C388" s="432" t="s">
        <v>196</v>
      </c>
      <c r="D388" s="637" t="s">
        <v>217</v>
      </c>
      <c r="E388" s="1125" t="s">
        <v>89</v>
      </c>
      <c r="F388" s="1126"/>
      <c r="G388" s="1127"/>
      <c r="H388" s="1128" t="s">
        <v>183</v>
      </c>
      <c r="I388" s="1129"/>
      <c r="J388" s="415"/>
      <c r="K388" s="415"/>
      <c r="L388" s="198"/>
      <c r="M388" s="198"/>
      <c r="N388" s="198"/>
    </row>
    <row r="389" spans="1:14" x14ac:dyDescent="0.2">
      <c r="A389" s="416"/>
      <c r="B389" s="417"/>
      <c r="C389" s="417"/>
      <c r="D389" s="418"/>
      <c r="E389" s="419"/>
      <c r="F389" s="420"/>
      <c r="G389" s="421"/>
      <c r="H389" s="422"/>
      <c r="I389" s="423"/>
    </row>
    <row r="390" spans="1:14" x14ac:dyDescent="0.2">
      <c r="A390" s="200"/>
      <c r="B390" s="264"/>
      <c r="C390" s="200"/>
      <c r="D390" s="200"/>
      <c r="E390" s="200"/>
      <c r="F390" s="265" t="s">
        <v>199</v>
      </c>
      <c r="G390" s="255"/>
      <c r="H390" s="266"/>
      <c r="I390" s="441">
        <f>SUM(I389:I389)</f>
        <v>0</v>
      </c>
    </row>
    <row r="391" spans="1:14" x14ac:dyDescent="0.2">
      <c r="A391" s="200"/>
      <c r="B391" s="264"/>
      <c r="C391" s="200"/>
      <c r="D391" s="200"/>
      <c r="E391" s="200"/>
      <c r="F391" s="200"/>
      <c r="G391" s="200"/>
      <c r="H391" s="200"/>
      <c r="I391" s="440"/>
    </row>
    <row r="392" spans="1:14" x14ac:dyDescent="0.2">
      <c r="A392" s="267" t="s">
        <v>200</v>
      </c>
      <c r="B392" s="268" t="s">
        <v>59</v>
      </c>
      <c r="C392" s="268" t="s">
        <v>196</v>
      </c>
      <c r="D392" s="268" t="s">
        <v>201</v>
      </c>
      <c r="E392" s="268" t="s">
        <v>202</v>
      </c>
      <c r="F392" s="268" t="s">
        <v>203</v>
      </c>
      <c r="G392" s="268" t="s">
        <v>94</v>
      </c>
      <c r="H392" s="268" t="s">
        <v>89</v>
      </c>
      <c r="I392" s="442" t="s">
        <v>204</v>
      </c>
    </row>
    <row r="393" spans="1:14" x14ac:dyDescent="0.2">
      <c r="A393" s="244"/>
      <c r="B393" s="234"/>
      <c r="C393" s="234"/>
      <c r="D393" s="402"/>
      <c r="E393" s="270"/>
      <c r="F393" s="270"/>
      <c r="G393" s="239"/>
      <c r="H393" s="271"/>
      <c r="I393" s="418"/>
    </row>
    <row r="394" spans="1:14" x14ac:dyDescent="0.2">
      <c r="A394" s="200"/>
      <c r="B394" s="264"/>
      <c r="C394" s="200"/>
      <c r="D394" s="200"/>
      <c r="E394" s="200"/>
      <c r="F394" s="265" t="s">
        <v>205</v>
      </c>
      <c r="G394" s="240"/>
      <c r="H394" s="272"/>
      <c r="I394" s="443">
        <f>SUM(I393:I393)</f>
        <v>0</v>
      </c>
    </row>
    <row r="395" spans="1:14" x14ac:dyDescent="0.2">
      <c r="A395" s="200"/>
      <c r="B395" s="264"/>
      <c r="C395" s="200"/>
      <c r="D395" s="200"/>
      <c r="E395" s="200"/>
      <c r="F395" s="200"/>
      <c r="G395" s="200"/>
      <c r="H395" s="200"/>
      <c r="I395" s="444"/>
    </row>
    <row r="396" spans="1:14" x14ac:dyDescent="0.2">
      <c r="A396" s="273"/>
      <c r="B396" s="274"/>
      <c r="C396" s="275"/>
      <c r="D396" s="275"/>
      <c r="E396" s="275"/>
      <c r="F396" s="276" t="s">
        <v>315</v>
      </c>
      <c r="G396" s="273"/>
      <c r="H396" s="249"/>
      <c r="I396" s="445">
        <v>214.89</v>
      </c>
    </row>
    <row r="397" spans="1:14" x14ac:dyDescent="0.2">
      <c r="A397" s="255"/>
      <c r="B397" s="277"/>
      <c r="C397" s="266"/>
      <c r="D397" s="266"/>
      <c r="E397" s="266"/>
      <c r="F397" s="278" t="str">
        <f>CONCATENATE($H$3," ",$I$3)</f>
        <v>BDI: 23,32</v>
      </c>
      <c r="G397" s="403"/>
      <c r="H397" s="253"/>
      <c r="I397" s="446">
        <f>+ROUND(I396*$I$4,2)</f>
        <v>50.11</v>
      </c>
    </row>
    <row r="398" spans="1:14" x14ac:dyDescent="0.2">
      <c r="A398" s="240"/>
      <c r="B398" s="279"/>
      <c r="C398" s="272"/>
      <c r="D398" s="272"/>
      <c r="E398" s="272"/>
      <c r="F398" s="280" t="s">
        <v>207</v>
      </c>
      <c r="G398" s="404"/>
      <c r="H398" s="241"/>
      <c r="I398" s="720">
        <f>+I396+I397</f>
        <v>265</v>
      </c>
    </row>
    <row r="399" spans="1:14" x14ac:dyDescent="0.2">
      <c r="A399" s="1116" t="str">
        <f>$A$1</f>
        <v>COMPOSIÇÃO DE CUSTOS UNITÁRIOS</v>
      </c>
      <c r="B399" s="1116"/>
      <c r="C399" s="1116"/>
      <c r="D399" s="1116"/>
      <c r="E399" s="1116"/>
      <c r="F399" s="1116"/>
      <c r="G399" s="1116"/>
      <c r="H399" s="1116"/>
      <c r="I399" s="1116"/>
    </row>
    <row r="400" spans="1:14" x14ac:dyDescent="0.2">
      <c r="A400" s="228" t="str">
        <f>$A$2</f>
        <v>Tabela Referencial de Preços - DER-ES</v>
      </c>
      <c r="B400" s="229"/>
      <c r="C400" s="199"/>
      <c r="D400" s="199"/>
      <c r="E400" s="199"/>
      <c r="F400" s="199"/>
      <c r="G400" s="199"/>
      <c r="H400" s="199"/>
      <c r="I400" s="414" t="str">
        <f>$I$2</f>
        <v>Data Base: novembro/2020</v>
      </c>
      <c r="J400" s="400">
        <v>40911</v>
      </c>
      <c r="K400" s="400">
        <f>VLOOKUP("Preço Unitário Total",F402:I3937,4,FALSE)</f>
        <v>53.98</v>
      </c>
      <c r="L400" s="295" t="str">
        <f>VLOOKUP(J400,'DER 11-20'!A:E,5,FALSE)</f>
        <v>A incluir</v>
      </c>
      <c r="M400" s="295" t="str">
        <f>VLOOKUP(J400,'DER 11-20'!$A:$D,2,FALSE)</f>
        <v>Calçada de concreto</v>
      </c>
    </row>
    <row r="401" spans="1:11" x14ac:dyDescent="0.2">
      <c r="A401" s="1117" t="str">
        <f>+CONCATENATE("Serviço: ",J400," ",VLOOKUP(J400,'DER 11-20'!$A:$D,2,FALSE))</f>
        <v>Serviço: 40911 Calçada de concreto</v>
      </c>
      <c r="B401" s="1117"/>
      <c r="C401" s="1117"/>
      <c r="D401" s="1117"/>
      <c r="E401" s="1117"/>
      <c r="F401" s="1117"/>
      <c r="G401" s="1117"/>
      <c r="H401" s="1117"/>
      <c r="I401" s="1119" t="str">
        <f>CONCATENATE("Unidade: ", VLOOKUP(J400,'DER 11-20'!$A:$E,3,FALSE))</f>
        <v>Unidade: M2</v>
      </c>
    </row>
    <row r="402" spans="1:11" x14ac:dyDescent="0.2">
      <c r="A402" s="1118"/>
      <c r="B402" s="1118"/>
      <c r="C402" s="1118"/>
      <c r="D402" s="1118"/>
      <c r="E402" s="1118"/>
      <c r="F402" s="1118"/>
      <c r="G402" s="1118"/>
      <c r="H402" s="1118"/>
      <c r="I402" s="1120"/>
    </row>
    <row r="403" spans="1:11" ht="22.5" x14ac:dyDescent="0.2">
      <c r="A403" s="231" t="s">
        <v>177</v>
      </c>
      <c r="B403" s="232" t="s">
        <v>59</v>
      </c>
      <c r="C403" s="232" t="s">
        <v>178</v>
      </c>
      <c r="D403" s="232" t="s">
        <v>179</v>
      </c>
      <c r="E403" s="232" t="s">
        <v>180</v>
      </c>
      <c r="F403" s="232" t="s">
        <v>181</v>
      </c>
      <c r="G403" s="232" t="s">
        <v>182</v>
      </c>
      <c r="H403" s="232" t="s">
        <v>89</v>
      </c>
      <c r="I403" s="434" t="s">
        <v>183</v>
      </c>
      <c r="J403" s="295"/>
      <c r="K403" s="295"/>
    </row>
    <row r="404" spans="1:11" x14ac:dyDescent="0.2">
      <c r="A404" s="199"/>
      <c r="B404" s="229"/>
      <c r="C404" s="229"/>
      <c r="D404" s="199"/>
      <c r="E404" s="199"/>
      <c r="F404" s="230" t="s">
        <v>184</v>
      </c>
      <c r="G404" s="240"/>
      <c r="H404" s="241"/>
      <c r="I404" s="438">
        <v>0</v>
      </c>
      <c r="J404" s="295"/>
      <c r="K404" s="295"/>
    </row>
    <row r="405" spans="1:11" x14ac:dyDescent="0.2">
      <c r="A405" s="199"/>
      <c r="B405" s="229"/>
      <c r="C405" s="229"/>
      <c r="D405" s="199"/>
      <c r="E405" s="199"/>
      <c r="F405" s="199"/>
      <c r="G405" s="199"/>
      <c r="H405" s="199"/>
      <c r="I405" s="439"/>
      <c r="J405" s="295"/>
      <c r="K405" s="295"/>
    </row>
    <row r="406" spans="1:11" x14ac:dyDescent="0.2">
      <c r="A406" s="242" t="s">
        <v>185</v>
      </c>
      <c r="B406" s="243" t="s">
        <v>59</v>
      </c>
      <c r="C406" s="232" t="s">
        <v>357</v>
      </c>
      <c r="D406" s="243" t="s">
        <v>187</v>
      </c>
      <c r="E406" s="1121" t="s">
        <v>89</v>
      </c>
      <c r="F406" s="1114"/>
      <c r="G406" s="1115"/>
      <c r="H406" s="1121" t="s">
        <v>183</v>
      </c>
      <c r="I406" s="1115"/>
      <c r="J406" s="295"/>
      <c r="K406" s="295"/>
    </row>
    <row r="407" spans="1:11" x14ac:dyDescent="0.2">
      <c r="A407" s="244" t="str">
        <f>VLOOKUP(B407,m.o.!$A:$H,2,FALSE)</f>
        <v>Pedreiro de O.A.C.</v>
      </c>
      <c r="B407" s="234">
        <v>20109</v>
      </c>
      <c r="C407" s="239">
        <f>VLOOKUP(B407,m.o.!$A:$F,4,FALSE)</f>
        <v>1.24</v>
      </c>
      <c r="D407" s="239">
        <f>VLOOKUP(B407,m.o.!$A:$G,7,FALSE)</f>
        <v>15.53</v>
      </c>
      <c r="E407" s="255"/>
      <c r="F407" s="253"/>
      <c r="G407" s="293">
        <v>1</v>
      </c>
      <c r="H407" s="240"/>
      <c r="I407" s="427">
        <f>TRUNC(D407*G407,2)</f>
        <v>15.53</v>
      </c>
      <c r="J407" s="295"/>
      <c r="K407" s="295"/>
    </row>
    <row r="408" spans="1:11" x14ac:dyDescent="0.2">
      <c r="A408" s="244" t="str">
        <f>VLOOKUP(B408,m.o.!$A:$H,2,FALSE)</f>
        <v>Servente</v>
      </c>
      <c r="B408" s="234">
        <v>20002</v>
      </c>
      <c r="C408" s="239">
        <f>VLOOKUP(B408,m.o.!$A:$F,4,FALSE)</f>
        <v>1</v>
      </c>
      <c r="D408" s="239">
        <f>VLOOKUP(B408,m.o.!$A:$G,7,FALSE)</f>
        <v>12.52</v>
      </c>
      <c r="E408" s="240"/>
      <c r="F408" s="241"/>
      <c r="G408" s="405">
        <v>1</v>
      </c>
      <c r="H408" s="240"/>
      <c r="I408" s="427">
        <f>TRUNC(D408*G408,2)</f>
        <v>12.52</v>
      </c>
      <c r="J408" s="295"/>
      <c r="K408" s="295"/>
    </row>
    <row r="409" spans="1:11" x14ac:dyDescent="0.2">
      <c r="A409" s="199"/>
      <c r="B409" s="229"/>
      <c r="C409" s="229"/>
      <c r="D409" s="199"/>
      <c r="E409" s="199"/>
      <c r="F409" s="230" t="s">
        <v>188</v>
      </c>
      <c r="G409" s="240"/>
      <c r="H409" s="241"/>
      <c r="I409" s="438">
        <f>SUM(I407:I408)</f>
        <v>28.05</v>
      </c>
      <c r="J409" s="295"/>
      <c r="K409" s="295"/>
    </row>
    <row r="410" spans="1:11" x14ac:dyDescent="0.2">
      <c r="A410" s="199"/>
      <c r="B410" s="229"/>
      <c r="C410" s="229"/>
      <c r="D410" s="199"/>
      <c r="E410" s="199"/>
      <c r="F410" s="199"/>
      <c r="G410" s="199"/>
      <c r="H410" s="199"/>
      <c r="I410" s="439"/>
      <c r="J410" s="295"/>
      <c r="K410" s="295"/>
    </row>
    <row r="411" spans="1:11" x14ac:dyDescent="0.2">
      <c r="A411" s="263" t="s">
        <v>189</v>
      </c>
      <c r="B411" s="243" t="s">
        <v>59</v>
      </c>
      <c r="C411" s="788" t="s">
        <v>17</v>
      </c>
      <c r="D411" s="243" t="s">
        <v>190</v>
      </c>
      <c r="E411" s="243" t="s">
        <v>191</v>
      </c>
      <c r="F411" s="243" t="s">
        <v>192</v>
      </c>
      <c r="G411" s="1121" t="s">
        <v>94</v>
      </c>
      <c r="H411" s="1114"/>
      <c r="I411" s="1115"/>
      <c r="J411" s="295"/>
      <c r="K411" s="295"/>
    </row>
    <row r="412" spans="1:11" x14ac:dyDescent="0.2">
      <c r="A412" s="244" t="s">
        <v>127</v>
      </c>
      <c r="B412" s="234">
        <v>2000</v>
      </c>
      <c r="C412" s="239">
        <v>5</v>
      </c>
      <c r="D412" s="235" t="s">
        <v>208</v>
      </c>
      <c r="E412" s="246"/>
      <c r="F412" s="246"/>
      <c r="G412" s="240"/>
      <c r="H412" s="241"/>
      <c r="I412" s="427">
        <f>TRUNC(C412/100*I409,2)</f>
        <v>1.4</v>
      </c>
      <c r="J412" s="295"/>
      <c r="K412" s="295"/>
    </row>
    <row r="413" spans="1:11" x14ac:dyDescent="0.2">
      <c r="A413" s="199"/>
      <c r="B413" s="229"/>
      <c r="C413" s="199"/>
      <c r="D413" s="199"/>
      <c r="E413" s="199"/>
      <c r="F413" s="230" t="s">
        <v>327</v>
      </c>
      <c r="G413" s="240"/>
      <c r="H413" s="241"/>
      <c r="I413" s="438">
        <f>SUM(I412)</f>
        <v>1.4</v>
      </c>
      <c r="K413" s="295"/>
    </row>
    <row r="414" spans="1:11" x14ac:dyDescent="0.2">
      <c r="A414" s="199"/>
      <c r="B414" s="229"/>
      <c r="C414" s="199"/>
      <c r="D414" s="199"/>
      <c r="E414" s="199"/>
      <c r="F414" s="199"/>
      <c r="G414" s="199"/>
      <c r="H414" s="199"/>
      <c r="I414" s="439"/>
      <c r="K414" s="295"/>
    </row>
    <row r="415" spans="1:11" x14ac:dyDescent="0.2">
      <c r="A415" s="247"/>
      <c r="B415" s="248"/>
      <c r="C415" s="249"/>
      <c r="D415" s="249"/>
      <c r="E415" s="249"/>
      <c r="F415" s="250" t="s">
        <v>193</v>
      </c>
      <c r="G415" s="401"/>
      <c r="H415" s="249"/>
      <c r="I415" s="445">
        <f>+I404+I409+I413</f>
        <v>29.45</v>
      </c>
      <c r="K415" s="295"/>
    </row>
    <row r="416" spans="1:11" x14ac:dyDescent="0.2">
      <c r="A416" s="251"/>
      <c r="B416" s="252"/>
      <c r="C416" s="253"/>
      <c r="D416" s="253"/>
      <c r="E416" s="253"/>
      <c r="F416" s="254" t="s">
        <v>194</v>
      </c>
      <c r="G416" s="255"/>
      <c r="H416" s="253"/>
      <c r="I416" s="446">
        <v>2</v>
      </c>
      <c r="K416" s="295"/>
    </row>
    <row r="417" spans="1:17" x14ac:dyDescent="0.2">
      <c r="A417" s="233"/>
      <c r="B417" s="256"/>
      <c r="C417" s="241"/>
      <c r="D417" s="241"/>
      <c r="E417" s="241"/>
      <c r="F417" s="257" t="s">
        <v>216</v>
      </c>
      <c r="G417" s="240"/>
      <c r="H417" s="241"/>
      <c r="I417" s="447">
        <f>TRUNC(I415/I416,2)</f>
        <v>14.72</v>
      </c>
      <c r="K417" s="295"/>
    </row>
    <row r="418" spans="1:17" x14ac:dyDescent="0.2">
      <c r="A418" s="787"/>
      <c r="B418" s="229"/>
      <c r="C418" s="199"/>
      <c r="D418" s="199"/>
      <c r="E418" s="199"/>
      <c r="F418" s="258"/>
      <c r="G418" s="199"/>
      <c r="H418" s="199"/>
      <c r="I418" s="450"/>
      <c r="K418" s="295"/>
    </row>
    <row r="419" spans="1:17" x14ac:dyDescent="0.2">
      <c r="A419" s="242" t="s">
        <v>195</v>
      </c>
      <c r="B419" s="243" t="s">
        <v>59</v>
      </c>
      <c r="C419" s="243" t="s">
        <v>196</v>
      </c>
      <c r="D419" s="243" t="s">
        <v>217</v>
      </c>
      <c r="E419" s="1121" t="s">
        <v>89</v>
      </c>
      <c r="F419" s="1114"/>
      <c r="G419" s="1115"/>
      <c r="H419" s="1121" t="s">
        <v>183</v>
      </c>
      <c r="I419" s="1115"/>
      <c r="K419" s="295"/>
    </row>
    <row r="420" spans="1:17" ht="22.5" x14ac:dyDescent="0.2">
      <c r="A420" s="259" t="str">
        <f>VLOOKUP(B420,mat.!$A:$D,2,FALSE)</f>
        <v>Brita graduada, especificada sem pó, sem frete</v>
      </c>
      <c r="B420" s="234">
        <v>10119</v>
      </c>
      <c r="C420" s="260" t="str">
        <f>VLOOKUP(B420,mat.!$A:$D,3,FALSE)</f>
        <v>m3</v>
      </c>
      <c r="D420" s="261">
        <f>VLOOKUP(B420,mat.!$A:$D,4,FALSE)</f>
        <v>48.4</v>
      </c>
      <c r="E420" s="255"/>
      <c r="F420" s="253"/>
      <c r="G420" s="293">
        <v>0.05</v>
      </c>
      <c r="H420" s="255"/>
      <c r="I420" s="423">
        <f>TRUNC(D420*G420,2)</f>
        <v>2.42</v>
      </c>
      <c r="K420" s="295"/>
    </row>
    <row r="421" spans="1:17" x14ac:dyDescent="0.2">
      <c r="A421" s="199"/>
      <c r="B421" s="229"/>
      <c r="C421" s="199"/>
      <c r="D421" s="199"/>
      <c r="E421" s="199"/>
      <c r="F421" s="230" t="s">
        <v>197</v>
      </c>
      <c r="G421" s="240"/>
      <c r="H421" s="241"/>
      <c r="I421" s="438">
        <f>I420</f>
        <v>2.42</v>
      </c>
      <c r="K421" s="295"/>
    </row>
    <row r="422" spans="1:17" x14ac:dyDescent="0.2">
      <c r="A422" s="199"/>
      <c r="B422" s="229"/>
      <c r="C422" s="199"/>
      <c r="D422" s="199"/>
      <c r="E422" s="199"/>
      <c r="F422" s="199"/>
      <c r="G422" s="262"/>
      <c r="H422" s="199"/>
      <c r="I422" s="439"/>
      <c r="K422" s="295"/>
    </row>
    <row r="423" spans="1:17" x14ac:dyDescent="0.2">
      <c r="A423" s="263" t="s">
        <v>198</v>
      </c>
      <c r="B423" s="243" t="s">
        <v>59</v>
      </c>
      <c r="C423" s="243" t="s">
        <v>196</v>
      </c>
      <c r="D423" s="788" t="s">
        <v>217</v>
      </c>
      <c r="E423" s="1121" t="s">
        <v>89</v>
      </c>
      <c r="F423" s="1114"/>
      <c r="G423" s="1115"/>
      <c r="H423" s="1121" t="s">
        <v>183</v>
      </c>
      <c r="I423" s="1115"/>
      <c r="K423" s="295"/>
    </row>
    <row r="424" spans="1:17" x14ac:dyDescent="0.2">
      <c r="A424" s="244" t="str">
        <f>VLOOKUP(B424,'DER 11-20'!$A:$E,2,FALSE)</f>
        <v>Apiloamento manual</v>
      </c>
      <c r="B424" s="234">
        <v>40300</v>
      </c>
      <c r="C424" s="234" t="str">
        <f>VLOOKUP(B424,'DER 11-20'!$A:$E,3,FALSE)</f>
        <v>M3</v>
      </c>
      <c r="D424" s="239">
        <f>TRUNC(VLOOKUP(B424,'DER 11-20'!$A:$F,6,FALSE)/(1+$I$4),2)</f>
        <v>46.15</v>
      </c>
      <c r="E424" s="255"/>
      <c r="F424" s="253"/>
      <c r="G424" s="293">
        <v>0.1</v>
      </c>
      <c r="H424" s="240"/>
      <c r="I424" s="423">
        <f>TRUNC(D424*G424,2)</f>
        <v>4.6100000000000003</v>
      </c>
      <c r="K424" s="295"/>
    </row>
    <row r="425" spans="1:17" ht="33.75" x14ac:dyDescent="0.2">
      <c r="A425" s="244" t="str">
        <f>VLOOKUP(B425,'DER 11-20'!$A:$E,2,FALSE)</f>
        <v>Concreto estrutural fck = 10,0 MPa, inclusive transportes areia, cimento e pedra britada</v>
      </c>
      <c r="B425" s="234">
        <v>42475</v>
      </c>
      <c r="C425" s="234" t="str">
        <f>VLOOKUP(B425,'DER 11-20'!$A:$E,3,FALSE)</f>
        <v>M3</v>
      </c>
      <c r="D425" s="239">
        <f>TRUNC(VLOOKUP(B425,'DER 11-20'!$A:$F,6,FALSE)/(1+$I$4),2)</f>
        <v>511.06</v>
      </c>
      <c r="E425" s="255"/>
      <c r="F425" s="253"/>
      <c r="G425" s="293">
        <v>0.03</v>
      </c>
      <c r="H425" s="240"/>
      <c r="I425" s="423">
        <f>TRUNC(D425*G425,2)</f>
        <v>15.33</v>
      </c>
      <c r="K425" s="295"/>
    </row>
    <row r="426" spans="1:17" ht="22.5" x14ac:dyDescent="0.2">
      <c r="A426" s="244" t="str">
        <f>VLOOKUP(B426,'DER 11-20'!$A:$E,2,FALSE)</f>
        <v>Escavação manual em mat. 1ª cat. H= 0,00 a 1,50 m</v>
      </c>
      <c r="B426" s="234">
        <v>40258</v>
      </c>
      <c r="C426" s="234" t="str">
        <f>VLOOKUP(B426,'DER 11-20'!$A:$E,3,FALSE)</f>
        <v>M3</v>
      </c>
      <c r="D426" s="239">
        <f>TRUNC(VLOOKUP(B426,'DER 11-20'!$A:$F,6,FALSE)/(1+$I$4),2)</f>
        <v>56.6</v>
      </c>
      <c r="E426" s="255"/>
      <c r="F426" s="253"/>
      <c r="G426" s="293">
        <v>0.05</v>
      </c>
      <c r="H426" s="240"/>
      <c r="I426" s="423">
        <f>TRUNC(D426*G426,2)</f>
        <v>2.83</v>
      </c>
      <c r="K426" s="295"/>
    </row>
    <row r="427" spans="1:17" ht="22.5" x14ac:dyDescent="0.2">
      <c r="A427" s="244" t="str">
        <f>VLOOKUP(B427,'DER 11-20'!$A:$E,2,FALSE)</f>
        <v>Reaterro de cavas c/ compactação manual (apiloamento)</v>
      </c>
      <c r="B427" s="234">
        <v>40302</v>
      </c>
      <c r="C427" s="234" t="str">
        <f>VLOOKUP(B427,'DER 11-20'!$A:$E,3,FALSE)</f>
        <v>M3</v>
      </c>
      <c r="D427" s="239">
        <f>TRUNC(VLOOKUP(B427,'DER 11-20'!$A:$F,6,FALSE)/(1+$I$4),2)</f>
        <v>59.56</v>
      </c>
      <c r="E427" s="255"/>
      <c r="F427" s="253"/>
      <c r="G427" s="293">
        <v>0.05</v>
      </c>
      <c r="H427" s="240"/>
      <c r="I427" s="423">
        <f>TRUNC(D427*G427,2)</f>
        <v>2.97</v>
      </c>
      <c r="K427" s="295"/>
    </row>
    <row r="428" spans="1:17" x14ac:dyDescent="0.2">
      <c r="A428" s="200"/>
      <c r="B428" s="264"/>
      <c r="C428" s="200"/>
      <c r="D428" s="200"/>
      <c r="E428" s="200"/>
      <c r="F428" s="265" t="s">
        <v>199</v>
      </c>
      <c r="G428" s="255"/>
      <c r="H428" s="266"/>
      <c r="I428" s="441">
        <f>SUM(I424:I427)</f>
        <v>25.74</v>
      </c>
      <c r="K428" s="295"/>
    </row>
    <row r="429" spans="1:17" x14ac:dyDescent="0.2">
      <c r="A429" s="200"/>
      <c r="B429" s="264"/>
      <c r="C429" s="200"/>
      <c r="D429" s="200"/>
      <c r="E429" s="200"/>
      <c r="F429" s="200"/>
      <c r="G429" s="200"/>
      <c r="H429" s="200"/>
      <c r="I429" s="440"/>
      <c r="K429" s="295"/>
    </row>
    <row r="430" spans="1:17" x14ac:dyDescent="0.2">
      <c r="A430" s="406" t="s">
        <v>200</v>
      </c>
      <c r="B430" s="268" t="s">
        <v>59</v>
      </c>
      <c r="C430" s="268" t="s">
        <v>196</v>
      </c>
      <c r="D430" s="268" t="s">
        <v>201</v>
      </c>
      <c r="E430" s="268" t="s">
        <v>202</v>
      </c>
      <c r="F430" s="268" t="s">
        <v>203</v>
      </c>
      <c r="G430" s="268" t="s">
        <v>94</v>
      </c>
      <c r="H430" s="268" t="s">
        <v>89</v>
      </c>
      <c r="I430" s="442" t="s">
        <v>204</v>
      </c>
      <c r="K430" s="295"/>
    </row>
    <row r="431" spans="1:17" ht="22.5" x14ac:dyDescent="0.2">
      <c r="A431" s="259" t="str">
        <f>VLOOKUP(B431,transp.!A:D,2,FALSE)</f>
        <v>Transporte de Brita 0</v>
      </c>
      <c r="B431" s="417">
        <v>1028</v>
      </c>
      <c r="C431" s="417" t="str">
        <f>VLOOKUP(B431,transp.!$A:$J,3,FALSE)</f>
        <v xml:space="preserve"> t  </v>
      </c>
      <c r="D431" s="784" t="str">
        <f>VLOOKUP(B431,transp.!$A:$J,4,FALSE)</f>
        <v>0,719XP + 0,749XR + 2,997</v>
      </c>
      <c r="E431" s="455">
        <f>VLOOKUP(J431,Dis!$B:$F,4,FALSE)</f>
        <v>12.5</v>
      </c>
      <c r="F431" s="455">
        <f>VLOOKUP(J431,Dis!$B:$F,5,FALSE)</f>
        <v>0</v>
      </c>
      <c r="G431" s="418">
        <f>TRUNC(VLOOKUP(B431,transp.!$A:$J,5,FALSE)*E431+VLOOKUP(B431,transp.!$A:$J,6,FALSE)*F431+VLOOKUP(B431,transp.!$A:$J,7,FALSE),2)</f>
        <v>11.98</v>
      </c>
      <c r="H431" s="456">
        <v>7.4999999999999997E-2</v>
      </c>
      <c r="I431" s="418">
        <f>TRUNC(G431*H431,2)</f>
        <v>0.89</v>
      </c>
      <c r="J431" s="400" t="s">
        <v>294</v>
      </c>
      <c r="K431" s="415"/>
      <c r="L431" s="198"/>
      <c r="M431" s="198"/>
      <c r="N431" s="198"/>
      <c r="O431" s="198"/>
      <c r="P431" s="198"/>
      <c r="Q431" s="198"/>
    </row>
    <row r="432" spans="1:17" x14ac:dyDescent="0.2">
      <c r="A432" s="200"/>
      <c r="B432" s="264"/>
      <c r="C432" s="200"/>
      <c r="D432" s="200"/>
      <c r="E432" s="200"/>
      <c r="F432" s="265" t="s">
        <v>205</v>
      </c>
      <c r="G432" s="240"/>
      <c r="H432" s="272"/>
      <c r="I432" s="443">
        <f>I431</f>
        <v>0.89</v>
      </c>
    </row>
    <row r="433" spans="1:14" x14ac:dyDescent="0.2">
      <c r="A433" s="200"/>
      <c r="B433" s="264"/>
      <c r="C433" s="200"/>
      <c r="D433" s="200"/>
      <c r="E433" s="200"/>
      <c r="F433" s="200"/>
      <c r="G433" s="200"/>
      <c r="H433" s="200"/>
      <c r="I433" s="444"/>
    </row>
    <row r="434" spans="1:14" x14ac:dyDescent="0.2">
      <c r="A434" s="273"/>
      <c r="B434" s="274"/>
      <c r="C434" s="275"/>
      <c r="D434" s="275"/>
      <c r="E434" s="275"/>
      <c r="F434" s="276" t="s">
        <v>206</v>
      </c>
      <c r="G434" s="273"/>
      <c r="H434" s="249"/>
      <c r="I434" s="445">
        <f>+I417+I421+I428+I432</f>
        <v>43.77</v>
      </c>
    </row>
    <row r="435" spans="1:14" x14ac:dyDescent="0.2">
      <c r="A435" s="255"/>
      <c r="B435" s="277"/>
      <c r="C435" s="266"/>
      <c r="D435" s="266"/>
      <c r="E435" s="266"/>
      <c r="F435" s="278" t="str">
        <f>CONCATENATE($H$3," ",$I$3)</f>
        <v>BDI: 23,32</v>
      </c>
      <c r="G435" s="403"/>
      <c r="H435" s="253"/>
      <c r="I435" s="446">
        <f>+ROUND(I434*$I$4,2)</f>
        <v>10.210000000000001</v>
      </c>
    </row>
    <row r="436" spans="1:14" x14ac:dyDescent="0.2">
      <c r="A436" s="240"/>
      <c r="B436" s="279"/>
      <c r="C436" s="272"/>
      <c r="D436" s="272"/>
      <c r="E436" s="272"/>
      <c r="F436" s="280" t="s">
        <v>207</v>
      </c>
      <c r="G436" s="404"/>
      <c r="H436" s="241"/>
      <c r="I436" s="720">
        <f>+I434+I435</f>
        <v>53.98</v>
      </c>
    </row>
    <row r="437" spans="1:14" x14ac:dyDescent="0.2">
      <c r="A437" s="199"/>
      <c r="B437" s="530"/>
      <c r="C437" s="200"/>
      <c r="D437" s="200"/>
      <c r="E437" s="200"/>
      <c r="F437" s="265"/>
      <c r="G437" s="200"/>
      <c r="H437" s="199"/>
      <c r="I437" s="738"/>
      <c r="J437" s="22" t="s">
        <v>59</v>
      </c>
      <c r="K437" s="22"/>
      <c r="L437" s="359"/>
      <c r="M437" s="359"/>
      <c r="N437" s="359"/>
    </row>
    <row r="438" spans="1:14" x14ac:dyDescent="0.2">
      <c r="A438" s="1116" t="str">
        <f>$A$1</f>
        <v>COMPOSIÇÃO DE CUSTOS UNITÁRIOS</v>
      </c>
      <c r="B438" s="1116"/>
      <c r="C438" s="1116"/>
      <c r="D438" s="1116"/>
      <c r="E438" s="1116"/>
      <c r="F438" s="1116"/>
      <c r="G438" s="1116"/>
      <c r="H438" s="1116"/>
      <c r="I438" s="1116"/>
      <c r="J438" s="22"/>
      <c r="K438" s="22"/>
      <c r="L438" s="359"/>
      <c r="M438" s="359"/>
      <c r="N438" s="359"/>
    </row>
    <row r="439" spans="1:14" x14ac:dyDescent="0.2">
      <c r="A439" s="228" t="str">
        <f>$A$2</f>
        <v>Tabela Referencial de Preços - DER-ES</v>
      </c>
      <c r="B439" s="229"/>
      <c r="C439" s="199"/>
      <c r="D439" s="199"/>
      <c r="E439" s="199"/>
      <c r="F439" s="199"/>
      <c r="G439" s="199"/>
      <c r="H439" s="199"/>
      <c r="I439" s="414" t="str">
        <f>$I$2</f>
        <v>Data Base: novembro/2020</v>
      </c>
      <c r="J439" s="22">
        <v>41555</v>
      </c>
      <c r="K439" s="400">
        <f>VLOOKUP("Preço Unitário Total",F441:I4015,4,FALSE)</f>
        <v>7093.28</v>
      </c>
      <c r="L439" s="295">
        <f>VLOOKUP(J439,'DER 11-20'!A:E,5,FALSE)</f>
        <v>0</v>
      </c>
      <c r="M439" s="295" t="str">
        <f>VLOOKUP(J439,'DER 11-20'!$A:$D,2,FALSE)</f>
        <v>Sistema separador de água e óleo</v>
      </c>
      <c r="N439" s="359"/>
    </row>
    <row r="440" spans="1:14" x14ac:dyDescent="0.2">
      <c r="A440" s="1117" t="str">
        <f>+CONCATENATE("Serviço: ",J439," ",VLOOKUP(J439,'DER 11-20'!$A:$D,2,FALSE))</f>
        <v>Serviço: 41555 Sistema separador de água e óleo</v>
      </c>
      <c r="B440" s="1117"/>
      <c r="C440" s="1117"/>
      <c r="D440" s="1117"/>
      <c r="E440" s="1117"/>
      <c r="F440" s="1117"/>
      <c r="G440" s="1117"/>
      <c r="H440" s="1117"/>
      <c r="I440" s="1119" t="str">
        <f>CONCATENATE("Unidade: ", VLOOKUP(J439,'DER 11-20'!$A:$E,3,FALSE))</f>
        <v>Unidade: Ud</v>
      </c>
      <c r="J440" s="22"/>
      <c r="K440" s="22"/>
      <c r="L440" s="359"/>
      <c r="M440" s="359"/>
      <c r="N440" s="359"/>
    </row>
    <row r="441" spans="1:14" x14ac:dyDescent="0.2">
      <c r="A441" s="1118"/>
      <c r="B441" s="1118"/>
      <c r="C441" s="1118"/>
      <c r="D441" s="1118"/>
      <c r="E441" s="1118"/>
      <c r="F441" s="1118"/>
      <c r="G441" s="1118"/>
      <c r="H441" s="1118"/>
      <c r="I441" s="1120"/>
    </row>
    <row r="442" spans="1:14" ht="22.5" x14ac:dyDescent="0.2">
      <c r="A442" s="231" t="s">
        <v>177</v>
      </c>
      <c r="B442" s="232" t="s">
        <v>59</v>
      </c>
      <c r="C442" s="232" t="s">
        <v>178</v>
      </c>
      <c r="D442" s="232" t="s">
        <v>179</v>
      </c>
      <c r="E442" s="232" t="s">
        <v>180</v>
      </c>
      <c r="F442" s="232" t="s">
        <v>181</v>
      </c>
      <c r="G442" s="232" t="s">
        <v>182</v>
      </c>
      <c r="H442" s="232" t="s">
        <v>89</v>
      </c>
      <c r="I442" s="434" t="s">
        <v>183</v>
      </c>
    </row>
    <row r="443" spans="1:14" x14ac:dyDescent="0.2">
      <c r="A443" s="233"/>
      <c r="B443" s="234"/>
      <c r="C443" s="235"/>
      <c r="D443" s="236"/>
      <c r="E443" s="203"/>
      <c r="F443" s="237"/>
      <c r="G443" s="237"/>
      <c r="H443" s="238"/>
      <c r="I443" s="418"/>
    </row>
    <row r="444" spans="1:14" x14ac:dyDescent="0.2">
      <c r="A444" s="199"/>
      <c r="B444" s="229"/>
      <c r="C444" s="229"/>
      <c r="D444" s="199"/>
      <c r="E444" s="199"/>
      <c r="F444" s="230" t="s">
        <v>184</v>
      </c>
      <c r="G444" s="240"/>
      <c r="H444" s="241"/>
      <c r="I444" s="438">
        <f>SUM(I443:I443)</f>
        <v>0</v>
      </c>
    </row>
    <row r="445" spans="1:14" x14ac:dyDescent="0.2">
      <c r="A445" s="199"/>
      <c r="B445" s="229"/>
      <c r="C445" s="229"/>
      <c r="D445" s="199"/>
      <c r="E445" s="199"/>
      <c r="F445" s="199"/>
      <c r="G445" s="199"/>
      <c r="H445" s="199"/>
      <c r="I445" s="439"/>
    </row>
    <row r="446" spans="1:14" x14ac:dyDescent="0.2">
      <c r="A446" s="242" t="s">
        <v>185</v>
      </c>
      <c r="B446" s="243" t="s">
        <v>59</v>
      </c>
      <c r="C446" s="232" t="s">
        <v>357</v>
      </c>
      <c r="D446" s="243" t="s">
        <v>187</v>
      </c>
      <c r="E446" s="1121" t="s">
        <v>89</v>
      </c>
      <c r="F446" s="1114"/>
      <c r="G446" s="1115"/>
      <c r="H446" s="1121" t="s">
        <v>183</v>
      </c>
      <c r="I446" s="1115"/>
      <c r="J446" s="295"/>
      <c r="K446" s="295"/>
    </row>
    <row r="447" spans="1:14" x14ac:dyDescent="0.2">
      <c r="A447" s="244"/>
      <c r="B447" s="234"/>
      <c r="C447" s="239"/>
      <c r="D447" s="239"/>
      <c r="E447" s="240"/>
      <c r="F447" s="253"/>
      <c r="G447" s="293"/>
      <c r="H447" s="240"/>
      <c r="I447" s="427"/>
      <c r="J447" s="295"/>
      <c r="K447" s="295"/>
    </row>
    <row r="448" spans="1:14" x14ac:dyDescent="0.2">
      <c r="A448" s="199"/>
      <c r="B448" s="229"/>
      <c r="C448" s="229"/>
      <c r="D448" s="199"/>
      <c r="E448" s="199"/>
      <c r="F448" s="230" t="s">
        <v>188</v>
      </c>
      <c r="G448" s="240"/>
      <c r="H448" s="241"/>
      <c r="I448" s="438">
        <f>SUM(I447:I447)</f>
        <v>0</v>
      </c>
      <c r="J448" s="295"/>
      <c r="K448" s="295"/>
    </row>
    <row r="449" spans="1:14" x14ac:dyDescent="0.2">
      <c r="A449" s="199"/>
      <c r="B449" s="229"/>
      <c r="C449" s="229"/>
      <c r="D449" s="199"/>
      <c r="E449" s="199"/>
      <c r="F449" s="199"/>
      <c r="G449" s="199"/>
      <c r="H449" s="199"/>
      <c r="I449" s="439"/>
      <c r="J449" s="295"/>
      <c r="K449" s="295"/>
    </row>
    <row r="450" spans="1:14" x14ac:dyDescent="0.2">
      <c r="A450" s="245" t="s">
        <v>189</v>
      </c>
      <c r="B450" s="243" t="s">
        <v>59</v>
      </c>
      <c r="C450" s="635" t="s">
        <v>17</v>
      </c>
      <c r="D450" s="243" t="s">
        <v>190</v>
      </c>
      <c r="E450" s="243" t="s">
        <v>191</v>
      </c>
      <c r="F450" s="243" t="s">
        <v>192</v>
      </c>
      <c r="G450" s="1121" t="s">
        <v>94</v>
      </c>
      <c r="H450" s="1114"/>
      <c r="I450" s="1115"/>
      <c r="J450" s="295"/>
      <c r="K450" s="295"/>
    </row>
    <row r="451" spans="1:14" x14ac:dyDescent="0.2">
      <c r="A451" s="244"/>
      <c r="B451" s="234"/>
      <c r="C451" s="239"/>
      <c r="D451" s="235"/>
      <c r="E451" s="246"/>
      <c r="F451" s="246"/>
      <c r="G451" s="240"/>
      <c r="H451" s="241"/>
      <c r="I451" s="427"/>
      <c r="J451" s="295"/>
      <c r="K451" s="295"/>
    </row>
    <row r="452" spans="1:14" x14ac:dyDescent="0.2">
      <c r="A452" s="199"/>
      <c r="B452" s="229"/>
      <c r="C452" s="199"/>
      <c r="D452" s="199"/>
      <c r="E452" s="199"/>
      <c r="F452" s="230" t="s">
        <v>327</v>
      </c>
      <c r="G452" s="240"/>
      <c r="H452" s="241"/>
      <c r="I452" s="438">
        <f>SUM(I451)</f>
        <v>0</v>
      </c>
      <c r="J452" s="295"/>
      <c r="K452" s="295"/>
    </row>
    <row r="453" spans="1:14" x14ac:dyDescent="0.2">
      <c r="A453" s="199"/>
      <c r="B453" s="229"/>
      <c r="C453" s="199"/>
      <c r="D453" s="199"/>
      <c r="E453" s="199"/>
      <c r="F453" s="199"/>
      <c r="G453" s="199"/>
      <c r="H453" s="199"/>
      <c r="I453" s="439"/>
      <c r="J453" s="295"/>
      <c r="K453" s="295"/>
    </row>
    <row r="454" spans="1:14" x14ac:dyDescent="0.2">
      <c r="A454" s="247"/>
      <c r="B454" s="248"/>
      <c r="C454" s="249"/>
      <c r="D454" s="249"/>
      <c r="E454" s="249"/>
      <c r="F454" s="250" t="s">
        <v>193</v>
      </c>
      <c r="G454" s="401"/>
      <c r="H454" s="249"/>
      <c r="I454" s="445">
        <f>+I444+I448+I452</f>
        <v>0</v>
      </c>
      <c r="J454" s="295"/>
      <c r="K454" s="295"/>
    </row>
    <row r="455" spans="1:14" x14ac:dyDescent="0.2">
      <c r="A455" s="251"/>
      <c r="B455" s="252"/>
      <c r="C455" s="253"/>
      <c r="D455" s="253"/>
      <c r="E455" s="253"/>
      <c r="F455" s="254" t="s">
        <v>194</v>
      </c>
      <c r="G455" s="255"/>
      <c r="H455" s="253"/>
      <c r="I455" s="446">
        <v>1</v>
      </c>
      <c r="J455" s="295"/>
      <c r="K455" s="295"/>
    </row>
    <row r="456" spans="1:14" x14ac:dyDescent="0.2">
      <c r="A456" s="233"/>
      <c r="B456" s="256"/>
      <c r="C456" s="241"/>
      <c r="D456" s="241"/>
      <c r="E456" s="241"/>
      <c r="F456" s="257" t="s">
        <v>216</v>
      </c>
      <c r="G456" s="240"/>
      <c r="H456" s="241"/>
      <c r="I456" s="447">
        <f>TRUNC(I454/I455,2)</f>
        <v>0</v>
      </c>
      <c r="J456" s="295"/>
      <c r="K456" s="295"/>
    </row>
    <row r="457" spans="1:14" x14ac:dyDescent="0.2">
      <c r="A457" s="636"/>
      <c r="B457" s="229"/>
      <c r="C457" s="199"/>
      <c r="D457" s="199"/>
      <c r="E457" s="199"/>
      <c r="F457" s="258"/>
      <c r="G457" s="199"/>
      <c r="H457" s="199"/>
      <c r="I457" s="450"/>
      <c r="J457" s="295"/>
      <c r="K457" s="295"/>
    </row>
    <row r="458" spans="1:14" x14ac:dyDescent="0.2">
      <c r="A458" s="242" t="s">
        <v>195</v>
      </c>
      <c r="B458" s="243" t="s">
        <v>59</v>
      </c>
      <c r="C458" s="243" t="s">
        <v>196</v>
      </c>
      <c r="D458" s="243" t="s">
        <v>217</v>
      </c>
      <c r="E458" s="1121" t="s">
        <v>89</v>
      </c>
      <c r="F458" s="1114"/>
      <c r="G458" s="1115"/>
      <c r="H458" s="1121" t="s">
        <v>183</v>
      </c>
      <c r="I458" s="1115"/>
      <c r="J458" s="295"/>
      <c r="K458" s="295"/>
    </row>
    <row r="459" spans="1:14" ht="22.5" x14ac:dyDescent="0.2">
      <c r="A459" s="259" t="str">
        <f>VLOOKUP(B459,mat.!$A:$D,2,FALSE)</f>
        <v>Tubo de PVC rígido D= 100mm (dreno) - vara 6m</v>
      </c>
      <c r="B459" s="234">
        <v>10308</v>
      </c>
      <c r="C459" s="260" t="str">
        <f>VLOOKUP(B459,mat.!$A:$D,3,FALSE)</f>
        <v>vr</v>
      </c>
      <c r="D459" s="261">
        <f>VLOOKUP(B459,mat.!$A:$D,4,FALSE)</f>
        <v>63.06</v>
      </c>
      <c r="E459" s="255"/>
      <c r="F459" s="253"/>
      <c r="G459" s="293">
        <v>0.5</v>
      </c>
      <c r="H459" s="255"/>
      <c r="I459" s="423">
        <f>TRUNC(D459*G459,2)</f>
        <v>31.53</v>
      </c>
      <c r="J459" s="295"/>
      <c r="K459" s="295"/>
    </row>
    <row r="460" spans="1:14" x14ac:dyDescent="0.2">
      <c r="A460" s="199"/>
      <c r="B460" s="229"/>
      <c r="C460" s="199"/>
      <c r="D460" s="199"/>
      <c r="E460" s="199"/>
      <c r="F460" s="230" t="s">
        <v>197</v>
      </c>
      <c r="G460" s="240"/>
      <c r="H460" s="241"/>
      <c r="I460" s="438">
        <f>SUM(I459:I459)</f>
        <v>31.53</v>
      </c>
      <c r="J460" s="295"/>
      <c r="K460" s="295"/>
    </row>
    <row r="461" spans="1:14" x14ac:dyDescent="0.2">
      <c r="A461" s="199"/>
      <c r="B461" s="229"/>
      <c r="C461" s="199"/>
      <c r="D461" s="199"/>
      <c r="E461" s="199"/>
      <c r="F461" s="199"/>
      <c r="G461" s="262"/>
      <c r="H461" s="199"/>
      <c r="I461" s="439"/>
      <c r="J461" s="295"/>
      <c r="K461" s="295"/>
    </row>
    <row r="462" spans="1:14" x14ac:dyDescent="0.2">
      <c r="A462" s="263" t="s">
        <v>198</v>
      </c>
      <c r="B462" s="243" t="s">
        <v>59</v>
      </c>
      <c r="C462" s="243" t="s">
        <v>196</v>
      </c>
      <c r="D462" s="635" t="s">
        <v>217</v>
      </c>
      <c r="E462" s="1121" t="s">
        <v>89</v>
      </c>
      <c r="F462" s="1114"/>
      <c r="G462" s="1115"/>
      <c r="H462" s="1121" t="s">
        <v>183</v>
      </c>
      <c r="I462" s="1115"/>
    </row>
    <row r="463" spans="1:14" ht="33.75" x14ac:dyDescent="0.2">
      <c r="A463" s="416" t="str">
        <f>VLOOKUP(B463,'DER 11-20'!$A:$E,2,FALSE)</f>
        <v>Aço CA-50, fornecimento, dobragem e colocação nas formas (preço médio das bitolas)</v>
      </c>
      <c r="B463" s="417">
        <v>40376</v>
      </c>
      <c r="C463" s="417" t="str">
        <f>VLOOKUP(B463,'DER 11-20'!$A:$E,3,FALSE)</f>
        <v>kg</v>
      </c>
      <c r="D463" s="239">
        <f>TRUNC(VLOOKUP(B463,'DER 11-20'!$A:$F,6,FALSE)/(1+$I$4),2)</f>
        <v>10.62</v>
      </c>
      <c r="E463" s="419"/>
      <c r="F463" s="420"/>
      <c r="G463" s="790">
        <v>127</v>
      </c>
      <c r="H463" s="422"/>
      <c r="I463" s="423">
        <f>TRUNC(D463*G463,2)</f>
        <v>1348.74</v>
      </c>
      <c r="J463" s="415"/>
      <c r="K463" s="415"/>
      <c r="L463" s="198"/>
      <c r="M463" s="198"/>
      <c r="N463" s="198"/>
    </row>
    <row r="464" spans="1:14" ht="22.5" x14ac:dyDescent="0.2">
      <c r="A464" s="416" t="str">
        <f>VLOOKUP(B464,'DER 11-20'!$A:$E,2,FALSE)</f>
        <v>Concreto de regularização, tudo incluído</v>
      </c>
      <c r="B464" s="417">
        <v>40349</v>
      </c>
      <c r="C464" s="417" t="str">
        <f>VLOOKUP(B464,'DER 11-20'!$A:$E,3,FALSE)</f>
        <v>M3</v>
      </c>
      <c r="D464" s="239">
        <f>TRUNC(VLOOKUP(B464,'DER 11-20'!$A:$F,6,FALSE)/(1+$I$4),2)</f>
        <v>434.77</v>
      </c>
      <c r="E464" s="419"/>
      <c r="F464" s="420"/>
      <c r="G464" s="790">
        <v>0.14000000000000001</v>
      </c>
      <c r="H464" s="422"/>
      <c r="I464" s="423">
        <f>TRUNC(D464*G464,2)</f>
        <v>60.86</v>
      </c>
    </row>
    <row r="465" spans="1:17" ht="22.5" x14ac:dyDescent="0.2">
      <c r="A465" s="416" t="str">
        <f>VLOOKUP(B465,'DER 11-20'!$A:$E,2,FALSE)</f>
        <v>Concreto estrutural fck = 20,0 MPa, tudo incluído</v>
      </c>
      <c r="B465" s="417">
        <v>40360</v>
      </c>
      <c r="C465" s="417" t="str">
        <f>VLOOKUP(B465,'DER 11-20'!$A:$E,3,FALSE)</f>
        <v>M3</v>
      </c>
      <c r="D465" s="239">
        <f>TRUNC(VLOOKUP(B465,'DER 11-20'!$A:$F,6,FALSE)/(1+$I$4),2)</f>
        <v>565.09</v>
      </c>
      <c r="E465" s="419"/>
      <c r="F465" s="420"/>
      <c r="G465" s="790">
        <v>2.11</v>
      </c>
      <c r="H465" s="422"/>
      <c r="I465" s="423">
        <f t="shared" ref="I465:I468" si="0">TRUNC(D465*G465,2)</f>
        <v>1192.33</v>
      </c>
    </row>
    <row r="466" spans="1:17" ht="22.5" x14ac:dyDescent="0.2">
      <c r="A466" s="416" t="str">
        <f>VLOOKUP(B466,'DER 11-20'!$A:$E,2,FALSE)</f>
        <v>Escavação manual em mat. 1ª cat. H= 0,00 a 1,50 m</v>
      </c>
      <c r="B466" s="417">
        <v>40258</v>
      </c>
      <c r="C466" s="417" t="str">
        <f>VLOOKUP(B466,'DER 11-20'!$A:$E,3,FALSE)</f>
        <v>M3</v>
      </c>
      <c r="D466" s="239">
        <f>TRUNC(VLOOKUP(B466,'DER 11-20'!$A:$F,6,FALSE)/(1+$I$4),2)</f>
        <v>56.6</v>
      </c>
      <c r="E466" s="419"/>
      <c r="F466" s="420"/>
      <c r="G466" s="790">
        <v>10.87</v>
      </c>
      <c r="H466" s="422"/>
      <c r="I466" s="423">
        <f>TRUNC(D466*G466,2)</f>
        <v>615.24</v>
      </c>
    </row>
    <row r="467" spans="1:17" ht="45" x14ac:dyDescent="0.2">
      <c r="A467" s="416" t="str">
        <f>VLOOKUP(B467,'DER 11-20'!$A:$E,2,FALSE)</f>
        <v>Formas planas de madeira com 02 (dois) reaproveitamentos, inclusive fornecimento e transporte das madeiras</v>
      </c>
      <c r="B467" s="417">
        <v>40312</v>
      </c>
      <c r="C467" s="417" t="str">
        <f>VLOOKUP(B467,'DER 11-20'!$A:$E,3,FALSE)</f>
        <v>M2</v>
      </c>
      <c r="D467" s="239">
        <f>TRUNC(VLOOKUP(B467,'DER 11-20'!$A:$F,6,FALSE)/(1+$I$4),2)</f>
        <v>84.31</v>
      </c>
      <c r="E467" s="419"/>
      <c r="F467" s="420"/>
      <c r="G467" s="790">
        <v>24.76</v>
      </c>
      <c r="H467" s="422"/>
      <c r="I467" s="423">
        <f t="shared" si="0"/>
        <v>2087.5100000000002</v>
      </c>
    </row>
    <row r="468" spans="1:17" ht="22.5" x14ac:dyDescent="0.2">
      <c r="A468" s="416" t="str">
        <f>VLOOKUP(B468,'DER 11-20'!$A:$E,2,FALSE)</f>
        <v>Reaterro de cavas c/ compactação manual (apiloamento)</v>
      </c>
      <c r="B468" s="417">
        <v>40302</v>
      </c>
      <c r="C468" s="417" t="str">
        <f>VLOOKUP(B468,'DER 11-20'!$A:$E,3,FALSE)</f>
        <v>M3</v>
      </c>
      <c r="D468" s="239">
        <f>TRUNC(VLOOKUP(B468,'DER 11-20'!$A:$F,6,FALSE)/(1+$I$4),2)</f>
        <v>59.56</v>
      </c>
      <c r="E468" s="419"/>
      <c r="F468" s="420"/>
      <c r="G468" s="790">
        <v>6.98</v>
      </c>
      <c r="H468" s="422"/>
      <c r="I468" s="423">
        <f t="shared" si="0"/>
        <v>415.72</v>
      </c>
    </row>
    <row r="469" spans="1:17" x14ac:dyDescent="0.2">
      <c r="A469" s="200"/>
      <c r="B469" s="264"/>
      <c r="C469" s="200"/>
      <c r="D469" s="200"/>
      <c r="E469" s="200"/>
      <c r="F469" s="265" t="s">
        <v>199</v>
      </c>
      <c r="G469" s="255"/>
      <c r="H469" s="266"/>
      <c r="I469" s="441">
        <f>SUM(I463:I468)</f>
        <v>5720.4</v>
      </c>
    </row>
    <row r="470" spans="1:17" x14ac:dyDescent="0.2">
      <c r="A470" s="200"/>
      <c r="B470" s="264"/>
      <c r="C470" s="200"/>
      <c r="D470" s="200"/>
      <c r="E470" s="200"/>
      <c r="F470" s="200"/>
      <c r="G470" s="200"/>
      <c r="H470" s="200"/>
      <c r="I470" s="440"/>
    </row>
    <row r="471" spans="1:17" x14ac:dyDescent="0.2">
      <c r="A471" s="267" t="s">
        <v>200</v>
      </c>
      <c r="B471" s="268" t="s">
        <v>59</v>
      </c>
      <c r="C471" s="268" t="s">
        <v>196</v>
      </c>
      <c r="D471" s="268" t="s">
        <v>201</v>
      </c>
      <c r="E471" s="268" t="s">
        <v>202</v>
      </c>
      <c r="F471" s="268" t="s">
        <v>203</v>
      </c>
      <c r="G471" s="268" t="s">
        <v>94</v>
      </c>
      <c r="H471" s="268" t="s">
        <v>89</v>
      </c>
      <c r="I471" s="442" t="s">
        <v>204</v>
      </c>
    </row>
    <row r="472" spans="1:17" x14ac:dyDescent="0.2">
      <c r="A472" s="244"/>
      <c r="B472" s="234"/>
      <c r="C472" s="234"/>
      <c r="D472" s="269"/>
      <c r="E472" s="270"/>
      <c r="F472" s="270"/>
      <c r="G472" s="239"/>
      <c r="H472" s="271"/>
      <c r="I472" s="418"/>
    </row>
    <row r="473" spans="1:17" x14ac:dyDescent="0.2">
      <c r="A473" s="200"/>
      <c r="B473" s="264"/>
      <c r="C473" s="200"/>
      <c r="D473" s="200"/>
      <c r="E473" s="200"/>
      <c r="F473" s="265" t="s">
        <v>205</v>
      </c>
      <c r="G473" s="240"/>
      <c r="H473" s="272"/>
      <c r="I473" s="443">
        <f>SUM(I472:I472)</f>
        <v>0</v>
      </c>
      <c r="K473" s="295"/>
    </row>
    <row r="474" spans="1:17" x14ac:dyDescent="0.2">
      <c r="A474" s="200"/>
      <c r="B474" s="264"/>
      <c r="C474" s="200"/>
      <c r="D474" s="200"/>
      <c r="E474" s="200"/>
      <c r="F474" s="200"/>
      <c r="G474" s="200"/>
      <c r="H474" s="200"/>
      <c r="I474" s="444"/>
      <c r="K474" s="295"/>
      <c r="P474" s="359"/>
      <c r="Q474" s="359"/>
    </row>
    <row r="475" spans="1:17" x14ac:dyDescent="0.2">
      <c r="A475" s="273"/>
      <c r="B475" s="274"/>
      <c r="C475" s="275"/>
      <c r="D475" s="275"/>
      <c r="E475" s="275"/>
      <c r="F475" s="276" t="s">
        <v>206</v>
      </c>
      <c r="G475" s="273"/>
      <c r="H475" s="249"/>
      <c r="I475" s="445">
        <f>+I456+I460+I469+I473</f>
        <v>5751.93</v>
      </c>
      <c r="K475" s="295"/>
      <c r="P475" s="359"/>
      <c r="Q475" s="359"/>
    </row>
    <row r="476" spans="1:17" x14ac:dyDescent="0.2">
      <c r="A476" s="255"/>
      <c r="B476" s="277"/>
      <c r="C476" s="266"/>
      <c r="D476" s="266"/>
      <c r="E476" s="266"/>
      <c r="F476" s="278" t="str">
        <f>CONCATENATE($H$3," ",$I$3)</f>
        <v>BDI: 23,32</v>
      </c>
      <c r="G476" s="403"/>
      <c r="H476" s="253"/>
      <c r="I476" s="446">
        <f>+ROUND(I475*$I$4,2)</f>
        <v>1341.35</v>
      </c>
      <c r="K476" s="295"/>
      <c r="P476" s="359"/>
      <c r="Q476" s="359"/>
    </row>
    <row r="477" spans="1:17" x14ac:dyDescent="0.2">
      <c r="A477" s="240"/>
      <c r="B477" s="279"/>
      <c r="C477" s="272"/>
      <c r="D477" s="272"/>
      <c r="E477" s="272"/>
      <c r="F477" s="280" t="s">
        <v>207</v>
      </c>
      <c r="G477" s="404"/>
      <c r="H477" s="241"/>
      <c r="I477" s="720">
        <f>+I475+I476</f>
        <v>7093.28</v>
      </c>
      <c r="K477" s="295"/>
      <c r="P477" s="359"/>
      <c r="Q477" s="359"/>
    </row>
    <row r="478" spans="1:17" x14ac:dyDescent="0.2">
      <c r="A478" s="1116" t="str">
        <f>$A$1</f>
        <v>COMPOSIÇÃO DE CUSTOS UNITÁRIOS</v>
      </c>
      <c r="B478" s="1116"/>
      <c r="C478" s="1116"/>
      <c r="D478" s="1116"/>
      <c r="E478" s="1116"/>
      <c r="F478" s="1116"/>
      <c r="G478" s="1116"/>
      <c r="H478" s="1116"/>
      <c r="I478" s="1116"/>
    </row>
    <row r="479" spans="1:17" x14ac:dyDescent="0.2">
      <c r="A479" s="228" t="str">
        <f>$A$2</f>
        <v>Tabela Referencial de Preços - DER-ES</v>
      </c>
      <c r="B479" s="229"/>
      <c r="C479" s="199"/>
      <c r="D479" s="199"/>
      <c r="E479" s="199"/>
      <c r="F479" s="199"/>
      <c r="G479" s="199"/>
      <c r="H479" s="199"/>
      <c r="I479" s="414" t="str">
        <f>$I$2</f>
        <v>Data Base: novembro/2020</v>
      </c>
      <c r="J479" s="400">
        <v>41557</v>
      </c>
      <c r="K479" s="400">
        <f>VLOOKUP("Preço Unitário Total",F481:I1430,4,FALSE)</f>
        <v>203.11</v>
      </c>
      <c r="L479" s="295">
        <f>VLOOKUP(J479,'DER 11-20'!A:E,5,FALSE)</f>
        <v>0</v>
      </c>
      <c r="M479" s="295" t="str">
        <f>VLOOKUP(J479,'DER 11-20'!$A:$D,2,FALSE)</f>
        <v>Canaleta de concreto retangular com grelha em barra de aço</v>
      </c>
    </row>
    <row r="480" spans="1:17" x14ac:dyDescent="0.2">
      <c r="A480" s="1117" t="str">
        <f>+CONCATENATE("Serviço: ",J479," ",VLOOKUP(J479,'DER 11-20'!$A:$D,2,FALSE))</f>
        <v>Serviço: 41557 Canaleta de concreto retangular com grelha em barra de aço</v>
      </c>
      <c r="B480" s="1117"/>
      <c r="C480" s="1117"/>
      <c r="D480" s="1117"/>
      <c r="E480" s="1117"/>
      <c r="F480" s="1117"/>
      <c r="G480" s="1117"/>
      <c r="H480" s="1117"/>
      <c r="I480" s="1119" t="str">
        <f>CONCATENATE("Unidade: ", VLOOKUP(J479,'DER 11-20'!$A:$E,3,FALSE))</f>
        <v>Unidade: M</v>
      </c>
    </row>
    <row r="481" spans="1:11" x14ac:dyDescent="0.2">
      <c r="A481" s="1118"/>
      <c r="B481" s="1118"/>
      <c r="C481" s="1118"/>
      <c r="D481" s="1118"/>
      <c r="E481" s="1118"/>
      <c r="F481" s="1118"/>
      <c r="G481" s="1118"/>
      <c r="H481" s="1118"/>
      <c r="I481" s="1120"/>
    </row>
    <row r="482" spans="1:11" ht="22.5" x14ac:dyDescent="0.2">
      <c r="A482" s="231" t="s">
        <v>177</v>
      </c>
      <c r="B482" s="232" t="s">
        <v>59</v>
      </c>
      <c r="C482" s="232" t="s">
        <v>178</v>
      </c>
      <c r="D482" s="232" t="s">
        <v>179</v>
      </c>
      <c r="E482" s="232" t="s">
        <v>180</v>
      </c>
      <c r="F482" s="232" t="s">
        <v>181</v>
      </c>
      <c r="G482" s="232" t="s">
        <v>182</v>
      </c>
      <c r="H482" s="232" t="s">
        <v>89</v>
      </c>
      <c r="I482" s="434" t="s">
        <v>183</v>
      </c>
      <c r="J482" s="295"/>
      <c r="K482" s="295"/>
    </row>
    <row r="483" spans="1:11" x14ac:dyDescent="0.2">
      <c r="A483" s="199"/>
      <c r="B483" s="229"/>
      <c r="C483" s="229"/>
      <c r="D483" s="199"/>
      <c r="E483" s="199"/>
      <c r="F483" s="230" t="s">
        <v>184</v>
      </c>
      <c r="G483" s="240"/>
      <c r="H483" s="241"/>
      <c r="I483" s="438">
        <v>0</v>
      </c>
      <c r="J483" s="295"/>
      <c r="K483" s="295"/>
    </row>
    <row r="484" spans="1:11" x14ac:dyDescent="0.2">
      <c r="A484" s="199"/>
      <c r="B484" s="229"/>
      <c r="C484" s="229"/>
      <c r="D484" s="199"/>
      <c r="E484" s="199"/>
      <c r="F484" s="199"/>
      <c r="G484" s="199"/>
      <c r="H484" s="199"/>
      <c r="I484" s="439"/>
      <c r="J484" s="295"/>
      <c r="K484" s="295"/>
    </row>
    <row r="485" spans="1:11" x14ac:dyDescent="0.2">
      <c r="A485" s="242" t="s">
        <v>185</v>
      </c>
      <c r="B485" s="243" t="s">
        <v>59</v>
      </c>
      <c r="C485" s="232" t="s">
        <v>357</v>
      </c>
      <c r="D485" s="243" t="s">
        <v>187</v>
      </c>
      <c r="E485" s="1121" t="s">
        <v>89</v>
      </c>
      <c r="F485" s="1114"/>
      <c r="G485" s="1115"/>
      <c r="H485" s="1121" t="s">
        <v>183</v>
      </c>
      <c r="I485" s="1115"/>
      <c r="J485" s="295"/>
      <c r="K485" s="295"/>
    </row>
    <row r="486" spans="1:11" x14ac:dyDescent="0.2">
      <c r="A486" s="199"/>
      <c r="B486" s="229"/>
      <c r="C486" s="229"/>
      <c r="D486" s="199"/>
      <c r="E486" s="199"/>
      <c r="F486" s="230" t="s">
        <v>188</v>
      </c>
      <c r="G486" s="240"/>
      <c r="H486" s="241"/>
      <c r="I486" s="438">
        <v>0</v>
      </c>
      <c r="J486" s="295"/>
      <c r="K486" s="295"/>
    </row>
    <row r="487" spans="1:11" x14ac:dyDescent="0.2">
      <c r="A487" s="199"/>
      <c r="B487" s="229"/>
      <c r="C487" s="229"/>
      <c r="D487" s="199"/>
      <c r="E487" s="199"/>
      <c r="F487" s="199"/>
      <c r="G487" s="199"/>
      <c r="H487" s="199"/>
      <c r="I487" s="439"/>
      <c r="J487" s="295"/>
      <c r="K487" s="295"/>
    </row>
    <row r="488" spans="1:11" x14ac:dyDescent="0.2">
      <c r="A488" s="263" t="s">
        <v>189</v>
      </c>
      <c r="B488" s="243" t="s">
        <v>59</v>
      </c>
      <c r="C488" s="788" t="s">
        <v>17</v>
      </c>
      <c r="D488" s="243" t="s">
        <v>190</v>
      </c>
      <c r="E488" s="243" t="s">
        <v>191</v>
      </c>
      <c r="F488" s="243" t="s">
        <v>192</v>
      </c>
      <c r="G488" s="1121" t="s">
        <v>94</v>
      </c>
      <c r="H488" s="1114"/>
      <c r="I488" s="1115"/>
      <c r="J488" s="295"/>
      <c r="K488" s="295"/>
    </row>
    <row r="489" spans="1:11" x14ac:dyDescent="0.2">
      <c r="A489" s="199"/>
      <c r="B489" s="229"/>
      <c r="C489" s="199"/>
      <c r="D489" s="199"/>
      <c r="E489" s="199"/>
      <c r="F489" s="230" t="s">
        <v>327</v>
      </c>
      <c r="G489" s="240"/>
      <c r="H489" s="241"/>
      <c r="I489" s="438">
        <v>0</v>
      </c>
      <c r="K489" s="295"/>
    </row>
    <row r="490" spans="1:11" x14ac:dyDescent="0.2">
      <c r="A490" s="199"/>
      <c r="B490" s="229"/>
      <c r="C490" s="199"/>
      <c r="D490" s="199"/>
      <c r="E490" s="199"/>
      <c r="F490" s="199"/>
      <c r="G490" s="199"/>
      <c r="H490" s="199"/>
      <c r="I490" s="439"/>
      <c r="K490" s="295"/>
    </row>
    <row r="491" spans="1:11" x14ac:dyDescent="0.2">
      <c r="A491" s="247"/>
      <c r="B491" s="248"/>
      <c r="C491" s="249"/>
      <c r="D491" s="249"/>
      <c r="E491" s="249"/>
      <c r="F491" s="250" t="s">
        <v>193</v>
      </c>
      <c r="G491" s="401"/>
      <c r="H491" s="249"/>
      <c r="I491" s="445">
        <f>+I483+I486+I489</f>
        <v>0</v>
      </c>
      <c r="K491" s="295"/>
    </row>
    <row r="492" spans="1:11" x14ac:dyDescent="0.2">
      <c r="A492" s="251"/>
      <c r="B492" s="252"/>
      <c r="C492" s="253"/>
      <c r="D492" s="253"/>
      <c r="E492" s="253"/>
      <c r="F492" s="254" t="s">
        <v>194</v>
      </c>
      <c r="G492" s="255"/>
      <c r="H492" s="253"/>
      <c r="I492" s="446">
        <v>1</v>
      </c>
      <c r="K492" s="295"/>
    </row>
    <row r="493" spans="1:11" x14ac:dyDescent="0.2">
      <c r="A493" s="233"/>
      <c r="B493" s="256"/>
      <c r="C493" s="241"/>
      <c r="D493" s="241"/>
      <c r="E493" s="241"/>
      <c r="F493" s="257" t="s">
        <v>216</v>
      </c>
      <c r="G493" s="240"/>
      <c r="H493" s="241"/>
      <c r="I493" s="447">
        <f>TRUNC(I491/I492,2)</f>
        <v>0</v>
      </c>
      <c r="K493" s="295"/>
    </row>
    <row r="494" spans="1:11" x14ac:dyDescent="0.2">
      <c r="A494" s="787"/>
      <c r="B494" s="229"/>
      <c r="C494" s="199"/>
      <c r="D494" s="199"/>
      <c r="E494" s="199"/>
      <c r="F494" s="258"/>
      <c r="G494" s="199"/>
      <c r="H494" s="199"/>
      <c r="I494" s="450"/>
      <c r="K494" s="295"/>
    </row>
    <row r="495" spans="1:11" x14ac:dyDescent="0.2">
      <c r="A495" s="242" t="s">
        <v>195</v>
      </c>
      <c r="B495" s="243" t="s">
        <v>59</v>
      </c>
      <c r="C495" s="243" t="s">
        <v>196</v>
      </c>
      <c r="D495" s="243" t="s">
        <v>217</v>
      </c>
      <c r="E495" s="1121" t="s">
        <v>89</v>
      </c>
      <c r="F495" s="1114"/>
      <c r="G495" s="1115"/>
      <c r="H495" s="1121" t="s">
        <v>183</v>
      </c>
      <c r="I495" s="1115"/>
      <c r="K495" s="295"/>
    </row>
    <row r="496" spans="1:11" x14ac:dyDescent="0.2">
      <c r="A496" s="259"/>
      <c r="B496" s="234"/>
      <c r="C496" s="260"/>
      <c r="D496" s="261"/>
      <c r="E496" s="255"/>
      <c r="F496" s="253"/>
      <c r="G496" s="293"/>
      <c r="H496" s="255"/>
      <c r="I496" s="423">
        <f>TRUNC(D496*G496,2)</f>
        <v>0</v>
      </c>
      <c r="K496" s="295"/>
    </row>
    <row r="497" spans="1:14" x14ac:dyDescent="0.2">
      <c r="A497" s="199"/>
      <c r="B497" s="229"/>
      <c r="C497" s="199"/>
      <c r="D497" s="199"/>
      <c r="E497" s="199"/>
      <c r="F497" s="230" t="s">
        <v>197</v>
      </c>
      <c r="G497" s="240"/>
      <c r="H497" s="241"/>
      <c r="I497" s="438">
        <f>SUM(I496:I496)</f>
        <v>0</v>
      </c>
      <c r="K497" s="295"/>
    </row>
    <row r="498" spans="1:14" x14ac:dyDescent="0.2">
      <c r="A498" s="199"/>
      <c r="B498" s="229"/>
      <c r="C498" s="199"/>
      <c r="D498" s="199"/>
      <c r="E498" s="199"/>
      <c r="F498" s="199"/>
      <c r="G498" s="262"/>
      <c r="H498" s="199"/>
      <c r="I498" s="439"/>
      <c r="K498" s="295"/>
    </row>
    <row r="499" spans="1:14" x14ac:dyDescent="0.2">
      <c r="A499" s="263" t="s">
        <v>198</v>
      </c>
      <c r="B499" s="243" t="s">
        <v>59</v>
      </c>
      <c r="C499" s="243" t="s">
        <v>196</v>
      </c>
      <c r="D499" s="788" t="s">
        <v>217</v>
      </c>
      <c r="E499" s="1121" t="s">
        <v>89</v>
      </c>
      <c r="F499" s="1114"/>
      <c r="G499" s="1115"/>
      <c r="H499" s="1121" t="s">
        <v>183</v>
      </c>
      <c r="I499" s="1115"/>
      <c r="K499" s="295"/>
    </row>
    <row r="500" spans="1:14" ht="33.75" x14ac:dyDescent="0.2">
      <c r="A500" s="416" t="str">
        <f>VLOOKUP(B500,'DER 11-20'!$A:$E,2,FALSE)</f>
        <v>Aço CA-50, fornecimento, dobragem e colocação nas formas (preço médio das bitolas)</v>
      </c>
      <c r="B500" s="417">
        <v>40376</v>
      </c>
      <c r="C500" s="417" t="str">
        <f>VLOOKUP(B500,'DER 11-20'!$A:$E,3,FALSE)</f>
        <v>kg</v>
      </c>
      <c r="D500" s="239">
        <f>TRUNC(VLOOKUP(B500,'DER 11-20'!$A:$F,6,FALSE)/(1+$I$4),2)</f>
        <v>10.62</v>
      </c>
      <c r="E500" s="419"/>
      <c r="F500" s="420"/>
      <c r="G500" s="790">
        <v>1.2</v>
      </c>
      <c r="H500" s="422"/>
      <c r="I500" s="423">
        <f>TRUNC(D500*G500,2)</f>
        <v>12.74</v>
      </c>
      <c r="J500" s="415"/>
      <c r="K500" s="415"/>
      <c r="L500" s="198"/>
      <c r="M500" s="198"/>
      <c r="N500" s="198"/>
    </row>
    <row r="501" spans="1:14" ht="22.5" x14ac:dyDescent="0.2">
      <c r="A501" s="416" t="str">
        <f>VLOOKUP(B501,'DER 11-20'!$A:$E,2,FALSE)</f>
        <v>Concreto de regularização, tudo incluído</v>
      </c>
      <c r="B501" s="417">
        <v>40349</v>
      </c>
      <c r="C501" s="417" t="str">
        <f>VLOOKUP(B501,'DER 11-20'!$A:$E,3,FALSE)</f>
        <v>M3</v>
      </c>
      <c r="D501" s="239">
        <f>TRUNC(VLOOKUP(B501,'DER 11-20'!$A:$F,6,FALSE)/(1+$I$4),2)</f>
        <v>434.77</v>
      </c>
      <c r="E501" s="419"/>
      <c r="F501" s="420"/>
      <c r="G501" s="790">
        <v>1.4999999999999999E-2</v>
      </c>
      <c r="H501" s="422"/>
      <c r="I501" s="423">
        <f>TRUNC(D501*G501,2)</f>
        <v>6.52</v>
      </c>
    </row>
    <row r="502" spans="1:14" ht="22.5" x14ac:dyDescent="0.2">
      <c r="A502" s="416" t="str">
        <f>VLOOKUP(B502,'DER 11-20'!$A:$E,2,FALSE)</f>
        <v>Concreto estrutural fck = 15,0 MPa, tudo incluído</v>
      </c>
      <c r="B502" s="417">
        <v>40358</v>
      </c>
      <c r="C502" s="417" t="str">
        <f>VLOOKUP(B502,'DER 11-20'!$A:$E,3,FALSE)</f>
        <v>M3</v>
      </c>
      <c r="D502" s="239">
        <f>TRUNC(VLOOKUP(B502,'DER 11-20'!$A:$F,6,FALSE)/(1+$I$4),2)</f>
        <v>547.26</v>
      </c>
      <c r="E502" s="419"/>
      <c r="F502" s="420"/>
      <c r="G502" s="790">
        <v>0.09</v>
      </c>
      <c r="H502" s="422"/>
      <c r="I502" s="423">
        <f>TRUNC(D502*G502,2)</f>
        <v>49.25</v>
      </c>
    </row>
    <row r="503" spans="1:14" ht="22.5" x14ac:dyDescent="0.2">
      <c r="A503" s="416" t="str">
        <f>VLOOKUP(B503,'DER 11-20'!$A:$E,2,FALSE)</f>
        <v>Escavação manual em mat. 1ª cat. H= 0,00 a 1,50 m</v>
      </c>
      <c r="B503" s="417">
        <v>40258</v>
      </c>
      <c r="C503" s="417" t="str">
        <f>VLOOKUP(B503,'DER 11-20'!$A:$E,3,FALSE)</f>
        <v>M3</v>
      </c>
      <c r="D503" s="239">
        <f>TRUNC(VLOOKUP(B503,'DER 11-20'!$A:$F,6,FALSE)/(1+$I$4),2)</f>
        <v>56.6</v>
      </c>
      <c r="E503" s="419"/>
      <c r="F503" s="420"/>
      <c r="G503" s="790">
        <v>0.21</v>
      </c>
      <c r="H503" s="422"/>
      <c r="I503" s="423">
        <f>TRUNC(D503*G503,2)</f>
        <v>11.88</v>
      </c>
    </row>
    <row r="504" spans="1:14" ht="45" x14ac:dyDescent="0.2">
      <c r="A504" s="416" t="str">
        <f>VLOOKUP(B504,'DER 11-20'!$A:$E,2,FALSE)</f>
        <v>Formas planas de madeira com 02 (dois) reaproveitamentos, inclusive fornecimento e transporte das madeiras</v>
      </c>
      <c r="B504" s="417">
        <v>40312</v>
      </c>
      <c r="C504" s="417" t="str">
        <f>VLOOKUP(B504,'DER 11-20'!$A:$E,3,FALSE)</f>
        <v>M2</v>
      </c>
      <c r="D504" s="239">
        <f>TRUNC(VLOOKUP(B504,'DER 11-20'!$A:$F,6,FALSE)/(1+$I$4),2)</f>
        <v>84.31</v>
      </c>
      <c r="E504" s="419"/>
      <c r="F504" s="420"/>
      <c r="G504" s="790">
        <v>1</v>
      </c>
      <c r="H504" s="422"/>
      <c r="I504" s="423">
        <f>TRUNC(D504*G504,2)</f>
        <v>84.31</v>
      </c>
    </row>
    <row r="505" spans="1:14" x14ac:dyDescent="0.2">
      <c r="A505" s="200"/>
      <c r="B505" s="264"/>
      <c r="C505" s="200"/>
      <c r="D505" s="200"/>
      <c r="E505" s="200"/>
      <c r="F505" s="265" t="s">
        <v>199</v>
      </c>
      <c r="G505" s="255"/>
      <c r="H505" s="266"/>
      <c r="I505" s="441">
        <f>SUM(I500:I504)</f>
        <v>164.7</v>
      </c>
      <c r="K505" s="295"/>
    </row>
    <row r="506" spans="1:14" x14ac:dyDescent="0.2">
      <c r="A506" s="200"/>
      <c r="B506" s="264"/>
      <c r="C506" s="200"/>
      <c r="D506" s="200"/>
      <c r="E506" s="200"/>
      <c r="F506" s="200"/>
      <c r="G506" s="200"/>
      <c r="H506" s="200"/>
      <c r="I506" s="440"/>
      <c r="K506" s="295"/>
    </row>
    <row r="507" spans="1:14" x14ac:dyDescent="0.2">
      <c r="A507" s="406" t="s">
        <v>200</v>
      </c>
      <c r="B507" s="268" t="s">
        <v>59</v>
      </c>
      <c r="C507" s="268" t="s">
        <v>196</v>
      </c>
      <c r="D507" s="268" t="s">
        <v>201</v>
      </c>
      <c r="E507" s="268" t="s">
        <v>202</v>
      </c>
      <c r="F507" s="268" t="s">
        <v>203</v>
      </c>
      <c r="G507" s="268" t="s">
        <v>94</v>
      </c>
      <c r="H507" s="268" t="s">
        <v>89</v>
      </c>
      <c r="I507" s="442" t="s">
        <v>204</v>
      </c>
      <c r="K507" s="295"/>
    </row>
    <row r="508" spans="1:14" x14ac:dyDescent="0.2">
      <c r="A508" s="244"/>
      <c r="B508" s="234"/>
      <c r="C508" s="234"/>
      <c r="D508" s="269"/>
      <c r="E508" s="270"/>
      <c r="F508" s="270"/>
      <c r="G508" s="239"/>
      <c r="H508" s="271"/>
      <c r="I508" s="418">
        <f>TRUNC(G508*H508,2)</f>
        <v>0</v>
      </c>
      <c r="K508" s="295"/>
    </row>
    <row r="509" spans="1:14" x14ac:dyDescent="0.2">
      <c r="A509" s="200"/>
      <c r="B509" s="264"/>
      <c r="C509" s="200"/>
      <c r="D509" s="200"/>
      <c r="E509" s="200"/>
      <c r="F509" s="265" t="s">
        <v>205</v>
      </c>
      <c r="G509" s="240"/>
      <c r="H509" s="272"/>
      <c r="I509" s="443">
        <f>SUM(I508:I508)</f>
        <v>0</v>
      </c>
    </row>
    <row r="510" spans="1:14" x14ac:dyDescent="0.2">
      <c r="A510" s="200"/>
      <c r="B510" s="264"/>
      <c r="C510" s="200"/>
      <c r="D510" s="200"/>
      <c r="E510" s="200"/>
      <c r="F510" s="200"/>
      <c r="G510" s="200"/>
      <c r="H510" s="200"/>
      <c r="I510" s="444"/>
    </row>
    <row r="511" spans="1:14" x14ac:dyDescent="0.2">
      <c r="A511" s="273"/>
      <c r="B511" s="274"/>
      <c r="C511" s="275"/>
      <c r="D511" s="275"/>
      <c r="E511" s="275"/>
      <c r="F511" s="276" t="s">
        <v>206</v>
      </c>
      <c r="G511" s="273"/>
      <c r="H511" s="249"/>
      <c r="I511" s="445">
        <f>+I493+I497+I505+I509</f>
        <v>164.7</v>
      </c>
    </row>
    <row r="512" spans="1:14" x14ac:dyDescent="0.2">
      <c r="A512" s="255"/>
      <c r="B512" s="277"/>
      <c r="C512" s="266"/>
      <c r="D512" s="266"/>
      <c r="E512" s="266"/>
      <c r="F512" s="278" t="str">
        <f>CONCATENATE($H$3," ",$I$3)</f>
        <v>BDI: 23,32</v>
      </c>
      <c r="G512" s="403"/>
      <c r="H512" s="253"/>
      <c r="I512" s="446">
        <f>+ROUND(I511*$I$4,2)</f>
        <v>38.409999999999997</v>
      </c>
    </row>
    <row r="513" spans="1:13" x14ac:dyDescent="0.2">
      <c r="A513" s="240"/>
      <c r="B513" s="279"/>
      <c r="C513" s="272"/>
      <c r="D513" s="272"/>
      <c r="E513" s="272"/>
      <c r="F513" s="280" t="s">
        <v>207</v>
      </c>
      <c r="G513" s="404"/>
      <c r="H513" s="241"/>
      <c r="I513" s="720">
        <f>+I511+I512</f>
        <v>203.11</v>
      </c>
    </row>
    <row r="514" spans="1:13" x14ac:dyDescent="0.2">
      <c r="A514" s="1116" t="str">
        <f>$A$1</f>
        <v>COMPOSIÇÃO DE CUSTOS UNITÁRIOS</v>
      </c>
      <c r="B514" s="1116"/>
      <c r="C514" s="1116"/>
      <c r="D514" s="1116"/>
      <c r="E514" s="1116"/>
      <c r="F514" s="1116"/>
      <c r="G514" s="1116"/>
      <c r="H514" s="1116"/>
      <c r="I514" s="1116"/>
    </row>
    <row r="515" spans="1:13" x14ac:dyDescent="0.2">
      <c r="A515" s="228" t="str">
        <f>$A$2</f>
        <v>Tabela Referencial de Preços - DER-ES</v>
      </c>
      <c r="B515" s="229"/>
      <c r="C515" s="199"/>
      <c r="D515" s="199"/>
      <c r="E515" s="199"/>
      <c r="F515" s="199"/>
      <c r="G515" s="199"/>
      <c r="H515" s="199"/>
      <c r="I515" s="414" t="str">
        <f>$I$2</f>
        <v>Data Base: novembro/2020</v>
      </c>
      <c r="J515" s="400">
        <v>41544</v>
      </c>
      <c r="K515" s="400">
        <f>VLOOKUP("Preço Unitário Total",F517:I4015,4,FALSE)</f>
        <v>411.8</v>
      </c>
      <c r="L515" s="295">
        <f>VLOOKUP(J515,'DER 11-20'!A:E,5,FALSE)</f>
        <v>0</v>
      </c>
      <c r="M515" s="295" t="str">
        <f>VLOOKUP(J515,'DER 11-20'!$A:$D,2,FALSE)</f>
        <v>Mobilização e desmobilização de equipamentos com carreta prancha (máximo)</v>
      </c>
    </row>
    <row r="516" spans="1:13" x14ac:dyDescent="0.2">
      <c r="A516" s="1117" t="str">
        <f>+CONCATENATE("Serviço: ",J515," ",VLOOKUP(J515,'DER 11-20'!$A:$D,2,FALSE))</f>
        <v>Serviço: 41544 Mobilização e desmobilização de equipamentos com carreta prancha (máximo)</v>
      </c>
      <c r="B516" s="1117"/>
      <c r="C516" s="1117"/>
      <c r="D516" s="1117"/>
      <c r="E516" s="1117"/>
      <c r="F516" s="1117"/>
      <c r="G516" s="1117"/>
      <c r="H516" s="1117"/>
      <c r="I516" s="1119" t="str">
        <f>CONCATENATE("Unidade: ", VLOOKUP(J515,'DER 11-20'!$A:$E,3,FALSE))</f>
        <v>Unidade: h</v>
      </c>
      <c r="J516" s="295"/>
      <c r="K516" s="295"/>
    </row>
    <row r="517" spans="1:13" x14ac:dyDescent="0.2">
      <c r="A517" s="1118"/>
      <c r="B517" s="1118"/>
      <c r="C517" s="1118"/>
      <c r="D517" s="1118"/>
      <c r="E517" s="1118"/>
      <c r="F517" s="1118"/>
      <c r="G517" s="1118"/>
      <c r="H517" s="1118"/>
      <c r="I517" s="1120"/>
      <c r="J517" s="295"/>
      <c r="K517" s="295"/>
    </row>
    <row r="518" spans="1:13" ht="25.5" customHeight="1" x14ac:dyDescent="0.2">
      <c r="A518" s="231" t="s">
        <v>177</v>
      </c>
      <c r="B518" s="232" t="s">
        <v>59</v>
      </c>
      <c r="C518" s="232" t="s">
        <v>178</v>
      </c>
      <c r="D518" s="232" t="s">
        <v>179</v>
      </c>
      <c r="E518" s="232" t="s">
        <v>180</v>
      </c>
      <c r="F518" s="232" t="s">
        <v>181</v>
      </c>
      <c r="G518" s="232" t="s">
        <v>182</v>
      </c>
      <c r="H518" s="232" t="s">
        <v>89</v>
      </c>
      <c r="I518" s="434" t="s">
        <v>183</v>
      </c>
      <c r="J518" s="295"/>
      <c r="K518" s="295"/>
    </row>
    <row r="519" spans="1:13" x14ac:dyDescent="0.2">
      <c r="A519" s="233" t="str">
        <f>VLOOKUP(B519,equip.!$A:$G,2,FALSE)</f>
        <v>Carreta com prancha 2040 45,0 t</v>
      </c>
      <c r="B519" s="234">
        <v>30008</v>
      </c>
      <c r="C519" s="235" t="str">
        <f>VLOOKUP(B519,equip.!$A$1:$G$239,3,FALSE)</f>
        <v>M</v>
      </c>
      <c r="D519" s="236">
        <v>0.9</v>
      </c>
      <c r="E519" s="203">
        <v>0.1</v>
      </c>
      <c r="F519" s="237">
        <f>VLOOKUP(B519,equip.!$A:$G,6,FALSE)</f>
        <v>346.65</v>
      </c>
      <c r="G519" s="237">
        <f>VLOOKUP(B519,equip.!$A:$G,7,FALSE)</f>
        <v>79.47</v>
      </c>
      <c r="H519" s="238">
        <v>1</v>
      </c>
      <c r="I519" s="418">
        <f>TRUNC(D519*F519*H519+E519*G519*H519,2)</f>
        <v>319.93</v>
      </c>
      <c r="J519" s="295"/>
      <c r="K519" s="295"/>
    </row>
    <row r="520" spans="1:13" x14ac:dyDescent="0.2">
      <c r="A520" s="199"/>
      <c r="B520" s="229"/>
      <c r="C520" s="229"/>
      <c r="D520" s="199"/>
      <c r="E520" s="199"/>
      <c r="F520" s="230" t="s">
        <v>184</v>
      </c>
      <c r="G520" s="240"/>
      <c r="H520" s="241"/>
      <c r="I520" s="438">
        <f>SUM(I519:I519)</f>
        <v>319.93</v>
      </c>
      <c r="J520" s="295"/>
      <c r="K520" s="295"/>
    </row>
    <row r="521" spans="1:13" x14ac:dyDescent="0.2">
      <c r="A521" s="199"/>
      <c r="B521" s="229"/>
      <c r="C521" s="229"/>
      <c r="D521" s="199"/>
      <c r="E521" s="199"/>
      <c r="F521" s="199"/>
      <c r="G521" s="199"/>
      <c r="H521" s="199"/>
      <c r="I521" s="439"/>
      <c r="J521" s="295"/>
      <c r="K521" s="295"/>
    </row>
    <row r="522" spans="1:13" x14ac:dyDescent="0.2">
      <c r="A522" s="242" t="s">
        <v>185</v>
      </c>
      <c r="B522" s="243" t="s">
        <v>59</v>
      </c>
      <c r="C522" s="232" t="s">
        <v>357</v>
      </c>
      <c r="D522" s="243" t="s">
        <v>187</v>
      </c>
      <c r="E522" s="1121" t="s">
        <v>89</v>
      </c>
      <c r="F522" s="1114"/>
      <c r="G522" s="1115"/>
      <c r="H522" s="1121" t="s">
        <v>183</v>
      </c>
      <c r="I522" s="1115"/>
      <c r="J522" s="295"/>
      <c r="K522" s="295"/>
    </row>
    <row r="523" spans="1:13" x14ac:dyDescent="0.2">
      <c r="A523" s="244"/>
      <c r="B523" s="234"/>
      <c r="C523" s="239"/>
      <c r="D523" s="239"/>
      <c r="E523" s="240"/>
      <c r="F523" s="241"/>
      <c r="G523" s="405"/>
      <c r="H523" s="240"/>
      <c r="I523" s="427"/>
      <c r="J523" s="295"/>
      <c r="K523" s="295"/>
    </row>
    <row r="524" spans="1:13" x14ac:dyDescent="0.2">
      <c r="A524" s="199"/>
      <c r="B524" s="229"/>
      <c r="C524" s="229"/>
      <c r="D524" s="199"/>
      <c r="E524" s="199"/>
      <c r="F524" s="230" t="s">
        <v>188</v>
      </c>
      <c r="G524" s="240"/>
      <c r="H524" s="241"/>
      <c r="I524" s="438">
        <f>SUM(I523:I523)</f>
        <v>0</v>
      </c>
      <c r="J524" s="295"/>
      <c r="K524" s="295"/>
    </row>
    <row r="525" spans="1:13" x14ac:dyDescent="0.2">
      <c r="A525" s="199"/>
      <c r="B525" s="229"/>
      <c r="C525" s="229"/>
      <c r="D525" s="199"/>
      <c r="E525" s="199"/>
      <c r="F525" s="199"/>
      <c r="G525" s="199"/>
      <c r="H525" s="199"/>
      <c r="I525" s="439"/>
      <c r="J525" s="295"/>
      <c r="K525" s="295"/>
    </row>
    <row r="526" spans="1:13" x14ac:dyDescent="0.2">
      <c r="A526" s="245" t="s">
        <v>189</v>
      </c>
      <c r="B526" s="243" t="s">
        <v>59</v>
      </c>
      <c r="C526" s="635" t="s">
        <v>17</v>
      </c>
      <c r="D526" s="243" t="s">
        <v>190</v>
      </c>
      <c r="E526" s="243" t="s">
        <v>191</v>
      </c>
      <c r="F526" s="243" t="s">
        <v>192</v>
      </c>
      <c r="G526" s="1121" t="s">
        <v>94</v>
      </c>
      <c r="H526" s="1114"/>
      <c r="I526" s="1115"/>
      <c r="J526" s="295"/>
      <c r="K526" s="295"/>
    </row>
    <row r="527" spans="1:13" x14ac:dyDescent="0.2">
      <c r="A527" s="244"/>
      <c r="B527" s="234"/>
      <c r="C527" s="239"/>
      <c r="D527" s="235"/>
      <c r="E527" s="246"/>
      <c r="F527" s="246"/>
      <c r="G527" s="240"/>
      <c r="H527" s="241"/>
      <c r="I527" s="427"/>
      <c r="J527" s="295"/>
      <c r="K527" s="295"/>
    </row>
    <row r="528" spans="1:13" x14ac:dyDescent="0.2">
      <c r="A528" s="199"/>
      <c r="B528" s="229"/>
      <c r="C528" s="199"/>
      <c r="D528" s="199"/>
      <c r="E528" s="199"/>
      <c r="F528" s="230" t="s">
        <v>327</v>
      </c>
      <c r="G528" s="240"/>
      <c r="H528" s="241"/>
      <c r="I528" s="438">
        <f>SUM(I527)</f>
        <v>0</v>
      </c>
      <c r="J528" s="295"/>
      <c r="K528" s="295"/>
    </row>
    <row r="529" spans="1:17" x14ac:dyDescent="0.2">
      <c r="A529" s="199"/>
      <c r="B529" s="229"/>
      <c r="C529" s="199"/>
      <c r="D529" s="199"/>
      <c r="E529" s="199"/>
      <c r="F529" s="199"/>
      <c r="G529" s="199"/>
      <c r="H529" s="199"/>
      <c r="I529" s="439"/>
      <c r="J529" s="295"/>
      <c r="K529" s="295"/>
    </row>
    <row r="530" spans="1:17" x14ac:dyDescent="0.2">
      <c r="A530" s="247"/>
      <c r="B530" s="248"/>
      <c r="C530" s="249"/>
      <c r="D530" s="249"/>
      <c r="E530" s="249"/>
      <c r="F530" s="250" t="s">
        <v>193</v>
      </c>
      <c r="G530" s="401"/>
      <c r="H530" s="249"/>
      <c r="I530" s="445">
        <f>+I520+I524+I528</f>
        <v>319.93</v>
      </c>
      <c r="J530" s="295"/>
      <c r="K530" s="295"/>
    </row>
    <row r="531" spans="1:17" x14ac:dyDescent="0.2">
      <c r="A531" s="251"/>
      <c r="B531" s="252"/>
      <c r="C531" s="253"/>
      <c r="D531" s="253"/>
      <c r="E531" s="253"/>
      <c r="F531" s="254" t="s">
        <v>194</v>
      </c>
      <c r="G531" s="255"/>
      <c r="H531" s="253"/>
      <c r="I531" s="446">
        <v>1</v>
      </c>
      <c r="J531" s="295"/>
      <c r="K531" s="295"/>
    </row>
    <row r="532" spans="1:17" x14ac:dyDescent="0.2">
      <c r="A532" s="233"/>
      <c r="B532" s="256"/>
      <c r="C532" s="241"/>
      <c r="D532" s="241"/>
      <c r="E532" s="241"/>
      <c r="F532" s="257" t="s">
        <v>216</v>
      </c>
      <c r="G532" s="240"/>
      <c r="H532" s="241"/>
      <c r="I532" s="447">
        <f>TRUNC(I530/I531,2)</f>
        <v>319.93</v>
      </c>
      <c r="J532" s="295"/>
      <c r="K532" s="295"/>
    </row>
    <row r="533" spans="1:17" x14ac:dyDescent="0.2">
      <c r="A533" s="636"/>
      <c r="B533" s="229"/>
      <c r="C533" s="199"/>
      <c r="D533" s="199"/>
      <c r="E533" s="199"/>
      <c r="F533" s="258"/>
      <c r="G533" s="199"/>
      <c r="H533" s="199"/>
      <c r="I533" s="450"/>
      <c r="J533" s="295"/>
      <c r="K533" s="295"/>
    </row>
    <row r="534" spans="1:17" x14ac:dyDescent="0.2">
      <c r="A534" s="242" t="s">
        <v>195</v>
      </c>
      <c r="B534" s="243" t="s">
        <v>59</v>
      </c>
      <c r="C534" s="243" t="s">
        <v>196</v>
      </c>
      <c r="D534" s="243" t="s">
        <v>217</v>
      </c>
      <c r="E534" s="1121" t="s">
        <v>89</v>
      </c>
      <c r="F534" s="1114"/>
      <c r="G534" s="1115"/>
      <c r="H534" s="1121" t="s">
        <v>183</v>
      </c>
      <c r="I534" s="1115"/>
      <c r="J534" s="295"/>
      <c r="K534" s="295"/>
    </row>
    <row r="535" spans="1:17" x14ac:dyDescent="0.2">
      <c r="A535" s="259" t="str">
        <f>VLOOKUP(B535,mat.!$A:$D,2,FALSE)</f>
        <v>Diária</v>
      </c>
      <c r="B535" s="234">
        <v>11020</v>
      </c>
      <c r="C535" s="260" t="str">
        <f>VLOOKUP(B535,mat.!$A:$D,3,FALSE)</f>
        <v>DIA</v>
      </c>
      <c r="D535" s="261">
        <f>VLOOKUP(B535,mat.!$A:$D,4,FALSE)</f>
        <v>112</v>
      </c>
      <c r="E535" s="255"/>
      <c r="F535" s="253"/>
      <c r="G535" s="293">
        <v>0.125</v>
      </c>
      <c r="H535" s="255"/>
      <c r="I535" s="423">
        <f>TRUNC(D535*G535,2)</f>
        <v>14</v>
      </c>
      <c r="J535" s="295"/>
      <c r="K535" s="295"/>
    </row>
    <row r="536" spans="1:17" s="198" customFormat="1" x14ac:dyDescent="0.2">
      <c r="A536" s="199"/>
      <c r="B536" s="229"/>
      <c r="C536" s="199"/>
      <c r="D536" s="199"/>
      <c r="E536" s="199"/>
      <c r="F536" s="230" t="s">
        <v>197</v>
      </c>
      <c r="G536" s="240"/>
      <c r="H536" s="241"/>
      <c r="I536" s="438">
        <f>SUM(I535:I535)</f>
        <v>14</v>
      </c>
      <c r="J536" s="295"/>
      <c r="K536" s="295"/>
      <c r="L536" s="295"/>
      <c r="M536" s="295"/>
      <c r="N536" s="295"/>
      <c r="O536" s="295"/>
      <c r="P536" s="295"/>
      <c r="Q536" s="295"/>
    </row>
    <row r="537" spans="1:17" s="198" customFormat="1" x14ac:dyDescent="0.2">
      <c r="A537" s="199"/>
      <c r="B537" s="229"/>
      <c r="C537" s="199"/>
      <c r="D537" s="199"/>
      <c r="E537" s="199"/>
      <c r="F537" s="199"/>
      <c r="G537" s="262"/>
      <c r="H537" s="199"/>
      <c r="I537" s="439"/>
      <c r="J537" s="295"/>
      <c r="K537" s="295"/>
      <c r="L537" s="295"/>
      <c r="M537" s="295"/>
      <c r="N537" s="295"/>
      <c r="O537" s="295"/>
      <c r="P537" s="295"/>
      <c r="Q537" s="295"/>
    </row>
    <row r="538" spans="1:17" s="198" customFormat="1" x14ac:dyDescent="0.2">
      <c r="A538" s="263" t="s">
        <v>198</v>
      </c>
      <c r="B538" s="243" t="s">
        <v>59</v>
      </c>
      <c r="C538" s="243" t="s">
        <v>196</v>
      </c>
      <c r="D538" s="635" t="s">
        <v>217</v>
      </c>
      <c r="E538" s="1121" t="s">
        <v>89</v>
      </c>
      <c r="F538" s="1114"/>
      <c r="G538" s="1115"/>
      <c r="H538" s="1121" t="s">
        <v>183</v>
      </c>
      <c r="I538" s="1115"/>
      <c r="J538" s="295"/>
      <c r="K538" s="295"/>
      <c r="L538" s="295"/>
      <c r="M538" s="295"/>
      <c r="N538" s="295"/>
      <c r="O538" s="295"/>
      <c r="P538" s="295"/>
      <c r="Q538" s="295"/>
    </row>
    <row r="539" spans="1:17" x14ac:dyDescent="0.2">
      <c r="A539" s="244"/>
      <c r="B539" s="234"/>
      <c r="C539" s="234"/>
      <c r="D539" s="239"/>
      <c r="E539" s="240"/>
      <c r="F539" s="253"/>
      <c r="G539" s="293"/>
      <c r="H539" s="240"/>
      <c r="I539" s="423"/>
      <c r="J539" s="295"/>
      <c r="K539" s="295"/>
    </row>
    <row r="540" spans="1:17" x14ac:dyDescent="0.2">
      <c r="A540" s="200"/>
      <c r="B540" s="264"/>
      <c r="C540" s="200"/>
      <c r="D540" s="200"/>
      <c r="E540" s="200"/>
      <c r="F540" s="265" t="s">
        <v>199</v>
      </c>
      <c r="G540" s="255"/>
      <c r="H540" s="266"/>
      <c r="I540" s="441">
        <f>SUM(I539:I539)</f>
        <v>0</v>
      </c>
      <c r="J540" s="295"/>
      <c r="K540" s="295"/>
    </row>
    <row r="541" spans="1:17" x14ac:dyDescent="0.2">
      <c r="A541" s="200"/>
      <c r="B541" s="264"/>
      <c r="C541" s="200"/>
      <c r="D541" s="200"/>
      <c r="E541" s="200"/>
      <c r="F541" s="200"/>
      <c r="G541" s="200"/>
      <c r="H541" s="200"/>
      <c r="I541" s="440"/>
      <c r="J541" s="295"/>
      <c r="K541" s="295"/>
    </row>
    <row r="542" spans="1:17" x14ac:dyDescent="0.2">
      <c r="A542" s="267" t="s">
        <v>200</v>
      </c>
      <c r="B542" s="268" t="s">
        <v>59</v>
      </c>
      <c r="C542" s="268" t="s">
        <v>196</v>
      </c>
      <c r="D542" s="268" t="s">
        <v>201</v>
      </c>
      <c r="E542" s="268" t="s">
        <v>202</v>
      </c>
      <c r="F542" s="268" t="s">
        <v>203</v>
      </c>
      <c r="G542" s="268" t="s">
        <v>94</v>
      </c>
      <c r="H542" s="268" t="s">
        <v>89</v>
      </c>
      <c r="I542" s="442" t="s">
        <v>204</v>
      </c>
      <c r="J542" s="295"/>
      <c r="K542" s="295"/>
    </row>
    <row r="543" spans="1:17" x14ac:dyDescent="0.2">
      <c r="A543" s="244"/>
      <c r="B543" s="234"/>
      <c r="C543" s="234"/>
      <c r="D543" s="269"/>
      <c r="E543" s="270"/>
      <c r="F543" s="270"/>
      <c r="G543" s="239"/>
      <c r="H543" s="271"/>
      <c r="I543" s="418"/>
      <c r="J543" s="295"/>
      <c r="K543" s="295"/>
    </row>
    <row r="544" spans="1:17" x14ac:dyDescent="0.2">
      <c r="A544" s="200"/>
      <c r="B544" s="264"/>
      <c r="C544" s="200"/>
      <c r="D544" s="200"/>
      <c r="E544" s="200"/>
      <c r="F544" s="265" t="s">
        <v>205</v>
      </c>
      <c r="G544" s="240"/>
      <c r="H544" s="272"/>
      <c r="I544" s="443">
        <f>SUM(I543:I543)</f>
        <v>0</v>
      </c>
      <c r="J544" s="295"/>
      <c r="K544" s="295"/>
    </row>
    <row r="545" spans="1:13" x14ac:dyDescent="0.2">
      <c r="A545" s="200"/>
      <c r="B545" s="264"/>
      <c r="C545" s="200"/>
      <c r="D545" s="200"/>
      <c r="E545" s="200"/>
      <c r="F545" s="200"/>
      <c r="G545" s="200"/>
      <c r="H545" s="200"/>
      <c r="I545" s="444"/>
      <c r="J545" s="295"/>
      <c r="K545" s="295"/>
    </row>
    <row r="546" spans="1:13" x14ac:dyDescent="0.2">
      <c r="A546" s="273"/>
      <c r="B546" s="274"/>
      <c r="C546" s="275"/>
      <c r="D546" s="275"/>
      <c r="E546" s="275"/>
      <c r="F546" s="276" t="s">
        <v>206</v>
      </c>
      <c r="G546" s="273"/>
      <c r="H546" s="249"/>
      <c r="I546" s="445">
        <f>+I532+I536+I540+I544</f>
        <v>333.93</v>
      </c>
      <c r="J546" s="295"/>
      <c r="K546" s="295"/>
    </row>
    <row r="547" spans="1:13" x14ac:dyDescent="0.2">
      <c r="A547" s="255"/>
      <c r="B547" s="277"/>
      <c r="C547" s="266"/>
      <c r="D547" s="266"/>
      <c r="E547" s="266"/>
      <c r="F547" s="278" t="str">
        <f>CONCATENATE($H$3," ",$I$3)</f>
        <v>BDI: 23,32</v>
      </c>
      <c r="G547" s="403"/>
      <c r="H547" s="253"/>
      <c r="I547" s="446">
        <f>+ROUND(I546*$I$4,2)</f>
        <v>77.87</v>
      </c>
      <c r="J547" s="295"/>
      <c r="K547" s="295"/>
    </row>
    <row r="548" spans="1:13" x14ac:dyDescent="0.2">
      <c r="A548" s="240"/>
      <c r="B548" s="279"/>
      <c r="C548" s="272"/>
      <c r="D548" s="272"/>
      <c r="E548" s="272"/>
      <c r="F548" s="280" t="s">
        <v>207</v>
      </c>
      <c r="G548" s="404"/>
      <c r="H548" s="241"/>
      <c r="I548" s="720">
        <f>+I546+I547</f>
        <v>411.8</v>
      </c>
    </row>
    <row r="549" spans="1:13" x14ac:dyDescent="0.2">
      <c r="A549" s="1116" t="str">
        <f>$A$1</f>
        <v>COMPOSIÇÃO DE CUSTOS UNITÁRIOS</v>
      </c>
      <c r="B549" s="1116"/>
      <c r="C549" s="1116"/>
      <c r="D549" s="1116"/>
      <c r="E549" s="1116"/>
      <c r="F549" s="1116"/>
      <c r="G549" s="1116"/>
      <c r="H549" s="1116"/>
      <c r="I549" s="1116"/>
    </row>
    <row r="550" spans="1:13" x14ac:dyDescent="0.2">
      <c r="A550" s="228" t="str">
        <f>$A$2</f>
        <v>Tabela Referencial de Preços - DER-ES</v>
      </c>
      <c r="B550" s="229"/>
      <c r="C550" s="199"/>
      <c r="D550" s="199"/>
      <c r="E550" s="199"/>
      <c r="F550" s="199"/>
      <c r="G550" s="199"/>
      <c r="H550" s="199"/>
      <c r="I550" s="414" t="str">
        <f>$I$2</f>
        <v>Data Base: novembro/2020</v>
      </c>
      <c r="J550" s="400">
        <v>41545</v>
      </c>
      <c r="K550" s="400">
        <f>VLOOKUP("Preço Unitário Total",F552:I4015,4,FALSE)</f>
        <v>210.82</v>
      </c>
      <c r="L550" s="295">
        <f>VLOOKUP(J550,'DER 11-20'!A:E,5,FALSE)</f>
        <v>0</v>
      </c>
      <c r="M550" s="295" t="str">
        <f>VLOOKUP(J550,'DER 11-20'!$A:$D,2,FALSE)</f>
        <v>Mobilização e desmobilização de caminhão carroceria (máximo)</v>
      </c>
    </row>
    <row r="551" spans="1:13" x14ac:dyDescent="0.2">
      <c r="A551" s="1117" t="str">
        <f>+CONCATENATE("Serviço: ",J550," ",VLOOKUP(J550,'DER 11-20'!$A:$D,2,FALSE))</f>
        <v>Serviço: 41545 Mobilização e desmobilização de caminhão carroceria (máximo)</v>
      </c>
      <c r="B551" s="1117"/>
      <c r="C551" s="1117"/>
      <c r="D551" s="1117"/>
      <c r="E551" s="1117"/>
      <c r="F551" s="1117"/>
      <c r="G551" s="1117"/>
      <c r="H551" s="1117"/>
      <c r="I551" s="1119" t="str">
        <f>CONCATENATE("Unidade: ", VLOOKUP(J550,'DER 11-20'!$A:$E,3,FALSE))</f>
        <v>Unidade: h</v>
      </c>
    </row>
    <row r="552" spans="1:13" x14ac:dyDescent="0.2">
      <c r="A552" s="1118"/>
      <c r="B552" s="1118"/>
      <c r="C552" s="1118"/>
      <c r="D552" s="1118"/>
      <c r="E552" s="1118"/>
      <c r="F552" s="1118"/>
      <c r="G552" s="1118"/>
      <c r="H552" s="1118"/>
      <c r="I552" s="1120"/>
    </row>
    <row r="553" spans="1:13" ht="22.5" x14ac:dyDescent="0.2">
      <c r="A553" s="231" t="s">
        <v>177</v>
      </c>
      <c r="B553" s="232" t="s">
        <v>59</v>
      </c>
      <c r="C553" s="232" t="s">
        <v>178</v>
      </c>
      <c r="D553" s="232" t="s">
        <v>179</v>
      </c>
      <c r="E553" s="232" t="s">
        <v>180</v>
      </c>
      <c r="F553" s="232" t="s">
        <v>181</v>
      </c>
      <c r="G553" s="232" t="s">
        <v>182</v>
      </c>
      <c r="H553" s="232" t="s">
        <v>89</v>
      </c>
      <c r="I553" s="434" t="s">
        <v>183</v>
      </c>
    </row>
    <row r="554" spans="1:13" ht="22.5" x14ac:dyDescent="0.2">
      <c r="A554" s="233" t="str">
        <f>VLOOKUP(B554,equip.!$A:$G,2,FALSE)</f>
        <v>Caminhão carroceria 1518/48 PBT=19,0t (TRUCK 15,0t)</v>
      </c>
      <c r="B554" s="234">
        <v>30006</v>
      </c>
      <c r="C554" s="235" t="str">
        <f>VLOOKUP(B554,equip.!$A$1:$G$239,3,FALSE)</f>
        <v>M</v>
      </c>
      <c r="D554" s="236">
        <v>0.9</v>
      </c>
      <c r="E554" s="203">
        <v>0.1</v>
      </c>
      <c r="F554" s="237">
        <f>VLOOKUP(B554,equip.!$A:$G,6,FALSE)</f>
        <v>168.37</v>
      </c>
      <c r="G554" s="237">
        <f>VLOOKUP(B554,equip.!$A:$G,7,FALSE)</f>
        <v>54.21</v>
      </c>
      <c r="H554" s="238">
        <v>1</v>
      </c>
      <c r="I554" s="418">
        <f>TRUNC(D554*F554*H554+E554*G554*H554,2)</f>
        <v>156.94999999999999</v>
      </c>
    </row>
    <row r="555" spans="1:13" x14ac:dyDescent="0.2">
      <c r="A555" s="199"/>
      <c r="B555" s="229"/>
      <c r="C555" s="229"/>
      <c r="D555" s="199"/>
      <c r="E555" s="199"/>
      <c r="F555" s="230" t="s">
        <v>184</v>
      </c>
      <c r="G555" s="240"/>
      <c r="H555" s="241"/>
      <c r="I555" s="438">
        <f>SUM(I554:I554)</f>
        <v>156.94999999999999</v>
      </c>
    </row>
    <row r="556" spans="1:13" x14ac:dyDescent="0.2">
      <c r="A556" s="199"/>
      <c r="B556" s="229"/>
      <c r="C556" s="229"/>
      <c r="D556" s="199"/>
      <c r="E556" s="199"/>
      <c r="F556" s="199"/>
      <c r="G556" s="199"/>
      <c r="H556" s="199"/>
      <c r="I556" s="439"/>
    </row>
    <row r="557" spans="1:13" x14ac:dyDescent="0.2">
      <c r="A557" s="242" t="s">
        <v>185</v>
      </c>
      <c r="B557" s="243" t="s">
        <v>59</v>
      </c>
      <c r="C557" s="232" t="s">
        <v>357</v>
      </c>
      <c r="D557" s="243" t="s">
        <v>187</v>
      </c>
      <c r="E557" s="1121" t="s">
        <v>89</v>
      </c>
      <c r="F557" s="1114"/>
      <c r="G557" s="1115"/>
      <c r="H557" s="1121" t="s">
        <v>183</v>
      </c>
      <c r="I557" s="1115"/>
    </row>
    <row r="558" spans="1:13" x14ac:dyDescent="0.2">
      <c r="A558" s="244"/>
      <c r="B558" s="234"/>
      <c r="C558" s="239"/>
      <c r="D558" s="239"/>
      <c r="E558" s="240"/>
      <c r="F558" s="241"/>
      <c r="G558" s="405"/>
      <c r="H558" s="240"/>
      <c r="I558" s="427"/>
    </row>
    <row r="559" spans="1:13" x14ac:dyDescent="0.2">
      <c r="A559" s="199"/>
      <c r="B559" s="229"/>
      <c r="C559" s="229"/>
      <c r="D559" s="199"/>
      <c r="E559" s="199"/>
      <c r="F559" s="230" t="s">
        <v>188</v>
      </c>
      <c r="G559" s="240"/>
      <c r="H559" s="241"/>
      <c r="I559" s="438">
        <f>SUM(I558:I558)</f>
        <v>0</v>
      </c>
    </row>
    <row r="560" spans="1:13" x14ac:dyDescent="0.2">
      <c r="A560" s="199"/>
      <c r="B560" s="229"/>
      <c r="C560" s="229"/>
      <c r="D560" s="199"/>
      <c r="E560" s="199"/>
      <c r="F560" s="199"/>
      <c r="G560" s="199"/>
      <c r="H560" s="199"/>
      <c r="I560" s="439"/>
    </row>
    <row r="561" spans="1:17" x14ac:dyDescent="0.2">
      <c r="A561" s="245" t="s">
        <v>189</v>
      </c>
      <c r="B561" s="243" t="s">
        <v>59</v>
      </c>
      <c r="C561" s="635" t="s">
        <v>17</v>
      </c>
      <c r="D561" s="243" t="s">
        <v>190</v>
      </c>
      <c r="E561" s="243" t="s">
        <v>191</v>
      </c>
      <c r="F561" s="243" t="s">
        <v>192</v>
      </c>
      <c r="G561" s="1121" t="s">
        <v>94</v>
      </c>
      <c r="H561" s="1114"/>
      <c r="I561" s="1115"/>
    </row>
    <row r="562" spans="1:17" x14ac:dyDescent="0.2">
      <c r="A562" s="244"/>
      <c r="B562" s="234"/>
      <c r="C562" s="239"/>
      <c r="D562" s="235"/>
      <c r="E562" s="246"/>
      <c r="F562" s="246"/>
      <c r="G562" s="240"/>
      <c r="H562" s="241"/>
      <c r="I562" s="427"/>
      <c r="J562" s="295"/>
      <c r="K562" s="295"/>
    </row>
    <row r="563" spans="1:17" x14ac:dyDescent="0.2">
      <c r="A563" s="199"/>
      <c r="B563" s="229"/>
      <c r="C563" s="199"/>
      <c r="D563" s="199"/>
      <c r="E563" s="199"/>
      <c r="F563" s="230" t="s">
        <v>327</v>
      </c>
      <c r="G563" s="240"/>
      <c r="H563" s="241"/>
      <c r="I563" s="438">
        <f>SUM(I562)</f>
        <v>0</v>
      </c>
      <c r="J563" s="295"/>
      <c r="K563" s="295"/>
    </row>
    <row r="564" spans="1:17" x14ac:dyDescent="0.2">
      <c r="A564" s="199"/>
      <c r="B564" s="229"/>
      <c r="C564" s="199"/>
      <c r="D564" s="199"/>
      <c r="E564" s="199"/>
      <c r="F564" s="199"/>
      <c r="G564" s="199"/>
      <c r="H564" s="199"/>
      <c r="I564" s="439"/>
      <c r="J564" s="295"/>
      <c r="K564" s="295"/>
    </row>
    <row r="565" spans="1:17" x14ac:dyDescent="0.2">
      <c r="A565" s="247"/>
      <c r="B565" s="248"/>
      <c r="C565" s="249"/>
      <c r="D565" s="249"/>
      <c r="E565" s="249"/>
      <c r="F565" s="250" t="s">
        <v>193</v>
      </c>
      <c r="G565" s="401"/>
      <c r="H565" s="249"/>
      <c r="I565" s="445">
        <f>+I555+I559+I563</f>
        <v>156.94999999999999</v>
      </c>
      <c r="J565" s="295"/>
      <c r="K565" s="295"/>
    </row>
    <row r="566" spans="1:17" x14ac:dyDescent="0.2">
      <c r="A566" s="251"/>
      <c r="B566" s="252"/>
      <c r="C566" s="253"/>
      <c r="D566" s="253"/>
      <c r="E566" s="253"/>
      <c r="F566" s="254" t="s">
        <v>194</v>
      </c>
      <c r="G566" s="255"/>
      <c r="H566" s="253"/>
      <c r="I566" s="446">
        <v>1</v>
      </c>
      <c r="J566" s="295"/>
      <c r="K566" s="295"/>
    </row>
    <row r="567" spans="1:17" x14ac:dyDescent="0.2">
      <c r="A567" s="233"/>
      <c r="B567" s="256"/>
      <c r="C567" s="241"/>
      <c r="D567" s="241"/>
      <c r="E567" s="241"/>
      <c r="F567" s="257" t="s">
        <v>216</v>
      </c>
      <c r="G567" s="240"/>
      <c r="H567" s="241"/>
      <c r="I567" s="447">
        <f>TRUNC(I565/I566,2)</f>
        <v>156.94999999999999</v>
      </c>
      <c r="J567" s="295"/>
      <c r="K567" s="295"/>
    </row>
    <row r="568" spans="1:17" x14ac:dyDescent="0.2">
      <c r="A568" s="636"/>
      <c r="B568" s="229"/>
      <c r="C568" s="199"/>
      <c r="D568" s="199"/>
      <c r="E568" s="199"/>
      <c r="F568" s="258"/>
      <c r="G568" s="199"/>
      <c r="H568" s="199"/>
      <c r="I568" s="450"/>
      <c r="J568" s="295"/>
      <c r="K568" s="295"/>
    </row>
    <row r="569" spans="1:17" x14ac:dyDescent="0.2">
      <c r="A569" s="242" t="s">
        <v>195</v>
      </c>
      <c r="B569" s="243" t="s">
        <v>59</v>
      </c>
      <c r="C569" s="243" t="s">
        <v>196</v>
      </c>
      <c r="D569" s="243" t="s">
        <v>217</v>
      </c>
      <c r="E569" s="1121" t="s">
        <v>89</v>
      </c>
      <c r="F569" s="1114"/>
      <c r="G569" s="1115"/>
      <c r="H569" s="1121" t="s">
        <v>183</v>
      </c>
      <c r="I569" s="1115"/>
      <c r="J569" s="295"/>
      <c r="K569" s="295"/>
    </row>
    <row r="570" spans="1:17" s="198" customFormat="1" x14ac:dyDescent="0.2">
      <c r="A570" s="259" t="str">
        <f>VLOOKUP(B570,mat.!$A:$D,2,FALSE)</f>
        <v>Diária</v>
      </c>
      <c r="B570" s="234">
        <v>11020</v>
      </c>
      <c r="C570" s="260" t="str">
        <f>VLOOKUP(B570,mat.!$A:$D,3,FALSE)</f>
        <v>DIA</v>
      </c>
      <c r="D570" s="261">
        <f>VLOOKUP(B570,mat.!$A:$D,4,FALSE)</f>
        <v>112</v>
      </c>
      <c r="E570" s="255"/>
      <c r="F570" s="253"/>
      <c r="G570" s="293">
        <v>0.125</v>
      </c>
      <c r="H570" s="255"/>
      <c r="I570" s="423">
        <f>TRUNC(D570*G570,2)</f>
        <v>14</v>
      </c>
      <c r="J570" s="295"/>
      <c r="K570" s="295"/>
      <c r="L570" s="295"/>
      <c r="M570" s="295"/>
      <c r="N570" s="295"/>
      <c r="O570" s="295"/>
      <c r="P570" s="295"/>
      <c r="Q570" s="295"/>
    </row>
    <row r="571" spans="1:17" s="198" customFormat="1" x14ac:dyDescent="0.2">
      <c r="A571" s="199"/>
      <c r="B571" s="229"/>
      <c r="C571" s="199"/>
      <c r="D571" s="199"/>
      <c r="E571" s="199"/>
      <c r="F571" s="230" t="s">
        <v>197</v>
      </c>
      <c r="G571" s="240"/>
      <c r="H571" s="241"/>
      <c r="I571" s="438">
        <f>SUM(I570:I570)</f>
        <v>14</v>
      </c>
      <c r="J571" s="295"/>
      <c r="K571" s="295"/>
      <c r="L571" s="295"/>
      <c r="M571" s="295"/>
      <c r="N571" s="295"/>
      <c r="O571" s="295"/>
      <c r="P571" s="295"/>
      <c r="Q571" s="295"/>
    </row>
    <row r="572" spans="1:17" s="198" customFormat="1" x14ac:dyDescent="0.2">
      <c r="A572" s="199"/>
      <c r="B572" s="229"/>
      <c r="C572" s="199"/>
      <c r="D572" s="199"/>
      <c r="E572" s="199"/>
      <c r="F572" s="199"/>
      <c r="G572" s="262"/>
      <c r="H572" s="199"/>
      <c r="I572" s="439"/>
      <c r="J572" s="295"/>
      <c r="K572" s="295"/>
      <c r="L572" s="295"/>
      <c r="M572" s="295"/>
      <c r="N572" s="295"/>
      <c r="O572" s="295"/>
      <c r="P572" s="295"/>
      <c r="Q572" s="295"/>
    </row>
    <row r="573" spans="1:17" s="198" customFormat="1" x14ac:dyDescent="0.2">
      <c r="A573" s="263" t="s">
        <v>198</v>
      </c>
      <c r="B573" s="243" t="s">
        <v>59</v>
      </c>
      <c r="C573" s="243" t="s">
        <v>196</v>
      </c>
      <c r="D573" s="635" t="s">
        <v>217</v>
      </c>
      <c r="E573" s="1121" t="s">
        <v>89</v>
      </c>
      <c r="F573" s="1114"/>
      <c r="G573" s="1115"/>
      <c r="H573" s="1121" t="s">
        <v>183</v>
      </c>
      <c r="I573" s="1115"/>
      <c r="J573" s="295"/>
      <c r="K573" s="295"/>
      <c r="L573" s="295"/>
      <c r="M573" s="295"/>
      <c r="N573" s="295"/>
      <c r="O573" s="295"/>
      <c r="P573" s="295"/>
      <c r="Q573" s="295"/>
    </row>
    <row r="574" spans="1:17" x14ac:dyDescent="0.2">
      <c r="A574" s="244"/>
      <c r="B574" s="234"/>
      <c r="C574" s="234"/>
      <c r="D574" s="239"/>
      <c r="E574" s="240"/>
      <c r="F574" s="253"/>
      <c r="G574" s="293"/>
      <c r="H574" s="240"/>
      <c r="I574" s="423"/>
      <c r="J574" s="295"/>
      <c r="K574" s="295"/>
    </row>
    <row r="575" spans="1:17" x14ac:dyDescent="0.2">
      <c r="A575" s="200"/>
      <c r="B575" s="264"/>
      <c r="C575" s="200"/>
      <c r="D575" s="200"/>
      <c r="E575" s="200"/>
      <c r="F575" s="265" t="s">
        <v>199</v>
      </c>
      <c r="G575" s="255"/>
      <c r="H575" s="266"/>
      <c r="I575" s="441">
        <f>SUM(I574:I574)</f>
        <v>0</v>
      </c>
      <c r="J575" s="295"/>
      <c r="K575" s="295"/>
    </row>
    <row r="576" spans="1:17" x14ac:dyDescent="0.2">
      <c r="A576" s="200"/>
      <c r="B576" s="264"/>
      <c r="C576" s="200"/>
      <c r="D576" s="200"/>
      <c r="E576" s="200"/>
      <c r="F576" s="200"/>
      <c r="G576" s="200"/>
      <c r="H576" s="200"/>
      <c r="I576" s="440"/>
      <c r="J576" s="295"/>
      <c r="K576" s="295"/>
    </row>
    <row r="577" spans="1:13" x14ac:dyDescent="0.2">
      <c r="A577" s="267" t="s">
        <v>200</v>
      </c>
      <c r="B577" s="268" t="s">
        <v>59</v>
      </c>
      <c r="C577" s="268" t="s">
        <v>196</v>
      </c>
      <c r="D577" s="268" t="s">
        <v>201</v>
      </c>
      <c r="E577" s="268" t="s">
        <v>202</v>
      </c>
      <c r="F577" s="268" t="s">
        <v>203</v>
      </c>
      <c r="G577" s="268" t="s">
        <v>94</v>
      </c>
      <c r="H577" s="268" t="s">
        <v>89</v>
      </c>
      <c r="I577" s="442" t="s">
        <v>204</v>
      </c>
      <c r="J577" s="295"/>
      <c r="K577" s="295"/>
    </row>
    <row r="578" spans="1:13" x14ac:dyDescent="0.2">
      <c r="A578" s="244"/>
      <c r="B578" s="234"/>
      <c r="C578" s="234"/>
      <c r="D578" s="269"/>
      <c r="E578" s="270"/>
      <c r="F578" s="270"/>
      <c r="G578" s="239"/>
      <c r="H578" s="271"/>
      <c r="I578" s="418"/>
    </row>
    <row r="579" spans="1:13" x14ac:dyDescent="0.2">
      <c r="A579" s="200"/>
      <c r="B579" s="264"/>
      <c r="C579" s="200"/>
      <c r="D579" s="200"/>
      <c r="E579" s="200"/>
      <c r="F579" s="265" t="s">
        <v>205</v>
      </c>
      <c r="G579" s="240"/>
      <c r="H579" s="272"/>
      <c r="I579" s="443">
        <f>SUM(I578:I578)</f>
        <v>0</v>
      </c>
    </row>
    <row r="580" spans="1:13" x14ac:dyDescent="0.2">
      <c r="A580" s="200"/>
      <c r="B580" s="264"/>
      <c r="C580" s="200"/>
      <c r="D580" s="200"/>
      <c r="E580" s="200"/>
      <c r="F580" s="200"/>
      <c r="G580" s="200"/>
      <c r="H580" s="200"/>
      <c r="I580" s="444"/>
    </row>
    <row r="581" spans="1:13" x14ac:dyDescent="0.2">
      <c r="A581" s="273"/>
      <c r="B581" s="274"/>
      <c r="C581" s="275"/>
      <c r="D581" s="275"/>
      <c r="E581" s="275"/>
      <c r="F581" s="276" t="s">
        <v>206</v>
      </c>
      <c r="G581" s="273"/>
      <c r="H581" s="249"/>
      <c r="I581" s="445">
        <f>+I567+I571+I575+I579</f>
        <v>170.95</v>
      </c>
    </row>
    <row r="582" spans="1:13" x14ac:dyDescent="0.2">
      <c r="A582" s="255"/>
      <c r="B582" s="277"/>
      <c r="C582" s="266"/>
      <c r="D582" s="266"/>
      <c r="E582" s="266"/>
      <c r="F582" s="278" t="str">
        <f>CONCATENATE($H$3," ",$I$3)</f>
        <v>BDI: 23,32</v>
      </c>
      <c r="G582" s="403"/>
      <c r="H582" s="253"/>
      <c r="I582" s="446">
        <f>+ROUND(I581*$I$4,2)</f>
        <v>39.869999999999997</v>
      </c>
    </row>
    <row r="583" spans="1:13" x14ac:dyDescent="0.2">
      <c r="A583" s="240"/>
      <c r="B583" s="279"/>
      <c r="C583" s="272"/>
      <c r="D583" s="272"/>
      <c r="E583" s="272"/>
      <c r="F583" s="280" t="s">
        <v>207</v>
      </c>
      <c r="G583" s="404"/>
      <c r="H583" s="241"/>
      <c r="I583" s="720">
        <f>+I581+I582</f>
        <v>210.82</v>
      </c>
    </row>
    <row r="584" spans="1:13" x14ac:dyDescent="0.2">
      <c r="A584" s="1116" t="str">
        <f>$A$1</f>
        <v>COMPOSIÇÃO DE CUSTOS UNITÁRIOS</v>
      </c>
      <c r="B584" s="1116"/>
      <c r="C584" s="1116"/>
      <c r="D584" s="1116"/>
      <c r="E584" s="1116"/>
      <c r="F584" s="1116"/>
      <c r="G584" s="1116"/>
      <c r="H584" s="1116"/>
      <c r="I584" s="1116"/>
    </row>
    <row r="585" spans="1:13" x14ac:dyDescent="0.2">
      <c r="A585" s="228" t="str">
        <f>$A$2</f>
        <v>Tabela Referencial de Preços - DER-ES</v>
      </c>
      <c r="B585" s="229"/>
      <c r="C585" s="199"/>
      <c r="D585" s="199"/>
      <c r="E585" s="199"/>
      <c r="F585" s="199"/>
      <c r="G585" s="199"/>
      <c r="H585" s="199"/>
      <c r="I585" s="414" t="str">
        <f>$I$2</f>
        <v>Data Base: novembro/2020</v>
      </c>
      <c r="J585" s="400">
        <v>41546</v>
      </c>
      <c r="K585" s="400">
        <f>VLOOKUP("Preço Unitário Total",F587:I4015,4,FALSE)</f>
        <v>246.09</v>
      </c>
      <c r="L585" s="295">
        <f>VLOOKUP(J585,'DER 11-20'!A:E,5,FALSE)</f>
        <v>0</v>
      </c>
      <c r="M585" s="295" t="str">
        <f>VLOOKUP(J585,'DER 11-20'!$A:$D,2,FALSE)</f>
        <v>Mobilização e desmobilização de caminhão basculante (máximo)</v>
      </c>
    </row>
    <row r="586" spans="1:13" x14ac:dyDescent="0.2">
      <c r="A586" s="1117" t="str">
        <f>+CONCATENATE("Serviço: ",J585," ",VLOOKUP(J585,'DER 11-20'!$A:$D,2,FALSE))</f>
        <v>Serviço: 41546 Mobilização e desmobilização de caminhão basculante (máximo)</v>
      </c>
      <c r="B586" s="1117"/>
      <c r="C586" s="1117"/>
      <c r="D586" s="1117"/>
      <c r="E586" s="1117"/>
      <c r="F586" s="1117"/>
      <c r="G586" s="1117"/>
      <c r="H586" s="1117"/>
      <c r="I586" s="1119" t="str">
        <f>CONCATENATE("Unidade: ", VLOOKUP(J585,'DER 11-20'!$A:$E,3,FALSE))</f>
        <v>Unidade: h</v>
      </c>
    </row>
    <row r="587" spans="1:13" x14ac:dyDescent="0.2">
      <c r="A587" s="1118"/>
      <c r="B587" s="1118"/>
      <c r="C587" s="1118"/>
      <c r="D587" s="1118"/>
      <c r="E587" s="1118"/>
      <c r="F587" s="1118"/>
      <c r="G587" s="1118"/>
      <c r="H587" s="1118"/>
      <c r="I587" s="1120"/>
    </row>
    <row r="588" spans="1:13" ht="22.5" x14ac:dyDescent="0.2">
      <c r="A588" s="231" t="s">
        <v>177</v>
      </c>
      <c r="B588" s="232" t="s">
        <v>59</v>
      </c>
      <c r="C588" s="232" t="s">
        <v>178</v>
      </c>
      <c r="D588" s="232" t="s">
        <v>179</v>
      </c>
      <c r="E588" s="232" t="s">
        <v>180</v>
      </c>
      <c r="F588" s="232" t="s">
        <v>181</v>
      </c>
      <c r="G588" s="232" t="s">
        <v>182</v>
      </c>
      <c r="H588" s="232" t="s">
        <v>89</v>
      </c>
      <c r="I588" s="434" t="s">
        <v>183</v>
      </c>
    </row>
    <row r="589" spans="1:13" ht="22.5" x14ac:dyDescent="0.2">
      <c r="A589" s="233" t="str">
        <f>VLOOKUP(B589,equip.!$A:$G,2,FALSE)</f>
        <v>Caminhão basculante L 2324/41 PBT=22,0t (TRUCK 15,0t)</v>
      </c>
      <c r="B589" s="234">
        <v>30002</v>
      </c>
      <c r="C589" s="235" t="str">
        <f>VLOOKUP(B589,equip.!$A$1:$G$239,3,FALSE)</f>
        <v>M</v>
      </c>
      <c r="D589" s="236">
        <v>0.9</v>
      </c>
      <c r="E589" s="203">
        <v>0.1</v>
      </c>
      <c r="F589" s="237">
        <f>VLOOKUP(B589,equip.!$A:$G,6,FALSE)</f>
        <v>199.72</v>
      </c>
      <c r="G589" s="237">
        <f>VLOOKUP(B589,equip.!$A:$G,7,FALSE)</f>
        <v>58.09</v>
      </c>
      <c r="H589" s="238">
        <v>1</v>
      </c>
      <c r="I589" s="418">
        <f>TRUNC(D589*F589*H589+E589*G589*H589,2)</f>
        <v>185.55</v>
      </c>
    </row>
    <row r="590" spans="1:13" x14ac:dyDescent="0.2">
      <c r="A590" s="199"/>
      <c r="B590" s="229"/>
      <c r="C590" s="229"/>
      <c r="D590" s="199"/>
      <c r="E590" s="199"/>
      <c r="F590" s="230" t="s">
        <v>184</v>
      </c>
      <c r="G590" s="240"/>
      <c r="H590" s="241"/>
      <c r="I590" s="438">
        <f>SUM(I589:I589)</f>
        <v>185.55</v>
      </c>
    </row>
    <row r="591" spans="1:13" x14ac:dyDescent="0.2">
      <c r="A591" s="199"/>
      <c r="B591" s="229"/>
      <c r="C591" s="229"/>
      <c r="D591" s="199"/>
      <c r="E591" s="199"/>
      <c r="F591" s="199"/>
      <c r="G591" s="199"/>
      <c r="H591" s="199"/>
      <c r="I591" s="439"/>
    </row>
    <row r="592" spans="1:13" x14ac:dyDescent="0.2">
      <c r="A592" s="242" t="s">
        <v>185</v>
      </c>
      <c r="B592" s="243" t="s">
        <v>59</v>
      </c>
      <c r="C592" s="232" t="s">
        <v>357</v>
      </c>
      <c r="D592" s="243" t="s">
        <v>187</v>
      </c>
      <c r="E592" s="1121" t="s">
        <v>89</v>
      </c>
      <c r="F592" s="1114"/>
      <c r="G592" s="1115"/>
      <c r="H592" s="1121" t="s">
        <v>183</v>
      </c>
      <c r="I592" s="1115"/>
    </row>
    <row r="593" spans="1:17" x14ac:dyDescent="0.2">
      <c r="A593" s="244"/>
      <c r="B593" s="234"/>
      <c r="C593" s="239"/>
      <c r="D593" s="239"/>
      <c r="E593" s="240"/>
      <c r="F593" s="241"/>
      <c r="G593" s="405"/>
      <c r="H593" s="240"/>
      <c r="I593" s="427"/>
    </row>
    <row r="594" spans="1:17" x14ac:dyDescent="0.2">
      <c r="A594" s="199"/>
      <c r="B594" s="229"/>
      <c r="C594" s="229"/>
      <c r="D594" s="199"/>
      <c r="E594" s="199"/>
      <c r="F594" s="230" t="s">
        <v>188</v>
      </c>
      <c r="G594" s="240"/>
      <c r="H594" s="241"/>
      <c r="I594" s="438">
        <f>SUM(I593:I593)</f>
        <v>0</v>
      </c>
      <c r="J594" s="295"/>
      <c r="K594" s="295"/>
    </row>
    <row r="595" spans="1:17" x14ac:dyDescent="0.2">
      <c r="A595" s="199"/>
      <c r="B595" s="229"/>
      <c r="C595" s="229"/>
      <c r="D595" s="199"/>
      <c r="E595" s="199"/>
      <c r="F595" s="199"/>
      <c r="G595" s="199"/>
      <c r="H595" s="199"/>
      <c r="I595" s="439"/>
      <c r="J595" s="295"/>
      <c r="K595" s="295"/>
    </row>
    <row r="596" spans="1:17" x14ac:dyDescent="0.2">
      <c r="A596" s="245" t="s">
        <v>189</v>
      </c>
      <c r="B596" s="243" t="s">
        <v>59</v>
      </c>
      <c r="C596" s="635" t="s">
        <v>17</v>
      </c>
      <c r="D596" s="243" t="s">
        <v>190</v>
      </c>
      <c r="E596" s="243" t="s">
        <v>191</v>
      </c>
      <c r="F596" s="243" t="s">
        <v>192</v>
      </c>
      <c r="G596" s="1121" t="s">
        <v>94</v>
      </c>
      <c r="H596" s="1114"/>
      <c r="I596" s="1115"/>
      <c r="J596" s="295"/>
      <c r="K596" s="295"/>
    </row>
    <row r="597" spans="1:17" x14ac:dyDescent="0.2">
      <c r="A597" s="244"/>
      <c r="B597" s="234"/>
      <c r="C597" s="239"/>
      <c r="D597" s="235"/>
      <c r="E597" s="246"/>
      <c r="F597" s="246"/>
      <c r="G597" s="240"/>
      <c r="H597" s="241"/>
      <c r="I597" s="427"/>
      <c r="J597" s="295"/>
      <c r="K597" s="295"/>
    </row>
    <row r="598" spans="1:17" x14ac:dyDescent="0.2">
      <c r="A598" s="199"/>
      <c r="B598" s="229"/>
      <c r="C598" s="199"/>
      <c r="D598" s="199"/>
      <c r="E598" s="199"/>
      <c r="F598" s="230" t="s">
        <v>327</v>
      </c>
      <c r="G598" s="240"/>
      <c r="H598" s="241"/>
      <c r="I598" s="438">
        <f>SUM(I597)</f>
        <v>0</v>
      </c>
      <c r="J598" s="295"/>
      <c r="K598" s="295"/>
    </row>
    <row r="599" spans="1:17" x14ac:dyDescent="0.2">
      <c r="A599" s="199"/>
      <c r="B599" s="229"/>
      <c r="C599" s="199"/>
      <c r="D599" s="199"/>
      <c r="E599" s="199"/>
      <c r="F599" s="199"/>
      <c r="G599" s="199"/>
      <c r="H599" s="199"/>
      <c r="I599" s="439"/>
      <c r="J599" s="295"/>
      <c r="K599" s="295"/>
    </row>
    <row r="600" spans="1:17" x14ac:dyDescent="0.2">
      <c r="A600" s="247"/>
      <c r="B600" s="248"/>
      <c r="C600" s="249"/>
      <c r="D600" s="249"/>
      <c r="E600" s="249"/>
      <c r="F600" s="250" t="s">
        <v>193</v>
      </c>
      <c r="G600" s="401"/>
      <c r="H600" s="249"/>
      <c r="I600" s="445">
        <f>+I590+I594+I598</f>
        <v>185.55</v>
      </c>
      <c r="J600" s="295"/>
      <c r="K600" s="295"/>
    </row>
    <row r="601" spans="1:17" x14ac:dyDescent="0.2">
      <c r="A601" s="251"/>
      <c r="B601" s="252"/>
      <c r="C601" s="253"/>
      <c r="D601" s="253"/>
      <c r="E601" s="253"/>
      <c r="F601" s="254" t="s">
        <v>194</v>
      </c>
      <c r="G601" s="255"/>
      <c r="H601" s="253"/>
      <c r="I601" s="446">
        <v>1</v>
      </c>
      <c r="J601" s="295"/>
      <c r="K601" s="295"/>
    </row>
    <row r="602" spans="1:17" x14ac:dyDescent="0.2">
      <c r="A602" s="233"/>
      <c r="B602" s="256"/>
      <c r="C602" s="241"/>
      <c r="D602" s="241"/>
      <c r="E602" s="241"/>
      <c r="F602" s="257" t="s">
        <v>216</v>
      </c>
      <c r="G602" s="240"/>
      <c r="H602" s="241"/>
      <c r="I602" s="447">
        <f>TRUNC(I600/I601,2)</f>
        <v>185.55</v>
      </c>
      <c r="J602" s="295"/>
      <c r="K602" s="295"/>
    </row>
    <row r="603" spans="1:17" x14ac:dyDescent="0.2">
      <c r="A603" s="636"/>
      <c r="B603" s="229"/>
      <c r="C603" s="199"/>
      <c r="D603" s="199"/>
      <c r="E603" s="199"/>
      <c r="F603" s="258"/>
      <c r="G603" s="199"/>
      <c r="H603" s="199"/>
      <c r="I603" s="450"/>
      <c r="J603" s="295"/>
      <c r="K603" s="295"/>
    </row>
    <row r="604" spans="1:17" x14ac:dyDescent="0.2">
      <c r="A604" s="242" t="s">
        <v>195</v>
      </c>
      <c r="B604" s="243" t="s">
        <v>59</v>
      </c>
      <c r="C604" s="243" t="s">
        <v>196</v>
      </c>
      <c r="D604" s="243" t="s">
        <v>217</v>
      </c>
      <c r="E604" s="1121" t="s">
        <v>89</v>
      </c>
      <c r="F604" s="1114"/>
      <c r="G604" s="1115"/>
      <c r="H604" s="1121" t="s">
        <v>183</v>
      </c>
      <c r="I604" s="1115"/>
      <c r="J604" s="295"/>
      <c r="K604" s="295"/>
    </row>
    <row r="605" spans="1:17" s="198" customFormat="1" x14ac:dyDescent="0.2">
      <c r="A605" s="259" t="str">
        <f>VLOOKUP(B605,mat.!$A:$D,2,FALSE)</f>
        <v>Diária</v>
      </c>
      <c r="B605" s="234">
        <v>11020</v>
      </c>
      <c r="C605" s="260" t="str">
        <f>VLOOKUP(B605,mat.!$A:$D,3,FALSE)</f>
        <v>DIA</v>
      </c>
      <c r="D605" s="261">
        <f>VLOOKUP(B605,mat.!$A:$D,4,FALSE)</f>
        <v>112</v>
      </c>
      <c r="E605" s="255"/>
      <c r="F605" s="253"/>
      <c r="G605" s="293">
        <v>0.125</v>
      </c>
      <c r="H605" s="255"/>
      <c r="I605" s="423">
        <f>TRUNC(D605*G605,2)</f>
        <v>14</v>
      </c>
      <c r="J605" s="295"/>
      <c r="K605" s="295"/>
      <c r="L605" s="295"/>
      <c r="M605" s="295"/>
      <c r="N605" s="295"/>
      <c r="O605" s="295"/>
      <c r="P605" s="295"/>
      <c r="Q605" s="295"/>
    </row>
    <row r="606" spans="1:17" s="198" customFormat="1" x14ac:dyDescent="0.2">
      <c r="A606" s="199"/>
      <c r="B606" s="229"/>
      <c r="C606" s="199"/>
      <c r="D606" s="199"/>
      <c r="E606" s="199"/>
      <c r="F606" s="230" t="s">
        <v>197</v>
      </c>
      <c r="G606" s="240"/>
      <c r="H606" s="241"/>
      <c r="I606" s="438">
        <f>SUM(I605:I605)</f>
        <v>14</v>
      </c>
      <c r="J606" s="295"/>
      <c r="K606" s="295"/>
      <c r="L606" s="295"/>
      <c r="M606" s="295"/>
      <c r="N606" s="295"/>
      <c r="O606" s="295"/>
      <c r="P606" s="295"/>
      <c r="Q606" s="295"/>
    </row>
    <row r="607" spans="1:17" s="198" customFormat="1" x14ac:dyDescent="0.2">
      <c r="A607" s="199"/>
      <c r="B607" s="229"/>
      <c r="C607" s="199"/>
      <c r="D607" s="199"/>
      <c r="E607" s="199"/>
      <c r="F607" s="199"/>
      <c r="G607" s="262"/>
      <c r="H607" s="199"/>
      <c r="I607" s="439"/>
      <c r="J607" s="295"/>
      <c r="K607" s="295"/>
      <c r="L607" s="295"/>
      <c r="M607" s="295"/>
      <c r="N607" s="295"/>
      <c r="O607" s="295"/>
      <c r="P607" s="295"/>
      <c r="Q607" s="295"/>
    </row>
    <row r="608" spans="1:17" s="198" customFormat="1" x14ac:dyDescent="0.2">
      <c r="A608" s="263" t="s">
        <v>198</v>
      </c>
      <c r="B608" s="243" t="s">
        <v>59</v>
      </c>
      <c r="C608" s="243" t="s">
        <v>196</v>
      </c>
      <c r="D608" s="635" t="s">
        <v>217</v>
      </c>
      <c r="E608" s="1121" t="s">
        <v>89</v>
      </c>
      <c r="F608" s="1114"/>
      <c r="G608" s="1115"/>
      <c r="H608" s="1121" t="s">
        <v>183</v>
      </c>
      <c r="I608" s="1115"/>
      <c r="J608" s="295"/>
      <c r="K608" s="295"/>
      <c r="L608" s="295"/>
      <c r="M608" s="295"/>
      <c r="N608" s="295"/>
      <c r="O608" s="295"/>
      <c r="P608" s="295"/>
      <c r="Q608" s="295"/>
    </row>
    <row r="609" spans="1:13" x14ac:dyDescent="0.2">
      <c r="A609" s="244"/>
      <c r="B609" s="234"/>
      <c r="C609" s="234"/>
      <c r="D609" s="239"/>
      <c r="E609" s="240"/>
      <c r="F609" s="253"/>
      <c r="G609" s="293"/>
      <c r="H609" s="240"/>
      <c r="I609" s="423"/>
      <c r="J609" s="295"/>
      <c r="K609" s="295"/>
    </row>
    <row r="610" spans="1:13" x14ac:dyDescent="0.2">
      <c r="A610" s="200"/>
      <c r="B610" s="264"/>
      <c r="C610" s="200"/>
      <c r="D610" s="200"/>
      <c r="E610" s="200"/>
      <c r="F610" s="265" t="s">
        <v>199</v>
      </c>
      <c r="G610" s="255"/>
      <c r="H610" s="266"/>
      <c r="I610" s="441">
        <f>SUM(I609:I609)</f>
        <v>0</v>
      </c>
    </row>
    <row r="611" spans="1:13" x14ac:dyDescent="0.2">
      <c r="A611" s="200"/>
      <c r="B611" s="264"/>
      <c r="C611" s="200"/>
      <c r="D611" s="200"/>
      <c r="E611" s="200"/>
      <c r="F611" s="200"/>
      <c r="G611" s="200"/>
      <c r="H611" s="200"/>
      <c r="I611" s="440"/>
    </row>
    <row r="612" spans="1:13" x14ac:dyDescent="0.2">
      <c r="A612" s="267" t="s">
        <v>200</v>
      </c>
      <c r="B612" s="268" t="s">
        <v>59</v>
      </c>
      <c r="C612" s="268" t="s">
        <v>196</v>
      </c>
      <c r="D612" s="268" t="s">
        <v>201</v>
      </c>
      <c r="E612" s="268" t="s">
        <v>202</v>
      </c>
      <c r="F612" s="268" t="s">
        <v>203</v>
      </c>
      <c r="G612" s="268" t="s">
        <v>94</v>
      </c>
      <c r="H612" s="268" t="s">
        <v>89</v>
      </c>
      <c r="I612" s="442" t="s">
        <v>204</v>
      </c>
    </row>
    <row r="613" spans="1:13" x14ac:dyDescent="0.2">
      <c r="A613" s="244"/>
      <c r="B613" s="234"/>
      <c r="C613" s="234"/>
      <c r="D613" s="269"/>
      <c r="E613" s="270"/>
      <c r="F613" s="270"/>
      <c r="G613" s="239"/>
      <c r="H613" s="271"/>
      <c r="I613" s="418"/>
    </row>
    <row r="614" spans="1:13" x14ac:dyDescent="0.2">
      <c r="A614" s="200"/>
      <c r="B614" s="264"/>
      <c r="C614" s="200"/>
      <c r="D614" s="200"/>
      <c r="E614" s="200"/>
      <c r="F614" s="265" t="s">
        <v>205</v>
      </c>
      <c r="G614" s="240"/>
      <c r="H614" s="272"/>
      <c r="I614" s="443">
        <f>SUM(I613:I613)</f>
        <v>0</v>
      </c>
    </row>
    <row r="615" spans="1:13" x14ac:dyDescent="0.2">
      <c r="A615" s="200"/>
      <c r="B615" s="264"/>
      <c r="C615" s="200"/>
      <c r="D615" s="200"/>
      <c r="E615" s="200"/>
      <c r="F615" s="200"/>
      <c r="G615" s="200"/>
      <c r="H615" s="200"/>
      <c r="I615" s="444"/>
    </row>
    <row r="616" spans="1:13" x14ac:dyDescent="0.2">
      <c r="A616" s="273"/>
      <c r="B616" s="274"/>
      <c r="C616" s="275"/>
      <c r="D616" s="275"/>
      <c r="E616" s="275"/>
      <c r="F616" s="276" t="s">
        <v>206</v>
      </c>
      <c r="G616" s="273"/>
      <c r="H616" s="249"/>
      <c r="I616" s="445">
        <f>+I602+I606+I610+I614</f>
        <v>199.55</v>
      </c>
    </row>
    <row r="617" spans="1:13" x14ac:dyDescent="0.2">
      <c r="A617" s="255"/>
      <c r="B617" s="277"/>
      <c r="C617" s="266"/>
      <c r="D617" s="266"/>
      <c r="E617" s="266"/>
      <c r="F617" s="278" t="str">
        <f>CONCATENATE($H$3," ",$I$3)</f>
        <v>BDI: 23,32</v>
      </c>
      <c r="G617" s="403"/>
      <c r="H617" s="253"/>
      <c r="I617" s="446">
        <f>+ROUND(I616*$I$4,2)</f>
        <v>46.54</v>
      </c>
    </row>
    <row r="618" spans="1:13" x14ac:dyDescent="0.2">
      <c r="A618" s="240"/>
      <c r="B618" s="279"/>
      <c r="C618" s="272"/>
      <c r="D618" s="272"/>
      <c r="E618" s="272"/>
      <c r="F618" s="280" t="s">
        <v>207</v>
      </c>
      <c r="G618" s="404"/>
      <c r="H618" s="241"/>
      <c r="I618" s="720">
        <f>+I616+I617</f>
        <v>246.09</v>
      </c>
    </row>
    <row r="619" spans="1:13" x14ac:dyDescent="0.2">
      <c r="A619" s="1116" t="str">
        <f>$A$1</f>
        <v>COMPOSIÇÃO DE CUSTOS UNITÁRIOS</v>
      </c>
      <c r="B619" s="1116"/>
      <c r="C619" s="1116"/>
      <c r="D619" s="1116"/>
      <c r="E619" s="1116"/>
      <c r="F619" s="1116"/>
      <c r="G619" s="1116"/>
      <c r="H619" s="1116"/>
      <c r="I619" s="1116"/>
    </row>
    <row r="620" spans="1:13" x14ac:dyDescent="0.2">
      <c r="A620" s="228" t="str">
        <f>$A$2</f>
        <v>Tabela Referencial de Preços - DER-ES</v>
      </c>
      <c r="B620" s="229"/>
      <c r="C620" s="199"/>
      <c r="D620" s="199"/>
      <c r="E620" s="199"/>
      <c r="F620" s="199"/>
      <c r="G620" s="199"/>
      <c r="H620" s="199"/>
      <c r="I620" s="414" t="str">
        <f>$I$2</f>
        <v>Data Base: novembro/2020</v>
      </c>
      <c r="J620" s="400">
        <v>41547</v>
      </c>
      <c r="K620" s="400">
        <f>VLOOKUP("Preço Unitário Total",F622:I4015,4,FALSE)</f>
        <v>206.77</v>
      </c>
      <c r="L620" s="295">
        <f>VLOOKUP(J620,'DER 11-20'!A:E,5,FALSE)</f>
        <v>0</v>
      </c>
      <c r="M620" s="295" t="str">
        <f>VLOOKUP(J620,'DER 11-20'!$A:$D,2,FALSE)</f>
        <v>Mobilização e desmobilização de caminhão tanque (6.000 L) (máximo)</v>
      </c>
    </row>
    <row r="621" spans="1:13" x14ac:dyDescent="0.2">
      <c r="A621" s="1117" t="str">
        <f>+CONCATENATE("Serviço: ",J620," ",VLOOKUP(J620,'DER 11-20'!$A:$D,2,FALSE))</f>
        <v>Serviço: 41547 Mobilização e desmobilização de caminhão tanque (6.000 L) (máximo)</v>
      </c>
      <c r="B621" s="1117"/>
      <c r="C621" s="1117"/>
      <c r="D621" s="1117"/>
      <c r="E621" s="1117"/>
      <c r="F621" s="1117"/>
      <c r="G621" s="1117"/>
      <c r="H621" s="1117"/>
      <c r="I621" s="1119" t="str">
        <f>CONCATENATE("Unidade: ", VLOOKUP(J620,'DER 11-20'!$A:$E,3,FALSE))</f>
        <v>Unidade: h</v>
      </c>
    </row>
    <row r="622" spans="1:13" x14ac:dyDescent="0.2">
      <c r="A622" s="1118"/>
      <c r="B622" s="1118"/>
      <c r="C622" s="1118"/>
      <c r="D622" s="1118"/>
      <c r="E622" s="1118"/>
      <c r="F622" s="1118"/>
      <c r="G622" s="1118"/>
      <c r="H622" s="1118"/>
      <c r="I622" s="1120"/>
    </row>
    <row r="623" spans="1:13" ht="22.5" x14ac:dyDescent="0.2">
      <c r="A623" s="231" t="s">
        <v>177</v>
      </c>
      <c r="B623" s="232" t="s">
        <v>59</v>
      </c>
      <c r="C623" s="232" t="s">
        <v>178</v>
      </c>
      <c r="D623" s="232" t="s">
        <v>179</v>
      </c>
      <c r="E623" s="232" t="s">
        <v>180</v>
      </c>
      <c r="F623" s="232" t="s">
        <v>181</v>
      </c>
      <c r="G623" s="232" t="s">
        <v>182</v>
      </c>
      <c r="H623" s="232" t="s">
        <v>89</v>
      </c>
      <c r="I623" s="434" t="s">
        <v>183</v>
      </c>
    </row>
    <row r="624" spans="1:13" ht="22.5" x14ac:dyDescent="0.2">
      <c r="A624" s="233" t="str">
        <f>VLOOKUP(B624,equip.!$A:$G,2,FALSE)</f>
        <v>Caminhão tanque L 1319/48 PBT=12,9t (6.000L)</v>
      </c>
      <c r="B624" s="234">
        <v>30007</v>
      </c>
      <c r="C624" s="235" t="str">
        <f>VLOOKUP(B624,equip.!$A$1:$G$239,3,FALSE)</f>
        <v>M</v>
      </c>
      <c r="D624" s="236">
        <v>0.9</v>
      </c>
      <c r="E624" s="203">
        <v>0.1</v>
      </c>
      <c r="F624" s="237">
        <f>VLOOKUP(B624,equip.!$A:$G,6,FALSE)</f>
        <v>164.94</v>
      </c>
      <c r="G624" s="237">
        <f>VLOOKUP(B624,equip.!$A:$G,7,FALSE)</f>
        <v>52.28</v>
      </c>
      <c r="H624" s="238">
        <v>1</v>
      </c>
      <c r="I624" s="418">
        <f>TRUNC(D624*F624*H624+E624*G624*H624,2)</f>
        <v>153.66999999999999</v>
      </c>
    </row>
    <row r="625" spans="1:17" x14ac:dyDescent="0.2">
      <c r="A625" s="199"/>
      <c r="B625" s="229"/>
      <c r="C625" s="229"/>
      <c r="D625" s="199"/>
      <c r="E625" s="199"/>
      <c r="F625" s="230" t="s">
        <v>184</v>
      </c>
      <c r="G625" s="240"/>
      <c r="H625" s="241"/>
      <c r="I625" s="438">
        <f>SUM(I624:I624)</f>
        <v>153.66999999999999</v>
      </c>
    </row>
    <row r="626" spans="1:17" x14ac:dyDescent="0.2">
      <c r="A626" s="199"/>
      <c r="B626" s="229"/>
      <c r="C626" s="229"/>
      <c r="D626" s="199"/>
      <c r="E626" s="199"/>
      <c r="F626" s="199"/>
      <c r="G626" s="199"/>
      <c r="H626" s="199"/>
      <c r="I626" s="439"/>
      <c r="J626" s="295"/>
      <c r="K626" s="295"/>
    </row>
    <row r="627" spans="1:17" x14ac:dyDescent="0.2">
      <c r="A627" s="242" t="s">
        <v>185</v>
      </c>
      <c r="B627" s="243" t="s">
        <v>59</v>
      </c>
      <c r="C627" s="232" t="s">
        <v>357</v>
      </c>
      <c r="D627" s="243" t="s">
        <v>187</v>
      </c>
      <c r="E627" s="1121" t="s">
        <v>89</v>
      </c>
      <c r="F627" s="1114"/>
      <c r="G627" s="1115"/>
      <c r="H627" s="1121" t="s">
        <v>183</v>
      </c>
      <c r="I627" s="1115"/>
      <c r="J627" s="295"/>
      <c r="K627" s="295"/>
    </row>
    <row r="628" spans="1:17" x14ac:dyDescent="0.2">
      <c r="A628" s="244"/>
      <c r="B628" s="234"/>
      <c r="C628" s="239"/>
      <c r="D628" s="239"/>
      <c r="E628" s="240"/>
      <c r="F628" s="241"/>
      <c r="G628" s="405"/>
      <c r="H628" s="240"/>
      <c r="I628" s="427"/>
      <c r="J628" s="295"/>
      <c r="K628" s="295"/>
    </row>
    <row r="629" spans="1:17" x14ac:dyDescent="0.2">
      <c r="A629" s="199"/>
      <c r="B629" s="229"/>
      <c r="C629" s="229"/>
      <c r="D629" s="199"/>
      <c r="E629" s="199"/>
      <c r="F629" s="230" t="s">
        <v>188</v>
      </c>
      <c r="G629" s="240"/>
      <c r="H629" s="241"/>
      <c r="I629" s="438">
        <f>SUM(I628:I628)</f>
        <v>0</v>
      </c>
      <c r="J629" s="295"/>
      <c r="K629" s="295"/>
    </row>
    <row r="630" spans="1:17" x14ac:dyDescent="0.2">
      <c r="A630" s="199"/>
      <c r="B630" s="229"/>
      <c r="C630" s="229"/>
      <c r="D630" s="199"/>
      <c r="E630" s="199"/>
      <c r="F630" s="199"/>
      <c r="G630" s="199"/>
      <c r="H630" s="199"/>
      <c r="I630" s="439"/>
      <c r="J630" s="295"/>
      <c r="K630" s="295"/>
    </row>
    <row r="631" spans="1:17" x14ac:dyDescent="0.2">
      <c r="A631" s="245" t="s">
        <v>189</v>
      </c>
      <c r="B631" s="243" t="s">
        <v>59</v>
      </c>
      <c r="C631" s="635" t="s">
        <v>17</v>
      </c>
      <c r="D631" s="243" t="s">
        <v>190</v>
      </c>
      <c r="E631" s="243" t="s">
        <v>191</v>
      </c>
      <c r="F631" s="243" t="s">
        <v>192</v>
      </c>
      <c r="G631" s="1121" t="s">
        <v>94</v>
      </c>
      <c r="H631" s="1114"/>
      <c r="I631" s="1115"/>
      <c r="J631" s="295"/>
      <c r="K631" s="295"/>
    </row>
    <row r="632" spans="1:17" x14ac:dyDescent="0.2">
      <c r="A632" s="244"/>
      <c r="B632" s="234"/>
      <c r="C632" s="239"/>
      <c r="D632" s="235"/>
      <c r="E632" s="246"/>
      <c r="F632" s="246"/>
      <c r="G632" s="240"/>
      <c r="H632" s="241"/>
      <c r="I632" s="427"/>
      <c r="J632" s="295"/>
      <c r="K632" s="295"/>
    </row>
    <row r="633" spans="1:17" x14ac:dyDescent="0.2">
      <c r="A633" s="199"/>
      <c r="B633" s="229"/>
      <c r="C633" s="199"/>
      <c r="D633" s="199"/>
      <c r="E633" s="199"/>
      <c r="F633" s="230" t="s">
        <v>327</v>
      </c>
      <c r="G633" s="240"/>
      <c r="H633" s="241"/>
      <c r="I633" s="438">
        <f>SUM(I632)</f>
        <v>0</v>
      </c>
      <c r="J633" s="295"/>
      <c r="K633" s="295"/>
    </row>
    <row r="634" spans="1:17" x14ac:dyDescent="0.2">
      <c r="A634" s="199"/>
      <c r="B634" s="229"/>
      <c r="C634" s="199"/>
      <c r="D634" s="199"/>
      <c r="E634" s="199"/>
      <c r="F634" s="199"/>
      <c r="G634" s="199"/>
      <c r="H634" s="199"/>
      <c r="I634" s="439"/>
      <c r="J634" s="295"/>
      <c r="K634" s="295"/>
    </row>
    <row r="635" spans="1:17" x14ac:dyDescent="0.2">
      <c r="A635" s="247"/>
      <c r="B635" s="248"/>
      <c r="C635" s="249"/>
      <c r="D635" s="249"/>
      <c r="E635" s="249"/>
      <c r="F635" s="250" t="s">
        <v>193</v>
      </c>
      <c r="G635" s="401"/>
      <c r="H635" s="249"/>
      <c r="I635" s="445">
        <f>+I625+I629+I633</f>
        <v>153.66999999999999</v>
      </c>
      <c r="J635" s="295"/>
      <c r="K635" s="295"/>
    </row>
    <row r="636" spans="1:17" x14ac:dyDescent="0.2">
      <c r="A636" s="251"/>
      <c r="B636" s="252"/>
      <c r="C636" s="253"/>
      <c r="D636" s="253"/>
      <c r="E636" s="253"/>
      <c r="F636" s="254" t="s">
        <v>194</v>
      </c>
      <c r="G636" s="255"/>
      <c r="H636" s="253"/>
      <c r="I636" s="446">
        <v>1</v>
      </c>
      <c r="J636" s="295"/>
      <c r="K636" s="295"/>
    </row>
    <row r="637" spans="1:17" x14ac:dyDescent="0.2">
      <c r="A637" s="233"/>
      <c r="B637" s="256"/>
      <c r="C637" s="241"/>
      <c r="D637" s="241"/>
      <c r="E637" s="241"/>
      <c r="F637" s="257" t="s">
        <v>216</v>
      </c>
      <c r="G637" s="240"/>
      <c r="H637" s="241"/>
      <c r="I637" s="447">
        <f>TRUNC(I635/I636,2)</f>
        <v>153.66999999999999</v>
      </c>
      <c r="J637" s="295"/>
      <c r="K637" s="295"/>
      <c r="O637" s="198"/>
    </row>
    <row r="638" spans="1:17" x14ac:dyDescent="0.2">
      <c r="A638" s="636"/>
      <c r="B638" s="229"/>
      <c r="C638" s="199"/>
      <c r="D638" s="199"/>
      <c r="E638" s="199"/>
      <c r="F638" s="258"/>
      <c r="G638" s="199"/>
      <c r="H638" s="199"/>
      <c r="I638" s="450"/>
      <c r="J638" s="295"/>
      <c r="K638" s="295"/>
    </row>
    <row r="639" spans="1:17" x14ac:dyDescent="0.2">
      <c r="A639" s="242" t="s">
        <v>195</v>
      </c>
      <c r="B639" s="243" t="s">
        <v>59</v>
      </c>
      <c r="C639" s="243" t="s">
        <v>196</v>
      </c>
      <c r="D639" s="243" t="s">
        <v>217</v>
      </c>
      <c r="E639" s="1121" t="s">
        <v>89</v>
      </c>
      <c r="F639" s="1114"/>
      <c r="G639" s="1115"/>
      <c r="H639" s="1121" t="s">
        <v>183</v>
      </c>
      <c r="I639" s="1115"/>
      <c r="J639" s="295"/>
      <c r="K639" s="295"/>
    </row>
    <row r="640" spans="1:17" s="198" customFormat="1" x14ac:dyDescent="0.2">
      <c r="A640" s="259" t="str">
        <f>VLOOKUP(B640,mat.!$A:$D,2,FALSE)</f>
        <v>Diária</v>
      </c>
      <c r="B640" s="234">
        <v>11020</v>
      </c>
      <c r="C640" s="260" t="str">
        <f>VLOOKUP(B640,mat.!$A:$D,3,FALSE)</f>
        <v>DIA</v>
      </c>
      <c r="D640" s="261">
        <f>VLOOKUP(B640,mat.!$A:$D,4,FALSE)</f>
        <v>112</v>
      </c>
      <c r="E640" s="255"/>
      <c r="F640" s="253"/>
      <c r="G640" s="293">
        <v>0.125</v>
      </c>
      <c r="H640" s="255"/>
      <c r="I640" s="423">
        <f>TRUNC(D640*G640,2)</f>
        <v>14</v>
      </c>
      <c r="J640" s="295"/>
      <c r="K640" s="295"/>
      <c r="L640" s="295"/>
      <c r="M640" s="295"/>
      <c r="N640" s="295"/>
      <c r="O640" s="295"/>
      <c r="P640" s="295"/>
      <c r="Q640" s="295"/>
    </row>
    <row r="641" spans="1:13" x14ac:dyDescent="0.2">
      <c r="A641" s="199"/>
      <c r="B641" s="229"/>
      <c r="C641" s="199"/>
      <c r="D641" s="199"/>
      <c r="E641" s="199"/>
      <c r="F641" s="230" t="s">
        <v>197</v>
      </c>
      <c r="G641" s="240"/>
      <c r="H641" s="241"/>
      <c r="I641" s="438">
        <f>SUM(I640:I640)</f>
        <v>14</v>
      </c>
      <c r="J641" s="295"/>
      <c r="K641" s="295"/>
    </row>
    <row r="642" spans="1:13" x14ac:dyDescent="0.2">
      <c r="A642" s="199"/>
      <c r="B642" s="229"/>
      <c r="C642" s="199"/>
      <c r="D642" s="199"/>
      <c r="E642" s="199"/>
      <c r="F642" s="199"/>
      <c r="G642" s="262"/>
      <c r="H642" s="199"/>
      <c r="I642" s="439"/>
    </row>
    <row r="643" spans="1:13" x14ac:dyDescent="0.2">
      <c r="A643" s="263" t="s">
        <v>198</v>
      </c>
      <c r="B643" s="243" t="s">
        <v>59</v>
      </c>
      <c r="C643" s="243" t="s">
        <v>196</v>
      </c>
      <c r="D643" s="635" t="s">
        <v>217</v>
      </c>
      <c r="E643" s="1121" t="s">
        <v>89</v>
      </c>
      <c r="F643" s="1114"/>
      <c r="G643" s="1115"/>
      <c r="H643" s="1121" t="s">
        <v>183</v>
      </c>
      <c r="I643" s="1115"/>
    </row>
    <row r="644" spans="1:13" x14ac:dyDescent="0.2">
      <c r="A644" s="244"/>
      <c r="B644" s="234"/>
      <c r="C644" s="234"/>
      <c r="D644" s="239"/>
      <c r="E644" s="240"/>
      <c r="F644" s="253"/>
      <c r="G644" s="293"/>
      <c r="H644" s="240"/>
      <c r="I644" s="423"/>
    </row>
    <row r="645" spans="1:13" x14ac:dyDescent="0.2">
      <c r="A645" s="200"/>
      <c r="B645" s="264"/>
      <c r="C645" s="200"/>
      <c r="D645" s="200"/>
      <c r="E645" s="200"/>
      <c r="F645" s="265" t="s">
        <v>199</v>
      </c>
      <c r="G645" s="255"/>
      <c r="H645" s="266"/>
      <c r="I645" s="441">
        <f>SUM(I644:I644)</f>
        <v>0</v>
      </c>
    </row>
    <row r="646" spans="1:13" x14ac:dyDescent="0.2">
      <c r="A646" s="200"/>
      <c r="B646" s="264"/>
      <c r="C646" s="200"/>
      <c r="D646" s="200"/>
      <c r="E646" s="200"/>
      <c r="F646" s="200"/>
      <c r="G646" s="200"/>
      <c r="H646" s="200"/>
      <c r="I646" s="440"/>
    </row>
    <row r="647" spans="1:13" x14ac:dyDescent="0.2">
      <c r="A647" s="267" t="s">
        <v>200</v>
      </c>
      <c r="B647" s="268" t="s">
        <v>59</v>
      </c>
      <c r="C647" s="268" t="s">
        <v>196</v>
      </c>
      <c r="D647" s="268" t="s">
        <v>201</v>
      </c>
      <c r="E647" s="268" t="s">
        <v>202</v>
      </c>
      <c r="F647" s="268" t="s">
        <v>203</v>
      </c>
      <c r="G647" s="268" t="s">
        <v>94</v>
      </c>
      <c r="H647" s="268" t="s">
        <v>89</v>
      </c>
      <c r="I647" s="442" t="s">
        <v>204</v>
      </c>
    </row>
    <row r="648" spans="1:13" x14ac:dyDescent="0.2">
      <c r="A648" s="244"/>
      <c r="B648" s="234"/>
      <c r="C648" s="234"/>
      <c r="D648" s="269"/>
      <c r="E648" s="270"/>
      <c r="F648" s="270"/>
      <c r="G648" s="239"/>
      <c r="H648" s="271"/>
      <c r="I648" s="418"/>
    </row>
    <row r="649" spans="1:13" x14ac:dyDescent="0.2">
      <c r="A649" s="200"/>
      <c r="B649" s="264"/>
      <c r="C649" s="200"/>
      <c r="D649" s="200"/>
      <c r="E649" s="200"/>
      <c r="F649" s="265" t="s">
        <v>205</v>
      </c>
      <c r="G649" s="240"/>
      <c r="H649" s="272"/>
      <c r="I649" s="443">
        <f>SUM(I648:I648)</f>
        <v>0</v>
      </c>
    </row>
    <row r="650" spans="1:13" x14ac:dyDescent="0.2">
      <c r="A650" s="200"/>
      <c r="B650" s="264"/>
      <c r="C650" s="200"/>
      <c r="D650" s="200"/>
      <c r="E650" s="200"/>
      <c r="F650" s="200"/>
      <c r="G650" s="200"/>
      <c r="H650" s="200"/>
      <c r="I650" s="444"/>
    </row>
    <row r="651" spans="1:13" x14ac:dyDescent="0.2">
      <c r="A651" s="273"/>
      <c r="B651" s="274"/>
      <c r="C651" s="275"/>
      <c r="D651" s="275"/>
      <c r="E651" s="275"/>
      <c r="F651" s="276" t="s">
        <v>206</v>
      </c>
      <c r="G651" s="273"/>
      <c r="H651" s="249"/>
      <c r="I651" s="445">
        <f>+I637+I641+I645+I649</f>
        <v>167.67</v>
      </c>
    </row>
    <row r="652" spans="1:13" x14ac:dyDescent="0.2">
      <c r="A652" s="255"/>
      <c r="B652" s="277"/>
      <c r="C652" s="266"/>
      <c r="D652" s="266"/>
      <c r="E652" s="266"/>
      <c r="F652" s="278" t="str">
        <f>CONCATENATE($H$3," ",$I$3)</f>
        <v>BDI: 23,32</v>
      </c>
      <c r="G652" s="403"/>
      <c r="H652" s="253"/>
      <c r="I652" s="446">
        <f>+ROUND(I651*$I$4,2)</f>
        <v>39.1</v>
      </c>
    </row>
    <row r="653" spans="1:13" x14ac:dyDescent="0.2">
      <c r="A653" s="240"/>
      <c r="B653" s="279"/>
      <c r="C653" s="272"/>
      <c r="D653" s="272"/>
      <c r="E653" s="272"/>
      <c r="F653" s="280" t="s">
        <v>207</v>
      </c>
      <c r="G653" s="404"/>
      <c r="H653" s="241"/>
      <c r="I653" s="720">
        <f>+I651+I652</f>
        <v>206.77</v>
      </c>
    </row>
    <row r="654" spans="1:13" s="198" customFormat="1" x14ac:dyDescent="0.2">
      <c r="A654" s="1124" t="str">
        <f>$A$1</f>
        <v>COMPOSIÇÃO DE CUSTOS UNITÁRIOS</v>
      </c>
      <c r="B654" s="1124"/>
      <c r="C654" s="1124"/>
      <c r="D654" s="1124"/>
      <c r="E654" s="1124"/>
      <c r="F654" s="1124"/>
      <c r="G654" s="1124"/>
      <c r="H654" s="1124"/>
      <c r="I654" s="1124"/>
      <c r="J654" s="415"/>
      <c r="K654" s="415"/>
    </row>
    <row r="655" spans="1:13" s="198" customFormat="1" x14ac:dyDescent="0.2">
      <c r="A655" s="411" t="str">
        <f>$A$2</f>
        <v>Tabela Referencial de Preços - DER-ES</v>
      </c>
      <c r="B655" s="412"/>
      <c r="C655" s="413"/>
      <c r="D655" s="413"/>
      <c r="E655" s="413"/>
      <c r="F655" s="413"/>
      <c r="G655" s="413"/>
      <c r="H655" s="413"/>
      <c r="I655" s="414" t="str">
        <f>$I$2</f>
        <v>Data Base: novembro/2020</v>
      </c>
      <c r="J655" s="415">
        <v>40167</v>
      </c>
      <c r="K655" s="415">
        <f>VLOOKUP("Preço Unitário Total",F657:I1350,4,FALSE)</f>
        <v>0.49</v>
      </c>
      <c r="L655" s="198">
        <f>VLOOKUP(J655,'DER 11-20'!A:E,5,FALSE)</f>
        <v>0</v>
      </c>
      <c r="M655" s="198" t="str">
        <f>VLOOKUP(J655,'DER 11-20'!$A:$D,2,FALSE)</f>
        <v>Limpeza, desmatamento e destocamento de árvores com diâmetro até 15 cm, com trator de esteira</v>
      </c>
    </row>
    <row r="656" spans="1:13" s="198" customFormat="1" x14ac:dyDescent="0.2">
      <c r="A656" s="1119" t="str">
        <f>+CONCATENATE("Serviço: ",J655," ",VLOOKUP(J655,'DER 11-20'!$A:$D,2,FALSE))</f>
        <v>Serviço: 40167 Limpeza, desmatamento e destocamento de árvores com diâmetro até 15 cm, com trator de esteira</v>
      </c>
      <c r="B656" s="1119"/>
      <c r="C656" s="1119"/>
      <c r="D656" s="1119"/>
      <c r="E656" s="1119"/>
      <c r="F656" s="1119"/>
      <c r="G656" s="1119"/>
      <c r="H656" s="1119"/>
      <c r="I656" s="1119" t="str">
        <f>CONCATENATE("Unidade: ", VLOOKUP(J655,'DER 11-20'!$A:$E,3,FALSE))</f>
        <v>Unidade: M2</v>
      </c>
      <c r="J656" s="415"/>
      <c r="K656" s="415"/>
    </row>
    <row r="657" spans="1:11" s="198" customFormat="1" x14ac:dyDescent="0.2">
      <c r="A657" s="1120"/>
      <c r="B657" s="1120"/>
      <c r="C657" s="1120"/>
      <c r="D657" s="1120"/>
      <c r="E657" s="1120"/>
      <c r="F657" s="1120"/>
      <c r="G657" s="1120"/>
      <c r="H657" s="1120"/>
      <c r="I657" s="1120"/>
      <c r="J657" s="415"/>
      <c r="K657" s="415"/>
    </row>
    <row r="658" spans="1:11" ht="22.5" x14ac:dyDescent="0.2">
      <c r="A658" s="231" t="s">
        <v>177</v>
      </c>
      <c r="B658" s="232" t="s">
        <v>59</v>
      </c>
      <c r="C658" s="232" t="s">
        <v>178</v>
      </c>
      <c r="D658" s="232" t="s">
        <v>179</v>
      </c>
      <c r="E658" s="232" t="s">
        <v>180</v>
      </c>
      <c r="F658" s="232" t="s">
        <v>181</v>
      </c>
      <c r="G658" s="232" t="s">
        <v>182</v>
      </c>
      <c r="H658" s="232" t="s">
        <v>89</v>
      </c>
      <c r="I658" s="434" t="s">
        <v>183</v>
      </c>
    </row>
    <row r="659" spans="1:11" ht="33.75" x14ac:dyDescent="0.2">
      <c r="A659" s="233" t="str">
        <f>VLOOKUP(B659,equip.!$A:$G,2,FALSE)</f>
        <v>Trator de esteiras ref. Caterpillar com lâmina  modelo D8T, sem ríper ou equivalente</v>
      </c>
      <c r="B659" s="234">
        <v>30018</v>
      </c>
      <c r="C659" s="235">
        <f>VLOOKUP(B659,equip.!$A$1:$G$239,3,FALSE)</f>
        <v>0</v>
      </c>
      <c r="D659" s="236">
        <v>1</v>
      </c>
      <c r="E659" s="203">
        <v>0</v>
      </c>
      <c r="F659" s="237">
        <f>VLOOKUP(B659,equip.!$A:$G,6,FALSE)</f>
        <v>651.67999999999995</v>
      </c>
      <c r="G659" s="237">
        <f>VLOOKUP(B659,equip.!$A:$G,7,FALSE)</f>
        <v>233.98</v>
      </c>
      <c r="H659" s="238">
        <v>1</v>
      </c>
      <c r="I659" s="418">
        <f>TRUNC(D659*F659*H659+E659*G659*H659,2)</f>
        <v>651.67999999999995</v>
      </c>
    </row>
    <row r="660" spans="1:11" x14ac:dyDescent="0.2">
      <c r="A660" s="199"/>
      <c r="B660" s="229"/>
      <c r="C660" s="229"/>
      <c r="D660" s="199"/>
      <c r="E660" s="199"/>
      <c r="F660" s="230" t="s">
        <v>184</v>
      </c>
      <c r="G660" s="240"/>
      <c r="H660" s="241"/>
      <c r="I660" s="438">
        <f>SUM(I659:I659)</f>
        <v>651.67999999999995</v>
      </c>
    </row>
    <row r="661" spans="1:11" x14ac:dyDescent="0.2">
      <c r="A661" s="199"/>
      <c r="B661" s="229"/>
      <c r="C661" s="229"/>
      <c r="D661" s="199"/>
      <c r="E661" s="199"/>
      <c r="F661" s="199"/>
      <c r="G661" s="199"/>
      <c r="H661" s="199"/>
      <c r="I661" s="439"/>
    </row>
    <row r="662" spans="1:11" x14ac:dyDescent="0.2">
      <c r="A662" s="242" t="s">
        <v>185</v>
      </c>
      <c r="B662" s="243" t="s">
        <v>59</v>
      </c>
      <c r="C662" s="232" t="s">
        <v>357</v>
      </c>
      <c r="D662" s="243" t="s">
        <v>187</v>
      </c>
      <c r="E662" s="1111" t="s">
        <v>89</v>
      </c>
      <c r="F662" s="1112"/>
      <c r="G662" s="1113"/>
      <c r="H662" s="1121" t="s">
        <v>183</v>
      </c>
      <c r="I662" s="1115"/>
    </row>
    <row r="663" spans="1:11" x14ac:dyDescent="0.2">
      <c r="A663" s="244" t="str">
        <f>VLOOKUP(B663,m.o.!$A:$H,2,FALSE)</f>
        <v>Encarregado de terraplenagem</v>
      </c>
      <c r="B663" s="234">
        <v>20067</v>
      </c>
      <c r="C663" s="239">
        <f>VLOOKUP(B663,m.o.!$A:$F,4,FALSE)</f>
        <v>2.35</v>
      </c>
      <c r="D663" s="239">
        <f>VLOOKUP(B663,m.o.!$A:$G,7,FALSE)</f>
        <v>29.43</v>
      </c>
      <c r="E663" s="255"/>
      <c r="F663" s="253"/>
      <c r="G663" s="293">
        <v>0.5</v>
      </c>
      <c r="H663" s="240"/>
      <c r="I663" s="427">
        <f>TRUNC(D663*G663,2)</f>
        <v>14.71</v>
      </c>
    </row>
    <row r="664" spans="1:11" x14ac:dyDescent="0.2">
      <c r="A664" s="244" t="str">
        <f>VLOOKUP(B664,m.o.!$A:$H,2,FALSE)</f>
        <v>Servente</v>
      </c>
      <c r="B664" s="234">
        <v>20002</v>
      </c>
      <c r="C664" s="239">
        <f>VLOOKUP(B664,m.o.!$A:$F,4,FALSE)</f>
        <v>1</v>
      </c>
      <c r="D664" s="239">
        <f>VLOOKUP(B664,m.o.!$A:$G,7,FALSE)</f>
        <v>12.52</v>
      </c>
      <c r="E664" s="255"/>
      <c r="F664" s="253"/>
      <c r="G664" s="293">
        <v>2</v>
      </c>
      <c r="H664" s="240"/>
      <c r="I664" s="427">
        <f>TRUNC(D664*G664,2)</f>
        <v>25.04</v>
      </c>
    </row>
    <row r="665" spans="1:11" x14ac:dyDescent="0.2">
      <c r="A665" s="199"/>
      <c r="B665" s="229"/>
      <c r="C665" s="229"/>
      <c r="D665" s="199"/>
      <c r="E665" s="199"/>
      <c r="F665" s="230" t="s">
        <v>188</v>
      </c>
      <c r="G665" s="240"/>
      <c r="H665" s="241"/>
      <c r="I665" s="438">
        <f>SUM(I663:I664)</f>
        <v>39.75</v>
      </c>
    </row>
    <row r="666" spans="1:11" x14ac:dyDescent="0.2">
      <c r="A666" s="199"/>
      <c r="B666" s="229"/>
      <c r="C666" s="229"/>
      <c r="D666" s="199"/>
      <c r="E666" s="199"/>
      <c r="F666" s="199"/>
      <c r="G666" s="199"/>
      <c r="H666" s="199"/>
      <c r="I666" s="439"/>
    </row>
    <row r="667" spans="1:11" x14ac:dyDescent="0.2">
      <c r="A667" s="245" t="s">
        <v>189</v>
      </c>
      <c r="B667" s="243" t="s">
        <v>59</v>
      </c>
      <c r="C667" s="635" t="s">
        <v>17</v>
      </c>
      <c r="D667" s="243" t="s">
        <v>190</v>
      </c>
      <c r="E667" s="243" t="s">
        <v>191</v>
      </c>
      <c r="F667" s="243" t="s">
        <v>192</v>
      </c>
      <c r="G667" s="1121" t="s">
        <v>94</v>
      </c>
      <c r="H667" s="1114"/>
      <c r="I667" s="1115"/>
      <c r="J667" s="295"/>
      <c r="K667" s="295"/>
    </row>
    <row r="668" spans="1:11" x14ac:dyDescent="0.2">
      <c r="A668" s="244"/>
      <c r="B668" s="234"/>
      <c r="C668" s="239"/>
      <c r="D668" s="235"/>
      <c r="E668" s="246"/>
      <c r="F668" s="246"/>
      <c r="G668" s="240"/>
      <c r="H668" s="241"/>
      <c r="I668" s="427">
        <f>TRUNC(C668/100*I665,2)</f>
        <v>0</v>
      </c>
      <c r="J668" s="295"/>
      <c r="K668" s="295"/>
    </row>
    <row r="669" spans="1:11" x14ac:dyDescent="0.2">
      <c r="A669" s="199"/>
      <c r="B669" s="229"/>
      <c r="C669" s="199"/>
      <c r="D669" s="199"/>
      <c r="E669" s="199"/>
      <c r="F669" s="230" t="s">
        <v>327</v>
      </c>
      <c r="G669" s="240"/>
      <c r="H669" s="241"/>
      <c r="I669" s="438">
        <f>SUM(I668)</f>
        <v>0</v>
      </c>
      <c r="J669" s="295"/>
      <c r="K669" s="295"/>
    </row>
    <row r="670" spans="1:11" x14ac:dyDescent="0.2">
      <c r="A670" s="199"/>
      <c r="B670" s="229"/>
      <c r="C670" s="199"/>
      <c r="D670" s="199"/>
      <c r="E670" s="199"/>
      <c r="F670" s="199"/>
      <c r="G670" s="199"/>
      <c r="H670" s="199"/>
      <c r="I670" s="439"/>
      <c r="J670" s="295"/>
      <c r="K670" s="295"/>
    </row>
    <row r="671" spans="1:11" x14ac:dyDescent="0.2">
      <c r="A671" s="247"/>
      <c r="B671" s="248"/>
      <c r="C671" s="249"/>
      <c r="D671" s="249"/>
      <c r="E671" s="249"/>
      <c r="F671" s="250" t="s">
        <v>193</v>
      </c>
      <c r="G671" s="401"/>
      <c r="H671" s="249"/>
      <c r="I671" s="445">
        <f>+I660+I665+I669</f>
        <v>691.43</v>
      </c>
      <c r="J671" s="295"/>
      <c r="K671" s="295"/>
    </row>
    <row r="672" spans="1:11" x14ac:dyDescent="0.2">
      <c r="A672" s="251"/>
      <c r="B672" s="252"/>
      <c r="C672" s="253"/>
      <c r="D672" s="253"/>
      <c r="E672" s="253"/>
      <c r="F672" s="254" t="s">
        <v>194</v>
      </c>
      <c r="G672" s="255"/>
      <c r="H672" s="253"/>
      <c r="I672" s="446">
        <v>1700</v>
      </c>
      <c r="J672" s="295"/>
      <c r="K672" s="295"/>
    </row>
    <row r="673" spans="1:11" x14ac:dyDescent="0.2">
      <c r="A673" s="233"/>
      <c r="B673" s="256"/>
      <c r="C673" s="241"/>
      <c r="D673" s="241"/>
      <c r="E673" s="241"/>
      <c r="F673" s="257" t="s">
        <v>216</v>
      </c>
      <c r="G673" s="240"/>
      <c r="H673" s="241"/>
      <c r="I673" s="447">
        <f>TRUNC(I671/I672,2)</f>
        <v>0.4</v>
      </c>
      <c r="J673" s="295"/>
      <c r="K673" s="295"/>
    </row>
    <row r="674" spans="1:11" x14ac:dyDescent="0.2">
      <c r="A674" s="636"/>
      <c r="B674" s="229"/>
      <c r="C674" s="199"/>
      <c r="D674" s="199"/>
      <c r="E674" s="199"/>
      <c r="F674" s="258"/>
      <c r="G674" s="199"/>
      <c r="H674" s="199"/>
      <c r="I674" s="450"/>
      <c r="J674" s="295"/>
      <c r="K674" s="295"/>
    </row>
    <row r="675" spans="1:11" x14ac:dyDescent="0.2">
      <c r="A675" s="242" t="s">
        <v>195</v>
      </c>
      <c r="B675" s="243" t="s">
        <v>59</v>
      </c>
      <c r="C675" s="243" t="s">
        <v>196</v>
      </c>
      <c r="D675" s="243" t="s">
        <v>217</v>
      </c>
      <c r="E675" s="1121" t="s">
        <v>89</v>
      </c>
      <c r="F675" s="1114"/>
      <c r="G675" s="1115"/>
      <c r="H675" s="1121" t="s">
        <v>183</v>
      </c>
      <c r="I675" s="1115"/>
      <c r="J675" s="295"/>
      <c r="K675" s="295"/>
    </row>
    <row r="676" spans="1:11" x14ac:dyDescent="0.2">
      <c r="A676" s="259"/>
      <c r="B676" s="234"/>
      <c r="C676" s="260"/>
      <c r="D676" s="261"/>
      <c r="E676" s="255"/>
      <c r="F676" s="253"/>
      <c r="G676" s="293"/>
      <c r="H676" s="255"/>
      <c r="I676" s="423">
        <f>TRUNC(D676*G676,2)</f>
        <v>0</v>
      </c>
      <c r="J676" s="295"/>
      <c r="K676" s="295"/>
    </row>
    <row r="677" spans="1:11" x14ac:dyDescent="0.2">
      <c r="A677" s="199"/>
      <c r="B677" s="229"/>
      <c r="C677" s="199"/>
      <c r="D677" s="199"/>
      <c r="E677" s="199"/>
      <c r="F677" s="230" t="s">
        <v>197</v>
      </c>
      <c r="G677" s="240"/>
      <c r="H677" s="241"/>
      <c r="I677" s="438">
        <f>SUM(I676:I676)</f>
        <v>0</v>
      </c>
      <c r="J677" s="295"/>
      <c r="K677" s="295"/>
    </row>
    <row r="678" spans="1:11" x14ac:dyDescent="0.2">
      <c r="A678" s="199"/>
      <c r="B678" s="229"/>
      <c r="C678" s="199"/>
      <c r="D678" s="199"/>
      <c r="E678" s="199"/>
      <c r="F678" s="199"/>
      <c r="G678" s="262"/>
      <c r="H678" s="199"/>
      <c r="I678" s="439"/>
      <c r="J678" s="295"/>
      <c r="K678" s="295"/>
    </row>
    <row r="679" spans="1:11" x14ac:dyDescent="0.2">
      <c r="A679" s="263" t="s">
        <v>198</v>
      </c>
      <c r="B679" s="243" t="s">
        <v>59</v>
      </c>
      <c r="C679" s="243" t="s">
        <v>196</v>
      </c>
      <c r="D679" s="635" t="s">
        <v>217</v>
      </c>
      <c r="E679" s="1111" t="s">
        <v>89</v>
      </c>
      <c r="F679" s="1112"/>
      <c r="G679" s="1113"/>
      <c r="H679" s="1114" t="s">
        <v>183</v>
      </c>
      <c r="I679" s="1115"/>
      <c r="J679" s="295"/>
      <c r="K679" s="295"/>
    </row>
    <row r="680" spans="1:11" x14ac:dyDescent="0.2">
      <c r="A680" s="244"/>
      <c r="B680" s="234"/>
      <c r="C680" s="234"/>
      <c r="D680" s="239"/>
      <c r="E680" s="255"/>
      <c r="F680" s="253"/>
      <c r="G680" s="293"/>
      <c r="H680" s="240"/>
      <c r="I680" s="423">
        <f>TRUNC(D680*G680,2)</f>
        <v>0</v>
      </c>
      <c r="J680" s="295"/>
      <c r="K680" s="295"/>
    </row>
    <row r="681" spans="1:11" x14ac:dyDescent="0.2">
      <c r="A681" s="200"/>
      <c r="B681" s="264"/>
      <c r="C681" s="200"/>
      <c r="D681" s="200"/>
      <c r="E681" s="200"/>
      <c r="F681" s="265" t="s">
        <v>199</v>
      </c>
      <c r="G681" s="255"/>
      <c r="H681" s="266"/>
      <c r="I681" s="441">
        <f>SUM(I680:I680)</f>
        <v>0</v>
      </c>
      <c r="J681" s="295"/>
      <c r="K681" s="295"/>
    </row>
    <row r="682" spans="1:11" x14ac:dyDescent="0.2">
      <c r="A682" s="200"/>
      <c r="B682" s="264"/>
      <c r="C682" s="200"/>
      <c r="D682" s="200"/>
      <c r="E682" s="200"/>
      <c r="F682" s="200"/>
      <c r="G682" s="200"/>
      <c r="H682" s="200"/>
      <c r="I682" s="440"/>
      <c r="J682" s="295"/>
      <c r="K682" s="295"/>
    </row>
    <row r="683" spans="1:11" x14ac:dyDescent="0.2">
      <c r="A683" s="267" t="s">
        <v>200</v>
      </c>
      <c r="B683" s="268" t="s">
        <v>59</v>
      </c>
      <c r="C683" s="268" t="s">
        <v>196</v>
      </c>
      <c r="D683" s="268" t="s">
        <v>201</v>
      </c>
      <c r="E683" s="268" t="s">
        <v>202</v>
      </c>
      <c r="F683" s="268" t="s">
        <v>203</v>
      </c>
      <c r="G683" s="268" t="s">
        <v>94</v>
      </c>
      <c r="H683" s="268" t="s">
        <v>89</v>
      </c>
      <c r="I683" s="442" t="s">
        <v>204</v>
      </c>
    </row>
    <row r="684" spans="1:11" x14ac:dyDescent="0.2">
      <c r="A684" s="244"/>
      <c r="B684" s="234"/>
      <c r="C684" s="234"/>
      <c r="D684" s="402"/>
      <c r="E684" s="270"/>
      <c r="F684" s="270"/>
      <c r="G684" s="239"/>
      <c r="H684" s="271"/>
      <c r="I684" s="418">
        <f>TRUNC(G684*H684,2)</f>
        <v>0</v>
      </c>
    </row>
    <row r="685" spans="1:11" x14ac:dyDescent="0.2">
      <c r="A685" s="200"/>
      <c r="B685" s="264"/>
      <c r="C685" s="200"/>
      <c r="D685" s="200"/>
      <c r="E685" s="200"/>
      <c r="F685" s="265" t="s">
        <v>205</v>
      </c>
      <c r="G685" s="240"/>
      <c r="H685" s="272"/>
      <c r="I685" s="443">
        <f>SUM(I684:I684)</f>
        <v>0</v>
      </c>
    </row>
    <row r="686" spans="1:11" x14ac:dyDescent="0.2">
      <c r="A686" s="200"/>
      <c r="B686" s="264"/>
      <c r="C686" s="200"/>
      <c r="D686" s="200"/>
      <c r="E686" s="200"/>
      <c r="F686" s="200"/>
      <c r="G686" s="200"/>
      <c r="H686" s="200"/>
      <c r="I686" s="444"/>
    </row>
    <row r="687" spans="1:11" x14ac:dyDescent="0.2">
      <c r="A687" s="273"/>
      <c r="B687" s="274"/>
      <c r="C687" s="275"/>
      <c r="D687" s="275"/>
      <c r="E687" s="275"/>
      <c r="F687" s="276" t="s">
        <v>206</v>
      </c>
      <c r="G687" s="273"/>
      <c r="H687" s="249"/>
      <c r="I687" s="445">
        <f>+I673+I677+I681+I685</f>
        <v>0.4</v>
      </c>
    </row>
    <row r="688" spans="1:11" x14ac:dyDescent="0.2">
      <c r="A688" s="255"/>
      <c r="B688" s="277"/>
      <c r="C688" s="266"/>
      <c r="D688" s="266"/>
      <c r="E688" s="266"/>
      <c r="F688" s="278" t="str">
        <f>CONCATENATE($H$3," ",$I$3)</f>
        <v>BDI: 23,32</v>
      </c>
      <c r="G688" s="403"/>
      <c r="H688" s="253"/>
      <c r="I688" s="737">
        <f>+ROUND(I687*$I$4,2)</f>
        <v>0.09</v>
      </c>
    </row>
    <row r="689" spans="1:13" x14ac:dyDescent="0.2">
      <c r="A689" s="240"/>
      <c r="B689" s="279"/>
      <c r="C689" s="272"/>
      <c r="D689" s="272"/>
      <c r="E689" s="272"/>
      <c r="F689" s="280" t="s">
        <v>207</v>
      </c>
      <c r="G689" s="404"/>
      <c r="H689" s="241"/>
      <c r="I689" s="886">
        <f>+I687+I688</f>
        <v>0.49</v>
      </c>
    </row>
    <row r="690" spans="1:13" x14ac:dyDescent="0.2">
      <c r="A690" s="1122" t="str">
        <f>$A$1</f>
        <v>COMPOSIÇÃO DE CUSTOS UNITÁRIOS</v>
      </c>
      <c r="B690" s="1122"/>
      <c r="C690" s="1122"/>
      <c r="D690" s="1122"/>
      <c r="E690" s="1122"/>
      <c r="F690" s="1122"/>
      <c r="G690" s="1122"/>
      <c r="H690" s="1122"/>
      <c r="I690" s="1122"/>
    </row>
    <row r="691" spans="1:13" x14ac:dyDescent="0.2">
      <c r="A691" s="228" t="str">
        <f>$A$2</f>
        <v>Tabela Referencial de Preços - DER-ES</v>
      </c>
      <c r="B691" s="229"/>
      <c r="C691" s="199"/>
      <c r="D691" s="199"/>
      <c r="E691" s="199"/>
      <c r="F691" s="199"/>
      <c r="G691" s="199"/>
      <c r="H691" s="199"/>
      <c r="I691" s="414" t="str">
        <f>$I$2</f>
        <v>Data Base: novembro/2020</v>
      </c>
      <c r="J691" s="400">
        <v>40221</v>
      </c>
      <c r="K691" s="400">
        <f>VLOOKUP("Preço Unitário Total",F693:I4015,4,FALSE)</f>
        <v>8.11</v>
      </c>
      <c r="L691" s="295">
        <f>VLOOKUP(J691,'DER 11-20'!A:E,5,FALSE)</f>
        <v>0</v>
      </c>
      <c r="M691" s="295" t="str">
        <f>VLOOKUP(J691,'DER 11-20'!$A:$D,2,FALSE)</f>
        <v>Escavação e carga de material de 1ª categoria, com trator de esteira e pá carregadeira</v>
      </c>
    </row>
    <row r="692" spans="1:13" ht="22.5" customHeight="1" x14ac:dyDescent="0.2">
      <c r="A692" s="1117" t="str">
        <f>+CONCATENATE("Serviço: ",J691," ",VLOOKUP(J691,'DER 11-20'!$A:$D,2,FALSE))</f>
        <v>Serviço: 40221 Escavação e carga de material de 1ª categoria, com trator de esteira e pá carregadeira</v>
      </c>
      <c r="B692" s="1117"/>
      <c r="C692" s="1117"/>
      <c r="D692" s="1117"/>
      <c r="E692" s="1117"/>
      <c r="F692" s="1117"/>
      <c r="G692" s="1117"/>
      <c r="H692" s="1117"/>
      <c r="I692" s="1119" t="str">
        <f>CONCATENATE("Unidade: ", VLOOKUP(J691,'DER 11-20'!$A:$E,3,FALSE))</f>
        <v>Unidade: M3</v>
      </c>
      <c r="J692" s="295"/>
      <c r="K692" s="295"/>
    </row>
    <row r="693" spans="1:13" x14ac:dyDescent="0.2">
      <c r="A693" s="1118"/>
      <c r="B693" s="1118"/>
      <c r="C693" s="1118"/>
      <c r="D693" s="1118"/>
      <c r="E693" s="1118"/>
      <c r="F693" s="1118"/>
      <c r="G693" s="1118"/>
      <c r="H693" s="1118"/>
      <c r="I693" s="1120"/>
      <c r="J693" s="295"/>
      <c r="K693" s="295"/>
    </row>
    <row r="694" spans="1:13" ht="22.5" x14ac:dyDescent="0.2">
      <c r="A694" s="231" t="s">
        <v>177</v>
      </c>
      <c r="B694" s="232" t="s">
        <v>59</v>
      </c>
      <c r="C694" s="232" t="s">
        <v>178</v>
      </c>
      <c r="D694" s="232" t="s">
        <v>179</v>
      </c>
      <c r="E694" s="232" t="s">
        <v>180</v>
      </c>
      <c r="F694" s="232" t="s">
        <v>181</v>
      </c>
      <c r="G694" s="232" t="s">
        <v>182</v>
      </c>
      <c r="H694" s="232" t="s">
        <v>89</v>
      </c>
      <c r="I694" s="434" t="s">
        <v>183</v>
      </c>
      <c r="J694" s="295"/>
      <c r="K694" s="295"/>
    </row>
    <row r="695" spans="1:13" ht="33.75" x14ac:dyDescent="0.2">
      <c r="A695" s="233" t="str">
        <f>VLOOKUP(B695,equip.!$A:$G,2,FALSE)</f>
        <v>Carregadeira de rodas ref. Caterpillar modelo 950H (3,10 m3) ( cab + ar ) ou equivalente</v>
      </c>
      <c r="B695" s="234">
        <v>30024</v>
      </c>
      <c r="C695" s="235" t="str">
        <f>VLOOKUP(B695,equip.!$A$1:$G$239,3,FALSE)</f>
        <v>M</v>
      </c>
      <c r="D695" s="236">
        <v>1</v>
      </c>
      <c r="E695" s="203">
        <v>0</v>
      </c>
      <c r="F695" s="237">
        <f>VLOOKUP(B695,equip.!$A:$G,6,FALSE)</f>
        <v>314.31</v>
      </c>
      <c r="G695" s="237">
        <f>VLOOKUP(B695,equip.!$A:$G,7,FALSE)</f>
        <v>125.16</v>
      </c>
      <c r="H695" s="238">
        <v>1</v>
      </c>
      <c r="I695" s="418">
        <f>TRUNC(D695*F695*H695+E695*G695*H695,2)</f>
        <v>314.31</v>
      </c>
      <c r="J695" s="295"/>
      <c r="K695" s="295"/>
    </row>
    <row r="696" spans="1:13" ht="33.75" x14ac:dyDescent="0.2">
      <c r="A696" s="233" t="str">
        <f>VLOOKUP(B696,equip.!$A:$G,2,FALSE)</f>
        <v>Trator de esteiras ref. Caterpillar com lâmina  modelo D8T, sem ríper ou equivalente</v>
      </c>
      <c r="B696" s="234">
        <v>30018</v>
      </c>
      <c r="C696" s="235">
        <f>VLOOKUP(B696,equip.!$A$1:$G$239,3,FALSE)</f>
        <v>0</v>
      </c>
      <c r="D696" s="236">
        <v>1</v>
      </c>
      <c r="E696" s="203">
        <v>0</v>
      </c>
      <c r="F696" s="237">
        <f>VLOOKUP(B696,equip.!$A:$G,6,FALSE)</f>
        <v>651.67999999999995</v>
      </c>
      <c r="G696" s="237">
        <f>VLOOKUP(B696,equip.!$A:$G,7,FALSE)</f>
        <v>233.98</v>
      </c>
      <c r="H696" s="238">
        <v>1</v>
      </c>
      <c r="I696" s="418">
        <f>TRUNC(D696*F696*H696+E696*G696*H696,2)</f>
        <v>651.67999999999995</v>
      </c>
      <c r="J696" s="295"/>
      <c r="K696" s="295"/>
    </row>
    <row r="697" spans="1:13" x14ac:dyDescent="0.2">
      <c r="A697" s="199"/>
      <c r="B697" s="229"/>
      <c r="C697" s="229"/>
      <c r="D697" s="199"/>
      <c r="E697" s="199"/>
      <c r="F697" s="230" t="s">
        <v>184</v>
      </c>
      <c r="G697" s="240"/>
      <c r="H697" s="241"/>
      <c r="I697" s="438">
        <f>SUM(I695:I696)</f>
        <v>965.99</v>
      </c>
      <c r="J697" s="295"/>
      <c r="K697" s="295"/>
    </row>
    <row r="698" spans="1:13" x14ac:dyDescent="0.2">
      <c r="A698" s="199"/>
      <c r="B698" s="229"/>
      <c r="C698" s="229"/>
      <c r="D698" s="199"/>
      <c r="E698" s="199"/>
      <c r="F698" s="199"/>
      <c r="G698" s="199"/>
      <c r="H698" s="199"/>
      <c r="I698" s="439"/>
      <c r="J698" s="295"/>
      <c r="K698" s="295"/>
    </row>
    <row r="699" spans="1:13" x14ac:dyDescent="0.2">
      <c r="A699" s="242" t="s">
        <v>185</v>
      </c>
      <c r="B699" s="243" t="s">
        <v>59</v>
      </c>
      <c r="C699" s="232" t="s">
        <v>357</v>
      </c>
      <c r="D699" s="243" t="s">
        <v>187</v>
      </c>
      <c r="E699" s="1121" t="s">
        <v>89</v>
      </c>
      <c r="F699" s="1114"/>
      <c r="G699" s="1115"/>
      <c r="H699" s="1121" t="s">
        <v>183</v>
      </c>
      <c r="I699" s="1115"/>
      <c r="J699" s="295"/>
      <c r="K699" s="295"/>
    </row>
    <row r="700" spans="1:13" x14ac:dyDescent="0.2">
      <c r="A700" s="244" t="str">
        <f>VLOOKUP(B700,m.o.!$A:$H,2,FALSE)</f>
        <v>Encarregado de terraplenagem</v>
      </c>
      <c r="B700" s="234">
        <v>20067</v>
      </c>
      <c r="C700" s="239">
        <f>VLOOKUP(B700,m.o.!$A:$F,4,FALSE)</f>
        <v>2.35</v>
      </c>
      <c r="D700" s="239">
        <f>VLOOKUP(B700,m.o.!$A:$G,7,FALSE)</f>
        <v>29.43</v>
      </c>
      <c r="E700" s="255"/>
      <c r="F700" s="253"/>
      <c r="G700" s="293">
        <v>0.3</v>
      </c>
      <c r="H700" s="240"/>
      <c r="I700" s="427">
        <f>TRUNC(D700*G700,2)</f>
        <v>8.82</v>
      </c>
      <c r="J700" s="295"/>
      <c r="K700" s="295"/>
    </row>
    <row r="701" spans="1:13" x14ac:dyDescent="0.2">
      <c r="A701" s="244" t="str">
        <f>VLOOKUP(B701,m.o.!$A:$H,2,FALSE)</f>
        <v>Servente</v>
      </c>
      <c r="B701" s="234">
        <v>20002</v>
      </c>
      <c r="C701" s="239">
        <f>VLOOKUP(B701,m.o.!$A:$F,4,FALSE)</f>
        <v>1</v>
      </c>
      <c r="D701" s="239">
        <f>VLOOKUP(B701,m.o.!$A:$G,7,FALSE)</f>
        <v>12.52</v>
      </c>
      <c r="E701" s="240"/>
      <c r="F701" s="241"/>
      <c r="G701" s="405">
        <v>1</v>
      </c>
      <c r="H701" s="240"/>
      <c r="I701" s="427">
        <f>TRUNC(D701*G701,2)</f>
        <v>12.52</v>
      </c>
      <c r="J701" s="295"/>
      <c r="K701" s="295"/>
    </row>
    <row r="702" spans="1:13" x14ac:dyDescent="0.2">
      <c r="A702" s="199"/>
      <c r="B702" s="229"/>
      <c r="C702" s="229"/>
      <c r="D702" s="199"/>
      <c r="E702" s="199"/>
      <c r="F702" s="230" t="s">
        <v>188</v>
      </c>
      <c r="G702" s="240"/>
      <c r="H702" s="241"/>
      <c r="I702" s="438">
        <f>SUM(I700:I701)</f>
        <v>21.34</v>
      </c>
      <c r="J702" s="295"/>
      <c r="K702" s="295"/>
    </row>
    <row r="703" spans="1:13" x14ac:dyDescent="0.2">
      <c r="A703" s="199"/>
      <c r="B703" s="229"/>
      <c r="C703" s="229"/>
      <c r="D703" s="199"/>
      <c r="E703" s="199"/>
      <c r="F703" s="199"/>
      <c r="G703" s="199"/>
      <c r="H703" s="199"/>
      <c r="I703" s="439"/>
      <c r="J703" s="295"/>
      <c r="K703" s="295"/>
    </row>
    <row r="704" spans="1:13" x14ac:dyDescent="0.2">
      <c r="A704" s="263" t="s">
        <v>189</v>
      </c>
      <c r="B704" s="243" t="s">
        <v>59</v>
      </c>
      <c r="C704" s="635" t="s">
        <v>17</v>
      </c>
      <c r="D704" s="243" t="s">
        <v>190</v>
      </c>
      <c r="E704" s="243" t="s">
        <v>191</v>
      </c>
      <c r="F704" s="243" t="s">
        <v>192</v>
      </c>
      <c r="G704" s="1121" t="s">
        <v>94</v>
      </c>
      <c r="H704" s="1114"/>
      <c r="I704" s="1115"/>
      <c r="J704" s="295"/>
      <c r="K704" s="295"/>
    </row>
    <row r="705" spans="1:17" x14ac:dyDescent="0.2">
      <c r="A705" s="244"/>
      <c r="B705" s="234"/>
      <c r="C705" s="239"/>
      <c r="D705" s="235"/>
      <c r="E705" s="246"/>
      <c r="F705" s="246"/>
      <c r="G705" s="240"/>
      <c r="H705" s="241"/>
      <c r="I705" s="427"/>
      <c r="J705" s="295"/>
      <c r="K705" s="295"/>
    </row>
    <row r="706" spans="1:17" x14ac:dyDescent="0.2">
      <c r="A706" s="199"/>
      <c r="B706" s="229"/>
      <c r="C706" s="199"/>
      <c r="D706" s="199"/>
      <c r="E706" s="199"/>
      <c r="F706" s="230" t="s">
        <v>327</v>
      </c>
      <c r="G706" s="240"/>
      <c r="H706" s="241"/>
      <c r="I706" s="438">
        <f>SUM(I705)</f>
        <v>0</v>
      </c>
      <c r="J706" s="295"/>
      <c r="K706" s="295"/>
    </row>
    <row r="707" spans="1:17" x14ac:dyDescent="0.2">
      <c r="A707" s="199"/>
      <c r="B707" s="229"/>
      <c r="C707" s="199"/>
      <c r="D707" s="199"/>
      <c r="E707" s="199"/>
      <c r="F707" s="199"/>
      <c r="G707" s="199"/>
      <c r="H707" s="199"/>
      <c r="I707" s="439"/>
      <c r="J707" s="295"/>
      <c r="K707" s="295"/>
    </row>
    <row r="708" spans="1:17" x14ac:dyDescent="0.2">
      <c r="A708" s="247"/>
      <c r="B708" s="248"/>
      <c r="C708" s="249"/>
      <c r="D708" s="249"/>
      <c r="E708" s="249"/>
      <c r="F708" s="250" t="s">
        <v>193</v>
      </c>
      <c r="G708" s="401"/>
      <c r="H708" s="249"/>
      <c r="I708" s="445">
        <f>+I697+I702+I706</f>
        <v>987.33</v>
      </c>
      <c r="K708" s="295"/>
    </row>
    <row r="709" spans="1:17" x14ac:dyDescent="0.2">
      <c r="A709" s="251"/>
      <c r="B709" s="252"/>
      <c r="C709" s="253"/>
      <c r="D709" s="253"/>
      <c r="E709" s="253"/>
      <c r="F709" s="254" t="s">
        <v>194</v>
      </c>
      <c r="G709" s="255"/>
      <c r="H709" s="253"/>
      <c r="I709" s="446">
        <v>150</v>
      </c>
      <c r="K709" s="295"/>
    </row>
    <row r="710" spans="1:17" s="198" customFormat="1" x14ac:dyDescent="0.2">
      <c r="A710" s="233"/>
      <c r="B710" s="256"/>
      <c r="C710" s="241"/>
      <c r="D710" s="241"/>
      <c r="E710" s="241"/>
      <c r="F710" s="257" t="s">
        <v>216</v>
      </c>
      <c r="G710" s="240"/>
      <c r="H710" s="241"/>
      <c r="I710" s="447">
        <f>TRUNC(I708/I709,2)</f>
        <v>6.58</v>
      </c>
      <c r="J710" s="400"/>
      <c r="K710" s="295"/>
      <c r="L710" s="295"/>
      <c r="M710" s="295"/>
      <c r="N710" s="295"/>
      <c r="O710" s="295"/>
      <c r="P710" s="295"/>
      <c r="Q710" s="295"/>
    </row>
    <row r="711" spans="1:17" s="198" customFormat="1" x14ac:dyDescent="0.2">
      <c r="A711" s="636"/>
      <c r="B711" s="229"/>
      <c r="C711" s="199"/>
      <c r="D711" s="199"/>
      <c r="E711" s="199"/>
      <c r="F711" s="258"/>
      <c r="G711" s="199"/>
      <c r="H711" s="199"/>
      <c r="I711" s="450"/>
      <c r="J711" s="400"/>
      <c r="K711" s="295"/>
      <c r="L711" s="295"/>
      <c r="M711" s="295"/>
      <c r="N711" s="295"/>
      <c r="O711" s="295"/>
      <c r="P711" s="295"/>
      <c r="Q711" s="295"/>
    </row>
    <row r="712" spans="1:17" x14ac:dyDescent="0.2">
      <c r="A712" s="242" t="s">
        <v>195</v>
      </c>
      <c r="B712" s="243" t="s">
        <v>59</v>
      </c>
      <c r="C712" s="243" t="s">
        <v>196</v>
      </c>
      <c r="D712" s="243" t="s">
        <v>217</v>
      </c>
      <c r="E712" s="1121" t="s">
        <v>89</v>
      </c>
      <c r="F712" s="1114"/>
      <c r="G712" s="1115"/>
      <c r="H712" s="1121" t="s">
        <v>183</v>
      </c>
      <c r="I712" s="1115"/>
      <c r="K712" s="295"/>
    </row>
    <row r="713" spans="1:17" x14ac:dyDescent="0.2">
      <c r="A713" s="407"/>
      <c r="B713" s="260"/>
      <c r="C713" s="260"/>
      <c r="D713" s="261"/>
      <c r="E713" s="255"/>
      <c r="F713" s="253"/>
      <c r="G713" s="408"/>
      <c r="H713" s="255"/>
      <c r="I713" s="423"/>
      <c r="K713" s="295"/>
    </row>
    <row r="714" spans="1:17" x14ac:dyDescent="0.2">
      <c r="A714" s="199"/>
      <c r="B714" s="229"/>
      <c r="C714" s="199"/>
      <c r="D714" s="199"/>
      <c r="E714" s="199"/>
      <c r="F714" s="230" t="s">
        <v>197</v>
      </c>
      <c r="G714" s="240"/>
      <c r="H714" s="241"/>
      <c r="I714" s="438">
        <f>SUM(I713:I713)</f>
        <v>0</v>
      </c>
      <c r="K714" s="295"/>
    </row>
    <row r="715" spans="1:17" x14ac:dyDescent="0.2">
      <c r="A715" s="199"/>
      <c r="B715" s="229"/>
      <c r="C715" s="199"/>
      <c r="D715" s="199"/>
      <c r="E715" s="199"/>
      <c r="F715" s="199"/>
      <c r="G715" s="262"/>
      <c r="H715" s="199"/>
      <c r="I715" s="439"/>
      <c r="K715" s="295"/>
    </row>
    <row r="716" spans="1:17" x14ac:dyDescent="0.2">
      <c r="A716" s="263" t="s">
        <v>198</v>
      </c>
      <c r="B716" s="243" t="s">
        <v>59</v>
      </c>
      <c r="C716" s="243" t="s">
        <v>196</v>
      </c>
      <c r="D716" s="635" t="s">
        <v>217</v>
      </c>
      <c r="E716" s="1121" t="s">
        <v>89</v>
      </c>
      <c r="F716" s="1114"/>
      <c r="G716" s="1115"/>
      <c r="H716" s="1121" t="s">
        <v>183</v>
      </c>
      <c r="I716" s="1115"/>
      <c r="K716" s="295"/>
    </row>
    <row r="717" spans="1:17" x14ac:dyDescent="0.2">
      <c r="A717" s="244"/>
      <c r="B717" s="234"/>
      <c r="C717" s="234"/>
      <c r="D717" s="239"/>
      <c r="E717" s="255"/>
      <c r="F717" s="253"/>
      <c r="G717" s="293"/>
      <c r="H717" s="240"/>
      <c r="I717" s="423"/>
      <c r="K717" s="295"/>
    </row>
    <row r="718" spans="1:17" x14ac:dyDescent="0.2">
      <c r="A718" s="200"/>
      <c r="B718" s="264"/>
      <c r="C718" s="200"/>
      <c r="D718" s="200"/>
      <c r="E718" s="200"/>
      <c r="F718" s="265" t="s">
        <v>199</v>
      </c>
      <c r="G718" s="255"/>
      <c r="H718" s="266"/>
      <c r="I718" s="441">
        <f>SUM(I715:I717)</f>
        <v>0</v>
      </c>
      <c r="K718" s="295"/>
    </row>
    <row r="719" spans="1:17" x14ac:dyDescent="0.2">
      <c r="A719" s="200"/>
      <c r="B719" s="264"/>
      <c r="C719" s="200"/>
      <c r="D719" s="200"/>
      <c r="E719" s="200"/>
      <c r="F719" s="200"/>
      <c r="G719" s="200"/>
      <c r="H719" s="200"/>
      <c r="I719" s="440"/>
      <c r="K719" s="295"/>
    </row>
    <row r="720" spans="1:17" x14ac:dyDescent="0.2">
      <c r="A720" s="406" t="s">
        <v>200</v>
      </c>
      <c r="B720" s="268" t="s">
        <v>59</v>
      </c>
      <c r="C720" s="268" t="s">
        <v>196</v>
      </c>
      <c r="D720" s="268" t="s">
        <v>201</v>
      </c>
      <c r="E720" s="268" t="s">
        <v>202</v>
      </c>
      <c r="F720" s="268" t="s">
        <v>203</v>
      </c>
      <c r="G720" s="268" t="s">
        <v>94</v>
      </c>
      <c r="H720" s="268" t="s">
        <v>89</v>
      </c>
      <c r="I720" s="442" t="s">
        <v>204</v>
      </c>
      <c r="K720" s="295"/>
    </row>
    <row r="721" spans="1:15" x14ac:dyDescent="0.2">
      <c r="A721" s="244"/>
      <c r="B721" s="234"/>
      <c r="C721" s="234"/>
      <c r="D721" s="269"/>
      <c r="E721" s="270"/>
      <c r="F721" s="270"/>
      <c r="G721" s="239"/>
      <c r="H721" s="271"/>
      <c r="I721" s="418">
        <f>TRUNC(G721*H721,2)</f>
        <v>0</v>
      </c>
      <c r="K721" s="295"/>
    </row>
    <row r="722" spans="1:15" x14ac:dyDescent="0.2">
      <c r="A722" s="200"/>
      <c r="B722" s="264"/>
      <c r="C722" s="200"/>
      <c r="D722" s="200"/>
      <c r="E722" s="200"/>
      <c r="F722" s="265" t="s">
        <v>205</v>
      </c>
      <c r="G722" s="240"/>
      <c r="H722" s="272"/>
      <c r="I722" s="443">
        <f>SUM(I721:I721)</f>
        <v>0</v>
      </c>
      <c r="K722" s="295"/>
    </row>
    <row r="723" spans="1:15" x14ac:dyDescent="0.2">
      <c r="A723" s="200"/>
      <c r="B723" s="264"/>
      <c r="C723" s="200"/>
      <c r="D723" s="200"/>
      <c r="E723" s="200"/>
      <c r="F723" s="200"/>
      <c r="G723" s="200"/>
      <c r="H723" s="200"/>
      <c r="I723" s="444"/>
      <c r="K723" s="295"/>
    </row>
    <row r="724" spans="1:15" x14ac:dyDescent="0.2">
      <c r="A724" s="273"/>
      <c r="B724" s="274"/>
      <c r="C724" s="275"/>
      <c r="D724" s="275"/>
      <c r="E724" s="275"/>
      <c r="F724" s="276" t="s">
        <v>206</v>
      </c>
      <c r="G724" s="273"/>
      <c r="H724" s="249"/>
      <c r="I724" s="445">
        <f>+I710+I714+I718+I722</f>
        <v>6.58</v>
      </c>
      <c r="O724" s="359"/>
    </row>
    <row r="725" spans="1:15" x14ac:dyDescent="0.2">
      <c r="A725" s="255"/>
      <c r="B725" s="277"/>
      <c r="C725" s="266"/>
      <c r="D725" s="266"/>
      <c r="E725" s="266"/>
      <c r="F725" s="278" t="str">
        <f>CONCATENATE($H$3," ",$I$3)</f>
        <v>BDI: 23,32</v>
      </c>
      <c r="G725" s="403"/>
      <c r="H725" s="253"/>
      <c r="I725" s="446">
        <f>+ROUND(I724*$I$4,2)</f>
        <v>1.53</v>
      </c>
      <c r="O725" s="359"/>
    </row>
    <row r="726" spans="1:15" x14ac:dyDescent="0.2">
      <c r="A726" s="255"/>
      <c r="B726" s="277"/>
      <c r="C726" s="266"/>
      <c r="D726" s="266"/>
      <c r="E726" s="266"/>
      <c r="F726" s="278" t="s">
        <v>207</v>
      </c>
      <c r="G726" s="403"/>
      <c r="H726" s="253"/>
      <c r="I726" s="887">
        <f>+I724+I725</f>
        <v>8.11</v>
      </c>
      <c r="O726" s="359"/>
    </row>
    <row r="727" spans="1:15" s="198" customFormat="1" x14ac:dyDescent="0.2">
      <c r="A727" s="1116" t="str">
        <f>$A$1</f>
        <v>COMPOSIÇÃO DE CUSTOS UNITÁRIOS</v>
      </c>
      <c r="B727" s="1116"/>
      <c r="C727" s="1116"/>
      <c r="D727" s="1116"/>
      <c r="E727" s="1116"/>
      <c r="F727" s="1116"/>
      <c r="G727" s="1116"/>
      <c r="H727" s="1116"/>
      <c r="I727" s="1116"/>
      <c r="J727" s="415"/>
      <c r="K727" s="415"/>
    </row>
    <row r="728" spans="1:15" s="198" customFormat="1" x14ac:dyDescent="0.2">
      <c r="A728" s="411" t="str">
        <f>$A$2</f>
        <v>Tabela Referencial de Preços - DER-ES</v>
      </c>
      <c r="B728" s="412"/>
      <c r="C728" s="413"/>
      <c r="D728" s="413"/>
      <c r="E728" s="413"/>
      <c r="F728" s="413"/>
      <c r="G728" s="413"/>
      <c r="H728" s="413"/>
      <c r="I728" s="414" t="str">
        <f>$I$2</f>
        <v>Data Base: novembro/2020</v>
      </c>
      <c r="J728" s="415">
        <v>40230</v>
      </c>
      <c r="K728" s="415">
        <f>VLOOKUP("Preço Unitário Total",F730:I3900,4,FALSE)</f>
        <v>3.3</v>
      </c>
      <c r="L728" s="198">
        <f>VLOOKUP(J728,'DER 11-20'!A:E,5,FALSE)</f>
        <v>0</v>
      </c>
      <c r="M728" s="198" t="str">
        <f>VLOOKUP(J728,'DER 11-20'!$A:$D,2,FALSE)</f>
        <v>Escavação e carga de material de 1ª categoria com escavadeira</v>
      </c>
    </row>
    <row r="729" spans="1:15" s="198" customFormat="1" x14ac:dyDescent="0.2">
      <c r="A729" s="1119" t="str">
        <f>+CONCATENATE("Serviço: ",J728," ",VLOOKUP(J728,'DER 11-20'!$A:$D,2,FALSE))</f>
        <v>Serviço: 40230 Escavação e carga de material de 1ª categoria com escavadeira</v>
      </c>
      <c r="B729" s="1119"/>
      <c r="C729" s="1119"/>
      <c r="D729" s="1119"/>
      <c r="E729" s="1119"/>
      <c r="F729" s="1119"/>
      <c r="G729" s="1119"/>
      <c r="H729" s="1119"/>
      <c r="I729" s="1119" t="str">
        <f>CONCATENATE("Unidade: ", VLOOKUP(J728,'DER 11-20'!$A:$E,3,FALSE))</f>
        <v>Unidade: M3</v>
      </c>
      <c r="J729" s="415"/>
      <c r="K729" s="415"/>
    </row>
    <row r="730" spans="1:15" x14ac:dyDescent="0.2">
      <c r="A730" s="1120"/>
      <c r="B730" s="1120"/>
      <c r="C730" s="1120"/>
      <c r="D730" s="1120"/>
      <c r="E730" s="1120"/>
      <c r="F730" s="1120"/>
      <c r="G730" s="1120"/>
      <c r="H730" s="1120"/>
      <c r="I730" s="1120"/>
    </row>
    <row r="731" spans="1:15" ht="22.5" x14ac:dyDescent="0.2">
      <c r="A731" s="231" t="s">
        <v>177</v>
      </c>
      <c r="B731" s="232" t="s">
        <v>59</v>
      </c>
      <c r="C731" s="232" t="s">
        <v>178</v>
      </c>
      <c r="D731" s="232" t="s">
        <v>179</v>
      </c>
      <c r="E731" s="232" t="s">
        <v>180</v>
      </c>
      <c r="F731" s="232" t="s">
        <v>181</v>
      </c>
      <c r="G731" s="232" t="s">
        <v>182</v>
      </c>
      <c r="H731" s="232" t="s">
        <v>89</v>
      </c>
      <c r="I731" s="434" t="s">
        <v>183</v>
      </c>
    </row>
    <row r="732" spans="1:15" ht="22.5" x14ac:dyDescent="0.2">
      <c r="A732" s="233" t="str">
        <f>VLOOKUP(B732,equip.!$A:$G,2,FALSE)</f>
        <v>Escavadeira EC 240 VOLVO ou equivalente</v>
      </c>
      <c r="B732" s="234">
        <v>30044</v>
      </c>
      <c r="C732" s="235" t="str">
        <f>VLOOKUP(B732,equip.!$A$1:$G$239,3,FALSE)</f>
        <v>M</v>
      </c>
      <c r="D732" s="236">
        <v>1</v>
      </c>
      <c r="E732" s="203">
        <v>0</v>
      </c>
      <c r="F732" s="237">
        <f>VLOOKUP(B732,equip.!$A:$G,6,FALSE)</f>
        <v>229.63</v>
      </c>
      <c r="G732" s="237">
        <f>VLOOKUP(B732,equip.!$A:$G,7,FALSE)</f>
        <v>68.13</v>
      </c>
      <c r="H732" s="238">
        <v>1</v>
      </c>
      <c r="I732" s="418">
        <f>TRUNC(D732*F732*H732+E732*G732*H732,2)</f>
        <v>229.63</v>
      </c>
    </row>
    <row r="733" spans="1:15" ht="33.6" customHeight="1" x14ac:dyDescent="0.2">
      <c r="A733" s="233" t="str">
        <f>VLOOKUP(B733,equip.!$A:$G,2,FALSE)</f>
        <v>Motoniveladora Caterpillar modelo 120K ( cab + ar + ríper) ou equivalente</v>
      </c>
      <c r="B733" s="234">
        <v>30022</v>
      </c>
      <c r="C733" s="235" t="str">
        <f>VLOOKUP(B733,equip.!$A$1:$G$239,3,FALSE)</f>
        <v>M</v>
      </c>
      <c r="D733" s="236">
        <v>0.11</v>
      </c>
      <c r="E733" s="203">
        <v>0.89</v>
      </c>
      <c r="F733" s="237">
        <f>VLOOKUP(B733,equip.!$A:$G,6,FALSE)</f>
        <v>245.66</v>
      </c>
      <c r="G733" s="237">
        <f>VLOOKUP(B733,equip.!$A:$G,7,FALSE)</f>
        <v>87.2</v>
      </c>
      <c r="H733" s="238">
        <v>1</v>
      </c>
      <c r="I733" s="418">
        <f>TRUNC(D733*F733*H733+E733*G733*H733,2)</f>
        <v>104.63</v>
      </c>
    </row>
    <row r="734" spans="1:15" x14ac:dyDescent="0.2">
      <c r="A734" s="199"/>
      <c r="B734" s="229"/>
      <c r="C734" s="229"/>
      <c r="D734" s="199"/>
      <c r="E734" s="199"/>
      <c r="F734" s="230" t="s">
        <v>184</v>
      </c>
      <c r="G734" s="240"/>
      <c r="H734" s="241"/>
      <c r="I734" s="438">
        <f>SUM(I732:I733)</f>
        <v>334.26</v>
      </c>
    </row>
    <row r="735" spans="1:15" x14ac:dyDescent="0.2">
      <c r="A735" s="199"/>
      <c r="B735" s="229"/>
      <c r="C735" s="229"/>
      <c r="D735" s="199"/>
      <c r="E735" s="199"/>
      <c r="F735" s="199"/>
      <c r="G735" s="199"/>
      <c r="H735" s="199"/>
      <c r="I735" s="439"/>
    </row>
    <row r="736" spans="1:15" x14ac:dyDescent="0.2">
      <c r="A736" s="242" t="s">
        <v>185</v>
      </c>
      <c r="B736" s="243" t="s">
        <v>59</v>
      </c>
      <c r="C736" s="232" t="s">
        <v>357</v>
      </c>
      <c r="D736" s="243" t="s">
        <v>187</v>
      </c>
      <c r="E736" s="1111" t="s">
        <v>89</v>
      </c>
      <c r="F736" s="1112"/>
      <c r="G736" s="1113"/>
      <c r="H736" s="1121" t="s">
        <v>183</v>
      </c>
      <c r="I736" s="1115"/>
      <c r="J736" s="295"/>
      <c r="K736" s="295"/>
    </row>
    <row r="737" spans="1:11" x14ac:dyDescent="0.2">
      <c r="A737" s="244" t="str">
        <f>VLOOKUP(B737,m.o.!$A:$H,2,FALSE)</f>
        <v>Encarregado de terraplenagem</v>
      </c>
      <c r="B737" s="234">
        <v>20067</v>
      </c>
      <c r="C737" s="239">
        <f>VLOOKUP(B737,m.o.!$A:$F,4,FALSE)</f>
        <v>2.35</v>
      </c>
      <c r="D737" s="239">
        <f>VLOOKUP(B737,m.o.!$A:$G,7,FALSE)</f>
        <v>29.43</v>
      </c>
      <c r="E737" s="255"/>
      <c r="F737" s="253"/>
      <c r="G737" s="293">
        <v>1</v>
      </c>
      <c r="H737" s="240"/>
      <c r="I737" s="427">
        <f>TRUNC(D737*G737,2)</f>
        <v>29.43</v>
      </c>
      <c r="J737" s="295"/>
      <c r="K737" s="295"/>
    </row>
    <row r="738" spans="1:11" x14ac:dyDescent="0.2">
      <c r="A738" s="244" t="str">
        <f>VLOOKUP(B738,m.o.!$A:$H,2,FALSE)</f>
        <v>Servente</v>
      </c>
      <c r="B738" s="234">
        <v>20002</v>
      </c>
      <c r="C738" s="239">
        <f>VLOOKUP(B738,m.o.!$A:$F,4,FALSE)</f>
        <v>1</v>
      </c>
      <c r="D738" s="239">
        <f>VLOOKUP(B738,m.o.!$A:$G,7,FALSE)</f>
        <v>12.52</v>
      </c>
      <c r="E738" s="255"/>
      <c r="F738" s="253"/>
      <c r="G738" s="293">
        <v>1</v>
      </c>
      <c r="H738" s="240"/>
      <c r="I738" s="427">
        <f>TRUNC(D738*G738,2)</f>
        <v>12.52</v>
      </c>
      <c r="J738" s="295"/>
      <c r="K738" s="295"/>
    </row>
    <row r="739" spans="1:11" x14ac:dyDescent="0.2">
      <c r="A739" s="199"/>
      <c r="B739" s="229"/>
      <c r="C739" s="229"/>
      <c r="D739" s="199"/>
      <c r="E739" s="199"/>
      <c r="F739" s="230" t="s">
        <v>188</v>
      </c>
      <c r="G739" s="240"/>
      <c r="H739" s="241"/>
      <c r="I739" s="438">
        <f>SUM(I737:I738)</f>
        <v>41.95</v>
      </c>
      <c r="J739" s="295"/>
      <c r="K739" s="295"/>
    </row>
    <row r="740" spans="1:11" x14ac:dyDescent="0.2">
      <c r="A740" s="199"/>
      <c r="B740" s="229"/>
      <c r="C740" s="229"/>
      <c r="D740" s="199"/>
      <c r="E740" s="199"/>
      <c r="F740" s="199"/>
      <c r="G740" s="199"/>
      <c r="H740" s="199"/>
      <c r="I740" s="439"/>
      <c r="J740" s="295"/>
      <c r="K740" s="295"/>
    </row>
    <row r="741" spans="1:11" x14ac:dyDescent="0.2">
      <c r="A741" s="245" t="s">
        <v>189</v>
      </c>
      <c r="B741" s="243" t="s">
        <v>59</v>
      </c>
      <c r="C741" s="635" t="s">
        <v>17</v>
      </c>
      <c r="D741" s="243" t="s">
        <v>190</v>
      </c>
      <c r="E741" s="243" t="s">
        <v>191</v>
      </c>
      <c r="F741" s="243" t="s">
        <v>192</v>
      </c>
      <c r="G741" s="1121" t="s">
        <v>94</v>
      </c>
      <c r="H741" s="1114"/>
      <c r="I741" s="1115"/>
      <c r="J741" s="295"/>
      <c r="K741" s="295"/>
    </row>
    <row r="742" spans="1:11" x14ac:dyDescent="0.2">
      <c r="A742" s="244"/>
      <c r="B742" s="234"/>
      <c r="C742" s="239"/>
      <c r="D742" s="235"/>
      <c r="E742" s="246"/>
      <c r="F742" s="246"/>
      <c r="G742" s="240"/>
      <c r="H742" s="241"/>
      <c r="I742" s="427">
        <f>TRUNC(C742/100*I739,2)</f>
        <v>0</v>
      </c>
      <c r="J742" s="295"/>
      <c r="K742" s="295"/>
    </row>
    <row r="743" spans="1:11" x14ac:dyDescent="0.2">
      <c r="A743" s="199"/>
      <c r="B743" s="229"/>
      <c r="C743" s="199"/>
      <c r="D743" s="199"/>
      <c r="E743" s="199"/>
      <c r="F743" s="230" t="s">
        <v>327</v>
      </c>
      <c r="G743" s="240"/>
      <c r="H743" s="241"/>
      <c r="I743" s="438">
        <f>SUM(I742)</f>
        <v>0</v>
      </c>
      <c r="J743" s="295"/>
      <c r="K743" s="295"/>
    </row>
    <row r="744" spans="1:11" x14ac:dyDescent="0.2">
      <c r="A744" s="199"/>
      <c r="B744" s="229"/>
      <c r="C744" s="199"/>
      <c r="D744" s="199"/>
      <c r="E744" s="199"/>
      <c r="F744" s="199"/>
      <c r="G744" s="199"/>
      <c r="H744" s="199"/>
      <c r="I744" s="439"/>
      <c r="J744" s="295"/>
      <c r="K744" s="295"/>
    </row>
    <row r="745" spans="1:11" x14ac:dyDescent="0.2">
      <c r="A745" s="247"/>
      <c r="B745" s="248"/>
      <c r="C745" s="249"/>
      <c r="D745" s="249"/>
      <c r="E745" s="249"/>
      <c r="F745" s="250" t="s">
        <v>193</v>
      </c>
      <c r="G745" s="401"/>
      <c r="H745" s="249"/>
      <c r="I745" s="445">
        <f>+I734+I739+I743</f>
        <v>376.21</v>
      </c>
      <c r="J745" s="295"/>
      <c r="K745" s="295"/>
    </row>
    <row r="746" spans="1:11" x14ac:dyDescent="0.2">
      <c r="A746" s="251"/>
      <c r="B746" s="252"/>
      <c r="C746" s="253"/>
      <c r="D746" s="253"/>
      <c r="E746" s="253"/>
      <c r="F746" s="254" t="s">
        <v>194</v>
      </c>
      <c r="G746" s="255"/>
      <c r="H746" s="253"/>
      <c r="I746" s="446">
        <v>140</v>
      </c>
      <c r="J746" s="295"/>
      <c r="K746" s="295"/>
    </row>
    <row r="747" spans="1:11" x14ac:dyDescent="0.2">
      <c r="A747" s="233"/>
      <c r="B747" s="256"/>
      <c r="C747" s="241"/>
      <c r="D747" s="241"/>
      <c r="E747" s="241"/>
      <c r="F747" s="257" t="s">
        <v>216</v>
      </c>
      <c r="G747" s="240"/>
      <c r="H747" s="241"/>
      <c r="I747" s="447">
        <f>TRUNC(I745/I746,2)</f>
        <v>2.68</v>
      </c>
      <c r="J747" s="295"/>
      <c r="K747" s="295"/>
    </row>
    <row r="748" spans="1:11" x14ac:dyDescent="0.2">
      <c r="A748" s="636"/>
      <c r="B748" s="229"/>
      <c r="C748" s="199"/>
      <c r="D748" s="199"/>
      <c r="E748" s="199"/>
      <c r="F748" s="258"/>
      <c r="G748" s="199"/>
      <c r="H748" s="199"/>
      <c r="I748" s="450"/>
      <c r="J748" s="295"/>
      <c r="K748" s="295"/>
    </row>
    <row r="749" spans="1:11" x14ac:dyDescent="0.2">
      <c r="A749" s="242" t="s">
        <v>195</v>
      </c>
      <c r="B749" s="243" t="s">
        <v>59</v>
      </c>
      <c r="C749" s="243" t="s">
        <v>196</v>
      </c>
      <c r="D749" s="243" t="s">
        <v>217</v>
      </c>
      <c r="E749" s="1121" t="s">
        <v>89</v>
      </c>
      <c r="F749" s="1114"/>
      <c r="G749" s="1115"/>
      <c r="H749" s="1121" t="s">
        <v>183</v>
      </c>
      <c r="I749" s="1115"/>
      <c r="J749" s="295"/>
      <c r="K749" s="295"/>
    </row>
    <row r="750" spans="1:11" x14ac:dyDescent="0.2">
      <c r="A750" s="259"/>
      <c r="B750" s="234"/>
      <c r="C750" s="260"/>
      <c r="D750" s="261"/>
      <c r="E750" s="255"/>
      <c r="F750" s="253"/>
      <c r="G750" s="293"/>
      <c r="H750" s="255"/>
      <c r="I750" s="423">
        <f>TRUNC(D750*G750,2)</f>
        <v>0</v>
      </c>
      <c r="J750" s="295"/>
      <c r="K750" s="295"/>
    </row>
    <row r="751" spans="1:11" x14ac:dyDescent="0.2">
      <c r="A751" s="199"/>
      <c r="B751" s="229"/>
      <c r="C751" s="199"/>
      <c r="D751" s="199"/>
      <c r="E751" s="199"/>
      <c r="F751" s="230" t="s">
        <v>197</v>
      </c>
      <c r="G751" s="240"/>
      <c r="H751" s="241"/>
      <c r="I751" s="438">
        <f>SUM(I750:I750)</f>
        <v>0</v>
      </c>
      <c r="J751" s="295"/>
      <c r="K751" s="295"/>
    </row>
    <row r="752" spans="1:11" x14ac:dyDescent="0.2">
      <c r="A752" s="199"/>
      <c r="B752" s="229"/>
      <c r="C752" s="199"/>
      <c r="D752" s="199"/>
      <c r="E752" s="199"/>
      <c r="F752" s="199"/>
      <c r="G752" s="262"/>
      <c r="H752" s="199"/>
      <c r="I752" s="439"/>
    </row>
    <row r="753" spans="1:13" x14ac:dyDescent="0.2">
      <c r="A753" s="263" t="s">
        <v>198</v>
      </c>
      <c r="B753" s="243" t="s">
        <v>59</v>
      </c>
      <c r="C753" s="243" t="s">
        <v>196</v>
      </c>
      <c r="D753" s="635" t="s">
        <v>217</v>
      </c>
      <c r="E753" s="1111" t="s">
        <v>89</v>
      </c>
      <c r="F753" s="1112"/>
      <c r="G753" s="1113"/>
      <c r="H753" s="1114" t="s">
        <v>183</v>
      </c>
      <c r="I753" s="1115"/>
    </row>
    <row r="754" spans="1:13" x14ac:dyDescent="0.2">
      <c r="A754" s="244"/>
      <c r="B754" s="234"/>
      <c r="C754" s="234"/>
      <c r="D754" s="239"/>
      <c r="E754" s="255"/>
      <c r="F754" s="253"/>
      <c r="G754" s="293"/>
      <c r="H754" s="240"/>
      <c r="I754" s="423">
        <f>TRUNC(D754*G754,2)</f>
        <v>0</v>
      </c>
    </row>
    <row r="755" spans="1:13" x14ac:dyDescent="0.2">
      <c r="A755" s="200"/>
      <c r="B755" s="264"/>
      <c r="C755" s="200"/>
      <c r="D755" s="200"/>
      <c r="E755" s="200"/>
      <c r="F755" s="265" t="s">
        <v>199</v>
      </c>
      <c r="G755" s="255"/>
      <c r="H755" s="266"/>
      <c r="I755" s="441">
        <f>SUM(I754:I754)</f>
        <v>0</v>
      </c>
    </row>
    <row r="756" spans="1:13" x14ac:dyDescent="0.2">
      <c r="A756" s="200"/>
      <c r="B756" s="264"/>
      <c r="C756" s="200"/>
      <c r="D756" s="200"/>
      <c r="E756" s="200"/>
      <c r="F756" s="200"/>
      <c r="G756" s="200"/>
      <c r="H756" s="200"/>
      <c r="I756" s="440"/>
    </row>
    <row r="757" spans="1:13" x14ac:dyDescent="0.2">
      <c r="A757" s="267" t="s">
        <v>200</v>
      </c>
      <c r="B757" s="268" t="s">
        <v>59</v>
      </c>
      <c r="C757" s="268" t="s">
        <v>196</v>
      </c>
      <c r="D757" s="268" t="s">
        <v>201</v>
      </c>
      <c r="E757" s="268" t="s">
        <v>202</v>
      </c>
      <c r="F757" s="268" t="s">
        <v>203</v>
      </c>
      <c r="G757" s="268" t="s">
        <v>94</v>
      </c>
      <c r="H757" s="268" t="s">
        <v>89</v>
      </c>
      <c r="I757" s="442" t="s">
        <v>204</v>
      </c>
    </row>
    <row r="758" spans="1:13" x14ac:dyDescent="0.2">
      <c r="A758" s="244"/>
      <c r="B758" s="234"/>
      <c r="C758" s="234"/>
      <c r="D758" s="402"/>
      <c r="E758" s="270"/>
      <c r="F758" s="270"/>
      <c r="G758" s="239"/>
      <c r="H758" s="271"/>
      <c r="I758" s="418"/>
    </row>
    <row r="759" spans="1:13" x14ac:dyDescent="0.2">
      <c r="A759" s="200"/>
      <c r="B759" s="264"/>
      <c r="C759" s="200"/>
      <c r="D759" s="200"/>
      <c r="E759" s="200"/>
      <c r="F759" s="265" t="s">
        <v>205</v>
      </c>
      <c r="G759" s="240"/>
      <c r="H759" s="272"/>
      <c r="I759" s="443">
        <f>SUM(I758:I758)</f>
        <v>0</v>
      </c>
    </row>
    <row r="760" spans="1:13" x14ac:dyDescent="0.2">
      <c r="A760" s="200"/>
      <c r="B760" s="264"/>
      <c r="C760" s="200"/>
      <c r="D760" s="200"/>
      <c r="E760" s="200"/>
      <c r="F760" s="200"/>
      <c r="G760" s="200"/>
      <c r="H760" s="200"/>
      <c r="I760" s="444"/>
    </row>
    <row r="761" spans="1:13" x14ac:dyDescent="0.2">
      <c r="A761" s="273"/>
      <c r="B761" s="274"/>
      <c r="C761" s="275"/>
      <c r="D761" s="275"/>
      <c r="E761" s="275"/>
      <c r="F761" s="276" t="s">
        <v>206</v>
      </c>
      <c r="G761" s="273"/>
      <c r="H761" s="249"/>
      <c r="I761" s="445">
        <f>+I747+I751+I755+I759</f>
        <v>2.68</v>
      </c>
    </row>
    <row r="762" spans="1:13" x14ac:dyDescent="0.2">
      <c r="A762" s="255"/>
      <c r="B762" s="277"/>
      <c r="C762" s="266"/>
      <c r="D762" s="266"/>
      <c r="E762" s="266"/>
      <c r="F762" s="278" t="str">
        <f>CONCATENATE($H$3," ",$I$3)</f>
        <v>BDI: 23,32</v>
      </c>
      <c r="G762" s="403"/>
      <c r="H762" s="253"/>
      <c r="I762" s="446">
        <f>+ROUND(I761*$I$4,2)</f>
        <v>0.62</v>
      </c>
    </row>
    <row r="763" spans="1:13" x14ac:dyDescent="0.2">
      <c r="A763" s="240"/>
      <c r="B763" s="279"/>
      <c r="C763" s="272"/>
      <c r="D763" s="272"/>
      <c r="E763" s="272"/>
      <c r="F763" s="280" t="s">
        <v>207</v>
      </c>
      <c r="G763" s="404"/>
      <c r="H763" s="241"/>
      <c r="I763" s="720">
        <f>+I761+I762</f>
        <v>3.3</v>
      </c>
    </row>
    <row r="764" spans="1:13" x14ac:dyDescent="0.2">
      <c r="A764" s="1116" t="str">
        <f>$A$1</f>
        <v>COMPOSIÇÃO DE CUSTOS UNITÁRIOS</v>
      </c>
      <c r="B764" s="1116"/>
      <c r="C764" s="1116"/>
      <c r="D764" s="1116"/>
      <c r="E764" s="1116"/>
      <c r="F764" s="1116"/>
      <c r="G764" s="1116"/>
      <c r="H764" s="1116"/>
      <c r="I764" s="1116"/>
    </row>
    <row r="765" spans="1:13" x14ac:dyDescent="0.2">
      <c r="A765" s="228" t="str">
        <f>$A$2</f>
        <v>Tabela Referencial de Preços - DER-ES</v>
      </c>
      <c r="B765" s="229"/>
      <c r="C765" s="199"/>
      <c r="D765" s="199"/>
      <c r="E765" s="199"/>
      <c r="F765" s="199"/>
      <c r="G765" s="199"/>
      <c r="H765" s="199"/>
      <c r="I765" s="414" t="str">
        <f>$I$2</f>
        <v>Data Base: novembro/2020</v>
      </c>
      <c r="J765" s="400">
        <v>42547</v>
      </c>
      <c r="K765" s="400">
        <f>VLOOKUP("Preço Unitário Total",F767:I3969,4,FALSE)</f>
        <v>1.68</v>
      </c>
      <c r="L765" s="295">
        <f>VLOOKUP(J765,'DER 11-20'!A:E,5,FALSE)</f>
        <v>0</v>
      </c>
      <c r="M765" s="295" t="str">
        <f>VLOOKUP(J765,'DER 11-20'!$A:$D,2,FALSE)</f>
        <v>Espalhamento de material de 1ª categoria com motoniveladora</v>
      </c>
    </row>
    <row r="766" spans="1:13" x14ac:dyDescent="0.2">
      <c r="A766" s="1117" t="str">
        <f>+CONCATENATE("Serviço: ",J765," ",VLOOKUP(J765,'DER 11-20'!$A:$D,2,FALSE))</f>
        <v>Serviço: 42547 Espalhamento de material de 1ª categoria com motoniveladora</v>
      </c>
      <c r="B766" s="1117"/>
      <c r="C766" s="1117"/>
      <c r="D766" s="1117"/>
      <c r="E766" s="1117"/>
      <c r="F766" s="1117"/>
      <c r="G766" s="1117"/>
      <c r="H766" s="1117"/>
      <c r="I766" s="1119" t="str">
        <f>CONCATENATE("Unidade: ", VLOOKUP(J765,'DER 11-20'!$A:$E,3,FALSE))</f>
        <v>Unidade: M3</v>
      </c>
    </row>
    <row r="767" spans="1:13" x14ac:dyDescent="0.2">
      <c r="A767" s="1118"/>
      <c r="B767" s="1118"/>
      <c r="C767" s="1118"/>
      <c r="D767" s="1118"/>
      <c r="E767" s="1118"/>
      <c r="F767" s="1118"/>
      <c r="G767" s="1118"/>
      <c r="H767" s="1118"/>
      <c r="I767" s="1120"/>
    </row>
    <row r="768" spans="1:13" ht="22.5" x14ac:dyDescent="0.2">
      <c r="A768" s="231" t="s">
        <v>177</v>
      </c>
      <c r="B768" s="232" t="s">
        <v>59</v>
      </c>
      <c r="C768" s="232" t="s">
        <v>178</v>
      </c>
      <c r="D768" s="232" t="s">
        <v>179</v>
      </c>
      <c r="E768" s="232" t="s">
        <v>180</v>
      </c>
      <c r="F768" s="232" t="s">
        <v>181</v>
      </c>
      <c r="G768" s="232" t="s">
        <v>182</v>
      </c>
      <c r="H768" s="232" t="s">
        <v>89</v>
      </c>
      <c r="I768" s="434" t="s">
        <v>183</v>
      </c>
    </row>
    <row r="769" spans="1:11" ht="34.9" customHeight="1" x14ac:dyDescent="0.2">
      <c r="A769" s="233" t="str">
        <f>VLOOKUP(B769,equip.!$A:$G,2,FALSE)</f>
        <v>Motoniveladora Caterpillar modelo 120K ( cab + ar + ríper) ou equivalente</v>
      </c>
      <c r="B769" s="234">
        <v>30022</v>
      </c>
      <c r="C769" s="235" t="str">
        <f>VLOOKUP(B769,equip.!$A$1:$G$239,3,FALSE)</f>
        <v>M</v>
      </c>
      <c r="D769" s="236">
        <v>1</v>
      </c>
      <c r="E769" s="203">
        <v>0</v>
      </c>
      <c r="F769" s="237">
        <f>VLOOKUP(B769,equip.!$A:$G,6,FALSE)</f>
        <v>245.66</v>
      </c>
      <c r="G769" s="237">
        <f>VLOOKUP(B769,equip.!$A:$G,7,FALSE)</f>
        <v>87.2</v>
      </c>
      <c r="H769" s="238">
        <v>1</v>
      </c>
      <c r="I769" s="418">
        <f>TRUNC(D769*F769*H769+E769*G769*H769,2)</f>
        <v>245.66</v>
      </c>
    </row>
    <row r="770" spans="1:11" x14ac:dyDescent="0.2">
      <c r="A770" s="199"/>
      <c r="B770" s="229"/>
      <c r="C770" s="229"/>
      <c r="D770" s="199"/>
      <c r="E770" s="199"/>
      <c r="F770" s="230" t="s">
        <v>184</v>
      </c>
      <c r="G770" s="240"/>
      <c r="H770" s="241"/>
      <c r="I770" s="438">
        <f>SUM(I769:I769)</f>
        <v>245.66</v>
      </c>
    </row>
    <row r="771" spans="1:11" x14ac:dyDescent="0.2">
      <c r="A771" s="199"/>
      <c r="B771" s="229"/>
      <c r="C771" s="229"/>
      <c r="D771" s="199"/>
      <c r="E771" s="199"/>
      <c r="F771" s="199"/>
      <c r="G771" s="199"/>
      <c r="H771" s="199"/>
      <c r="I771" s="439"/>
    </row>
    <row r="772" spans="1:11" x14ac:dyDescent="0.2">
      <c r="A772" s="242" t="s">
        <v>185</v>
      </c>
      <c r="B772" s="243" t="s">
        <v>59</v>
      </c>
      <c r="C772" s="232" t="s">
        <v>357</v>
      </c>
      <c r="D772" s="243" t="s">
        <v>187</v>
      </c>
      <c r="E772" s="1111" t="s">
        <v>89</v>
      </c>
      <c r="F772" s="1112"/>
      <c r="G772" s="1113"/>
      <c r="H772" s="1121" t="s">
        <v>183</v>
      </c>
      <c r="I772" s="1115"/>
    </row>
    <row r="773" spans="1:11" x14ac:dyDescent="0.2">
      <c r="A773" s="244" t="str">
        <f>VLOOKUP(B773,m.o.!$A:$H,2,FALSE)</f>
        <v>Encarregado de terraplenagem</v>
      </c>
      <c r="B773" s="234">
        <v>20067</v>
      </c>
      <c r="C773" s="239">
        <f>VLOOKUP(B773,m.o.!$A:$F,4,FALSE)</f>
        <v>2.35</v>
      </c>
      <c r="D773" s="239">
        <f>VLOOKUP(B773,m.o.!$A:$G,7,FALSE)</f>
        <v>29.43</v>
      </c>
      <c r="E773" s="255"/>
      <c r="F773" s="253"/>
      <c r="G773" s="293">
        <v>0.5</v>
      </c>
      <c r="H773" s="240"/>
      <c r="I773" s="427">
        <f>TRUNC(D773*G773,2)</f>
        <v>14.71</v>
      </c>
    </row>
    <row r="774" spans="1:11" x14ac:dyDescent="0.2">
      <c r="A774" s="244" t="str">
        <f>VLOOKUP(B774,m.o.!$A:$H,2,FALSE)</f>
        <v>Servente</v>
      </c>
      <c r="B774" s="234">
        <v>20002</v>
      </c>
      <c r="C774" s="239">
        <f>VLOOKUP(B774,m.o.!$A:$F,4,FALSE)</f>
        <v>1</v>
      </c>
      <c r="D774" s="239">
        <f>VLOOKUP(B774,m.o.!$A:$G,7,FALSE)</f>
        <v>12.52</v>
      </c>
      <c r="E774" s="255"/>
      <c r="F774" s="253"/>
      <c r="G774" s="293">
        <v>1</v>
      </c>
      <c r="H774" s="240"/>
      <c r="I774" s="427">
        <f>TRUNC(D774*G774,2)</f>
        <v>12.52</v>
      </c>
    </row>
    <row r="775" spans="1:11" x14ac:dyDescent="0.2">
      <c r="A775" s="199"/>
      <c r="B775" s="229"/>
      <c r="C775" s="229"/>
      <c r="D775" s="199"/>
      <c r="E775" s="199"/>
      <c r="F775" s="230" t="s">
        <v>188</v>
      </c>
      <c r="G775" s="240"/>
      <c r="H775" s="241"/>
      <c r="I775" s="438">
        <f>SUM(I773:I774)</f>
        <v>27.23</v>
      </c>
    </row>
    <row r="776" spans="1:11" x14ac:dyDescent="0.2">
      <c r="A776" s="199"/>
      <c r="B776" s="229"/>
      <c r="C776" s="229"/>
      <c r="D776" s="199"/>
      <c r="E776" s="199"/>
      <c r="F776" s="199"/>
      <c r="G776" s="199"/>
      <c r="H776" s="199"/>
      <c r="I776" s="439"/>
    </row>
    <row r="777" spans="1:11" s="198" customFormat="1" x14ac:dyDescent="0.2">
      <c r="A777" s="245" t="s">
        <v>189</v>
      </c>
      <c r="B777" s="243" t="s">
        <v>59</v>
      </c>
      <c r="C777" s="796" t="s">
        <v>17</v>
      </c>
      <c r="D777" s="243" t="s">
        <v>190</v>
      </c>
      <c r="E777" s="243" t="s">
        <v>191</v>
      </c>
      <c r="F777" s="243" t="s">
        <v>192</v>
      </c>
      <c r="G777" s="1121" t="s">
        <v>94</v>
      </c>
      <c r="H777" s="1114"/>
      <c r="I777" s="1115"/>
      <c r="J777" s="415"/>
      <c r="K777" s="415"/>
    </row>
    <row r="778" spans="1:11" x14ac:dyDescent="0.2">
      <c r="A778" s="416"/>
      <c r="B778" s="417"/>
      <c r="C778" s="418"/>
      <c r="D778" s="424"/>
      <c r="E778" s="425"/>
      <c r="F778" s="425"/>
      <c r="G778" s="422"/>
      <c r="H778" s="426"/>
      <c r="I778" s="427"/>
    </row>
    <row r="779" spans="1:11" x14ac:dyDescent="0.2">
      <c r="A779" s="199"/>
      <c r="B779" s="229"/>
      <c r="C779" s="199"/>
      <c r="D779" s="199"/>
      <c r="E779" s="199"/>
      <c r="F779" s="230" t="s">
        <v>327</v>
      </c>
      <c r="G779" s="240"/>
      <c r="H779" s="241"/>
      <c r="I779" s="438">
        <f>SUM(I778)</f>
        <v>0</v>
      </c>
    </row>
    <row r="780" spans="1:11" x14ac:dyDescent="0.2">
      <c r="A780" s="199"/>
      <c r="B780" s="229"/>
      <c r="C780" s="199"/>
      <c r="D780" s="199"/>
      <c r="E780" s="199"/>
      <c r="F780" s="199"/>
      <c r="G780" s="199"/>
      <c r="H780" s="199"/>
      <c r="I780" s="439"/>
    </row>
    <row r="781" spans="1:11" x14ac:dyDescent="0.2">
      <c r="A781" s="247"/>
      <c r="B781" s="248"/>
      <c r="C781" s="249"/>
      <c r="D781" s="249"/>
      <c r="E781" s="249"/>
      <c r="F781" s="250" t="s">
        <v>193</v>
      </c>
      <c r="G781" s="401"/>
      <c r="H781" s="249"/>
      <c r="I781" s="445">
        <f>+I770+I775+I779</f>
        <v>272.89</v>
      </c>
    </row>
    <row r="782" spans="1:11" x14ac:dyDescent="0.2">
      <c r="A782" s="251"/>
      <c r="B782" s="252"/>
      <c r="C782" s="253"/>
      <c r="D782" s="253"/>
      <c r="E782" s="253"/>
      <c r="F782" s="254" t="s">
        <v>194</v>
      </c>
      <c r="G782" s="255"/>
      <c r="H782" s="253"/>
      <c r="I782" s="446">
        <v>200</v>
      </c>
    </row>
    <row r="783" spans="1:11" x14ac:dyDescent="0.2">
      <c r="A783" s="233"/>
      <c r="B783" s="256"/>
      <c r="C783" s="241"/>
      <c r="D783" s="241"/>
      <c r="E783" s="241"/>
      <c r="F783" s="257" t="s">
        <v>216</v>
      </c>
      <c r="G783" s="240"/>
      <c r="H783" s="241"/>
      <c r="I783" s="447">
        <f>TRUNC(I781/I782,2)</f>
        <v>1.36</v>
      </c>
    </row>
    <row r="784" spans="1:11" x14ac:dyDescent="0.2">
      <c r="A784" s="797"/>
      <c r="B784" s="229"/>
      <c r="C784" s="199"/>
      <c r="D784" s="199"/>
      <c r="E784" s="199"/>
      <c r="F784" s="258"/>
      <c r="G784" s="199"/>
      <c r="H784" s="199"/>
      <c r="I784" s="450"/>
    </row>
    <row r="785" spans="1:11" x14ac:dyDescent="0.2">
      <c r="A785" s="242" t="s">
        <v>195</v>
      </c>
      <c r="B785" s="243" t="s">
        <v>59</v>
      </c>
      <c r="C785" s="243" t="s">
        <v>196</v>
      </c>
      <c r="D785" s="243" t="s">
        <v>217</v>
      </c>
      <c r="E785" s="1121" t="s">
        <v>89</v>
      </c>
      <c r="F785" s="1114"/>
      <c r="G785" s="1115"/>
      <c r="H785" s="1121" t="s">
        <v>183</v>
      </c>
      <c r="I785" s="1115"/>
    </row>
    <row r="786" spans="1:11" x14ac:dyDescent="0.2">
      <c r="A786" s="259"/>
      <c r="B786" s="234"/>
      <c r="C786" s="260"/>
      <c r="D786" s="261"/>
      <c r="E786" s="255"/>
      <c r="F786" s="253"/>
      <c r="G786" s="293"/>
      <c r="H786" s="255"/>
      <c r="I786" s="423">
        <f>TRUNC(D786*G786,2)</f>
        <v>0</v>
      </c>
    </row>
    <row r="787" spans="1:11" x14ac:dyDescent="0.2">
      <c r="A787" s="199"/>
      <c r="B787" s="229"/>
      <c r="C787" s="199"/>
      <c r="D787" s="199"/>
      <c r="E787" s="199"/>
      <c r="F787" s="230" t="s">
        <v>197</v>
      </c>
      <c r="G787" s="240"/>
      <c r="H787" s="241"/>
      <c r="I787" s="438">
        <f>SUM(I786:I786)</f>
        <v>0</v>
      </c>
    </row>
    <row r="788" spans="1:11" x14ac:dyDescent="0.2">
      <c r="A788" s="199"/>
      <c r="B788" s="229"/>
      <c r="C788" s="199"/>
      <c r="D788" s="199"/>
      <c r="E788" s="199"/>
      <c r="F788" s="199"/>
      <c r="G788" s="262"/>
      <c r="H788" s="199"/>
      <c r="I788" s="439"/>
    </row>
    <row r="789" spans="1:11" x14ac:dyDescent="0.2">
      <c r="A789" s="263" t="s">
        <v>198</v>
      </c>
      <c r="B789" s="243" t="s">
        <v>59</v>
      </c>
      <c r="C789" s="243" t="s">
        <v>196</v>
      </c>
      <c r="D789" s="796" t="s">
        <v>217</v>
      </c>
      <c r="E789" s="1111" t="s">
        <v>89</v>
      </c>
      <c r="F789" s="1112"/>
      <c r="G789" s="1113"/>
      <c r="H789" s="1114" t="s">
        <v>183</v>
      </c>
      <c r="I789" s="1115"/>
    </row>
    <row r="790" spans="1:11" x14ac:dyDescent="0.2">
      <c r="A790" s="244"/>
      <c r="B790" s="234"/>
      <c r="C790" s="234"/>
      <c r="D790" s="239"/>
      <c r="E790" s="255"/>
      <c r="F790" s="253"/>
      <c r="G790" s="293"/>
      <c r="H790" s="240"/>
      <c r="I790" s="423">
        <f>TRUNC(D790*G790,2)</f>
        <v>0</v>
      </c>
    </row>
    <row r="791" spans="1:11" x14ac:dyDescent="0.2">
      <c r="A791" s="200"/>
      <c r="B791" s="264"/>
      <c r="C791" s="200"/>
      <c r="D791" s="200"/>
      <c r="E791" s="200"/>
      <c r="F791" s="265" t="s">
        <v>199</v>
      </c>
      <c r="G791" s="255"/>
      <c r="H791" s="266"/>
      <c r="I791" s="441">
        <f>SUM(I790:I790)</f>
        <v>0</v>
      </c>
    </row>
    <row r="792" spans="1:11" x14ac:dyDescent="0.2">
      <c r="A792" s="200"/>
      <c r="B792" s="264"/>
      <c r="C792" s="200"/>
      <c r="D792" s="200"/>
      <c r="E792" s="200"/>
      <c r="F792" s="200"/>
      <c r="G792" s="200"/>
      <c r="H792" s="200"/>
      <c r="I792" s="440"/>
    </row>
    <row r="793" spans="1:11" x14ac:dyDescent="0.2">
      <c r="A793" s="267" t="s">
        <v>200</v>
      </c>
      <c r="B793" s="268" t="s">
        <v>59</v>
      </c>
      <c r="C793" s="268" t="s">
        <v>196</v>
      </c>
      <c r="D793" s="268" t="s">
        <v>201</v>
      </c>
      <c r="E793" s="268" t="s">
        <v>202</v>
      </c>
      <c r="F793" s="268" t="s">
        <v>203</v>
      </c>
      <c r="G793" s="268" t="s">
        <v>94</v>
      </c>
      <c r="H793" s="268" t="s">
        <v>89</v>
      </c>
      <c r="I793" s="442" t="s">
        <v>204</v>
      </c>
    </row>
    <row r="794" spans="1:11" x14ac:dyDescent="0.2">
      <c r="A794" s="244"/>
      <c r="B794" s="234"/>
      <c r="C794" s="234"/>
      <c r="D794" s="402"/>
      <c r="E794" s="270"/>
      <c r="F794" s="270"/>
      <c r="G794" s="239"/>
      <c r="H794" s="271"/>
      <c r="I794" s="418">
        <f>TRUNC(G794*H794,2)</f>
        <v>0</v>
      </c>
    </row>
    <row r="795" spans="1:11" x14ac:dyDescent="0.2">
      <c r="A795" s="200"/>
      <c r="B795" s="264"/>
      <c r="C795" s="200"/>
      <c r="D795" s="200"/>
      <c r="E795" s="200"/>
      <c r="F795" s="265" t="s">
        <v>205</v>
      </c>
      <c r="G795" s="240"/>
      <c r="H795" s="272"/>
      <c r="I795" s="443">
        <f>SUM(I794:I794)</f>
        <v>0</v>
      </c>
    </row>
    <row r="796" spans="1:11" x14ac:dyDescent="0.2">
      <c r="A796" s="200"/>
      <c r="B796" s="264"/>
      <c r="C796" s="200"/>
      <c r="D796" s="200"/>
      <c r="E796" s="200"/>
      <c r="F796" s="200"/>
      <c r="G796" s="200"/>
      <c r="H796" s="200"/>
      <c r="I796" s="444"/>
    </row>
    <row r="797" spans="1:11" x14ac:dyDescent="0.2">
      <c r="A797" s="273"/>
      <c r="B797" s="274"/>
      <c r="C797" s="275"/>
      <c r="D797" s="275"/>
      <c r="E797" s="275"/>
      <c r="F797" s="276" t="s">
        <v>206</v>
      </c>
      <c r="G797" s="273"/>
      <c r="H797" s="249"/>
      <c r="I797" s="445">
        <f>+I783+I787+I791+I795</f>
        <v>1.36</v>
      </c>
    </row>
    <row r="798" spans="1:11" x14ac:dyDescent="0.2">
      <c r="A798" s="255"/>
      <c r="B798" s="277"/>
      <c r="C798" s="266"/>
      <c r="D798" s="266"/>
      <c r="E798" s="266"/>
      <c r="F798" s="278" t="str">
        <f>CONCATENATE($H$3," ",$I$3)</f>
        <v>BDI: 23,32</v>
      </c>
      <c r="G798" s="403"/>
      <c r="H798" s="253"/>
      <c r="I798" s="446">
        <f>+ROUND(I797*$I$4,2)</f>
        <v>0.32</v>
      </c>
    </row>
    <row r="799" spans="1:11" s="198" customFormat="1" x14ac:dyDescent="0.2">
      <c r="A799" s="240"/>
      <c r="B799" s="279"/>
      <c r="C799" s="272"/>
      <c r="D799" s="272"/>
      <c r="E799" s="272"/>
      <c r="F799" s="280" t="s">
        <v>207</v>
      </c>
      <c r="G799" s="404"/>
      <c r="H799" s="241"/>
      <c r="I799" s="720">
        <f>+I797+I798</f>
        <v>1.68</v>
      </c>
      <c r="J799" s="415"/>
      <c r="K799" s="415"/>
    </row>
    <row r="800" spans="1:11" x14ac:dyDescent="0.2">
      <c r="A800" s="1116" t="str">
        <f>$A$1</f>
        <v>COMPOSIÇÃO DE CUSTOS UNITÁRIOS</v>
      </c>
      <c r="B800" s="1116"/>
      <c r="C800" s="1116"/>
      <c r="D800" s="1116"/>
      <c r="E800" s="1116"/>
      <c r="F800" s="1116"/>
      <c r="G800" s="1116"/>
      <c r="H800" s="1116"/>
      <c r="I800" s="1116"/>
    </row>
    <row r="801" spans="1:13" x14ac:dyDescent="0.2">
      <c r="A801" s="228" t="str">
        <f>$A$2</f>
        <v>Tabela Referencial de Preços - DER-ES</v>
      </c>
      <c r="B801" s="229"/>
      <c r="C801" s="199"/>
      <c r="D801" s="199"/>
      <c r="E801" s="199"/>
      <c r="F801" s="199"/>
      <c r="G801" s="199"/>
      <c r="H801" s="199"/>
      <c r="I801" s="414" t="str">
        <f>$I$2</f>
        <v>Data Base: novembro/2020</v>
      </c>
      <c r="J801" s="400">
        <v>43340</v>
      </c>
      <c r="K801" s="400">
        <f>VLOOKUP("Preço Unitário Total",F803:I4015,4,FALSE)</f>
        <v>6.46</v>
      </c>
      <c r="L801" s="295">
        <f>VLOOKUP(J801,'DER 11-20'!A:E,5,FALSE)</f>
        <v>0</v>
      </c>
      <c r="M801" s="295" t="str">
        <f>VLOOKUP(J801,'DER 11-20'!$A:$D,2,FALSE)</f>
        <v>Compactação de aterros 100% P.I.</v>
      </c>
    </row>
    <row r="802" spans="1:13" x14ac:dyDescent="0.2">
      <c r="A802" s="1117" t="str">
        <f>+CONCATENATE("Serviço: ",J801," ",VLOOKUP(J801,'DER 11-20'!$A:$D,2,FALSE))</f>
        <v>Serviço: 43340 Compactação de aterros 100% P.I.</v>
      </c>
      <c r="B802" s="1117"/>
      <c r="C802" s="1117"/>
      <c r="D802" s="1117"/>
      <c r="E802" s="1117"/>
      <c r="F802" s="1117"/>
      <c r="G802" s="1117"/>
      <c r="H802" s="1117"/>
      <c r="I802" s="1119" t="str">
        <f>CONCATENATE("Unidade: ", VLOOKUP(J801,'DER 11-20'!$A:$E,3,FALSE))</f>
        <v>Unidade: M3</v>
      </c>
    </row>
    <row r="803" spans="1:13" x14ac:dyDescent="0.2">
      <c r="A803" s="1118"/>
      <c r="B803" s="1118"/>
      <c r="C803" s="1118"/>
      <c r="D803" s="1118"/>
      <c r="E803" s="1118"/>
      <c r="F803" s="1118"/>
      <c r="G803" s="1118"/>
      <c r="H803" s="1118"/>
      <c r="I803" s="1120"/>
    </row>
    <row r="804" spans="1:13" ht="22.5" x14ac:dyDescent="0.2">
      <c r="A804" s="231" t="s">
        <v>177</v>
      </c>
      <c r="B804" s="232" t="s">
        <v>59</v>
      </c>
      <c r="C804" s="232" t="s">
        <v>178</v>
      </c>
      <c r="D804" s="232" t="s">
        <v>179</v>
      </c>
      <c r="E804" s="232" t="s">
        <v>180</v>
      </c>
      <c r="F804" s="232" t="s">
        <v>181</v>
      </c>
      <c r="G804" s="232" t="s">
        <v>182</v>
      </c>
      <c r="H804" s="232" t="s">
        <v>89</v>
      </c>
      <c r="I804" s="434" t="s">
        <v>183</v>
      </c>
      <c r="J804" s="295"/>
      <c r="K804" s="295"/>
    </row>
    <row r="805" spans="1:13" ht="22.5" x14ac:dyDescent="0.2">
      <c r="A805" s="233" t="str">
        <f>VLOOKUP(B805,equip.!$A:$G,2,FALSE)</f>
        <v>Caminhão tanque L 1319/48 PBT=12,9t (6.000L)</v>
      </c>
      <c r="B805" s="234">
        <v>30007</v>
      </c>
      <c r="C805" s="235" t="str">
        <f>VLOOKUP(B805,equip.!$A$1:$G$239,3,FALSE)</f>
        <v>M</v>
      </c>
      <c r="D805" s="236">
        <v>0.55000000000000004</v>
      </c>
      <c r="E805" s="203">
        <v>0.45</v>
      </c>
      <c r="F805" s="237">
        <f>VLOOKUP(B805,equip.!$A:$G,6,FALSE)</f>
        <v>164.94</v>
      </c>
      <c r="G805" s="237">
        <f>VLOOKUP(B805,equip.!$A:$G,7,FALSE)</f>
        <v>52.28</v>
      </c>
      <c r="H805" s="238">
        <v>2</v>
      </c>
      <c r="I805" s="418">
        <f t="shared" ref="I805:I810" si="1">TRUNC(D805*F805*H805+E805*G805*H805,2)</f>
        <v>228.48</v>
      </c>
      <c r="J805" s="295"/>
      <c r="K805" s="295"/>
    </row>
    <row r="806" spans="1:13" x14ac:dyDescent="0.2">
      <c r="A806" s="233" t="str">
        <f>VLOOKUP(B806,equip.!$A:$G,2,FALSE)</f>
        <v>Conjunto moto bomba diam. 4"</v>
      </c>
      <c r="B806" s="234">
        <v>30080</v>
      </c>
      <c r="C806" s="235">
        <f>VLOOKUP(B806,equip.!$A$1:$G$239,3,FALSE)</f>
        <v>0</v>
      </c>
      <c r="D806" s="236">
        <v>0.55000000000000004</v>
      </c>
      <c r="E806" s="203">
        <v>0.45</v>
      </c>
      <c r="F806" s="237">
        <f>VLOOKUP(B806,equip.!$A:$G,6,FALSE)</f>
        <v>18.73</v>
      </c>
      <c r="G806" s="237">
        <f>VLOOKUP(B806,equip.!$A:$G,7,FALSE)</f>
        <v>13.12</v>
      </c>
      <c r="H806" s="238">
        <v>1</v>
      </c>
      <c r="I806" s="418">
        <f t="shared" si="1"/>
        <v>16.2</v>
      </c>
      <c r="J806" s="295"/>
      <c r="K806" s="295"/>
    </row>
    <row r="807" spans="1:13" ht="22.5" x14ac:dyDescent="0.2">
      <c r="A807" s="233" t="str">
        <f>VLOOKUP(B807,equip.!$A:$G,2,FALSE)</f>
        <v>Grade de disco GA-24x24 (TATU) ou equivalente</v>
      </c>
      <c r="B807" s="234">
        <v>30054</v>
      </c>
      <c r="C807" s="235">
        <f>VLOOKUP(B807,equip.!$A$1:$G$239,3,FALSE)</f>
        <v>0</v>
      </c>
      <c r="D807" s="236">
        <v>0.5</v>
      </c>
      <c r="E807" s="203">
        <v>0.5</v>
      </c>
      <c r="F807" s="237">
        <f>VLOOKUP(B807,equip.!$A:$G,6,FALSE)</f>
        <v>17.22</v>
      </c>
      <c r="G807" s="237">
        <f>VLOOKUP(B807,equip.!$A:$G,7,FALSE)</f>
        <v>15.86</v>
      </c>
      <c r="H807" s="238">
        <v>1</v>
      </c>
      <c r="I807" s="418">
        <f t="shared" si="1"/>
        <v>16.54</v>
      </c>
      <c r="J807" s="295"/>
      <c r="K807" s="295"/>
    </row>
    <row r="808" spans="1:13" ht="30" customHeight="1" x14ac:dyDescent="0.2">
      <c r="A808" s="233" t="str">
        <f>VLOOKUP(B808,equip.!$A:$G,2,FALSE)</f>
        <v>Motoniveladora Caterpillar modelo 120K ( cab + ar + ríper) ou equivalente</v>
      </c>
      <c r="B808" s="234">
        <v>30022</v>
      </c>
      <c r="C808" s="235" t="str">
        <f>VLOOKUP(B808,equip.!$A$1:$G$239,3,FALSE)</f>
        <v>M</v>
      </c>
      <c r="D808" s="236">
        <v>0.5</v>
      </c>
      <c r="E808" s="203">
        <v>0.5</v>
      </c>
      <c r="F808" s="237">
        <f>VLOOKUP(B808,equip.!$A:$G,6,FALSE)</f>
        <v>245.66</v>
      </c>
      <c r="G808" s="237">
        <f>VLOOKUP(B808,equip.!$A:$G,7,FALSE)</f>
        <v>87.2</v>
      </c>
      <c r="H808" s="238">
        <v>1</v>
      </c>
      <c r="I808" s="418">
        <f t="shared" si="1"/>
        <v>166.43</v>
      </c>
      <c r="J808" s="295"/>
      <c r="K808" s="295"/>
    </row>
    <row r="809" spans="1:13" ht="22.5" x14ac:dyDescent="0.2">
      <c r="A809" s="233" t="str">
        <f>VLOOKUP(B809,equip.!$A:$G,2,FALSE)</f>
        <v>Rolo AP vib. patas 100 mm CA-25P (DYNAPAC) ou equivalente</v>
      </c>
      <c r="B809" s="234">
        <v>30040</v>
      </c>
      <c r="C809" s="235" t="str">
        <f>VLOOKUP(B809,equip.!$A$1:$G$239,3,FALSE)</f>
        <v>M</v>
      </c>
      <c r="D809" s="236">
        <v>1</v>
      </c>
      <c r="E809" s="203">
        <v>0</v>
      </c>
      <c r="F809" s="237">
        <f>VLOOKUP(B809,equip.!$A:$G,6,FALSE)</f>
        <v>190.1</v>
      </c>
      <c r="G809" s="237">
        <f>VLOOKUP(B809,equip.!$A:$G,7,FALSE)</f>
        <v>63.69</v>
      </c>
      <c r="H809" s="238">
        <v>1</v>
      </c>
      <c r="I809" s="418">
        <f t="shared" si="1"/>
        <v>190.1</v>
      </c>
      <c r="J809" s="295"/>
      <c r="K809" s="295"/>
    </row>
    <row r="810" spans="1:13" ht="33.75" x14ac:dyDescent="0.2">
      <c r="A810" s="233" t="str">
        <f>VLOOKUP(B810,equip.!$A:$G,2,FALSE)</f>
        <v>Trator agrícola MF 297/4 -4 X 4 (MASSEY FERGUSSON) ou equivalente</v>
      </c>
      <c r="B810" s="234">
        <v>30030</v>
      </c>
      <c r="C810" s="235" t="str">
        <f>VLOOKUP(B810,equip.!$A$1:$G$239,3,FALSE)</f>
        <v>M</v>
      </c>
      <c r="D810" s="236">
        <v>0.5</v>
      </c>
      <c r="E810" s="203">
        <v>0.5</v>
      </c>
      <c r="F810" s="237">
        <f>VLOOKUP(B810,equip.!$A:$G,6,FALSE)</f>
        <v>116.59</v>
      </c>
      <c r="G810" s="237">
        <f>VLOOKUP(B810,equip.!$A:$G,7,FALSE)</f>
        <v>33.1</v>
      </c>
      <c r="H810" s="238">
        <v>1</v>
      </c>
      <c r="I810" s="418">
        <f t="shared" si="1"/>
        <v>74.84</v>
      </c>
      <c r="J810" s="295"/>
      <c r="K810" s="295"/>
    </row>
    <row r="811" spans="1:13" x14ac:dyDescent="0.2">
      <c r="A811" s="199"/>
      <c r="B811" s="229"/>
      <c r="C811" s="229"/>
      <c r="D811" s="199"/>
      <c r="E811" s="199"/>
      <c r="F811" s="230" t="s">
        <v>184</v>
      </c>
      <c r="G811" s="240"/>
      <c r="H811" s="241"/>
      <c r="I811" s="438">
        <f>SUM(I805:I810)</f>
        <v>692.59</v>
      </c>
      <c r="J811" s="295"/>
      <c r="K811" s="295"/>
    </row>
    <row r="812" spans="1:13" x14ac:dyDescent="0.2">
      <c r="A812" s="199"/>
      <c r="B812" s="229"/>
      <c r="C812" s="229"/>
      <c r="D812" s="199"/>
      <c r="E812" s="199"/>
      <c r="F812" s="199"/>
      <c r="G812" s="199"/>
      <c r="H812" s="199"/>
      <c r="I812" s="439"/>
      <c r="J812" s="295"/>
      <c r="K812" s="295"/>
    </row>
    <row r="813" spans="1:13" x14ac:dyDescent="0.2">
      <c r="A813" s="242" t="s">
        <v>185</v>
      </c>
      <c r="B813" s="243" t="s">
        <v>59</v>
      </c>
      <c r="C813" s="232" t="s">
        <v>357</v>
      </c>
      <c r="D813" s="243" t="s">
        <v>187</v>
      </c>
      <c r="E813" s="1121" t="s">
        <v>89</v>
      </c>
      <c r="F813" s="1114"/>
      <c r="G813" s="1115"/>
      <c r="H813" s="1121" t="s">
        <v>183</v>
      </c>
      <c r="I813" s="1115"/>
      <c r="J813" s="295"/>
      <c r="K813" s="295"/>
    </row>
    <row r="814" spans="1:13" x14ac:dyDescent="0.2">
      <c r="A814" s="244" t="str">
        <f>VLOOKUP(B814,m.o.!$A:$H,2,FALSE)</f>
        <v>Encarregado de terraplenagem</v>
      </c>
      <c r="B814" s="234">
        <v>20067</v>
      </c>
      <c r="C814" s="239">
        <f>VLOOKUP(B814,m.o.!$A:$F,4,FALSE)</f>
        <v>2.35</v>
      </c>
      <c r="D814" s="239">
        <f>VLOOKUP(B814,m.o.!$A:$G,7,FALSE)</f>
        <v>29.43</v>
      </c>
      <c r="E814" s="255"/>
      <c r="F814" s="253"/>
      <c r="G814" s="293">
        <v>0.5</v>
      </c>
      <c r="H814" s="240"/>
      <c r="I814" s="427">
        <f>TRUNC(D814*G814,2)</f>
        <v>14.71</v>
      </c>
      <c r="J814" s="295"/>
      <c r="K814" s="295"/>
    </row>
    <row r="815" spans="1:13" x14ac:dyDescent="0.2">
      <c r="A815" s="244" t="str">
        <f>VLOOKUP(B815,m.o.!$A:$H,2,FALSE)</f>
        <v>Servente</v>
      </c>
      <c r="B815" s="234">
        <v>20002</v>
      </c>
      <c r="C815" s="239">
        <f>VLOOKUP(B815,m.o.!$A:$F,4,FALSE)</f>
        <v>1</v>
      </c>
      <c r="D815" s="239">
        <f>VLOOKUP(B815,m.o.!$A:$G,7,FALSE)</f>
        <v>12.52</v>
      </c>
      <c r="E815" s="240"/>
      <c r="F815" s="241"/>
      <c r="G815" s="405">
        <v>2</v>
      </c>
      <c r="H815" s="240"/>
      <c r="I815" s="427">
        <f>TRUNC(D815*G815,2)</f>
        <v>25.04</v>
      </c>
      <c r="J815" s="295"/>
      <c r="K815" s="295"/>
    </row>
    <row r="816" spans="1:13" x14ac:dyDescent="0.2">
      <c r="A816" s="199"/>
      <c r="B816" s="229"/>
      <c r="C816" s="229"/>
      <c r="D816" s="199"/>
      <c r="E816" s="199"/>
      <c r="F816" s="230" t="s">
        <v>188</v>
      </c>
      <c r="G816" s="240"/>
      <c r="H816" s="241"/>
      <c r="I816" s="438">
        <f>SUM(I814:I815)</f>
        <v>39.75</v>
      </c>
      <c r="J816" s="295"/>
      <c r="K816" s="295"/>
    </row>
    <row r="817" spans="1:11" x14ac:dyDescent="0.2">
      <c r="A817" s="199"/>
      <c r="B817" s="229"/>
      <c r="C817" s="229"/>
      <c r="D817" s="199"/>
      <c r="E817" s="199"/>
      <c r="F817" s="199"/>
      <c r="G817" s="199"/>
      <c r="H817" s="199"/>
      <c r="I817" s="439"/>
      <c r="J817" s="295"/>
      <c r="K817" s="295"/>
    </row>
    <row r="818" spans="1:11" x14ac:dyDescent="0.2">
      <c r="A818" s="263" t="s">
        <v>189</v>
      </c>
      <c r="B818" s="243" t="s">
        <v>59</v>
      </c>
      <c r="C818" s="635" t="s">
        <v>17</v>
      </c>
      <c r="D818" s="243" t="s">
        <v>190</v>
      </c>
      <c r="E818" s="243" t="s">
        <v>191</v>
      </c>
      <c r="F818" s="243" t="s">
        <v>192</v>
      </c>
      <c r="G818" s="1121" t="s">
        <v>94</v>
      </c>
      <c r="H818" s="1114"/>
      <c r="I818" s="1115"/>
      <c r="J818" s="295"/>
      <c r="K818" s="295"/>
    </row>
    <row r="819" spans="1:11" x14ac:dyDescent="0.2">
      <c r="A819" s="244" t="s">
        <v>127</v>
      </c>
      <c r="B819" s="234">
        <v>2000</v>
      </c>
      <c r="C819" s="239">
        <v>5</v>
      </c>
      <c r="D819" s="235" t="s">
        <v>208</v>
      </c>
      <c r="E819" s="246"/>
      <c r="F819" s="246"/>
      <c r="G819" s="240"/>
      <c r="H819" s="241"/>
      <c r="I819" s="427">
        <f>TRUNC(C819/100*I816,2)</f>
        <v>1.98</v>
      </c>
      <c r="J819" s="295"/>
      <c r="K819" s="295"/>
    </row>
    <row r="820" spans="1:11" x14ac:dyDescent="0.2">
      <c r="A820" s="199"/>
      <c r="B820" s="229"/>
      <c r="C820" s="199"/>
      <c r="D820" s="199"/>
      <c r="E820" s="199"/>
      <c r="F820" s="230" t="s">
        <v>327</v>
      </c>
      <c r="G820" s="240"/>
      <c r="H820" s="241"/>
      <c r="I820" s="438">
        <f>SUM(I819)</f>
        <v>1.98</v>
      </c>
      <c r="K820" s="295"/>
    </row>
    <row r="821" spans="1:11" x14ac:dyDescent="0.2">
      <c r="A821" s="199"/>
      <c r="B821" s="229"/>
      <c r="C821" s="199"/>
      <c r="D821" s="199"/>
      <c r="E821" s="199"/>
      <c r="F821" s="199"/>
      <c r="G821" s="199"/>
      <c r="H821" s="199"/>
      <c r="I821" s="439"/>
      <c r="K821" s="295"/>
    </row>
    <row r="822" spans="1:11" x14ac:dyDescent="0.2">
      <c r="A822" s="247"/>
      <c r="B822" s="248"/>
      <c r="C822" s="249"/>
      <c r="D822" s="249"/>
      <c r="E822" s="249"/>
      <c r="F822" s="250" t="s">
        <v>193</v>
      </c>
      <c r="G822" s="401"/>
      <c r="H822" s="249"/>
      <c r="I822" s="445">
        <f>+I811+I816+I820</f>
        <v>734.32</v>
      </c>
      <c r="K822" s="295"/>
    </row>
    <row r="823" spans="1:11" x14ac:dyDescent="0.2">
      <c r="A823" s="251"/>
      <c r="B823" s="252"/>
      <c r="C823" s="253"/>
      <c r="D823" s="253"/>
      <c r="E823" s="253"/>
      <c r="F823" s="254" t="s">
        <v>194</v>
      </c>
      <c r="G823" s="255"/>
      <c r="H823" s="253"/>
      <c r="I823" s="446">
        <v>140</v>
      </c>
      <c r="K823" s="295"/>
    </row>
    <row r="824" spans="1:11" x14ac:dyDescent="0.2">
      <c r="A824" s="233"/>
      <c r="B824" s="256"/>
      <c r="C824" s="241"/>
      <c r="D824" s="241"/>
      <c r="E824" s="241"/>
      <c r="F824" s="257" t="s">
        <v>216</v>
      </c>
      <c r="G824" s="240"/>
      <c r="H824" s="241"/>
      <c r="I824" s="447">
        <f>TRUNC(I822/I823,2)</f>
        <v>5.24</v>
      </c>
      <c r="K824" s="295"/>
    </row>
    <row r="825" spans="1:11" x14ac:dyDescent="0.2">
      <c r="A825" s="636"/>
      <c r="B825" s="229"/>
      <c r="C825" s="199"/>
      <c r="D825" s="199"/>
      <c r="E825" s="199"/>
      <c r="F825" s="258"/>
      <c r="G825" s="199"/>
      <c r="H825" s="199"/>
      <c r="I825" s="450"/>
      <c r="K825" s="295"/>
    </row>
    <row r="826" spans="1:11" x14ac:dyDescent="0.2">
      <c r="A826" s="242" t="s">
        <v>195</v>
      </c>
      <c r="B826" s="243" t="s">
        <v>59</v>
      </c>
      <c r="C826" s="243" t="s">
        <v>196</v>
      </c>
      <c r="D826" s="243" t="s">
        <v>217</v>
      </c>
      <c r="E826" s="1121" t="s">
        <v>89</v>
      </c>
      <c r="F826" s="1114"/>
      <c r="G826" s="1115"/>
      <c r="H826" s="1121" t="s">
        <v>183</v>
      </c>
      <c r="I826" s="1115"/>
      <c r="K826" s="295"/>
    </row>
    <row r="827" spans="1:11" x14ac:dyDescent="0.2">
      <c r="A827" s="259"/>
      <c r="B827" s="234"/>
      <c r="C827" s="260"/>
      <c r="D827" s="261"/>
      <c r="E827" s="255"/>
      <c r="F827" s="253"/>
      <c r="G827" s="293"/>
      <c r="H827" s="255"/>
      <c r="I827" s="423">
        <f>TRUNC(D827*G827,2)</f>
        <v>0</v>
      </c>
      <c r="K827" s="295"/>
    </row>
    <row r="828" spans="1:11" x14ac:dyDescent="0.2">
      <c r="A828" s="199"/>
      <c r="B828" s="229"/>
      <c r="C828" s="199"/>
      <c r="D828" s="199"/>
      <c r="E828" s="199"/>
      <c r="F828" s="230" t="s">
        <v>197</v>
      </c>
      <c r="G828" s="240"/>
      <c r="H828" s="241"/>
      <c r="I828" s="438">
        <f>SUM(I827:I827)</f>
        <v>0</v>
      </c>
      <c r="K828" s="295"/>
    </row>
    <row r="829" spans="1:11" x14ac:dyDescent="0.2">
      <c r="A829" s="199"/>
      <c r="B829" s="229"/>
      <c r="C829" s="199"/>
      <c r="D829" s="199"/>
      <c r="E829" s="199"/>
      <c r="F829" s="199"/>
      <c r="G829" s="262"/>
      <c r="H829" s="199"/>
      <c r="I829" s="439"/>
      <c r="K829" s="295"/>
    </row>
    <row r="830" spans="1:11" x14ac:dyDescent="0.2">
      <c r="A830" s="263" t="s">
        <v>198</v>
      </c>
      <c r="B830" s="243" t="s">
        <v>59</v>
      </c>
      <c r="C830" s="243" t="s">
        <v>196</v>
      </c>
      <c r="D830" s="635" t="s">
        <v>217</v>
      </c>
      <c r="E830" s="1121" t="s">
        <v>89</v>
      </c>
      <c r="F830" s="1114"/>
      <c r="G830" s="1115"/>
      <c r="H830" s="1121" t="s">
        <v>183</v>
      </c>
      <c r="I830" s="1115"/>
      <c r="K830" s="295"/>
    </row>
    <row r="831" spans="1:11" x14ac:dyDescent="0.2">
      <c r="A831" s="244"/>
      <c r="B831" s="234"/>
      <c r="C831" s="234"/>
      <c r="D831" s="239"/>
      <c r="E831" s="255"/>
      <c r="F831" s="253"/>
      <c r="G831" s="293"/>
      <c r="H831" s="240"/>
      <c r="I831" s="423">
        <f>TRUNC(D831*G831,2)</f>
        <v>0</v>
      </c>
      <c r="K831" s="295"/>
    </row>
    <row r="832" spans="1:11" x14ac:dyDescent="0.2">
      <c r="A832" s="200"/>
      <c r="B832" s="264"/>
      <c r="C832" s="200"/>
      <c r="D832" s="200"/>
      <c r="E832" s="200"/>
      <c r="F832" s="265" t="s">
        <v>199</v>
      </c>
      <c r="G832" s="255"/>
      <c r="H832" s="266"/>
      <c r="I832" s="441">
        <f>SUM(I829:I831)</f>
        <v>0</v>
      </c>
      <c r="K832" s="295"/>
    </row>
    <row r="833" spans="1:13" x14ac:dyDescent="0.2">
      <c r="A833" s="200"/>
      <c r="B833" s="264"/>
      <c r="C833" s="200"/>
      <c r="D833" s="200"/>
      <c r="E833" s="200"/>
      <c r="F833" s="200"/>
      <c r="G833" s="200"/>
      <c r="H833" s="200"/>
      <c r="I833" s="440"/>
      <c r="K833" s="295"/>
    </row>
    <row r="834" spans="1:13" x14ac:dyDescent="0.2">
      <c r="A834" s="406" t="s">
        <v>200</v>
      </c>
      <c r="B834" s="268" t="s">
        <v>59</v>
      </c>
      <c r="C834" s="268" t="s">
        <v>196</v>
      </c>
      <c r="D834" s="268" t="s">
        <v>201</v>
      </c>
      <c r="E834" s="268" t="s">
        <v>202</v>
      </c>
      <c r="F834" s="268" t="s">
        <v>203</v>
      </c>
      <c r="G834" s="268" t="s">
        <v>94</v>
      </c>
      <c r="H834" s="268" t="s">
        <v>89</v>
      </c>
      <c r="I834" s="442" t="s">
        <v>204</v>
      </c>
      <c r="K834" s="295"/>
    </row>
    <row r="835" spans="1:13" x14ac:dyDescent="0.2">
      <c r="A835" s="244"/>
      <c r="B835" s="234"/>
      <c r="C835" s="234"/>
      <c r="D835" s="269"/>
      <c r="E835" s="270"/>
      <c r="F835" s="270"/>
      <c r="G835" s="239"/>
      <c r="H835" s="271"/>
      <c r="I835" s="418">
        <f>TRUNC(G835*H835,2)</f>
        <v>0</v>
      </c>
      <c r="K835" s="295"/>
    </row>
    <row r="836" spans="1:13" x14ac:dyDescent="0.2">
      <c r="A836" s="200"/>
      <c r="B836" s="264"/>
      <c r="C836" s="200"/>
      <c r="D836" s="200"/>
      <c r="E836" s="200"/>
      <c r="F836" s="265" t="s">
        <v>205</v>
      </c>
      <c r="G836" s="240"/>
      <c r="H836" s="272"/>
      <c r="I836" s="443">
        <f>SUM(I835:I835)</f>
        <v>0</v>
      </c>
    </row>
    <row r="837" spans="1:13" x14ac:dyDescent="0.2">
      <c r="A837" s="200"/>
      <c r="B837" s="264"/>
      <c r="C837" s="200"/>
      <c r="D837" s="200"/>
      <c r="E837" s="200"/>
      <c r="F837" s="200"/>
      <c r="G837" s="200"/>
      <c r="H837" s="200"/>
      <c r="I837" s="444"/>
    </row>
    <row r="838" spans="1:13" x14ac:dyDescent="0.2">
      <c r="A838" s="273"/>
      <c r="B838" s="274"/>
      <c r="C838" s="275"/>
      <c r="D838" s="275"/>
      <c r="E838" s="275"/>
      <c r="F838" s="276" t="s">
        <v>206</v>
      </c>
      <c r="G838" s="273"/>
      <c r="H838" s="249"/>
      <c r="I838" s="445">
        <f>+I824+I828+I832+I836</f>
        <v>5.24</v>
      </c>
    </row>
    <row r="839" spans="1:13" x14ac:dyDescent="0.2">
      <c r="A839" s="255"/>
      <c r="B839" s="277"/>
      <c r="C839" s="266"/>
      <c r="D839" s="266"/>
      <c r="E839" s="266"/>
      <c r="F839" s="278" t="str">
        <f>CONCATENATE($H$3," ",$I$3)</f>
        <v>BDI: 23,32</v>
      </c>
      <c r="G839" s="403"/>
      <c r="H839" s="253"/>
      <c r="I839" s="446">
        <f>+ROUND(I838*$I$4,2)</f>
        <v>1.22</v>
      </c>
    </row>
    <row r="840" spans="1:13" x14ac:dyDescent="0.2">
      <c r="A840" s="240"/>
      <c r="B840" s="279"/>
      <c r="C840" s="272"/>
      <c r="D840" s="272"/>
      <c r="E840" s="272"/>
      <c r="F840" s="280" t="s">
        <v>207</v>
      </c>
      <c r="G840" s="404"/>
      <c r="H840" s="241"/>
      <c r="I840" s="720">
        <f>+I838+I839</f>
        <v>6.46</v>
      </c>
    </row>
    <row r="841" spans="1:13" x14ac:dyDescent="0.2">
      <c r="A841" s="1116" t="str">
        <f>$A$1</f>
        <v>COMPOSIÇÃO DE CUSTOS UNITÁRIOS</v>
      </c>
      <c r="B841" s="1116"/>
      <c r="C841" s="1116"/>
      <c r="D841" s="1116"/>
      <c r="E841" s="1116"/>
      <c r="F841" s="1116"/>
      <c r="G841" s="1116"/>
      <c r="H841" s="1116"/>
      <c r="I841" s="1116"/>
    </row>
    <row r="842" spans="1:13" x14ac:dyDescent="0.2">
      <c r="A842" s="228" t="str">
        <f>$A$2</f>
        <v>Tabela Referencial de Preços - DER-ES</v>
      </c>
      <c r="B842" s="229"/>
      <c r="C842" s="199"/>
      <c r="D842" s="199"/>
      <c r="E842" s="199"/>
      <c r="F842" s="199"/>
      <c r="G842" s="199"/>
      <c r="H842" s="199"/>
      <c r="I842" s="414" t="str">
        <f>$I$2</f>
        <v>Data Base: novembro/2020</v>
      </c>
      <c r="J842" s="400">
        <v>40228</v>
      </c>
      <c r="K842" s="400">
        <f>VLOOKUP("Preço Unitário Total",F844:I4015,4,FALSE)</f>
        <v>5.01</v>
      </c>
      <c r="L842" s="295">
        <f>VLOOKUP(J842,'DER 11-20'!A:E,5,FALSE)</f>
        <v>0</v>
      </c>
      <c r="M842" s="295" t="str">
        <f>VLOOKUP(J842,'DER 11-20'!$A:$D,2,FALSE)</f>
        <v>Compactação de aterros 100% PN</v>
      </c>
    </row>
    <row r="843" spans="1:13" x14ac:dyDescent="0.2">
      <c r="A843" s="1117" t="str">
        <f>+CONCATENATE("Serviço: ",J842," ",VLOOKUP(J842,'DER 11-20'!$A:$D,2,FALSE))</f>
        <v>Serviço: 40228 Compactação de aterros 100% PN</v>
      </c>
      <c r="B843" s="1117"/>
      <c r="C843" s="1117"/>
      <c r="D843" s="1117"/>
      <c r="E843" s="1117"/>
      <c r="F843" s="1117"/>
      <c r="G843" s="1117"/>
      <c r="H843" s="1117"/>
      <c r="I843" s="1119" t="str">
        <f>CONCATENATE("Unidade: ", VLOOKUP(J842,'DER 11-20'!$A:$E,3,FALSE))</f>
        <v>Unidade: M3</v>
      </c>
    </row>
    <row r="844" spans="1:13" x14ac:dyDescent="0.2">
      <c r="A844" s="1118"/>
      <c r="B844" s="1118"/>
      <c r="C844" s="1118"/>
      <c r="D844" s="1118"/>
      <c r="E844" s="1118"/>
      <c r="F844" s="1118"/>
      <c r="G844" s="1118"/>
      <c r="H844" s="1118"/>
      <c r="I844" s="1120"/>
    </row>
    <row r="845" spans="1:13" ht="22.5" x14ac:dyDescent="0.2">
      <c r="A845" s="231" t="s">
        <v>177</v>
      </c>
      <c r="B845" s="232" t="s">
        <v>59</v>
      </c>
      <c r="C845" s="232" t="s">
        <v>178</v>
      </c>
      <c r="D845" s="232" t="s">
        <v>179</v>
      </c>
      <c r="E845" s="232" t="s">
        <v>180</v>
      </c>
      <c r="F845" s="232" t="s">
        <v>181</v>
      </c>
      <c r="G845" s="232" t="s">
        <v>182</v>
      </c>
      <c r="H845" s="232" t="s">
        <v>89</v>
      </c>
      <c r="I845" s="434" t="s">
        <v>183</v>
      </c>
    </row>
    <row r="846" spans="1:13" ht="22.5" x14ac:dyDescent="0.2">
      <c r="A846" s="233" t="str">
        <f>VLOOKUP(B846,equip.!$A:$G,2,FALSE)</f>
        <v>Caminhão tanque L 1319/48 PBT=12,9t (6.000L)</v>
      </c>
      <c r="B846" s="234">
        <v>30007</v>
      </c>
      <c r="C846" s="235" t="str">
        <f>VLOOKUP(B846,equip.!$A$1:$G$239,3,FALSE)</f>
        <v>M</v>
      </c>
      <c r="D846" s="236">
        <v>0.55000000000000004</v>
      </c>
      <c r="E846" s="203">
        <v>0.45</v>
      </c>
      <c r="F846" s="237">
        <f>VLOOKUP(B846,equip.!$A:$G,6,FALSE)</f>
        <v>164.94</v>
      </c>
      <c r="G846" s="237">
        <f>VLOOKUP(B846,equip.!$A:$G,7,FALSE)</f>
        <v>52.28</v>
      </c>
      <c r="H846" s="238">
        <v>2</v>
      </c>
      <c r="I846" s="418">
        <f t="shared" ref="I846:I851" si="2">TRUNC(D846*F846*H846+E846*G846*H846,2)</f>
        <v>228.48</v>
      </c>
    </row>
    <row r="847" spans="1:13" x14ac:dyDescent="0.2">
      <c r="A847" s="233" t="str">
        <f>VLOOKUP(B847,equip.!$A:$G,2,FALSE)</f>
        <v>Conjunto moto bomba diam. 4"</v>
      </c>
      <c r="B847" s="234">
        <v>30080</v>
      </c>
      <c r="C847" s="235">
        <f>VLOOKUP(B847,equip.!$A$1:$G$239,3,FALSE)</f>
        <v>0</v>
      </c>
      <c r="D847" s="236">
        <v>0.55000000000000004</v>
      </c>
      <c r="E847" s="203">
        <v>0.45</v>
      </c>
      <c r="F847" s="237">
        <f>VLOOKUP(B847,equip.!$A:$G,6,FALSE)</f>
        <v>18.73</v>
      </c>
      <c r="G847" s="237">
        <f>VLOOKUP(B847,equip.!$A:$G,7,FALSE)</f>
        <v>13.12</v>
      </c>
      <c r="H847" s="238">
        <v>1</v>
      </c>
      <c r="I847" s="418">
        <f t="shared" si="2"/>
        <v>16.2</v>
      </c>
    </row>
    <row r="848" spans="1:13" ht="22.5" x14ac:dyDescent="0.2">
      <c r="A848" s="233" t="str">
        <f>VLOOKUP(B848,equip.!$A:$G,2,FALSE)</f>
        <v>Grade de disco GA-24x24 (TATU) ou equivalente</v>
      </c>
      <c r="B848" s="234">
        <v>30054</v>
      </c>
      <c r="C848" s="235">
        <f>VLOOKUP(B848,equip.!$A$1:$G$239,3,FALSE)</f>
        <v>0</v>
      </c>
      <c r="D848" s="236">
        <v>0.5</v>
      </c>
      <c r="E848" s="203">
        <v>0.5</v>
      </c>
      <c r="F848" s="237">
        <f>VLOOKUP(B848,equip.!$A:$G,6,FALSE)</f>
        <v>17.22</v>
      </c>
      <c r="G848" s="237">
        <f>VLOOKUP(B848,equip.!$A:$G,7,FALSE)</f>
        <v>15.86</v>
      </c>
      <c r="H848" s="238">
        <v>1</v>
      </c>
      <c r="I848" s="418">
        <f t="shared" si="2"/>
        <v>16.54</v>
      </c>
    </row>
    <row r="849" spans="1:11" ht="32.450000000000003" customHeight="1" x14ac:dyDescent="0.2">
      <c r="A849" s="233" t="str">
        <f>VLOOKUP(B849,equip.!$A:$G,2,FALSE)</f>
        <v>Motoniveladora Caterpillar modelo 120K ( cab + ar + ríper) ou equivalente</v>
      </c>
      <c r="B849" s="234">
        <v>30022</v>
      </c>
      <c r="C849" s="235" t="str">
        <f>VLOOKUP(B849,equip.!$A$1:$G$239,3,FALSE)</f>
        <v>M</v>
      </c>
      <c r="D849" s="236">
        <v>0.5</v>
      </c>
      <c r="E849" s="203">
        <v>0.5</v>
      </c>
      <c r="F849" s="237">
        <f>VLOOKUP(B849,equip.!$A:$G,6,FALSE)</f>
        <v>245.66</v>
      </c>
      <c r="G849" s="237">
        <f>VLOOKUP(B849,equip.!$A:$G,7,FALSE)</f>
        <v>87.2</v>
      </c>
      <c r="H849" s="238">
        <v>1</v>
      </c>
      <c r="I849" s="418">
        <f t="shared" si="2"/>
        <v>166.43</v>
      </c>
    </row>
    <row r="850" spans="1:11" ht="22.5" x14ac:dyDescent="0.2">
      <c r="A850" s="233" t="str">
        <f>VLOOKUP(B850,equip.!$A:$G,2,FALSE)</f>
        <v>Rolo AP vib. patas 100 mm CA-25P (DYNAPAC) ou equivalente</v>
      </c>
      <c r="B850" s="234">
        <v>30040</v>
      </c>
      <c r="C850" s="235" t="str">
        <f>VLOOKUP(B850,equip.!$A$1:$G$239,3,FALSE)</f>
        <v>M</v>
      </c>
      <c r="D850" s="236">
        <v>1</v>
      </c>
      <c r="E850" s="203">
        <v>0</v>
      </c>
      <c r="F850" s="237">
        <f>VLOOKUP(B850,equip.!$A:$G,6,FALSE)</f>
        <v>190.1</v>
      </c>
      <c r="G850" s="237">
        <f>VLOOKUP(B850,equip.!$A:$G,7,FALSE)</f>
        <v>63.69</v>
      </c>
      <c r="H850" s="238">
        <v>1</v>
      </c>
      <c r="I850" s="418">
        <f t="shared" si="2"/>
        <v>190.1</v>
      </c>
    </row>
    <row r="851" spans="1:11" ht="33.75" x14ac:dyDescent="0.2">
      <c r="A851" s="233" t="str">
        <f>VLOOKUP(B851,equip.!$A:$G,2,FALSE)</f>
        <v>Trator agrícola MF 297/4 -4 X 4 (MASSEY FERGUSSON) ou equivalente</v>
      </c>
      <c r="B851" s="234">
        <v>30030</v>
      </c>
      <c r="C851" s="235" t="str">
        <f>VLOOKUP(B851,equip.!$A$1:$G$239,3,FALSE)</f>
        <v>M</v>
      </c>
      <c r="D851" s="236">
        <v>0.5</v>
      </c>
      <c r="E851" s="203">
        <v>0.5</v>
      </c>
      <c r="F851" s="237">
        <f>VLOOKUP(B851,equip.!$A:$G,6,FALSE)</f>
        <v>116.59</v>
      </c>
      <c r="G851" s="237">
        <f>VLOOKUP(B851,equip.!$A:$G,7,FALSE)</f>
        <v>33.1</v>
      </c>
      <c r="H851" s="238">
        <v>1</v>
      </c>
      <c r="I851" s="418">
        <f t="shared" si="2"/>
        <v>74.84</v>
      </c>
    </row>
    <row r="852" spans="1:11" x14ac:dyDescent="0.2">
      <c r="A852" s="199"/>
      <c r="B852" s="229"/>
      <c r="C852" s="229"/>
      <c r="D852" s="199"/>
      <c r="E852" s="199"/>
      <c r="F852" s="230" t="s">
        <v>184</v>
      </c>
      <c r="G852" s="240"/>
      <c r="H852" s="241"/>
      <c r="I852" s="438">
        <f>SUM(I846:I851)</f>
        <v>692.59</v>
      </c>
    </row>
    <row r="853" spans="1:11" x14ac:dyDescent="0.2">
      <c r="A853" s="199"/>
      <c r="B853" s="229"/>
      <c r="C853" s="229"/>
      <c r="D853" s="199"/>
      <c r="E853" s="199"/>
      <c r="F853" s="199"/>
      <c r="G853" s="199"/>
      <c r="H853" s="199"/>
      <c r="I853" s="439"/>
    </row>
    <row r="854" spans="1:11" x14ac:dyDescent="0.2">
      <c r="A854" s="242" t="s">
        <v>185</v>
      </c>
      <c r="B854" s="243" t="s">
        <v>59</v>
      </c>
      <c r="C854" s="232" t="s">
        <v>357</v>
      </c>
      <c r="D854" s="243" t="s">
        <v>187</v>
      </c>
      <c r="E854" s="1111" t="s">
        <v>89</v>
      </c>
      <c r="F854" s="1112"/>
      <c r="G854" s="1113"/>
      <c r="H854" s="1121" t="s">
        <v>183</v>
      </c>
      <c r="I854" s="1115"/>
    </row>
    <row r="855" spans="1:11" x14ac:dyDescent="0.2">
      <c r="A855" s="244" t="str">
        <f>VLOOKUP(B855,m.o.!$A:$H,2,FALSE)</f>
        <v>Encarregado de terraplenagem</v>
      </c>
      <c r="B855" s="234">
        <v>20067</v>
      </c>
      <c r="C855" s="239">
        <f>VLOOKUP(B855,m.o.!$A:$F,4,FALSE)</f>
        <v>2.35</v>
      </c>
      <c r="D855" s="239">
        <f>VLOOKUP(B855,m.o.!$A:$G,7,FALSE)</f>
        <v>29.43</v>
      </c>
      <c r="E855" s="255"/>
      <c r="F855" s="253"/>
      <c r="G855" s="293">
        <v>0.5</v>
      </c>
      <c r="H855" s="240"/>
      <c r="I855" s="427">
        <f>TRUNC(D855*G855,2)</f>
        <v>14.71</v>
      </c>
    </row>
    <row r="856" spans="1:11" x14ac:dyDescent="0.2">
      <c r="A856" s="244" t="str">
        <f>VLOOKUP(B856,m.o.!$A:$H,2,FALSE)</f>
        <v>Servente</v>
      </c>
      <c r="B856" s="234">
        <v>20002</v>
      </c>
      <c r="C856" s="239">
        <f>VLOOKUP(B856,m.o.!$A:$F,4,FALSE)</f>
        <v>1</v>
      </c>
      <c r="D856" s="239">
        <f>VLOOKUP(B856,m.o.!$A:$G,7,FALSE)</f>
        <v>12.52</v>
      </c>
      <c r="E856" s="255"/>
      <c r="F856" s="253"/>
      <c r="G856" s="293">
        <v>2</v>
      </c>
      <c r="H856" s="240"/>
      <c r="I856" s="427">
        <f>TRUNC(D856*G856,2)</f>
        <v>25.04</v>
      </c>
    </row>
    <row r="857" spans="1:11" x14ac:dyDescent="0.2">
      <c r="A857" s="199"/>
      <c r="B857" s="229"/>
      <c r="C857" s="229"/>
      <c r="D857" s="199"/>
      <c r="E857" s="199"/>
      <c r="F857" s="230" t="s">
        <v>188</v>
      </c>
      <c r="G857" s="240"/>
      <c r="H857" s="241"/>
      <c r="I857" s="438">
        <f>SUM(I855:I856)</f>
        <v>39.75</v>
      </c>
    </row>
    <row r="858" spans="1:11" x14ac:dyDescent="0.2">
      <c r="A858" s="199"/>
      <c r="B858" s="229"/>
      <c r="C858" s="229"/>
      <c r="D858" s="199"/>
      <c r="E858" s="199"/>
      <c r="F858" s="199"/>
      <c r="G858" s="199"/>
      <c r="H858" s="199"/>
      <c r="I858" s="439"/>
    </row>
    <row r="859" spans="1:11" s="198" customFormat="1" x14ac:dyDescent="0.2">
      <c r="A859" s="245" t="s">
        <v>189</v>
      </c>
      <c r="B859" s="243" t="s">
        <v>59</v>
      </c>
      <c r="C859" s="635" t="s">
        <v>17</v>
      </c>
      <c r="D859" s="243" t="s">
        <v>190</v>
      </c>
      <c r="E859" s="243" t="s">
        <v>191</v>
      </c>
      <c r="F859" s="243" t="s">
        <v>192</v>
      </c>
      <c r="G859" s="1121" t="s">
        <v>94</v>
      </c>
      <c r="H859" s="1114"/>
      <c r="I859" s="1115"/>
      <c r="J859" s="415"/>
      <c r="K859" s="415"/>
    </row>
    <row r="860" spans="1:11" x14ac:dyDescent="0.2">
      <c r="A860" s="416"/>
      <c r="B860" s="417"/>
      <c r="C860" s="418"/>
      <c r="D860" s="424"/>
      <c r="E860" s="425"/>
      <c r="F860" s="425"/>
      <c r="G860" s="422"/>
      <c r="H860" s="426"/>
      <c r="I860" s="427"/>
    </row>
    <row r="861" spans="1:11" x14ac:dyDescent="0.2">
      <c r="A861" s="199"/>
      <c r="B861" s="229"/>
      <c r="C861" s="199"/>
      <c r="D861" s="199"/>
      <c r="E861" s="199"/>
      <c r="F861" s="230" t="s">
        <v>327</v>
      </c>
      <c r="G861" s="240"/>
      <c r="H861" s="241"/>
      <c r="I861" s="438">
        <f>SUM(I860)</f>
        <v>0</v>
      </c>
    </row>
    <row r="862" spans="1:11" x14ac:dyDescent="0.2">
      <c r="A862" s="199"/>
      <c r="B862" s="229"/>
      <c r="C862" s="199"/>
      <c r="D862" s="199"/>
      <c r="E862" s="199"/>
      <c r="F862" s="199"/>
      <c r="G862" s="199"/>
      <c r="H862" s="199"/>
      <c r="I862" s="439"/>
    </row>
    <row r="863" spans="1:11" x14ac:dyDescent="0.2">
      <c r="A863" s="247"/>
      <c r="B863" s="248"/>
      <c r="C863" s="249"/>
      <c r="D863" s="249"/>
      <c r="E863" s="249"/>
      <c r="F863" s="250" t="s">
        <v>193</v>
      </c>
      <c r="G863" s="401"/>
      <c r="H863" s="249"/>
      <c r="I863" s="445">
        <f>+I852+I857+I861</f>
        <v>732.34</v>
      </c>
    </row>
    <row r="864" spans="1:11" x14ac:dyDescent="0.2">
      <c r="A864" s="251"/>
      <c r="B864" s="252"/>
      <c r="C864" s="253"/>
      <c r="D864" s="253"/>
      <c r="E864" s="253"/>
      <c r="F864" s="254" t="s">
        <v>194</v>
      </c>
      <c r="G864" s="255"/>
      <c r="H864" s="253"/>
      <c r="I864" s="446">
        <v>180</v>
      </c>
    </row>
    <row r="865" spans="1:9" x14ac:dyDescent="0.2">
      <c r="A865" s="233"/>
      <c r="B865" s="256"/>
      <c r="C865" s="241"/>
      <c r="D865" s="241"/>
      <c r="E865" s="241"/>
      <c r="F865" s="257" t="s">
        <v>216</v>
      </c>
      <c r="G865" s="240"/>
      <c r="H865" s="241"/>
      <c r="I865" s="447">
        <f>TRUNC(I863/I864,2)</f>
        <v>4.0599999999999996</v>
      </c>
    </row>
    <row r="866" spans="1:9" x14ac:dyDescent="0.2">
      <c r="A866" s="636"/>
      <c r="B866" s="229"/>
      <c r="C866" s="199"/>
      <c r="D866" s="199"/>
      <c r="E866" s="199"/>
      <c r="F866" s="258"/>
      <c r="G866" s="199"/>
      <c r="H866" s="199"/>
      <c r="I866" s="450"/>
    </row>
    <row r="867" spans="1:9" x14ac:dyDescent="0.2">
      <c r="A867" s="242" t="s">
        <v>195</v>
      </c>
      <c r="B867" s="243" t="s">
        <v>59</v>
      </c>
      <c r="C867" s="243" t="s">
        <v>196</v>
      </c>
      <c r="D867" s="243" t="s">
        <v>217</v>
      </c>
      <c r="E867" s="1121" t="s">
        <v>89</v>
      </c>
      <c r="F867" s="1114"/>
      <c r="G867" s="1115"/>
      <c r="H867" s="1121" t="s">
        <v>183</v>
      </c>
      <c r="I867" s="1115"/>
    </row>
    <row r="868" spans="1:9" x14ac:dyDescent="0.2">
      <c r="A868" s="259"/>
      <c r="B868" s="234"/>
      <c r="C868" s="260"/>
      <c r="D868" s="261"/>
      <c r="E868" s="255"/>
      <c r="F868" s="253"/>
      <c r="G868" s="293"/>
      <c r="H868" s="255"/>
      <c r="I868" s="423">
        <f>TRUNC(D868*G868,2)</f>
        <v>0</v>
      </c>
    </row>
    <row r="869" spans="1:9" x14ac:dyDescent="0.2">
      <c r="A869" s="199"/>
      <c r="B869" s="229"/>
      <c r="C869" s="199"/>
      <c r="D869" s="199"/>
      <c r="E869" s="199"/>
      <c r="F869" s="230" t="s">
        <v>197</v>
      </c>
      <c r="G869" s="240"/>
      <c r="H869" s="241"/>
      <c r="I869" s="438">
        <f>SUM(I868:I868)</f>
        <v>0</v>
      </c>
    </row>
    <row r="870" spans="1:9" x14ac:dyDescent="0.2">
      <c r="A870" s="199"/>
      <c r="B870" s="229"/>
      <c r="C870" s="199"/>
      <c r="D870" s="199"/>
      <c r="E870" s="199"/>
      <c r="F870" s="199"/>
      <c r="G870" s="262"/>
      <c r="H870" s="199"/>
      <c r="I870" s="439"/>
    </row>
    <row r="871" spans="1:9" x14ac:dyDescent="0.2">
      <c r="A871" s="263" t="s">
        <v>198</v>
      </c>
      <c r="B871" s="243" t="s">
        <v>59</v>
      </c>
      <c r="C871" s="243" t="s">
        <v>196</v>
      </c>
      <c r="D871" s="635" t="s">
        <v>217</v>
      </c>
      <c r="E871" s="1111" t="s">
        <v>89</v>
      </c>
      <c r="F871" s="1112"/>
      <c r="G871" s="1113"/>
      <c r="H871" s="1114" t="s">
        <v>183</v>
      </c>
      <c r="I871" s="1115"/>
    </row>
    <row r="872" spans="1:9" x14ac:dyDescent="0.2">
      <c r="A872" s="244"/>
      <c r="B872" s="234"/>
      <c r="C872" s="234"/>
      <c r="D872" s="239"/>
      <c r="E872" s="255"/>
      <c r="F872" s="253"/>
      <c r="G872" s="293"/>
      <c r="H872" s="240"/>
      <c r="I872" s="423">
        <f>TRUNC(D872*G872,2)</f>
        <v>0</v>
      </c>
    </row>
    <row r="873" spans="1:9" x14ac:dyDescent="0.2">
      <c r="A873" s="200"/>
      <c r="B873" s="264"/>
      <c r="C873" s="200"/>
      <c r="D873" s="200"/>
      <c r="E873" s="200"/>
      <c r="F873" s="265" t="s">
        <v>199</v>
      </c>
      <c r="G873" s="255"/>
      <c r="H873" s="266"/>
      <c r="I873" s="441">
        <f>SUM(I872:I872)</f>
        <v>0</v>
      </c>
    </row>
    <row r="874" spans="1:9" x14ac:dyDescent="0.2">
      <c r="A874" s="200"/>
      <c r="B874" s="264"/>
      <c r="C874" s="200"/>
      <c r="D874" s="200"/>
      <c r="E874" s="200"/>
      <c r="F874" s="200"/>
      <c r="G874" s="200"/>
      <c r="H874" s="200"/>
      <c r="I874" s="440"/>
    </row>
    <row r="875" spans="1:9" x14ac:dyDescent="0.2">
      <c r="A875" s="267" t="s">
        <v>200</v>
      </c>
      <c r="B875" s="268" t="s">
        <v>59</v>
      </c>
      <c r="C875" s="268" t="s">
        <v>196</v>
      </c>
      <c r="D875" s="268" t="s">
        <v>201</v>
      </c>
      <c r="E875" s="268" t="s">
        <v>202</v>
      </c>
      <c r="F875" s="268" t="s">
        <v>203</v>
      </c>
      <c r="G875" s="268" t="s">
        <v>94</v>
      </c>
      <c r="H875" s="268" t="s">
        <v>89</v>
      </c>
      <c r="I875" s="442" t="s">
        <v>204</v>
      </c>
    </row>
    <row r="876" spans="1:9" x14ac:dyDescent="0.2">
      <c r="A876" s="244"/>
      <c r="B876" s="234"/>
      <c r="C876" s="234"/>
      <c r="D876" s="402"/>
      <c r="E876" s="270"/>
      <c r="F876" s="270"/>
      <c r="G876" s="239"/>
      <c r="H876" s="271"/>
      <c r="I876" s="418">
        <f>TRUNC(G876*H876,2)</f>
        <v>0</v>
      </c>
    </row>
    <row r="877" spans="1:9" x14ac:dyDescent="0.2">
      <c r="A877" s="200"/>
      <c r="B877" s="264"/>
      <c r="C877" s="200"/>
      <c r="D877" s="200"/>
      <c r="E877" s="200"/>
      <c r="F877" s="265" t="s">
        <v>205</v>
      </c>
      <c r="G877" s="240"/>
      <c r="H877" s="272"/>
      <c r="I877" s="443">
        <f>SUM(I876:I876)</f>
        <v>0</v>
      </c>
    </row>
    <row r="878" spans="1:9" x14ac:dyDescent="0.2">
      <c r="A878" s="200"/>
      <c r="B878" s="264"/>
      <c r="C878" s="200"/>
      <c r="D878" s="200"/>
      <c r="E878" s="200"/>
      <c r="F878" s="200"/>
      <c r="G878" s="200"/>
      <c r="H878" s="200"/>
      <c r="I878" s="444"/>
    </row>
    <row r="879" spans="1:9" x14ac:dyDescent="0.2">
      <c r="A879" s="273"/>
      <c r="B879" s="274"/>
      <c r="C879" s="275"/>
      <c r="D879" s="275"/>
      <c r="E879" s="275"/>
      <c r="F879" s="276" t="s">
        <v>206</v>
      </c>
      <c r="G879" s="273"/>
      <c r="H879" s="249"/>
      <c r="I879" s="445">
        <f>+I865+I869+I873+I877</f>
        <v>4.0599999999999996</v>
      </c>
    </row>
    <row r="880" spans="1:9" x14ac:dyDescent="0.2">
      <c r="A880" s="255"/>
      <c r="B880" s="277"/>
      <c r="C880" s="266"/>
      <c r="D880" s="266"/>
      <c r="E880" s="266"/>
      <c r="F880" s="278" t="str">
        <f>CONCATENATE($H$3," ",$I$3)</f>
        <v>BDI: 23,32</v>
      </c>
      <c r="G880" s="403"/>
      <c r="H880" s="253"/>
      <c r="I880" s="446">
        <f>+ROUND(I879*$I$4,2)</f>
        <v>0.95</v>
      </c>
    </row>
    <row r="881" spans="1:13" s="198" customFormat="1" x14ac:dyDescent="0.2">
      <c r="A881" s="240"/>
      <c r="B881" s="279"/>
      <c r="C881" s="272"/>
      <c r="D881" s="272"/>
      <c r="E881" s="272"/>
      <c r="F881" s="280" t="s">
        <v>207</v>
      </c>
      <c r="G881" s="404"/>
      <c r="H881" s="241"/>
      <c r="I881" s="720">
        <f>+I879+I880</f>
        <v>5.01</v>
      </c>
      <c r="J881" s="415"/>
      <c r="K881" s="415"/>
    </row>
    <row r="882" spans="1:13" x14ac:dyDescent="0.2">
      <c r="A882" s="1116" t="str">
        <f>$A$1</f>
        <v>COMPOSIÇÃO DE CUSTOS UNITÁRIOS</v>
      </c>
      <c r="B882" s="1116"/>
      <c r="C882" s="1116"/>
      <c r="D882" s="1116"/>
      <c r="E882" s="1116"/>
      <c r="F882" s="1116"/>
      <c r="G882" s="1116"/>
      <c r="H882" s="1116"/>
      <c r="I882" s="1116"/>
    </row>
    <row r="883" spans="1:13" x14ac:dyDescent="0.2">
      <c r="A883" s="228" t="str">
        <f>$A$2</f>
        <v>Tabela Referencial de Preços - DER-ES</v>
      </c>
      <c r="B883" s="229"/>
      <c r="C883" s="199"/>
      <c r="D883" s="199"/>
      <c r="E883" s="199"/>
      <c r="F883" s="199"/>
      <c r="G883" s="199"/>
      <c r="H883" s="199"/>
      <c r="I883" s="414" t="str">
        <f>$I$2</f>
        <v>Data Base: novembro/2020</v>
      </c>
    </row>
    <row r="884" spans="1:13" x14ac:dyDescent="0.2">
      <c r="A884" s="1117" t="str">
        <f>+CONCATENATE("Serviço: ",J884," ",VLOOKUP(J884,'DER 11-20'!$A:$D,2,FALSE))</f>
        <v>Serviço: 41095 Remoção de solos moles, incluindo carregamento mecânico com escavadeira hidráulica</v>
      </c>
      <c r="B884" s="1117"/>
      <c r="C884" s="1117"/>
      <c r="D884" s="1117"/>
      <c r="E884" s="1117"/>
      <c r="F884" s="1117"/>
      <c r="G884" s="1117"/>
      <c r="H884" s="1117"/>
      <c r="I884" s="1119" t="str">
        <f>CONCATENATE("Unidade: ", VLOOKUP(J884,'DER 11-20'!$A:$E,3,FALSE))</f>
        <v>Unidade: M3</v>
      </c>
      <c r="J884" s="400">
        <v>41095</v>
      </c>
      <c r="K884" s="400">
        <f>VLOOKUP("Preço Unitário Total",F885:I3661,4,FALSE)</f>
        <v>27.71</v>
      </c>
      <c r="L884" s="295">
        <f>VLOOKUP(J884,'DER 11-20'!A:E,5,FALSE)</f>
        <v>0</v>
      </c>
      <c r="M884" s="295" t="str">
        <f>VLOOKUP(J884,'DER 11-20'!$A:$D,2,FALSE)</f>
        <v>Remoção de solos moles, incluindo carregamento mecânico com escavadeira hidráulica</v>
      </c>
    </row>
    <row r="885" spans="1:13" x14ac:dyDescent="0.2">
      <c r="A885" s="1118"/>
      <c r="B885" s="1118"/>
      <c r="C885" s="1118"/>
      <c r="D885" s="1118"/>
      <c r="E885" s="1118"/>
      <c r="F885" s="1118"/>
      <c r="G885" s="1118"/>
      <c r="H885" s="1118"/>
      <c r="I885" s="1120"/>
    </row>
    <row r="886" spans="1:13" ht="22.5" x14ac:dyDescent="0.2">
      <c r="A886" s="231" t="s">
        <v>177</v>
      </c>
      <c r="B886" s="232" t="s">
        <v>59</v>
      </c>
      <c r="C886" s="232" t="s">
        <v>178</v>
      </c>
      <c r="D886" s="232" t="s">
        <v>179</v>
      </c>
      <c r="E886" s="232" t="s">
        <v>180</v>
      </c>
      <c r="F886" s="232" t="s">
        <v>181</v>
      </c>
      <c r="G886" s="232" t="s">
        <v>182</v>
      </c>
      <c r="H886" s="232" t="s">
        <v>89</v>
      </c>
      <c r="I886" s="434" t="s">
        <v>183</v>
      </c>
    </row>
    <row r="887" spans="1:13" ht="33.75" x14ac:dyDescent="0.2">
      <c r="A887" s="233" t="str">
        <f>VLOOKUP(B887,equip.!$A:$G,2,FALSE)</f>
        <v>Carregadeira de rodas ref. Caterpillar modelo 950H (3,10 m3) ( cab + ar ) ou equivalente</v>
      </c>
      <c r="B887" s="234">
        <v>30024</v>
      </c>
      <c r="C887" s="235" t="str">
        <f>VLOOKUP(B887,equip.!$A$1:$G$240,3,FALSE)</f>
        <v>M</v>
      </c>
      <c r="D887" s="236">
        <v>0.7</v>
      </c>
      <c r="E887" s="203">
        <v>0.3</v>
      </c>
      <c r="F887" s="237">
        <f>VLOOKUP(B887,equip.!$A:$G,6,FALSE)</f>
        <v>314.31</v>
      </c>
      <c r="G887" s="237">
        <f>VLOOKUP(B887,equip.!$A:$G,7,FALSE)</f>
        <v>125.16</v>
      </c>
      <c r="H887" s="238">
        <v>1</v>
      </c>
      <c r="I887" s="418">
        <f>TRUNC(D887*F887*H887+E887*G887*H887,2)</f>
        <v>257.56</v>
      </c>
    </row>
    <row r="888" spans="1:13" ht="33.75" x14ac:dyDescent="0.2">
      <c r="A888" s="233" t="str">
        <f>VLOOKUP(B888,equip.!$A:$G,2,FALSE)</f>
        <v>Escavadeira hidráulica sobre esteiras mod. C X 220 (22t), Case ou equivalente</v>
      </c>
      <c r="B888" s="234">
        <v>30025</v>
      </c>
      <c r="C888" s="235">
        <f>VLOOKUP(B888,equip.!$A$1:$G$240,3,FALSE)</f>
        <v>0</v>
      </c>
      <c r="D888" s="236">
        <v>1</v>
      </c>
      <c r="E888" s="203">
        <v>0</v>
      </c>
      <c r="F888" s="237">
        <f>VLOOKUP(B888,equip.!$A:$G,6,FALSE)</f>
        <v>227.7</v>
      </c>
      <c r="G888" s="237">
        <f>VLOOKUP(B888,equip.!$A:$G,7,FALSE)</f>
        <v>101.44</v>
      </c>
      <c r="H888" s="238">
        <v>1</v>
      </c>
      <c r="I888" s="418">
        <f>TRUNC(D888*F888*H888+E888*G888*H888,2)</f>
        <v>227.7</v>
      </c>
    </row>
    <row r="889" spans="1:13" x14ac:dyDescent="0.2">
      <c r="A889" s="199"/>
      <c r="B889" s="229"/>
      <c r="C889" s="229"/>
      <c r="D889" s="199"/>
      <c r="E889" s="199"/>
      <c r="F889" s="230" t="s">
        <v>184</v>
      </c>
      <c r="G889" s="240"/>
      <c r="H889" s="241"/>
      <c r="I889" s="438">
        <f>SUM(I887:I888)</f>
        <v>485.26</v>
      </c>
    </row>
    <row r="890" spans="1:13" x14ac:dyDescent="0.2">
      <c r="A890" s="199"/>
      <c r="B890" s="229"/>
      <c r="C890" s="229"/>
      <c r="D890" s="199"/>
      <c r="E890" s="199"/>
      <c r="F890" s="199"/>
      <c r="G890" s="199"/>
      <c r="H890" s="199"/>
      <c r="I890" s="439"/>
    </row>
    <row r="891" spans="1:13" x14ac:dyDescent="0.2">
      <c r="A891" s="242" t="s">
        <v>185</v>
      </c>
      <c r="B891" s="243" t="s">
        <v>59</v>
      </c>
      <c r="C891" s="232" t="s">
        <v>357</v>
      </c>
      <c r="D891" s="243" t="s">
        <v>187</v>
      </c>
      <c r="E891" s="1111" t="s">
        <v>89</v>
      </c>
      <c r="F891" s="1112"/>
      <c r="G891" s="1113"/>
      <c r="H891" s="1121" t="s">
        <v>183</v>
      </c>
      <c r="I891" s="1115"/>
    </row>
    <row r="892" spans="1:13" x14ac:dyDescent="0.2">
      <c r="A892" s="244" t="str">
        <f>VLOOKUP(B892,m.o.!$A:$H,2,FALSE)</f>
        <v>Encarregado de terraplenagem</v>
      </c>
      <c r="B892" s="234">
        <v>20067</v>
      </c>
      <c r="C892" s="239">
        <f>VLOOKUP(B892,m.o.!$A:$F,4,FALSE)</f>
        <v>2.35</v>
      </c>
      <c r="D892" s="239">
        <f>VLOOKUP(B892,m.o.!$A:$G,7,FALSE)</f>
        <v>29.43</v>
      </c>
      <c r="E892" s="255"/>
      <c r="F892" s="253"/>
      <c r="G892" s="293">
        <v>0.5</v>
      </c>
      <c r="H892" s="240"/>
      <c r="I892" s="427">
        <f>TRUNC(D892*G892,2)</f>
        <v>14.71</v>
      </c>
    </row>
    <row r="893" spans="1:13" x14ac:dyDescent="0.2">
      <c r="A893" s="244" t="str">
        <f>VLOOKUP(B893,m.o.!$A:$H,2,FALSE)</f>
        <v>Servente</v>
      </c>
      <c r="B893" s="234">
        <v>20002</v>
      </c>
      <c r="C893" s="239">
        <f>VLOOKUP(B893,m.o.!$A:$F,4,FALSE)</f>
        <v>1</v>
      </c>
      <c r="D893" s="239">
        <f>VLOOKUP(B893,m.o.!$A:$G,7,FALSE)</f>
        <v>12.52</v>
      </c>
      <c r="E893" s="255"/>
      <c r="F893" s="253"/>
      <c r="G893" s="293">
        <v>4</v>
      </c>
      <c r="H893" s="240"/>
      <c r="I893" s="427">
        <f>TRUNC(D893*G893,2)</f>
        <v>50.08</v>
      </c>
    </row>
    <row r="894" spans="1:13" x14ac:dyDescent="0.2">
      <c r="A894" s="199"/>
      <c r="B894" s="229"/>
      <c r="C894" s="229"/>
      <c r="D894" s="199"/>
      <c r="E894" s="199"/>
      <c r="F894" s="230" t="s">
        <v>188</v>
      </c>
      <c r="G894" s="240"/>
      <c r="H894" s="241"/>
      <c r="I894" s="438">
        <f>SUM(I892:I893)</f>
        <v>64.790000000000006</v>
      </c>
    </row>
    <row r="895" spans="1:13" x14ac:dyDescent="0.2">
      <c r="A895" s="199"/>
      <c r="B895" s="229"/>
      <c r="C895" s="229"/>
      <c r="D895" s="199"/>
      <c r="E895" s="199"/>
      <c r="F895" s="199"/>
      <c r="G895" s="199"/>
      <c r="H895" s="199"/>
      <c r="I895" s="439"/>
    </row>
    <row r="896" spans="1:13" x14ac:dyDescent="0.2">
      <c r="A896" s="245" t="s">
        <v>189</v>
      </c>
      <c r="B896" s="243" t="s">
        <v>59</v>
      </c>
      <c r="C896" s="796" t="s">
        <v>17</v>
      </c>
      <c r="D896" s="243" t="s">
        <v>190</v>
      </c>
      <c r="E896" s="243" t="s">
        <v>191</v>
      </c>
      <c r="F896" s="243" t="s">
        <v>192</v>
      </c>
      <c r="G896" s="1121" t="s">
        <v>94</v>
      </c>
      <c r="H896" s="1114"/>
      <c r="I896" s="1115"/>
    </row>
    <row r="897" spans="1:9" x14ac:dyDescent="0.2">
      <c r="A897" s="199"/>
      <c r="B897" s="229"/>
      <c r="C897" s="199"/>
      <c r="D897" s="199"/>
      <c r="E897" s="199"/>
      <c r="F897" s="230" t="s">
        <v>327</v>
      </c>
      <c r="G897" s="240"/>
      <c r="H897" s="241"/>
      <c r="I897" s="438">
        <v>0</v>
      </c>
    </row>
    <row r="898" spans="1:9" x14ac:dyDescent="0.2">
      <c r="A898" s="199"/>
      <c r="B898" s="229"/>
      <c r="C898" s="199"/>
      <c r="D898" s="199"/>
      <c r="E898" s="199"/>
      <c r="F898" s="199"/>
      <c r="G898" s="199"/>
      <c r="H898" s="199"/>
      <c r="I898" s="439"/>
    </row>
    <row r="899" spans="1:9" x14ac:dyDescent="0.2">
      <c r="A899" s="247"/>
      <c r="B899" s="248"/>
      <c r="C899" s="249"/>
      <c r="D899" s="249"/>
      <c r="E899" s="249"/>
      <c r="F899" s="250" t="s">
        <v>193</v>
      </c>
      <c r="G899" s="401"/>
      <c r="H899" s="249"/>
      <c r="I899" s="445">
        <f>+I889+I894+I897</f>
        <v>550.04999999999995</v>
      </c>
    </row>
    <row r="900" spans="1:9" x14ac:dyDescent="0.2">
      <c r="A900" s="251"/>
      <c r="B900" s="252"/>
      <c r="C900" s="253"/>
      <c r="D900" s="253"/>
      <c r="E900" s="253"/>
      <c r="F900" s="254" t="s">
        <v>194</v>
      </c>
      <c r="G900" s="255"/>
      <c r="H900" s="253"/>
      <c r="I900" s="446">
        <v>33</v>
      </c>
    </row>
    <row r="901" spans="1:9" x14ac:dyDescent="0.2">
      <c r="A901" s="233"/>
      <c r="B901" s="256"/>
      <c r="C901" s="241"/>
      <c r="D901" s="241"/>
      <c r="E901" s="241"/>
      <c r="F901" s="257" t="s">
        <v>216</v>
      </c>
      <c r="G901" s="240"/>
      <c r="H901" s="241"/>
      <c r="I901" s="447">
        <f>TRUNC(I899/I900,2)</f>
        <v>16.66</v>
      </c>
    </row>
    <row r="902" spans="1:9" x14ac:dyDescent="0.2">
      <c r="A902" s="797"/>
      <c r="B902" s="229"/>
      <c r="C902" s="199"/>
      <c r="D902" s="199"/>
      <c r="E902" s="199"/>
      <c r="F902" s="258"/>
      <c r="G902" s="199"/>
      <c r="H902" s="199"/>
      <c r="I902" s="450"/>
    </row>
    <row r="903" spans="1:9" x14ac:dyDescent="0.2">
      <c r="A903" s="242" t="s">
        <v>195</v>
      </c>
      <c r="B903" s="243" t="s">
        <v>59</v>
      </c>
      <c r="C903" s="243" t="s">
        <v>196</v>
      </c>
      <c r="D903" s="243" t="s">
        <v>217</v>
      </c>
      <c r="E903" s="1121" t="s">
        <v>89</v>
      </c>
      <c r="F903" s="1114"/>
      <c r="G903" s="1115"/>
      <c r="H903" s="1121" t="s">
        <v>183</v>
      </c>
      <c r="I903" s="1115"/>
    </row>
    <row r="904" spans="1:9" ht="22.5" x14ac:dyDescent="0.2">
      <c r="A904" s="259" t="str">
        <f>VLOOKUP(B904,mat.!$A:$D,2,FALSE)</f>
        <v>Madeira roliça (aprox. 8,00m - D=0,15m)</v>
      </c>
      <c r="B904" s="234">
        <v>10071</v>
      </c>
      <c r="C904" s="260" t="str">
        <f>VLOOKUP(B904,mat.!$A:$D,3,FALSE)</f>
        <v>m</v>
      </c>
      <c r="D904" s="261">
        <f>VLOOKUP(B904,mat.!$A:$D,4,FALSE)</f>
        <v>34.619999999999997</v>
      </c>
      <c r="E904" s="255"/>
      <c r="F904" s="253"/>
      <c r="G904" s="293">
        <v>0.16800000000000001</v>
      </c>
      <c r="H904" s="255"/>
      <c r="I904" s="423">
        <f>TRUNC(D904*G904,2)</f>
        <v>5.81</v>
      </c>
    </row>
    <row r="905" spans="1:9" x14ac:dyDescent="0.2">
      <c r="A905" s="199"/>
      <c r="B905" s="229"/>
      <c r="C905" s="199"/>
      <c r="D905" s="199"/>
      <c r="E905" s="199"/>
      <c r="F905" s="230" t="s">
        <v>197</v>
      </c>
      <c r="G905" s="240"/>
      <c r="H905" s="241"/>
      <c r="I905" s="438">
        <f>SUM(I904:I904)</f>
        <v>5.81</v>
      </c>
    </row>
    <row r="906" spans="1:9" x14ac:dyDescent="0.2">
      <c r="A906" s="199"/>
      <c r="B906" s="229"/>
      <c r="C906" s="199"/>
      <c r="D906" s="199"/>
      <c r="E906" s="199"/>
      <c r="F906" s="199"/>
      <c r="G906" s="262"/>
      <c r="H906" s="199"/>
      <c r="I906" s="439"/>
    </row>
    <row r="907" spans="1:9" x14ac:dyDescent="0.2">
      <c r="A907" s="263" t="s">
        <v>198</v>
      </c>
      <c r="B907" s="243" t="s">
        <v>59</v>
      </c>
      <c r="C907" s="243" t="s">
        <v>196</v>
      </c>
      <c r="D907" s="796" t="s">
        <v>217</v>
      </c>
      <c r="E907" s="1111" t="s">
        <v>89</v>
      </c>
      <c r="F907" s="1112"/>
      <c r="G907" s="1113"/>
      <c r="H907" s="1114" t="s">
        <v>183</v>
      </c>
      <c r="I907" s="1115"/>
    </row>
    <row r="908" spans="1:9" ht="23.25" customHeight="1" x14ac:dyDescent="0.2">
      <c r="A908" s="200"/>
      <c r="B908" s="264"/>
      <c r="C908" s="200"/>
      <c r="D908" s="200"/>
      <c r="E908" s="200"/>
      <c r="F908" s="265" t="s">
        <v>199</v>
      </c>
      <c r="G908" s="255"/>
      <c r="H908" s="266"/>
      <c r="I908" s="441">
        <v>0</v>
      </c>
    </row>
    <row r="909" spans="1:9" x14ac:dyDescent="0.2">
      <c r="A909" s="200"/>
      <c r="B909" s="264"/>
      <c r="C909" s="200"/>
      <c r="D909" s="200"/>
      <c r="E909" s="200"/>
      <c r="F909" s="200"/>
      <c r="G909" s="200"/>
      <c r="H909" s="200"/>
      <c r="I909" s="440"/>
    </row>
    <row r="910" spans="1:9" x14ac:dyDescent="0.2">
      <c r="A910" s="267" t="s">
        <v>200</v>
      </c>
      <c r="B910" s="268" t="s">
        <v>59</v>
      </c>
      <c r="C910" s="268" t="s">
        <v>196</v>
      </c>
      <c r="D910" s="268" t="s">
        <v>201</v>
      </c>
      <c r="E910" s="268" t="s">
        <v>202</v>
      </c>
      <c r="F910" s="268" t="s">
        <v>203</v>
      </c>
      <c r="G910" s="268" t="s">
        <v>94</v>
      </c>
      <c r="H910" s="268" t="s">
        <v>89</v>
      </c>
      <c r="I910" s="442" t="s">
        <v>204</v>
      </c>
    </row>
    <row r="911" spans="1:9" x14ac:dyDescent="0.2">
      <c r="A911" s="200"/>
      <c r="B911" s="264"/>
      <c r="C911" s="200"/>
      <c r="D911" s="200"/>
      <c r="E911" s="200"/>
      <c r="F911" s="265" t="s">
        <v>205</v>
      </c>
      <c r="G911" s="240"/>
      <c r="H911" s="272"/>
      <c r="I911" s="443">
        <v>0</v>
      </c>
    </row>
    <row r="912" spans="1:9" x14ac:dyDescent="0.2">
      <c r="A912" s="200"/>
      <c r="B912" s="264"/>
      <c r="C912" s="200"/>
      <c r="D912" s="200"/>
      <c r="E912" s="200"/>
      <c r="F912" s="200"/>
      <c r="G912" s="200"/>
      <c r="H912" s="200"/>
      <c r="I912" s="444"/>
    </row>
    <row r="913" spans="1:13" x14ac:dyDescent="0.2">
      <c r="A913" s="273"/>
      <c r="B913" s="274"/>
      <c r="C913" s="275"/>
      <c r="D913" s="275"/>
      <c r="E913" s="275"/>
      <c r="F913" s="276" t="s">
        <v>206</v>
      </c>
      <c r="G913" s="273"/>
      <c r="H913" s="249"/>
      <c r="I913" s="445">
        <f>+I901+I905+I908+I911</f>
        <v>22.47</v>
      </c>
      <c r="J913" s="410"/>
    </row>
    <row r="914" spans="1:13" x14ac:dyDescent="0.2">
      <c r="A914" s="255"/>
      <c r="B914" s="277"/>
      <c r="C914" s="266"/>
      <c r="D914" s="266"/>
      <c r="E914" s="266"/>
      <c r="F914" s="278" t="str">
        <f>CONCATENATE($H$3," ",$I$3)</f>
        <v>BDI: 23,32</v>
      </c>
      <c r="G914" s="403"/>
      <c r="H914" s="253"/>
      <c r="I914" s="446">
        <f>+ROUND(I913*$I$4,2)</f>
        <v>5.24</v>
      </c>
    </row>
    <row r="915" spans="1:13" x14ac:dyDescent="0.2">
      <c r="A915" s="240"/>
      <c r="B915" s="279"/>
      <c r="C915" s="272"/>
      <c r="D915" s="272"/>
      <c r="E915" s="272"/>
      <c r="F915" s="280" t="s">
        <v>207</v>
      </c>
      <c r="G915" s="404"/>
      <c r="H915" s="241"/>
      <c r="I915" s="720">
        <f>+I913+I914</f>
        <v>27.71</v>
      </c>
      <c r="J915" s="410"/>
    </row>
    <row r="916" spans="1:13" ht="21" customHeight="1" x14ac:dyDescent="0.2">
      <c r="A916" s="1116" t="str">
        <f>$A$1</f>
        <v>COMPOSIÇÃO DE CUSTOS UNITÁRIOS</v>
      </c>
      <c r="B916" s="1116"/>
      <c r="C916" s="1116"/>
      <c r="D916" s="1116"/>
      <c r="E916" s="1116"/>
      <c r="F916" s="1116"/>
      <c r="G916" s="1116"/>
      <c r="H916" s="1116"/>
      <c r="I916" s="1116"/>
    </row>
    <row r="917" spans="1:13" x14ac:dyDescent="0.2">
      <c r="A917" s="228" t="str">
        <f>$A$2</f>
        <v>Tabela Referencial de Preços - DER-ES</v>
      </c>
      <c r="B917" s="229"/>
      <c r="C917" s="199"/>
      <c r="D917" s="199"/>
      <c r="E917" s="199"/>
      <c r="F917" s="199"/>
      <c r="G917" s="199"/>
      <c r="H917" s="199"/>
      <c r="I917" s="414" t="str">
        <f>$I$2</f>
        <v>Data Base: novembro/2020</v>
      </c>
      <c r="J917" s="400">
        <v>40177</v>
      </c>
      <c r="K917" s="400">
        <f>VLOOKUP("Preço Unitário Total",F919:I4015,4,FALSE)</f>
        <v>4.5</v>
      </c>
      <c r="L917" s="295">
        <f>VLOOKUP(J917,'DER 11-20'!A:E,5,FALSE)</f>
        <v>0</v>
      </c>
      <c r="M917" s="295" t="str">
        <f>VLOOKUP(J917,'DER 11-20'!$A:$D,2,FALSE)</f>
        <v>Espalhamento de material de 1ª categoria com trator de esteiras</v>
      </c>
    </row>
    <row r="918" spans="1:13" x14ac:dyDescent="0.2">
      <c r="A918" s="1117" t="str">
        <f>+CONCATENATE("Serviço: ",J917," ",VLOOKUP(J917,'DER 11-20'!$A:$D,2,FALSE))</f>
        <v>Serviço: 40177 Espalhamento de material de 1ª categoria com trator de esteiras</v>
      </c>
      <c r="B918" s="1117"/>
      <c r="C918" s="1117"/>
      <c r="D918" s="1117"/>
      <c r="E918" s="1117"/>
      <c r="F918" s="1117"/>
      <c r="G918" s="1117"/>
      <c r="H918" s="1117"/>
      <c r="I918" s="1119" t="str">
        <f>CONCATENATE("Unidade: ", VLOOKUP(J917,'DER 11-20'!$A:$E,3,FALSE))</f>
        <v>Unidade: M3</v>
      </c>
    </row>
    <row r="919" spans="1:13" x14ac:dyDescent="0.2">
      <c r="A919" s="1118"/>
      <c r="B919" s="1118"/>
      <c r="C919" s="1118"/>
      <c r="D919" s="1118"/>
      <c r="E919" s="1118"/>
      <c r="F919" s="1118"/>
      <c r="G919" s="1118"/>
      <c r="H919" s="1118"/>
      <c r="I919" s="1120"/>
    </row>
    <row r="920" spans="1:13" ht="22.5" x14ac:dyDescent="0.2">
      <c r="A920" s="231" t="s">
        <v>177</v>
      </c>
      <c r="B920" s="232" t="s">
        <v>59</v>
      </c>
      <c r="C920" s="232" t="s">
        <v>178</v>
      </c>
      <c r="D920" s="232" t="s">
        <v>179</v>
      </c>
      <c r="E920" s="232" t="s">
        <v>180</v>
      </c>
      <c r="F920" s="232" t="s">
        <v>181</v>
      </c>
      <c r="G920" s="232" t="s">
        <v>182</v>
      </c>
      <c r="H920" s="232" t="s">
        <v>89</v>
      </c>
      <c r="I920" s="434" t="s">
        <v>183</v>
      </c>
    </row>
    <row r="921" spans="1:13" ht="22.5" x14ac:dyDescent="0.2">
      <c r="A921" s="233" t="str">
        <f>VLOOKUP(B921,equip.!$A:$G,2,FALSE)</f>
        <v>Trator de esteiras ref. Caterpillar cm lâmina modelo D6N ou equivalente</v>
      </c>
      <c r="B921" s="234">
        <v>30016</v>
      </c>
      <c r="C921" s="235" t="str">
        <f>VLOOKUP(B921,equip.!$A$1:$G$239,3,FALSE)</f>
        <v>M</v>
      </c>
      <c r="D921" s="236">
        <v>1</v>
      </c>
      <c r="E921" s="203">
        <v>0</v>
      </c>
      <c r="F921" s="237">
        <f>VLOOKUP(B921,equip.!$A:$G,6,FALSE)</f>
        <v>334.2</v>
      </c>
      <c r="G921" s="237">
        <f>VLOOKUP(B921,equip.!$A:$G,7,FALSE)</f>
        <v>129.94</v>
      </c>
      <c r="H921" s="238">
        <v>1</v>
      </c>
      <c r="I921" s="418">
        <f>TRUNC(D921*F921*H921+E921*G921*H921,2)</f>
        <v>334.2</v>
      </c>
    </row>
    <row r="922" spans="1:13" x14ac:dyDescent="0.2">
      <c r="A922" s="199"/>
      <c r="B922" s="229"/>
      <c r="C922" s="229"/>
      <c r="D922" s="199"/>
      <c r="E922" s="199"/>
      <c r="F922" s="230" t="s">
        <v>184</v>
      </c>
      <c r="G922" s="240"/>
      <c r="H922" s="241"/>
      <c r="I922" s="438">
        <f>SUM(I921:I921)</f>
        <v>334.2</v>
      </c>
    </row>
    <row r="923" spans="1:13" x14ac:dyDescent="0.2">
      <c r="A923" s="199"/>
      <c r="B923" s="229"/>
      <c r="C923" s="229"/>
      <c r="D923" s="199"/>
      <c r="E923" s="199"/>
      <c r="F923" s="199"/>
      <c r="G923" s="199"/>
      <c r="H923" s="199"/>
      <c r="I923" s="439"/>
    </row>
    <row r="924" spans="1:13" x14ac:dyDescent="0.2">
      <c r="A924" s="242" t="s">
        <v>185</v>
      </c>
      <c r="B924" s="243" t="s">
        <v>59</v>
      </c>
      <c r="C924" s="232" t="s">
        <v>357</v>
      </c>
      <c r="D924" s="243" t="s">
        <v>187</v>
      </c>
      <c r="E924" s="1121" t="s">
        <v>89</v>
      </c>
      <c r="F924" s="1114"/>
      <c r="G924" s="1115"/>
      <c r="H924" s="1121" t="s">
        <v>183</v>
      </c>
      <c r="I924" s="1115"/>
    </row>
    <row r="925" spans="1:13" x14ac:dyDescent="0.2">
      <c r="A925" s="244" t="str">
        <f>VLOOKUP(B925,m.o.!$A:$H,2,FALSE)</f>
        <v>Encarregado de terraplenagem</v>
      </c>
      <c r="B925" s="234">
        <v>20067</v>
      </c>
      <c r="C925" s="239">
        <f>VLOOKUP(B925,m.o.!$A:$F,4,FALSE)</f>
        <v>2.35</v>
      </c>
      <c r="D925" s="239">
        <f>VLOOKUP(B925,m.o.!$A:$G,7,FALSE)</f>
        <v>29.43</v>
      </c>
      <c r="E925" s="255"/>
      <c r="F925" s="253"/>
      <c r="G925" s="293">
        <v>0.5</v>
      </c>
      <c r="H925" s="240"/>
      <c r="I925" s="427">
        <f>TRUNC(D925*G925,2)</f>
        <v>14.71</v>
      </c>
    </row>
    <row r="926" spans="1:13" x14ac:dyDescent="0.2">
      <c r="A926" s="244" t="str">
        <f>VLOOKUP(B926,m.o.!$A:$H,2,FALSE)</f>
        <v>Servente</v>
      </c>
      <c r="B926" s="234">
        <v>20002</v>
      </c>
      <c r="C926" s="239">
        <f>VLOOKUP(B926,m.o.!$A:$F,4,FALSE)</f>
        <v>1</v>
      </c>
      <c r="D926" s="239">
        <f>VLOOKUP(B926,m.o.!$A:$G,7,FALSE)</f>
        <v>12.52</v>
      </c>
      <c r="E926" s="240"/>
      <c r="F926" s="241"/>
      <c r="G926" s="405">
        <v>1</v>
      </c>
      <c r="H926" s="240"/>
      <c r="I926" s="427">
        <f>TRUNC(D926*G926,2)</f>
        <v>12.52</v>
      </c>
    </row>
    <row r="927" spans="1:13" x14ac:dyDescent="0.2">
      <c r="A927" s="199"/>
      <c r="B927" s="229"/>
      <c r="C927" s="229"/>
      <c r="D927" s="199"/>
      <c r="E927" s="199"/>
      <c r="F927" s="230" t="s">
        <v>188</v>
      </c>
      <c r="G927" s="240"/>
      <c r="H927" s="241"/>
      <c r="I927" s="438">
        <f>SUM(I925:I926)</f>
        <v>27.23</v>
      </c>
    </row>
    <row r="928" spans="1:13" x14ac:dyDescent="0.2">
      <c r="A928" s="199"/>
      <c r="B928" s="229"/>
      <c r="C928" s="229"/>
      <c r="D928" s="199"/>
      <c r="E928" s="199"/>
      <c r="F928" s="199"/>
      <c r="G928" s="199"/>
      <c r="H928" s="199"/>
      <c r="I928" s="439"/>
    </row>
    <row r="929" spans="1:17" x14ac:dyDescent="0.2">
      <c r="A929" s="263" t="s">
        <v>189</v>
      </c>
      <c r="B929" s="243" t="s">
        <v>59</v>
      </c>
      <c r="C929" s="635" t="s">
        <v>17</v>
      </c>
      <c r="D929" s="243" t="s">
        <v>190</v>
      </c>
      <c r="E929" s="243" t="s">
        <v>191</v>
      </c>
      <c r="F929" s="243" t="s">
        <v>192</v>
      </c>
      <c r="G929" s="1121" t="s">
        <v>94</v>
      </c>
      <c r="H929" s="1114"/>
      <c r="I929" s="1115"/>
      <c r="J929" s="295"/>
      <c r="K929" s="295"/>
    </row>
    <row r="930" spans="1:17" x14ac:dyDescent="0.2">
      <c r="A930" s="244"/>
      <c r="B930" s="234"/>
      <c r="C930" s="239"/>
      <c r="D930" s="235"/>
      <c r="E930" s="246"/>
      <c r="F930" s="246"/>
      <c r="G930" s="240"/>
      <c r="H930" s="241"/>
      <c r="I930" s="427"/>
      <c r="J930" s="295"/>
      <c r="K930" s="295"/>
    </row>
    <row r="931" spans="1:17" x14ac:dyDescent="0.2">
      <c r="A931" s="199"/>
      <c r="B931" s="229"/>
      <c r="C931" s="199"/>
      <c r="D931" s="199"/>
      <c r="E931" s="199"/>
      <c r="F931" s="230" t="s">
        <v>327</v>
      </c>
      <c r="G931" s="240"/>
      <c r="H931" s="241"/>
      <c r="I931" s="438">
        <f>SUM(I930)</f>
        <v>0</v>
      </c>
      <c r="J931" s="295"/>
      <c r="K931" s="295"/>
    </row>
    <row r="932" spans="1:17" x14ac:dyDescent="0.2">
      <c r="A932" s="199"/>
      <c r="B932" s="229"/>
      <c r="C932" s="199"/>
      <c r="D932" s="199"/>
      <c r="E932" s="199"/>
      <c r="F932" s="199"/>
      <c r="G932" s="199"/>
      <c r="H932" s="199"/>
      <c r="I932" s="439"/>
      <c r="J932" s="295"/>
      <c r="K932" s="295"/>
    </row>
    <row r="933" spans="1:17" x14ac:dyDescent="0.2">
      <c r="A933" s="247"/>
      <c r="B933" s="248"/>
      <c r="C933" s="249"/>
      <c r="D933" s="249"/>
      <c r="E933" s="249"/>
      <c r="F933" s="250" t="s">
        <v>193</v>
      </c>
      <c r="G933" s="401"/>
      <c r="H933" s="249"/>
      <c r="I933" s="445">
        <f>+I922+I927+I931</f>
        <v>361.43</v>
      </c>
      <c r="J933" s="295"/>
      <c r="K933" s="295"/>
    </row>
    <row r="934" spans="1:17" s="198" customFormat="1" x14ac:dyDescent="0.2">
      <c r="A934" s="251"/>
      <c r="B934" s="252"/>
      <c r="C934" s="253"/>
      <c r="D934" s="253"/>
      <c r="E934" s="253"/>
      <c r="F934" s="254" t="s">
        <v>194</v>
      </c>
      <c r="G934" s="255"/>
      <c r="H934" s="253"/>
      <c r="I934" s="446">
        <v>99</v>
      </c>
      <c r="J934" s="295"/>
      <c r="K934" s="295"/>
      <c r="L934" s="295"/>
      <c r="M934" s="295"/>
      <c r="N934" s="295"/>
      <c r="O934" s="295"/>
      <c r="P934" s="295"/>
      <c r="Q934" s="295"/>
    </row>
    <row r="935" spans="1:17" s="198" customFormat="1" x14ac:dyDescent="0.2">
      <c r="A935" s="233"/>
      <c r="B935" s="256"/>
      <c r="C935" s="241"/>
      <c r="D935" s="241"/>
      <c r="E935" s="241"/>
      <c r="F935" s="257" t="s">
        <v>216</v>
      </c>
      <c r="G935" s="240"/>
      <c r="H935" s="241"/>
      <c r="I935" s="447">
        <f>TRUNC(I933/I934,2)</f>
        <v>3.65</v>
      </c>
      <c r="J935" s="295"/>
      <c r="K935" s="295"/>
      <c r="L935" s="295"/>
      <c r="M935" s="295"/>
      <c r="N935" s="295"/>
      <c r="O935" s="359"/>
      <c r="P935" s="295"/>
      <c r="Q935" s="295"/>
    </row>
    <row r="936" spans="1:17" x14ac:dyDescent="0.2">
      <c r="A936" s="636"/>
      <c r="B936" s="229"/>
      <c r="C936" s="199"/>
      <c r="D936" s="199"/>
      <c r="E936" s="199"/>
      <c r="F936" s="258"/>
      <c r="G936" s="199"/>
      <c r="H936" s="199"/>
      <c r="I936" s="450"/>
      <c r="J936" s="295"/>
      <c r="K936" s="295"/>
      <c r="O936" s="435"/>
    </row>
    <row r="937" spans="1:17" x14ac:dyDescent="0.2">
      <c r="A937" s="242" t="s">
        <v>195</v>
      </c>
      <c r="B937" s="243" t="s">
        <v>59</v>
      </c>
      <c r="C937" s="243" t="s">
        <v>196</v>
      </c>
      <c r="D937" s="243" t="s">
        <v>217</v>
      </c>
      <c r="E937" s="1121" t="s">
        <v>89</v>
      </c>
      <c r="F937" s="1114"/>
      <c r="G937" s="1115"/>
      <c r="H937" s="1121" t="s">
        <v>183</v>
      </c>
      <c r="I937" s="1115"/>
      <c r="J937" s="295"/>
      <c r="K937" s="295"/>
    </row>
    <row r="938" spans="1:17" x14ac:dyDescent="0.2">
      <c r="A938" s="259"/>
      <c r="B938" s="234"/>
      <c r="C938" s="260"/>
      <c r="D938" s="261"/>
      <c r="E938" s="255"/>
      <c r="F938" s="253"/>
      <c r="G938" s="293"/>
      <c r="H938" s="255"/>
      <c r="I938" s="423">
        <f>TRUNC(D938*G938,2)</f>
        <v>0</v>
      </c>
      <c r="J938" s="295"/>
      <c r="K938" s="295"/>
    </row>
    <row r="939" spans="1:17" x14ac:dyDescent="0.2">
      <c r="A939" s="199"/>
      <c r="B939" s="229"/>
      <c r="C939" s="199"/>
      <c r="D939" s="199"/>
      <c r="E939" s="199"/>
      <c r="F939" s="230" t="s">
        <v>197</v>
      </c>
      <c r="G939" s="240"/>
      <c r="H939" s="241"/>
      <c r="I939" s="438">
        <f>SUM(I938:I938)</f>
        <v>0</v>
      </c>
      <c r="J939" s="295"/>
      <c r="K939" s="295"/>
    </row>
    <row r="940" spans="1:17" x14ac:dyDescent="0.2">
      <c r="A940" s="199"/>
      <c r="B940" s="229"/>
      <c r="C940" s="199"/>
      <c r="D940" s="199"/>
      <c r="E940" s="199"/>
      <c r="F940" s="199"/>
      <c r="G940" s="262"/>
      <c r="H940" s="199"/>
      <c r="I940" s="439"/>
      <c r="J940" s="295"/>
      <c r="K940" s="295"/>
    </row>
    <row r="941" spans="1:17" x14ac:dyDescent="0.2">
      <c r="A941" s="263" t="s">
        <v>198</v>
      </c>
      <c r="B941" s="243" t="s">
        <v>59</v>
      </c>
      <c r="C941" s="243" t="s">
        <v>196</v>
      </c>
      <c r="D941" s="635" t="s">
        <v>217</v>
      </c>
      <c r="E941" s="1121" t="s">
        <v>89</v>
      </c>
      <c r="F941" s="1114"/>
      <c r="G941" s="1115"/>
      <c r="H941" s="1121" t="s">
        <v>183</v>
      </c>
      <c r="I941" s="1115"/>
      <c r="J941" s="295"/>
      <c r="K941" s="295"/>
    </row>
    <row r="942" spans="1:17" x14ac:dyDescent="0.2">
      <c r="A942" s="244"/>
      <c r="B942" s="234"/>
      <c r="C942" s="234"/>
      <c r="D942" s="239"/>
      <c r="E942" s="255"/>
      <c r="F942" s="253"/>
      <c r="G942" s="293"/>
      <c r="H942" s="240"/>
      <c r="I942" s="423">
        <f>TRUNC(D942*G942,2)</f>
        <v>0</v>
      </c>
      <c r="J942" s="295"/>
      <c r="K942" s="295"/>
    </row>
    <row r="943" spans="1:17" x14ac:dyDescent="0.2">
      <c r="A943" s="200"/>
      <c r="B943" s="264"/>
      <c r="C943" s="200"/>
      <c r="D943" s="200"/>
      <c r="E943" s="200"/>
      <c r="F943" s="265" t="s">
        <v>199</v>
      </c>
      <c r="G943" s="255"/>
      <c r="H943" s="266"/>
      <c r="I943" s="441">
        <f>SUM(I940:I942)</f>
        <v>0</v>
      </c>
      <c r="J943" s="295"/>
      <c r="K943" s="295"/>
    </row>
    <row r="944" spans="1:17" x14ac:dyDescent="0.2">
      <c r="A944" s="200"/>
      <c r="B944" s="264"/>
      <c r="C944" s="200"/>
      <c r="D944" s="200"/>
      <c r="E944" s="200"/>
      <c r="F944" s="200"/>
      <c r="G944" s="200"/>
      <c r="H944" s="200"/>
      <c r="I944" s="440"/>
      <c r="J944" s="295"/>
      <c r="K944" s="295"/>
    </row>
    <row r="945" spans="1:13" x14ac:dyDescent="0.2">
      <c r="A945" s="406" t="s">
        <v>200</v>
      </c>
      <c r="B945" s="268" t="s">
        <v>59</v>
      </c>
      <c r="C945" s="268" t="s">
        <v>196</v>
      </c>
      <c r="D945" s="268" t="s">
        <v>201</v>
      </c>
      <c r="E945" s="268" t="s">
        <v>202</v>
      </c>
      <c r="F945" s="268" t="s">
        <v>203</v>
      </c>
      <c r="G945" s="268" t="s">
        <v>94</v>
      </c>
      <c r="H945" s="268" t="s">
        <v>89</v>
      </c>
      <c r="I945" s="442" t="s">
        <v>204</v>
      </c>
    </row>
    <row r="946" spans="1:13" x14ac:dyDescent="0.2">
      <c r="A946" s="244"/>
      <c r="B946" s="234"/>
      <c r="C946" s="234"/>
      <c r="D946" s="269"/>
      <c r="E946" s="270"/>
      <c r="F946" s="270"/>
      <c r="G946" s="239"/>
      <c r="H946" s="271"/>
      <c r="I946" s="418">
        <f>TRUNC(G946*H946,2)</f>
        <v>0</v>
      </c>
    </row>
    <row r="947" spans="1:13" x14ac:dyDescent="0.2">
      <c r="A947" s="200"/>
      <c r="B947" s="264"/>
      <c r="C947" s="200"/>
      <c r="D947" s="200"/>
      <c r="E947" s="200"/>
      <c r="F947" s="265" t="s">
        <v>205</v>
      </c>
      <c r="G947" s="240"/>
      <c r="H947" s="272"/>
      <c r="I947" s="443">
        <f>SUM(I946:I946)</f>
        <v>0</v>
      </c>
    </row>
    <row r="948" spans="1:13" x14ac:dyDescent="0.2">
      <c r="A948" s="200"/>
      <c r="B948" s="264"/>
      <c r="C948" s="200"/>
      <c r="D948" s="200"/>
      <c r="E948" s="200"/>
      <c r="F948" s="200"/>
      <c r="G948" s="200"/>
      <c r="H948" s="200"/>
      <c r="I948" s="444"/>
    </row>
    <row r="949" spans="1:13" x14ac:dyDescent="0.2">
      <c r="A949" s="273"/>
      <c r="B949" s="274"/>
      <c r="C949" s="275"/>
      <c r="D949" s="275"/>
      <c r="E949" s="275"/>
      <c r="F949" s="276" t="s">
        <v>206</v>
      </c>
      <c r="G949" s="273"/>
      <c r="H949" s="249"/>
      <c r="I949" s="445">
        <f>+I935+I939+I943+I947</f>
        <v>3.65</v>
      </c>
    </row>
    <row r="950" spans="1:13" x14ac:dyDescent="0.2">
      <c r="A950" s="255"/>
      <c r="B950" s="277"/>
      <c r="C950" s="266"/>
      <c r="D950" s="266"/>
      <c r="E950" s="266"/>
      <c r="F950" s="278" t="str">
        <f>CONCATENATE($H$3," ",$I$3)</f>
        <v>BDI: 23,32</v>
      </c>
      <c r="G950" s="403"/>
      <c r="H950" s="253"/>
      <c r="I950" s="446">
        <f>+ROUND(I949*$I$4,2)</f>
        <v>0.85</v>
      </c>
    </row>
    <row r="951" spans="1:13" x14ac:dyDescent="0.2">
      <c r="A951" s="240"/>
      <c r="B951" s="279"/>
      <c r="C951" s="272"/>
      <c r="D951" s="272"/>
      <c r="E951" s="272"/>
      <c r="F951" s="280" t="s">
        <v>207</v>
      </c>
      <c r="G951" s="404"/>
      <c r="H951" s="241"/>
      <c r="I951" s="720">
        <f>+I949+I950</f>
        <v>4.5</v>
      </c>
    </row>
    <row r="952" spans="1:13" x14ac:dyDescent="0.2">
      <c r="A952" s="1116" t="str">
        <f>$A$1</f>
        <v>COMPOSIÇÃO DE CUSTOS UNITÁRIOS</v>
      </c>
      <c r="B952" s="1116"/>
      <c r="C952" s="1116"/>
      <c r="D952" s="1116"/>
      <c r="E952" s="1116"/>
      <c r="F952" s="1116"/>
      <c r="G952" s="1116"/>
      <c r="H952" s="1116"/>
      <c r="I952" s="1116"/>
    </row>
    <row r="953" spans="1:13" x14ac:dyDescent="0.2">
      <c r="A953" s="228" t="str">
        <f>$A$2</f>
        <v>Tabela Referencial de Preços - DER-ES</v>
      </c>
      <c r="B953" s="229"/>
      <c r="C953" s="199"/>
      <c r="D953" s="199"/>
      <c r="E953" s="199"/>
      <c r="F953" s="199"/>
      <c r="G953" s="199"/>
      <c r="H953" s="199"/>
      <c r="I953" s="414" t="str">
        <f>$I$2</f>
        <v>Data Base: novembro/2020</v>
      </c>
    </row>
    <row r="954" spans="1:13" x14ac:dyDescent="0.2">
      <c r="A954" s="1117" t="str">
        <f>+CONCATENATE("Serviço: ",J954," ",VLOOKUP(J954,'DER 11-20'!$A:$D,2,FALSE))</f>
        <v>Serviço: 40229 Compactação de aterros em rocha</v>
      </c>
      <c r="B954" s="1117"/>
      <c r="C954" s="1117"/>
      <c r="D954" s="1117"/>
      <c r="E954" s="1117"/>
      <c r="F954" s="1117"/>
      <c r="G954" s="1117"/>
      <c r="H954" s="1117"/>
      <c r="I954" s="1119" t="str">
        <f>CONCATENATE("Unidade: ", VLOOKUP(J954,'DER 11-20'!$A:$E,3,FALSE))</f>
        <v>Unidade: M3</v>
      </c>
      <c r="J954" s="400">
        <v>40229</v>
      </c>
      <c r="K954" s="400">
        <f>VLOOKUP("Preço Unitário Total",F955:I3661,4,FALSE)</f>
        <v>6.55</v>
      </c>
      <c r="L954" s="295">
        <f>VLOOKUP(J954,'DER 11-20'!A:E,5,FALSE)</f>
        <v>0</v>
      </c>
      <c r="M954" s="295" t="str">
        <f>VLOOKUP(J954,'DER 11-20'!$A:$D,2,FALSE)</f>
        <v>Compactação de aterros em rocha</v>
      </c>
    </row>
    <row r="955" spans="1:13" x14ac:dyDescent="0.2">
      <c r="A955" s="1118"/>
      <c r="B955" s="1118"/>
      <c r="C955" s="1118"/>
      <c r="D955" s="1118"/>
      <c r="E955" s="1118"/>
      <c r="F955" s="1118"/>
      <c r="G955" s="1118"/>
      <c r="H955" s="1118"/>
      <c r="I955" s="1120"/>
    </row>
    <row r="956" spans="1:13" ht="22.5" x14ac:dyDescent="0.2">
      <c r="A956" s="231" t="s">
        <v>177</v>
      </c>
      <c r="B956" s="232" t="s">
        <v>59</v>
      </c>
      <c r="C956" s="232" t="s">
        <v>178</v>
      </c>
      <c r="D956" s="232" t="s">
        <v>179</v>
      </c>
      <c r="E956" s="232" t="s">
        <v>180</v>
      </c>
      <c r="F956" s="232" t="s">
        <v>181</v>
      </c>
      <c r="G956" s="232" t="s">
        <v>182</v>
      </c>
      <c r="H956" s="232" t="s">
        <v>89</v>
      </c>
      <c r="I956" s="434" t="s">
        <v>183</v>
      </c>
    </row>
    <row r="957" spans="1:13" ht="22.5" x14ac:dyDescent="0.2">
      <c r="A957" s="233" t="str">
        <f>VLOOKUP(B957,equip.!$A:$G,2,FALSE)</f>
        <v>Rolo AP liso de aço CA 2505 STD Dynapac ou equivalente</v>
      </c>
      <c r="B957" s="234">
        <v>30038</v>
      </c>
      <c r="C957" s="235" t="str">
        <f>VLOOKUP(B957,equip.!$A$1:$G$240,3,FALSE)</f>
        <v>M</v>
      </c>
      <c r="D957" s="236">
        <v>0.4</v>
      </c>
      <c r="E957" s="203">
        <v>0.6</v>
      </c>
      <c r="F957" s="237">
        <f>VLOOKUP(B957,equip.!$A:$G,6,FALSE)</f>
        <v>201.17</v>
      </c>
      <c r="G957" s="237">
        <f>VLOOKUP(B957,equip.!$A:$G,7,FALSE)</f>
        <v>71.59</v>
      </c>
      <c r="H957" s="238">
        <v>1</v>
      </c>
      <c r="I957" s="418">
        <f>TRUNC(D957*F957*H957+E957*G957*H957,2)</f>
        <v>123.42</v>
      </c>
    </row>
    <row r="958" spans="1:13" ht="33.75" x14ac:dyDescent="0.2">
      <c r="A958" s="233" t="str">
        <f>VLOOKUP(B958,equip.!$A:$G,2,FALSE)</f>
        <v>Trator de esteiras ref. Caterpillar com lâmina  modelo D8T, sem ríper ou equivalente</v>
      </c>
      <c r="B958" s="234">
        <v>30018</v>
      </c>
      <c r="C958" s="235">
        <f>VLOOKUP(B958,equip.!$A$1:$G$240,3,FALSE)</f>
        <v>0</v>
      </c>
      <c r="D958" s="236">
        <v>0.8</v>
      </c>
      <c r="E958" s="203">
        <v>0.2</v>
      </c>
      <c r="F958" s="237">
        <f>VLOOKUP(B958,equip.!$A:$G,6,FALSE)</f>
        <v>651.67999999999995</v>
      </c>
      <c r="G958" s="237">
        <f>VLOOKUP(B958,equip.!$A:$G,7,FALSE)</f>
        <v>233.98</v>
      </c>
      <c r="H958" s="238">
        <v>1</v>
      </c>
      <c r="I958" s="418">
        <f>TRUNC(D958*F958*H958+E958*G958*H958,2)</f>
        <v>568.14</v>
      </c>
    </row>
    <row r="959" spans="1:13" x14ac:dyDescent="0.2">
      <c r="A959" s="199"/>
      <c r="B959" s="229"/>
      <c r="C959" s="229"/>
      <c r="D959" s="199"/>
      <c r="E959" s="199"/>
      <c r="F959" s="230" t="s">
        <v>184</v>
      </c>
      <c r="G959" s="240"/>
      <c r="H959" s="241"/>
      <c r="I959" s="438">
        <f>SUM(I957:I958)</f>
        <v>691.56</v>
      </c>
    </row>
    <row r="960" spans="1:13" x14ac:dyDescent="0.2">
      <c r="A960" s="199"/>
      <c r="B960" s="229"/>
      <c r="C960" s="229"/>
      <c r="D960" s="199"/>
      <c r="E960" s="199"/>
      <c r="F960" s="199"/>
      <c r="G960" s="199"/>
      <c r="H960" s="199"/>
      <c r="I960" s="439"/>
    </row>
    <row r="961" spans="1:17" x14ac:dyDescent="0.2">
      <c r="A961" s="242" t="s">
        <v>185</v>
      </c>
      <c r="B961" s="243" t="s">
        <v>59</v>
      </c>
      <c r="C961" s="232" t="s">
        <v>357</v>
      </c>
      <c r="D961" s="243" t="s">
        <v>187</v>
      </c>
      <c r="E961" s="1111" t="s">
        <v>89</v>
      </c>
      <c r="F961" s="1112"/>
      <c r="G961" s="1113"/>
      <c r="H961" s="1121" t="s">
        <v>183</v>
      </c>
      <c r="I961" s="1115"/>
    </row>
    <row r="962" spans="1:17" x14ac:dyDescent="0.2">
      <c r="A962" s="244" t="str">
        <f>VLOOKUP(B962,m.o.!$A:$H,2,FALSE)</f>
        <v>Encarregado de terraplenagem</v>
      </c>
      <c r="B962" s="234">
        <v>20067</v>
      </c>
      <c r="C962" s="239">
        <f>VLOOKUP(B962,m.o.!$A:$F,4,FALSE)</f>
        <v>2.35</v>
      </c>
      <c r="D962" s="239">
        <f>VLOOKUP(B962,m.o.!$A:$G,7,FALSE)</f>
        <v>29.43</v>
      </c>
      <c r="E962" s="255"/>
      <c r="F962" s="253"/>
      <c r="G962" s="293">
        <v>0.5</v>
      </c>
      <c r="H962" s="240"/>
      <c r="I962" s="427">
        <f>TRUNC(D962*G962,2)</f>
        <v>14.71</v>
      </c>
    </row>
    <row r="963" spans="1:17" x14ac:dyDescent="0.2">
      <c r="A963" s="244" t="str">
        <f>VLOOKUP(B963,m.o.!$A:$H,2,FALSE)</f>
        <v>Servente</v>
      </c>
      <c r="B963" s="234">
        <v>20002</v>
      </c>
      <c r="C963" s="239">
        <f>VLOOKUP(B963,m.o.!$A:$F,4,FALSE)</f>
        <v>1</v>
      </c>
      <c r="D963" s="239">
        <f>VLOOKUP(B963,m.o.!$A:$G,7,FALSE)</f>
        <v>12.52</v>
      </c>
      <c r="E963" s="255"/>
      <c r="F963" s="253"/>
      <c r="G963" s="293">
        <v>3</v>
      </c>
      <c r="H963" s="240"/>
      <c r="I963" s="427">
        <f>TRUNC(D963*G963,2)</f>
        <v>37.56</v>
      </c>
    </row>
    <row r="964" spans="1:17" x14ac:dyDescent="0.2">
      <c r="A964" s="199"/>
      <c r="B964" s="229"/>
      <c r="C964" s="229"/>
      <c r="D964" s="199"/>
      <c r="E964" s="199"/>
      <c r="F964" s="230" t="s">
        <v>188</v>
      </c>
      <c r="G964" s="240"/>
      <c r="H964" s="241"/>
      <c r="I964" s="438">
        <f>SUM(I962:I963)</f>
        <v>52.27</v>
      </c>
    </row>
    <row r="965" spans="1:17" x14ac:dyDescent="0.2">
      <c r="A965" s="199"/>
      <c r="B965" s="229"/>
      <c r="C965" s="229"/>
      <c r="D965" s="199"/>
      <c r="E965" s="199"/>
      <c r="F965" s="199"/>
      <c r="G965" s="199"/>
      <c r="H965" s="199"/>
      <c r="I965" s="439"/>
    </row>
    <row r="966" spans="1:17" x14ac:dyDescent="0.2">
      <c r="A966" s="245" t="s">
        <v>189</v>
      </c>
      <c r="B966" s="243" t="s">
        <v>59</v>
      </c>
      <c r="C966" s="803" t="s">
        <v>17</v>
      </c>
      <c r="D966" s="243" t="s">
        <v>190</v>
      </c>
      <c r="E966" s="243" t="s">
        <v>191</v>
      </c>
      <c r="F966" s="243" t="s">
        <v>192</v>
      </c>
      <c r="G966" s="1121" t="s">
        <v>94</v>
      </c>
      <c r="H966" s="1114"/>
      <c r="I966" s="1115"/>
    </row>
    <row r="967" spans="1:17" x14ac:dyDescent="0.2">
      <c r="A967" s="199"/>
      <c r="B967" s="229"/>
      <c r="C967" s="199"/>
      <c r="D967" s="199"/>
      <c r="E967" s="199"/>
      <c r="F967" s="230" t="s">
        <v>327</v>
      </c>
      <c r="G967" s="240"/>
      <c r="H967" s="241"/>
      <c r="I967" s="438">
        <v>0</v>
      </c>
    </row>
    <row r="968" spans="1:17" x14ac:dyDescent="0.2">
      <c r="A968" s="199"/>
      <c r="B968" s="229"/>
      <c r="C968" s="199"/>
      <c r="D968" s="199"/>
      <c r="E968" s="199"/>
      <c r="F968" s="199"/>
      <c r="G968" s="199"/>
      <c r="H968" s="199"/>
      <c r="I968" s="439"/>
    </row>
    <row r="969" spans="1:17" x14ac:dyDescent="0.2">
      <c r="A969" s="247"/>
      <c r="B969" s="248"/>
      <c r="C969" s="249"/>
      <c r="D969" s="249"/>
      <c r="E969" s="249"/>
      <c r="F969" s="250" t="s">
        <v>193</v>
      </c>
      <c r="G969" s="401"/>
      <c r="H969" s="249"/>
      <c r="I969" s="445">
        <f>+I959+I964+I967</f>
        <v>743.83</v>
      </c>
    </row>
    <row r="970" spans="1:17" x14ac:dyDescent="0.2">
      <c r="A970" s="251"/>
      <c r="B970" s="252"/>
      <c r="C970" s="253"/>
      <c r="D970" s="253"/>
      <c r="E970" s="253"/>
      <c r="F970" s="254" t="s">
        <v>194</v>
      </c>
      <c r="G970" s="255"/>
      <c r="H970" s="253"/>
      <c r="I970" s="446">
        <v>140</v>
      </c>
    </row>
    <row r="971" spans="1:17" x14ac:dyDescent="0.2">
      <c r="A971" s="233"/>
      <c r="B971" s="256"/>
      <c r="C971" s="241"/>
      <c r="D971" s="241"/>
      <c r="E971" s="241"/>
      <c r="F971" s="257" t="s">
        <v>216</v>
      </c>
      <c r="G971" s="240"/>
      <c r="H971" s="241"/>
      <c r="I971" s="447">
        <f>TRUNC(I969/I970,2)</f>
        <v>5.31</v>
      </c>
    </row>
    <row r="972" spans="1:17" x14ac:dyDescent="0.2">
      <c r="A972" s="802"/>
      <c r="B972" s="229"/>
      <c r="C972" s="199"/>
      <c r="D972" s="199"/>
      <c r="E972" s="199"/>
      <c r="F972" s="258"/>
      <c r="G972" s="199"/>
      <c r="H972" s="199"/>
      <c r="I972" s="450"/>
    </row>
    <row r="973" spans="1:17" x14ac:dyDescent="0.2">
      <c r="A973" s="242" t="s">
        <v>195</v>
      </c>
      <c r="B973" s="243" t="s">
        <v>59</v>
      </c>
      <c r="C973" s="243" t="s">
        <v>196</v>
      </c>
      <c r="D973" s="243" t="s">
        <v>217</v>
      </c>
      <c r="E973" s="1121" t="s">
        <v>89</v>
      </c>
      <c r="F973" s="1114"/>
      <c r="G973" s="1115"/>
      <c r="H973" s="1121" t="s">
        <v>183</v>
      </c>
      <c r="I973" s="1115"/>
    </row>
    <row r="974" spans="1:17" x14ac:dyDescent="0.2">
      <c r="A974" s="199"/>
      <c r="B974" s="229"/>
      <c r="C974" s="199"/>
      <c r="D974" s="199"/>
      <c r="E974" s="199"/>
      <c r="F974" s="230" t="s">
        <v>197</v>
      </c>
      <c r="G974" s="240"/>
      <c r="H974" s="241"/>
      <c r="I974" s="438">
        <v>0</v>
      </c>
    </row>
    <row r="975" spans="1:17" x14ac:dyDescent="0.2">
      <c r="A975" s="199"/>
      <c r="B975" s="229"/>
      <c r="C975" s="199"/>
      <c r="D975" s="199"/>
      <c r="E975" s="199"/>
      <c r="F975" s="199"/>
      <c r="G975" s="262"/>
      <c r="H975" s="199"/>
      <c r="I975" s="439"/>
    </row>
    <row r="976" spans="1:17" x14ac:dyDescent="0.2">
      <c r="A976" s="431" t="s">
        <v>198</v>
      </c>
      <c r="B976" s="432" t="s">
        <v>59</v>
      </c>
      <c r="C976" s="432" t="s">
        <v>196</v>
      </c>
      <c r="D976" s="804" t="s">
        <v>217</v>
      </c>
      <c r="E976" s="1125" t="s">
        <v>89</v>
      </c>
      <c r="F976" s="1126"/>
      <c r="G976" s="1127"/>
      <c r="H976" s="1128" t="s">
        <v>183</v>
      </c>
      <c r="I976" s="1129"/>
      <c r="J976" s="415"/>
      <c r="K976" s="415"/>
      <c r="L976" s="198"/>
      <c r="M976" s="198"/>
      <c r="N976" s="198"/>
      <c r="O976" s="198"/>
      <c r="P976" s="198"/>
      <c r="Q976" s="198"/>
    </row>
    <row r="977" spans="1:13" x14ac:dyDescent="0.2">
      <c r="A977" s="200"/>
      <c r="B977" s="264"/>
      <c r="C977" s="200"/>
      <c r="D977" s="200"/>
      <c r="E977" s="200"/>
      <c r="F977" s="265" t="s">
        <v>199</v>
      </c>
      <c r="G977" s="255"/>
      <c r="H977" s="266"/>
      <c r="I977" s="441">
        <v>0</v>
      </c>
    </row>
    <row r="978" spans="1:13" x14ac:dyDescent="0.2">
      <c r="A978" s="200"/>
      <c r="B978" s="264"/>
      <c r="C978" s="200"/>
      <c r="D978" s="200"/>
      <c r="E978" s="200"/>
      <c r="F978" s="200"/>
      <c r="G978" s="200"/>
      <c r="H978" s="200"/>
      <c r="I978" s="440"/>
    </row>
    <row r="979" spans="1:13" ht="24.75" customHeight="1" x14ac:dyDescent="0.2">
      <c r="A979" s="267" t="s">
        <v>200</v>
      </c>
      <c r="B979" s="268" t="s">
        <v>59</v>
      </c>
      <c r="C979" s="268" t="s">
        <v>196</v>
      </c>
      <c r="D979" s="268" t="s">
        <v>201</v>
      </c>
      <c r="E979" s="268" t="s">
        <v>202</v>
      </c>
      <c r="F979" s="268" t="s">
        <v>203</v>
      </c>
      <c r="G979" s="268" t="s">
        <v>94</v>
      </c>
      <c r="H979" s="268" t="s">
        <v>89</v>
      </c>
      <c r="I979" s="442" t="s">
        <v>204</v>
      </c>
    </row>
    <row r="980" spans="1:13" x14ac:dyDescent="0.2">
      <c r="A980" s="200"/>
      <c r="B980" s="264"/>
      <c r="C980" s="200"/>
      <c r="D980" s="200"/>
      <c r="E980" s="200"/>
      <c r="F980" s="265" t="s">
        <v>205</v>
      </c>
      <c r="G980" s="240"/>
      <c r="H980" s="272"/>
      <c r="I980" s="443">
        <v>0</v>
      </c>
    </row>
    <row r="981" spans="1:13" x14ac:dyDescent="0.2">
      <c r="A981" s="200"/>
      <c r="B981" s="264"/>
      <c r="C981" s="200"/>
      <c r="D981" s="200"/>
      <c r="E981" s="200"/>
      <c r="F981" s="200"/>
      <c r="G981" s="200"/>
      <c r="H981" s="200"/>
      <c r="I981" s="444"/>
    </row>
    <row r="982" spans="1:13" x14ac:dyDescent="0.2">
      <c r="A982" s="273"/>
      <c r="B982" s="274"/>
      <c r="C982" s="275"/>
      <c r="D982" s="275"/>
      <c r="E982" s="275"/>
      <c r="F982" s="276" t="s">
        <v>206</v>
      </c>
      <c r="G982" s="273"/>
      <c r="H982" s="249"/>
      <c r="I982" s="445">
        <f>+I971+I974+I977+I980</f>
        <v>5.31</v>
      </c>
    </row>
    <row r="983" spans="1:13" x14ac:dyDescent="0.2">
      <c r="A983" s="255"/>
      <c r="B983" s="277"/>
      <c r="C983" s="266"/>
      <c r="D983" s="266"/>
      <c r="E983" s="266"/>
      <c r="F983" s="278" t="str">
        <f>CONCATENATE($H$3," ",$I$3)</f>
        <v>BDI: 23,32</v>
      </c>
      <c r="G983" s="403"/>
      <c r="H983" s="253"/>
      <c r="I983" s="446">
        <f>+ROUND(I982*$I$4,2)</f>
        <v>1.24</v>
      </c>
    </row>
    <row r="984" spans="1:13" x14ac:dyDescent="0.2">
      <c r="A984" s="240"/>
      <c r="B984" s="279"/>
      <c r="C984" s="272"/>
      <c r="D984" s="272"/>
      <c r="E984" s="272"/>
      <c r="F984" s="280" t="s">
        <v>207</v>
      </c>
      <c r="G984" s="404"/>
      <c r="H984" s="241"/>
      <c r="I984" s="720">
        <f>+I982+I983</f>
        <v>6.55</v>
      </c>
    </row>
    <row r="985" spans="1:13" x14ac:dyDescent="0.2">
      <c r="A985" s="1116" t="str">
        <f>$A$1</f>
        <v>COMPOSIÇÃO DE CUSTOS UNITÁRIOS</v>
      </c>
      <c r="B985" s="1116"/>
      <c r="C985" s="1116"/>
      <c r="D985" s="1116"/>
      <c r="E985" s="1116"/>
      <c r="F985" s="1116"/>
      <c r="G985" s="1116"/>
      <c r="H985" s="1116"/>
      <c r="I985" s="1116"/>
    </row>
    <row r="986" spans="1:13" x14ac:dyDescent="0.2">
      <c r="A986" s="228" t="str">
        <f>$A$2</f>
        <v>Tabela Referencial de Preços - DER-ES</v>
      </c>
      <c r="B986" s="229"/>
      <c r="C986" s="199"/>
      <c r="D986" s="199"/>
      <c r="E986" s="199"/>
      <c r="F986" s="199"/>
      <c r="G986" s="199"/>
      <c r="H986" s="199"/>
      <c r="I986" s="414" t="str">
        <f>$I$2</f>
        <v>Data Base: novembro/2020</v>
      </c>
      <c r="J986" s="400">
        <v>40754</v>
      </c>
      <c r="K986" s="400">
        <f>VLOOKUP("Preço Unitário Total",F988:I3777,4,FALSE)</f>
        <v>1.27</v>
      </c>
      <c r="L986" s="295">
        <f>VLOOKUP(J986,'DER 11-20'!A:E,5,FALSE)</f>
        <v>0</v>
      </c>
      <c r="M986" s="295" t="str">
        <f>VLOOKUP(J986,'DER 11-20'!$A:$D,2,FALSE)</f>
        <v>Regularização e compactação do sub-leito (100% P.I.) H = 0,20 m</v>
      </c>
    </row>
    <row r="987" spans="1:13" x14ac:dyDescent="0.2">
      <c r="A987" s="1119" t="str">
        <f>+CONCATENATE("Serviço: ",J986," ",VLOOKUP(J986,'DER 11-20'!$A:$D,2,FALSE))</f>
        <v>Serviço: 40754 Regularização e compactação do sub-leito (100% P.I.) H = 0,20 m</v>
      </c>
      <c r="B987" s="1119"/>
      <c r="C987" s="1119"/>
      <c r="D987" s="1119"/>
      <c r="E987" s="1119"/>
      <c r="F987" s="1119"/>
      <c r="G987" s="1119"/>
      <c r="H987" s="1119"/>
      <c r="I987" s="1119" t="str">
        <f>CONCATENATE("Unidade: ", VLOOKUP(J986,'DER 11-20'!$A:$E,3,FALSE))</f>
        <v>Unidade: M2</v>
      </c>
    </row>
    <row r="988" spans="1:13" x14ac:dyDescent="0.2">
      <c r="A988" s="1120"/>
      <c r="B988" s="1120"/>
      <c r="C988" s="1120"/>
      <c r="D988" s="1120"/>
      <c r="E988" s="1120"/>
      <c r="F988" s="1120"/>
      <c r="G988" s="1120"/>
      <c r="H988" s="1120"/>
      <c r="I988" s="1120"/>
    </row>
    <row r="989" spans="1:13" ht="22.5" x14ac:dyDescent="0.2">
      <c r="A989" s="231" t="s">
        <v>177</v>
      </c>
      <c r="B989" s="232" t="s">
        <v>59</v>
      </c>
      <c r="C989" s="232" t="s">
        <v>178</v>
      </c>
      <c r="D989" s="232" t="s">
        <v>179</v>
      </c>
      <c r="E989" s="232" t="s">
        <v>180</v>
      </c>
      <c r="F989" s="232" t="s">
        <v>181</v>
      </c>
      <c r="G989" s="232" t="s">
        <v>182</v>
      </c>
      <c r="H989" s="232" t="s">
        <v>89</v>
      </c>
      <c r="I989" s="434" t="s">
        <v>183</v>
      </c>
    </row>
    <row r="990" spans="1:13" ht="22.5" x14ac:dyDescent="0.2">
      <c r="A990" s="233" t="str">
        <f>VLOOKUP(B990,equip.!$A:$G,2,FALSE)</f>
        <v>Caminhão tanque L 1319/48 PBT=12,9t (6.000L)</v>
      </c>
      <c r="B990" s="234">
        <v>30007</v>
      </c>
      <c r="C990" s="235" t="str">
        <f>VLOOKUP(B990,equip.!$A$1:$G$239,3,FALSE)</f>
        <v>M</v>
      </c>
      <c r="D990" s="236">
        <v>0.98</v>
      </c>
      <c r="E990" s="203">
        <f>1-D990</f>
        <v>0.02</v>
      </c>
      <c r="F990" s="237">
        <f>VLOOKUP(B990,equip.!$A:$G,6,FALSE)</f>
        <v>164.94</v>
      </c>
      <c r="G990" s="237">
        <f>VLOOKUP(B990,equip.!$A:$G,7,FALSE)</f>
        <v>52.28</v>
      </c>
      <c r="H990" s="238">
        <v>1</v>
      </c>
      <c r="I990" s="418">
        <f t="shared" ref="I990:I996" si="3">TRUNC(D990*F990*H990+E990*G990*H990,2)</f>
        <v>162.68</v>
      </c>
    </row>
    <row r="991" spans="1:13" x14ac:dyDescent="0.2">
      <c r="A991" s="233" t="str">
        <f>VLOOKUP(B991,equip.!$A:$G,2,FALSE)</f>
        <v>Conjunto moto bomba diam. 4"</v>
      </c>
      <c r="B991" s="234">
        <v>30080</v>
      </c>
      <c r="C991" s="235">
        <f>VLOOKUP(B991,equip.!$A$1:$G$239,3,FALSE)</f>
        <v>0</v>
      </c>
      <c r="D991" s="236">
        <v>0.5</v>
      </c>
      <c r="E991" s="203">
        <f t="shared" ref="E991:E996" si="4">1-D991</f>
        <v>0.5</v>
      </c>
      <c r="F991" s="237">
        <f>VLOOKUP(B991,equip.!$A:$G,6,FALSE)</f>
        <v>18.73</v>
      </c>
      <c r="G991" s="237">
        <f>VLOOKUP(B991,equip.!$A:$G,7,FALSE)</f>
        <v>13.12</v>
      </c>
      <c r="H991" s="238">
        <v>1</v>
      </c>
      <c r="I991" s="418">
        <f t="shared" si="3"/>
        <v>15.92</v>
      </c>
    </row>
    <row r="992" spans="1:13" ht="22.5" x14ac:dyDescent="0.2">
      <c r="A992" s="233" t="str">
        <f>VLOOKUP(B992,equip.!$A:$G,2,FALSE)</f>
        <v>Grade de disco GA-24x24 (TATU) ou equivalente</v>
      </c>
      <c r="B992" s="234">
        <v>30054</v>
      </c>
      <c r="C992" s="235">
        <f>VLOOKUP(B992,equip.!$A$1:$G$239,3,FALSE)</f>
        <v>0</v>
      </c>
      <c r="D992" s="236">
        <v>0.52</v>
      </c>
      <c r="E992" s="203">
        <f t="shared" si="4"/>
        <v>0.48</v>
      </c>
      <c r="F992" s="237">
        <f>VLOOKUP(B992,equip.!$A:$G,6,FALSE)</f>
        <v>17.22</v>
      </c>
      <c r="G992" s="237">
        <f>VLOOKUP(B992,equip.!$A:$G,7,FALSE)</f>
        <v>15.86</v>
      </c>
      <c r="H992" s="238">
        <v>1</v>
      </c>
      <c r="I992" s="418">
        <f t="shared" si="3"/>
        <v>16.559999999999999</v>
      </c>
    </row>
    <row r="993" spans="1:17" ht="34.9" customHeight="1" x14ac:dyDescent="0.2">
      <c r="A993" s="233" t="str">
        <f>VLOOKUP(B993,equip.!$A:$G,2,FALSE)</f>
        <v>Motoniveladora Caterpillar modelo 120K ( cab + ar + ríper) ou equivalente</v>
      </c>
      <c r="B993" s="234">
        <v>30022</v>
      </c>
      <c r="C993" s="235" t="str">
        <f>VLOOKUP(B993,equip.!$A$1:$G$239,3,FALSE)</f>
        <v>M</v>
      </c>
      <c r="D993" s="236">
        <v>0.55000000000000004</v>
      </c>
      <c r="E993" s="203">
        <f t="shared" si="4"/>
        <v>0.45</v>
      </c>
      <c r="F993" s="237">
        <f>VLOOKUP(B993,equip.!$A:$G,6,FALSE)</f>
        <v>245.66</v>
      </c>
      <c r="G993" s="237">
        <f>VLOOKUP(B993,equip.!$A:$G,7,FALSE)</f>
        <v>87.2</v>
      </c>
      <c r="H993" s="238">
        <v>1</v>
      </c>
      <c r="I993" s="418">
        <f t="shared" si="3"/>
        <v>174.35</v>
      </c>
    </row>
    <row r="994" spans="1:17" ht="22.5" x14ac:dyDescent="0.2">
      <c r="A994" s="233" t="str">
        <f>VLOOKUP(B994,equip.!$A:$G,2,FALSE)</f>
        <v>Rolo AP vib. patas 100 mm CA-25P (DYNAPAC) ou equivalente</v>
      </c>
      <c r="B994" s="234">
        <v>30040</v>
      </c>
      <c r="C994" s="235" t="str">
        <f>VLOOKUP(B994,equip.!$A$1:$G$239,3,FALSE)</f>
        <v>M</v>
      </c>
      <c r="D994" s="236">
        <v>1</v>
      </c>
      <c r="E994" s="203">
        <f t="shared" si="4"/>
        <v>0</v>
      </c>
      <c r="F994" s="237">
        <f>VLOOKUP(B994,equip.!$A:$G,6,FALSE)</f>
        <v>190.1</v>
      </c>
      <c r="G994" s="237">
        <f>VLOOKUP(B994,equip.!$A:$G,7,FALSE)</f>
        <v>63.69</v>
      </c>
      <c r="H994" s="238">
        <v>1</v>
      </c>
      <c r="I994" s="418">
        <f t="shared" si="3"/>
        <v>190.1</v>
      </c>
    </row>
    <row r="995" spans="1:17" ht="22.5" x14ac:dyDescent="0.2">
      <c r="A995" s="233" t="str">
        <f>VLOOKUP(B995,equip.!$A:$G,2,FALSE)</f>
        <v>Rolo compactador de pneus CP 224, Dynapac ou equivalente</v>
      </c>
      <c r="B995" s="234">
        <v>30033</v>
      </c>
      <c r="C995" s="235">
        <f>VLOOKUP(B995,equip.!$A$1:$G$239,3,FALSE)</f>
        <v>0</v>
      </c>
      <c r="D995" s="236">
        <v>0.78</v>
      </c>
      <c r="E995" s="203">
        <f t="shared" si="4"/>
        <v>0.22</v>
      </c>
      <c r="F995" s="237">
        <f>VLOOKUP(B995,equip.!$A:$G,6,FALSE)</f>
        <v>195.5</v>
      </c>
      <c r="G995" s="237">
        <f>VLOOKUP(B995,equip.!$A:$G,7,FALSE)</f>
        <v>67.52</v>
      </c>
      <c r="H995" s="238">
        <v>1</v>
      </c>
      <c r="I995" s="418">
        <f t="shared" si="3"/>
        <v>167.34</v>
      </c>
    </row>
    <row r="996" spans="1:17" ht="33.75" x14ac:dyDescent="0.2">
      <c r="A996" s="233" t="str">
        <f>VLOOKUP(B996,equip.!$A:$G,2,FALSE)</f>
        <v>Trator agrícola MF 297/4 -4 X 4 (MASSEY FERGUSSON) ou equivalente</v>
      </c>
      <c r="B996" s="234">
        <v>30030</v>
      </c>
      <c r="C996" s="235" t="str">
        <f>VLOOKUP(B996,equip.!$A$1:$G$239,3,FALSE)</f>
        <v>M</v>
      </c>
      <c r="D996" s="236">
        <v>0.52</v>
      </c>
      <c r="E996" s="203">
        <f t="shared" si="4"/>
        <v>0.48</v>
      </c>
      <c r="F996" s="237">
        <f>VLOOKUP(B996,equip.!$A:$G,6,FALSE)</f>
        <v>116.59</v>
      </c>
      <c r="G996" s="237">
        <f>VLOOKUP(B996,equip.!$A:$G,7,FALSE)</f>
        <v>33.1</v>
      </c>
      <c r="H996" s="238">
        <v>1</v>
      </c>
      <c r="I996" s="418">
        <f t="shared" si="3"/>
        <v>76.510000000000005</v>
      </c>
    </row>
    <row r="997" spans="1:17" x14ac:dyDescent="0.2">
      <c r="A997" s="199"/>
      <c r="B997" s="229"/>
      <c r="C997" s="229"/>
      <c r="D997" s="199"/>
      <c r="E997" s="199"/>
      <c r="F997" s="230" t="s">
        <v>184</v>
      </c>
      <c r="G997" s="240"/>
      <c r="H997" s="241"/>
      <c r="I997" s="438">
        <f>SUM(I990:I996)</f>
        <v>803.46</v>
      </c>
    </row>
    <row r="998" spans="1:17" x14ac:dyDescent="0.2">
      <c r="A998" s="199"/>
      <c r="B998" s="229"/>
      <c r="C998" s="229"/>
      <c r="D998" s="199"/>
      <c r="E998" s="199"/>
      <c r="F998" s="199"/>
      <c r="G998" s="199"/>
      <c r="H998" s="199"/>
      <c r="I998" s="439"/>
    </row>
    <row r="999" spans="1:17" x14ac:dyDescent="0.2">
      <c r="A999" s="242" t="s">
        <v>185</v>
      </c>
      <c r="B999" s="243" t="s">
        <v>59</v>
      </c>
      <c r="C999" s="232" t="s">
        <v>357</v>
      </c>
      <c r="D999" s="243" t="s">
        <v>187</v>
      </c>
      <c r="E999" s="1111" t="s">
        <v>89</v>
      </c>
      <c r="F999" s="1112"/>
      <c r="G999" s="1113"/>
      <c r="H999" s="1121" t="s">
        <v>183</v>
      </c>
      <c r="I999" s="1115"/>
    </row>
    <row r="1000" spans="1:17" x14ac:dyDescent="0.2">
      <c r="A1000" s="244" t="str">
        <f>VLOOKUP(B1000,m.o.!$A:$H,2,FALSE)</f>
        <v>Encarregado de pista</v>
      </c>
      <c r="B1000" s="234">
        <v>20063</v>
      </c>
      <c r="C1000" s="239">
        <f>VLOOKUP(B1000,m.o.!$A:$F,4,FALSE)</f>
        <v>2.2599999999999998</v>
      </c>
      <c r="D1000" s="239">
        <f>VLOOKUP(B1000,m.o.!$A:$G,7,FALSE)</f>
        <v>28.31</v>
      </c>
      <c r="E1000" s="255"/>
      <c r="F1000" s="253"/>
      <c r="G1000" s="293">
        <v>1</v>
      </c>
      <c r="H1000" s="240"/>
      <c r="I1000" s="427">
        <f>TRUNC(D1000*G1000,2)</f>
        <v>28.31</v>
      </c>
      <c r="J1000" s="295"/>
      <c r="K1000" s="295"/>
    </row>
    <row r="1001" spans="1:17" x14ac:dyDescent="0.2">
      <c r="A1001" s="259" t="str">
        <f>VLOOKUP(B1001,m.o.!$A:$H,2,FALSE)</f>
        <v>Servente</v>
      </c>
      <c r="B1001" s="234">
        <v>20002</v>
      </c>
      <c r="C1001" s="261">
        <f>VLOOKUP(B1001,m.o.!$A:$F,4,FALSE)</f>
        <v>1</v>
      </c>
      <c r="D1001" s="261">
        <f>VLOOKUP(B1001,m.o.!$A:$G,7,FALSE)</f>
        <v>12.52</v>
      </c>
      <c r="E1001" s="255"/>
      <c r="F1001" s="253"/>
      <c r="G1001" s="405">
        <v>3</v>
      </c>
      <c r="H1001" s="255"/>
      <c r="I1001" s="423">
        <f>TRUNC(D1001*G1001,2)</f>
        <v>37.56</v>
      </c>
      <c r="J1001" s="295"/>
      <c r="K1001" s="295"/>
    </row>
    <row r="1002" spans="1:17" x14ac:dyDescent="0.2">
      <c r="A1002" s="199"/>
      <c r="B1002" s="229"/>
      <c r="C1002" s="229"/>
      <c r="D1002" s="199"/>
      <c r="E1002" s="199"/>
      <c r="F1002" s="230" t="s">
        <v>188</v>
      </c>
      <c r="G1002" s="240"/>
      <c r="H1002" s="241"/>
      <c r="I1002" s="438">
        <f>SUM(I1000:I1001)</f>
        <v>65.87</v>
      </c>
      <c r="J1002" s="295"/>
      <c r="K1002" s="295"/>
    </row>
    <row r="1003" spans="1:17" x14ac:dyDescent="0.2">
      <c r="A1003" s="199"/>
      <c r="B1003" s="229"/>
      <c r="C1003" s="229"/>
      <c r="D1003" s="199"/>
      <c r="E1003" s="199"/>
      <c r="F1003" s="199"/>
      <c r="G1003" s="199"/>
      <c r="H1003" s="199"/>
      <c r="I1003" s="439"/>
      <c r="J1003" s="295"/>
      <c r="K1003" s="295"/>
    </row>
    <row r="1004" spans="1:17" x14ac:dyDescent="0.2">
      <c r="A1004" s="245" t="s">
        <v>189</v>
      </c>
      <c r="B1004" s="243" t="s">
        <v>59</v>
      </c>
      <c r="C1004" s="635" t="s">
        <v>17</v>
      </c>
      <c r="D1004" s="243" t="s">
        <v>190</v>
      </c>
      <c r="E1004" s="243" t="s">
        <v>191</v>
      </c>
      <c r="F1004" s="243" t="s">
        <v>192</v>
      </c>
      <c r="G1004" s="1121" t="s">
        <v>94</v>
      </c>
      <c r="H1004" s="1114"/>
      <c r="I1004" s="1115"/>
      <c r="J1004" s="295"/>
      <c r="K1004" s="295"/>
    </row>
    <row r="1005" spans="1:17" x14ac:dyDescent="0.2">
      <c r="A1005" s="244"/>
      <c r="B1005" s="234"/>
      <c r="C1005" s="239"/>
      <c r="D1005" s="235"/>
      <c r="E1005" s="246"/>
      <c r="F1005" s="246"/>
      <c r="G1005" s="240"/>
      <c r="H1005" s="241"/>
      <c r="I1005" s="427">
        <f>TRUNC(C1005/100*I1002,2)</f>
        <v>0</v>
      </c>
      <c r="J1005" s="295"/>
      <c r="K1005" s="295"/>
    </row>
    <row r="1006" spans="1:17" x14ac:dyDescent="0.2">
      <c r="A1006" s="199"/>
      <c r="B1006" s="229"/>
      <c r="C1006" s="199"/>
      <c r="D1006" s="199"/>
      <c r="E1006" s="199"/>
      <c r="F1006" s="230" t="s">
        <v>327</v>
      </c>
      <c r="G1006" s="240"/>
      <c r="H1006" s="241"/>
      <c r="I1006" s="438">
        <f>SUM(I1005)</f>
        <v>0</v>
      </c>
      <c r="J1006" s="295"/>
      <c r="K1006" s="295"/>
    </row>
    <row r="1007" spans="1:17" x14ac:dyDescent="0.2">
      <c r="A1007" s="199"/>
      <c r="B1007" s="229"/>
      <c r="C1007" s="199"/>
      <c r="D1007" s="199"/>
      <c r="E1007" s="199"/>
      <c r="F1007" s="199"/>
      <c r="G1007" s="199"/>
      <c r="H1007" s="199"/>
      <c r="I1007" s="439"/>
      <c r="J1007" s="295"/>
      <c r="K1007" s="295"/>
      <c r="P1007" s="198"/>
      <c r="Q1007" s="198"/>
    </row>
    <row r="1008" spans="1:17" x14ac:dyDescent="0.2">
      <c r="A1008" s="247"/>
      <c r="B1008" s="248"/>
      <c r="C1008" s="249"/>
      <c r="D1008" s="249"/>
      <c r="E1008" s="249"/>
      <c r="F1008" s="250" t="s">
        <v>193</v>
      </c>
      <c r="G1008" s="401"/>
      <c r="H1008" s="249"/>
      <c r="I1008" s="445">
        <f>+I997+I1002+I1006</f>
        <v>869.33</v>
      </c>
      <c r="J1008" s="295"/>
      <c r="K1008" s="295"/>
      <c r="P1008" s="198"/>
      <c r="Q1008" s="198"/>
    </row>
    <row r="1009" spans="1:17" x14ac:dyDescent="0.2">
      <c r="A1009" s="251"/>
      <c r="B1009" s="252"/>
      <c r="C1009" s="253"/>
      <c r="D1009" s="253"/>
      <c r="E1009" s="253"/>
      <c r="F1009" s="254" t="s">
        <v>194</v>
      </c>
      <c r="G1009" s="255"/>
      <c r="H1009" s="253"/>
      <c r="I1009" s="446">
        <v>841</v>
      </c>
      <c r="J1009" s="295"/>
      <c r="K1009" s="295"/>
      <c r="P1009" s="198"/>
      <c r="Q1009" s="198"/>
    </row>
    <row r="1010" spans="1:17" x14ac:dyDescent="0.2">
      <c r="A1010" s="233"/>
      <c r="B1010" s="256"/>
      <c r="C1010" s="241"/>
      <c r="D1010" s="241"/>
      <c r="E1010" s="241"/>
      <c r="F1010" s="257" t="s">
        <v>216</v>
      </c>
      <c r="G1010" s="240"/>
      <c r="H1010" s="241"/>
      <c r="I1010" s="447">
        <f>TRUNC(I1008/I1009,2)</f>
        <v>1.03</v>
      </c>
      <c r="J1010" s="295"/>
      <c r="K1010" s="295"/>
      <c r="P1010" s="198"/>
      <c r="Q1010" s="198"/>
    </row>
    <row r="1011" spans="1:17" x14ac:dyDescent="0.2">
      <c r="A1011" s="636"/>
      <c r="B1011" s="229"/>
      <c r="C1011" s="199"/>
      <c r="D1011" s="199"/>
      <c r="E1011" s="199"/>
      <c r="F1011" s="258"/>
      <c r="G1011" s="199"/>
      <c r="H1011" s="199"/>
      <c r="I1011" s="450"/>
      <c r="J1011" s="295"/>
      <c r="K1011" s="295"/>
      <c r="P1011" s="198"/>
      <c r="Q1011" s="198"/>
    </row>
    <row r="1012" spans="1:17" x14ac:dyDescent="0.2">
      <c r="A1012" s="242" t="s">
        <v>195</v>
      </c>
      <c r="B1012" s="243" t="s">
        <v>59</v>
      </c>
      <c r="C1012" s="243" t="s">
        <v>196</v>
      </c>
      <c r="D1012" s="243" t="s">
        <v>217</v>
      </c>
      <c r="E1012" s="1121" t="s">
        <v>89</v>
      </c>
      <c r="F1012" s="1114"/>
      <c r="G1012" s="1115"/>
      <c r="H1012" s="1121" t="s">
        <v>183</v>
      </c>
      <c r="I1012" s="1115"/>
      <c r="J1012" s="295"/>
      <c r="K1012" s="295"/>
    </row>
    <row r="1013" spans="1:17" x14ac:dyDescent="0.2">
      <c r="A1013" s="259"/>
      <c r="B1013" s="234"/>
      <c r="C1013" s="260"/>
      <c r="D1013" s="261"/>
      <c r="E1013" s="255"/>
      <c r="F1013" s="253"/>
      <c r="G1013" s="293"/>
      <c r="H1013" s="255"/>
      <c r="I1013" s="423">
        <f>TRUNC(D1013*G1013,2)</f>
        <v>0</v>
      </c>
      <c r="J1013" s="295"/>
      <c r="K1013" s="295"/>
    </row>
    <row r="1014" spans="1:17" x14ac:dyDescent="0.2">
      <c r="A1014" s="199"/>
      <c r="B1014" s="229"/>
      <c r="C1014" s="199"/>
      <c r="D1014" s="199"/>
      <c r="E1014" s="199"/>
      <c r="F1014" s="230" t="s">
        <v>197</v>
      </c>
      <c r="G1014" s="240"/>
      <c r="H1014" s="241"/>
      <c r="I1014" s="438">
        <f>SUM(I1013:I1013)</f>
        <v>0</v>
      </c>
      <c r="J1014" s="295"/>
      <c r="K1014" s="295"/>
    </row>
    <row r="1015" spans="1:17" x14ac:dyDescent="0.2">
      <c r="A1015" s="199"/>
      <c r="B1015" s="229"/>
      <c r="C1015" s="199"/>
      <c r="D1015" s="199"/>
      <c r="E1015" s="199"/>
      <c r="F1015" s="199"/>
      <c r="G1015" s="262"/>
      <c r="H1015" s="199"/>
      <c r="I1015" s="439"/>
    </row>
    <row r="1016" spans="1:17" x14ac:dyDescent="0.2">
      <c r="A1016" s="263" t="s">
        <v>198</v>
      </c>
      <c r="B1016" s="243" t="s">
        <v>59</v>
      </c>
      <c r="C1016" s="243" t="s">
        <v>196</v>
      </c>
      <c r="D1016" s="635" t="s">
        <v>217</v>
      </c>
      <c r="E1016" s="1111" t="s">
        <v>89</v>
      </c>
      <c r="F1016" s="1112"/>
      <c r="G1016" s="1113"/>
      <c r="H1016" s="1114" t="s">
        <v>183</v>
      </c>
      <c r="I1016" s="1115"/>
    </row>
    <row r="1017" spans="1:17" x14ac:dyDescent="0.2">
      <c r="A1017" s="244"/>
      <c r="B1017" s="234"/>
      <c r="C1017" s="234"/>
      <c r="D1017" s="239"/>
      <c r="E1017" s="255"/>
      <c r="F1017" s="253"/>
      <c r="G1017" s="293"/>
      <c r="H1017" s="240"/>
      <c r="I1017" s="423">
        <f>TRUNC(D1017*G1017,2)</f>
        <v>0</v>
      </c>
    </row>
    <row r="1018" spans="1:17" x14ac:dyDescent="0.2">
      <c r="A1018" s="200"/>
      <c r="B1018" s="264"/>
      <c r="C1018" s="200"/>
      <c r="D1018" s="200"/>
      <c r="E1018" s="200"/>
      <c r="F1018" s="265" t="s">
        <v>199</v>
      </c>
      <c r="G1018" s="255"/>
      <c r="H1018" s="266"/>
      <c r="I1018" s="441">
        <f>SUM(I1017:I1017)</f>
        <v>0</v>
      </c>
    </row>
    <row r="1019" spans="1:17" x14ac:dyDescent="0.2">
      <c r="A1019" s="200"/>
      <c r="B1019" s="264"/>
      <c r="C1019" s="200"/>
      <c r="D1019" s="200"/>
      <c r="E1019" s="200"/>
      <c r="F1019" s="200"/>
      <c r="G1019" s="200"/>
      <c r="H1019" s="200"/>
      <c r="I1019" s="440"/>
    </row>
    <row r="1020" spans="1:17" x14ac:dyDescent="0.2">
      <c r="A1020" s="267" t="s">
        <v>200</v>
      </c>
      <c r="B1020" s="268" t="s">
        <v>59</v>
      </c>
      <c r="C1020" s="268" t="s">
        <v>196</v>
      </c>
      <c r="D1020" s="268" t="s">
        <v>201</v>
      </c>
      <c r="E1020" s="268" t="s">
        <v>202</v>
      </c>
      <c r="F1020" s="268" t="s">
        <v>203</v>
      </c>
      <c r="G1020" s="268" t="s">
        <v>94</v>
      </c>
      <c r="H1020" s="268" t="s">
        <v>89</v>
      </c>
      <c r="I1020" s="442" t="s">
        <v>204</v>
      </c>
      <c r="J1020" s="400" t="s">
        <v>114</v>
      </c>
    </row>
    <row r="1021" spans="1:17" x14ac:dyDescent="0.2">
      <c r="A1021" s="244"/>
      <c r="B1021" s="234"/>
      <c r="C1021" s="234"/>
      <c r="D1021" s="402"/>
      <c r="E1021" s="270"/>
      <c r="F1021" s="270"/>
      <c r="G1021" s="239"/>
      <c r="H1021" s="271"/>
      <c r="I1021" s="418"/>
    </row>
    <row r="1022" spans="1:17" x14ac:dyDescent="0.2">
      <c r="A1022" s="200"/>
      <c r="B1022" s="264"/>
      <c r="C1022" s="200"/>
      <c r="D1022" s="200"/>
      <c r="E1022" s="200"/>
      <c r="F1022" s="265" t="s">
        <v>205</v>
      </c>
      <c r="G1022" s="240"/>
      <c r="H1022" s="272"/>
      <c r="I1022" s="443">
        <f>SUM(I1021:I1021)</f>
        <v>0</v>
      </c>
    </row>
    <row r="1023" spans="1:17" x14ac:dyDescent="0.2">
      <c r="A1023" s="200"/>
      <c r="B1023" s="264"/>
      <c r="C1023" s="200"/>
      <c r="D1023" s="200"/>
      <c r="E1023" s="200"/>
      <c r="F1023" s="200"/>
      <c r="G1023" s="200"/>
      <c r="H1023" s="200"/>
      <c r="I1023" s="444"/>
    </row>
    <row r="1024" spans="1:17" x14ac:dyDescent="0.2">
      <c r="A1024" s="273"/>
      <c r="B1024" s="274"/>
      <c r="C1024" s="275"/>
      <c r="D1024" s="275"/>
      <c r="E1024" s="275"/>
      <c r="F1024" s="276" t="s">
        <v>206</v>
      </c>
      <c r="G1024" s="273"/>
      <c r="H1024" s="249"/>
      <c r="I1024" s="445">
        <f>+I1010+I1014+I1018+I1022</f>
        <v>1.03</v>
      </c>
    </row>
    <row r="1025" spans="1:13" x14ac:dyDescent="0.2">
      <c r="A1025" s="255"/>
      <c r="B1025" s="277"/>
      <c r="C1025" s="266"/>
      <c r="D1025" s="266"/>
      <c r="E1025" s="266"/>
      <c r="F1025" s="278" t="str">
        <f>CONCATENATE($H$3," ",$I$3)</f>
        <v>BDI: 23,32</v>
      </c>
      <c r="G1025" s="403"/>
      <c r="H1025" s="253"/>
      <c r="I1025" s="446">
        <f>+ROUND(I1024*$I$4,2)</f>
        <v>0.24</v>
      </c>
    </row>
    <row r="1026" spans="1:13" x14ac:dyDescent="0.2">
      <c r="A1026" s="240"/>
      <c r="B1026" s="279"/>
      <c r="C1026" s="272"/>
      <c r="D1026" s="272"/>
      <c r="E1026" s="272"/>
      <c r="F1026" s="280" t="s">
        <v>207</v>
      </c>
      <c r="G1026" s="404"/>
      <c r="H1026" s="241"/>
      <c r="I1026" s="720">
        <f>+I1024+I1025</f>
        <v>1.27</v>
      </c>
    </row>
    <row r="1027" spans="1:13" x14ac:dyDescent="0.2">
      <c r="A1027" s="1116" t="str">
        <f>$A$1</f>
        <v>COMPOSIÇÃO DE CUSTOS UNITÁRIOS</v>
      </c>
      <c r="B1027" s="1116"/>
      <c r="C1027" s="1116"/>
      <c r="D1027" s="1116"/>
      <c r="E1027" s="1116"/>
      <c r="F1027" s="1116"/>
      <c r="G1027" s="1116"/>
      <c r="H1027" s="1116"/>
      <c r="I1027" s="1116"/>
    </row>
    <row r="1028" spans="1:13" x14ac:dyDescent="0.2">
      <c r="A1028" s="228" t="str">
        <f>$A$2</f>
        <v>Tabela Referencial de Preços - DER-ES</v>
      </c>
      <c r="B1028" s="229"/>
      <c r="C1028" s="199"/>
      <c r="D1028" s="199"/>
      <c r="E1028" s="199"/>
      <c r="F1028" s="199"/>
      <c r="G1028" s="199"/>
      <c r="H1028" s="199"/>
      <c r="I1028" s="414" t="str">
        <f>$I$2</f>
        <v>Data Base: novembro/2020</v>
      </c>
      <c r="J1028" s="400">
        <v>40109</v>
      </c>
      <c r="K1028" s="400">
        <f>VLOOKUP("Preço Unitário Total",F1030:I3819,4,FALSE)</f>
        <v>32.49</v>
      </c>
      <c r="L1028" s="295">
        <f>VLOOKUP(J1028,'DER 11-20'!A:E,5,FALSE)</f>
        <v>0</v>
      </c>
      <c r="M1028" s="295" t="str">
        <f>VLOOKUP(J1028,'DER 11-20'!$A:$D,2,FALSE)</f>
        <v>Sub-base de solo estabilizada granulométricamente sem mistura inclusive escavação e carga</v>
      </c>
    </row>
    <row r="1029" spans="1:13" x14ac:dyDescent="0.2">
      <c r="A1029" s="1119" t="str">
        <f>+CONCATENATE("Serviço: ",J1028," ",VLOOKUP(J1028,'DER 11-20'!$A:$D,2,FALSE))</f>
        <v>Serviço: 40109 Sub-base de solo estabilizada granulométricamente sem mistura inclusive escavação e carga</v>
      </c>
      <c r="B1029" s="1119"/>
      <c r="C1029" s="1119"/>
      <c r="D1029" s="1119"/>
      <c r="E1029" s="1119"/>
      <c r="F1029" s="1119"/>
      <c r="G1029" s="1119"/>
      <c r="H1029" s="1119"/>
      <c r="I1029" s="1119" t="str">
        <f>CONCATENATE("Unidade: ", VLOOKUP(J1028,'DER 11-20'!$A:$E,3,FALSE))</f>
        <v>Unidade: M3</v>
      </c>
    </row>
    <row r="1030" spans="1:13" x14ac:dyDescent="0.2">
      <c r="A1030" s="1120"/>
      <c r="B1030" s="1120"/>
      <c r="C1030" s="1120"/>
      <c r="D1030" s="1120"/>
      <c r="E1030" s="1120"/>
      <c r="F1030" s="1120"/>
      <c r="G1030" s="1120"/>
      <c r="H1030" s="1120"/>
      <c r="I1030" s="1120"/>
    </row>
    <row r="1031" spans="1:13" ht="22.5" x14ac:dyDescent="0.2">
      <c r="A1031" s="231" t="s">
        <v>177</v>
      </c>
      <c r="B1031" s="232" t="s">
        <v>59</v>
      </c>
      <c r="C1031" s="232" t="s">
        <v>178</v>
      </c>
      <c r="D1031" s="232" t="s">
        <v>179</v>
      </c>
      <c r="E1031" s="232" t="s">
        <v>180</v>
      </c>
      <c r="F1031" s="232" t="s">
        <v>181</v>
      </c>
      <c r="G1031" s="232" t="s">
        <v>182</v>
      </c>
      <c r="H1031" s="232" t="s">
        <v>89</v>
      </c>
      <c r="I1031" s="434" t="s">
        <v>183</v>
      </c>
    </row>
    <row r="1032" spans="1:13" ht="22.5" x14ac:dyDescent="0.2">
      <c r="A1032" s="233" t="str">
        <f>VLOOKUP(B1032,equip.!$A:$G,2,FALSE)</f>
        <v>Caminhão tanque L 1319/48 PBT=12,9t (6.000L)</v>
      </c>
      <c r="B1032" s="234">
        <v>30007</v>
      </c>
      <c r="C1032" s="235" t="str">
        <f>VLOOKUP(B1032,equip.!$A$1:$G$239,3,FALSE)</f>
        <v>M</v>
      </c>
      <c r="D1032" s="236">
        <v>0.8</v>
      </c>
      <c r="E1032" s="203">
        <f>1-D1032</f>
        <v>0.2</v>
      </c>
      <c r="F1032" s="237">
        <f>VLOOKUP(B1032,equip.!$A:$G,6,FALSE)</f>
        <v>164.94</v>
      </c>
      <c r="G1032" s="237">
        <f>VLOOKUP(B1032,equip.!$A:$G,7,FALSE)</f>
        <v>52.28</v>
      </c>
      <c r="H1032" s="238">
        <v>2</v>
      </c>
      <c r="I1032" s="418">
        <f t="shared" ref="I1032:I1039" si="5">TRUNC(D1032*F1032*H1032+E1032*G1032*H1032,2)</f>
        <v>284.81</v>
      </c>
    </row>
    <row r="1033" spans="1:13" x14ac:dyDescent="0.2">
      <c r="A1033" s="233" t="str">
        <f>VLOOKUP(B1033,equip.!$A:$G,2,FALSE)</f>
        <v>Conjunto moto bomba diam. 4"</v>
      </c>
      <c r="B1033" s="234">
        <v>30080</v>
      </c>
      <c r="C1033" s="235">
        <f>VLOOKUP(B1033,equip.!$A$1:$G$239,3,FALSE)</f>
        <v>0</v>
      </c>
      <c r="D1033" s="236">
        <v>0.8</v>
      </c>
      <c r="E1033" s="203">
        <f t="shared" ref="E1033:E1039" si="6">1-D1033</f>
        <v>0.2</v>
      </c>
      <c r="F1033" s="237">
        <f>VLOOKUP(B1033,equip.!$A:$G,6,FALSE)</f>
        <v>18.73</v>
      </c>
      <c r="G1033" s="237">
        <f>VLOOKUP(B1033,equip.!$A:$G,7,FALSE)</f>
        <v>13.12</v>
      </c>
      <c r="H1033" s="238">
        <v>1</v>
      </c>
      <c r="I1033" s="418">
        <f t="shared" si="5"/>
        <v>17.600000000000001</v>
      </c>
    </row>
    <row r="1034" spans="1:13" ht="22.5" x14ac:dyDescent="0.2">
      <c r="A1034" s="233" t="str">
        <f>VLOOKUP(B1034,equip.!$A:$G,2,FALSE)</f>
        <v>Grade de disco GA-24x24 (TATU) ou equivalente</v>
      </c>
      <c r="B1034" s="234">
        <v>30054</v>
      </c>
      <c r="C1034" s="235">
        <f>VLOOKUP(B1034,equip.!$A$1:$G$239,3,FALSE)</f>
        <v>0</v>
      </c>
      <c r="D1034" s="236">
        <v>0.6</v>
      </c>
      <c r="E1034" s="203">
        <f t="shared" si="6"/>
        <v>0.4</v>
      </c>
      <c r="F1034" s="237">
        <f>VLOOKUP(B1034,equip.!$A:$G,6,FALSE)</f>
        <v>17.22</v>
      </c>
      <c r="G1034" s="237">
        <f>VLOOKUP(B1034,equip.!$A:$G,7,FALSE)</f>
        <v>15.86</v>
      </c>
      <c r="H1034" s="238">
        <v>1</v>
      </c>
      <c r="I1034" s="418">
        <f t="shared" si="5"/>
        <v>16.670000000000002</v>
      </c>
    </row>
    <row r="1035" spans="1:13" ht="34.9" customHeight="1" x14ac:dyDescent="0.2">
      <c r="A1035" s="233" t="str">
        <f>VLOOKUP(B1035,equip.!$A:$G,2,FALSE)</f>
        <v>Motoniveladora Caterpillar modelo 120K ( cab + ar + ríper) ou equivalente</v>
      </c>
      <c r="B1035" s="234">
        <v>30022</v>
      </c>
      <c r="C1035" s="235" t="str">
        <f>VLOOKUP(B1035,equip.!$A$1:$G$239,3,FALSE)</f>
        <v>M</v>
      </c>
      <c r="D1035" s="236">
        <v>1</v>
      </c>
      <c r="E1035" s="203">
        <f t="shared" si="6"/>
        <v>0</v>
      </c>
      <c r="F1035" s="237">
        <f>VLOOKUP(B1035,equip.!$A:$G,6,FALSE)</f>
        <v>245.66</v>
      </c>
      <c r="G1035" s="237">
        <f>VLOOKUP(B1035,equip.!$A:$G,7,FALSE)</f>
        <v>87.2</v>
      </c>
      <c r="H1035" s="238">
        <v>1</v>
      </c>
      <c r="I1035" s="418">
        <f t="shared" si="5"/>
        <v>245.66</v>
      </c>
    </row>
    <row r="1036" spans="1:13" ht="22.5" x14ac:dyDescent="0.2">
      <c r="A1036" s="233" t="str">
        <f>VLOOKUP(B1036,equip.!$A:$G,2,FALSE)</f>
        <v>Rolo AP vib. liso de aço CA-15 STD (DYNAPAC) ou equivalente</v>
      </c>
      <c r="B1036" s="234">
        <v>30037</v>
      </c>
      <c r="C1036" s="235" t="str">
        <f>VLOOKUP(B1036,equip.!$A$1:$G$239,3,FALSE)</f>
        <v>M</v>
      </c>
      <c r="D1036" s="236">
        <v>0.55000000000000004</v>
      </c>
      <c r="E1036" s="203">
        <f>1-D1036</f>
        <v>0.45</v>
      </c>
      <c r="F1036" s="237">
        <f>VLOOKUP(B1036,equip.!$A:$G,6,FALSE)</f>
        <v>117.8</v>
      </c>
      <c r="G1036" s="237">
        <f>VLOOKUP(B1036,equip.!$A:$G,7,FALSE)</f>
        <v>48.4</v>
      </c>
      <c r="H1036" s="238">
        <v>1</v>
      </c>
      <c r="I1036" s="418">
        <f>TRUNC(D1036*F1036*H1036+E1036*G1036*H1036,2)</f>
        <v>86.57</v>
      </c>
    </row>
    <row r="1037" spans="1:13" ht="22.5" x14ac:dyDescent="0.2">
      <c r="A1037" s="233" t="str">
        <f>VLOOKUP(B1037,equip.!$A:$G,2,FALSE)</f>
        <v>Rolo AP vib. patas 100 mm CA-25P (DYNAPAC) ou equivalente</v>
      </c>
      <c r="B1037" s="234">
        <v>30040</v>
      </c>
      <c r="C1037" s="235" t="str">
        <f>VLOOKUP(B1037,equip.!$A$1:$G$239,3,FALSE)</f>
        <v>M</v>
      </c>
      <c r="D1037" s="236">
        <v>0.5</v>
      </c>
      <c r="E1037" s="203">
        <f t="shared" si="6"/>
        <v>0.5</v>
      </c>
      <c r="F1037" s="237">
        <f>VLOOKUP(B1037,equip.!$A:$G,6,FALSE)</f>
        <v>190.1</v>
      </c>
      <c r="G1037" s="237">
        <f>VLOOKUP(B1037,equip.!$A:$G,7,FALSE)</f>
        <v>63.69</v>
      </c>
      <c r="H1037" s="238">
        <v>1</v>
      </c>
      <c r="I1037" s="418">
        <f t="shared" si="5"/>
        <v>126.89</v>
      </c>
    </row>
    <row r="1038" spans="1:13" ht="22.5" x14ac:dyDescent="0.2">
      <c r="A1038" s="233" t="str">
        <f>VLOOKUP(B1038,equip.!$A:$G,2,FALSE)</f>
        <v>Rolo compactador de pneus CP 224, Dynapac ou equivalente</v>
      </c>
      <c r="B1038" s="234">
        <v>30033</v>
      </c>
      <c r="C1038" s="235">
        <f>VLOOKUP(B1038,equip.!$A$1:$G$239,3,FALSE)</f>
        <v>0</v>
      </c>
      <c r="D1038" s="236">
        <v>0.5</v>
      </c>
      <c r="E1038" s="203">
        <f t="shared" si="6"/>
        <v>0.5</v>
      </c>
      <c r="F1038" s="237">
        <f>VLOOKUP(B1038,equip.!$A:$G,6,FALSE)</f>
        <v>195.5</v>
      </c>
      <c r="G1038" s="237">
        <f>VLOOKUP(B1038,equip.!$A:$G,7,FALSE)</f>
        <v>67.52</v>
      </c>
      <c r="H1038" s="238">
        <v>1</v>
      </c>
      <c r="I1038" s="418">
        <f t="shared" si="5"/>
        <v>131.51</v>
      </c>
    </row>
    <row r="1039" spans="1:13" ht="33.75" x14ac:dyDescent="0.2">
      <c r="A1039" s="233" t="str">
        <f>VLOOKUP(B1039,equip.!$A:$G,2,FALSE)</f>
        <v>Trator agrícola MF 297/4 -4 X 4 (MASSEY FERGUSSON) ou equivalente</v>
      </c>
      <c r="B1039" s="234">
        <v>30030</v>
      </c>
      <c r="C1039" s="235" t="str">
        <f>VLOOKUP(B1039,equip.!$A$1:$G$239,3,FALSE)</f>
        <v>M</v>
      </c>
      <c r="D1039" s="236">
        <v>0.6</v>
      </c>
      <c r="E1039" s="203">
        <f t="shared" si="6"/>
        <v>0.4</v>
      </c>
      <c r="F1039" s="237">
        <f>VLOOKUP(B1039,equip.!$A:$G,6,FALSE)</f>
        <v>116.59</v>
      </c>
      <c r="G1039" s="237">
        <f>VLOOKUP(B1039,equip.!$A:$G,7,FALSE)</f>
        <v>33.1</v>
      </c>
      <c r="H1039" s="238">
        <v>1</v>
      </c>
      <c r="I1039" s="418">
        <f t="shared" si="5"/>
        <v>83.19</v>
      </c>
    </row>
    <row r="1040" spans="1:13" x14ac:dyDescent="0.2">
      <c r="A1040" s="199"/>
      <c r="B1040" s="229"/>
      <c r="C1040" s="229"/>
      <c r="D1040" s="199"/>
      <c r="E1040" s="199"/>
      <c r="F1040" s="230" t="s">
        <v>184</v>
      </c>
      <c r="G1040" s="240"/>
      <c r="H1040" s="241"/>
      <c r="I1040" s="438">
        <f>SUM(I1032:I1039)</f>
        <v>992.9</v>
      </c>
    </row>
    <row r="1041" spans="1:17" x14ac:dyDescent="0.2">
      <c r="A1041" s="199"/>
      <c r="B1041" s="229"/>
      <c r="C1041" s="229"/>
      <c r="D1041" s="199"/>
      <c r="E1041" s="199"/>
      <c r="F1041" s="199"/>
      <c r="G1041" s="199"/>
      <c r="H1041" s="199"/>
      <c r="I1041" s="439"/>
    </row>
    <row r="1042" spans="1:17" x14ac:dyDescent="0.2">
      <c r="A1042" s="242" t="s">
        <v>185</v>
      </c>
      <c r="B1042" s="243" t="s">
        <v>59</v>
      </c>
      <c r="C1042" s="232" t="s">
        <v>357</v>
      </c>
      <c r="D1042" s="243" t="s">
        <v>187</v>
      </c>
      <c r="E1042" s="1111" t="s">
        <v>89</v>
      </c>
      <c r="F1042" s="1112"/>
      <c r="G1042" s="1113"/>
      <c r="H1042" s="1121" t="s">
        <v>183</v>
      </c>
      <c r="I1042" s="1115"/>
    </row>
    <row r="1043" spans="1:17" x14ac:dyDescent="0.2">
      <c r="A1043" s="244" t="str">
        <f>VLOOKUP(B1043,m.o.!$A:$H,2,FALSE)</f>
        <v>Encarregado de pista</v>
      </c>
      <c r="B1043" s="234">
        <v>20063</v>
      </c>
      <c r="C1043" s="239">
        <f>VLOOKUP(B1043,m.o.!$A:$F,4,FALSE)</f>
        <v>2.2599999999999998</v>
      </c>
      <c r="D1043" s="239">
        <f>VLOOKUP(B1043,m.o.!$A:$G,7,FALSE)</f>
        <v>28.31</v>
      </c>
      <c r="E1043" s="255"/>
      <c r="F1043" s="253"/>
      <c r="G1043" s="293">
        <v>0.5</v>
      </c>
      <c r="H1043" s="240"/>
      <c r="I1043" s="427">
        <f>TRUNC(D1043*G1043,2)</f>
        <v>14.15</v>
      </c>
      <c r="J1043" s="295"/>
      <c r="K1043" s="295"/>
    </row>
    <row r="1044" spans="1:17" x14ac:dyDescent="0.2">
      <c r="A1044" s="244" t="str">
        <f>VLOOKUP(B1044,m.o.!$A:$H,2,FALSE)</f>
        <v>Greidista</v>
      </c>
      <c r="B1044" s="234">
        <v>20088</v>
      </c>
      <c r="C1044" s="239">
        <f>VLOOKUP(B1044,m.o.!$A:$F,4,FALSE)</f>
        <v>1.24</v>
      </c>
      <c r="D1044" s="239">
        <f>VLOOKUP(B1044,m.o.!$A:$G,7,FALSE)</f>
        <v>15.53</v>
      </c>
      <c r="E1044" s="255"/>
      <c r="F1044" s="253"/>
      <c r="G1044" s="293">
        <v>1</v>
      </c>
      <c r="H1044" s="240"/>
      <c r="I1044" s="427">
        <f>TRUNC(D1044*G1044,2)</f>
        <v>15.53</v>
      </c>
      <c r="J1044" s="295"/>
      <c r="K1044" s="295"/>
    </row>
    <row r="1045" spans="1:17" x14ac:dyDescent="0.2">
      <c r="A1045" s="259" t="str">
        <f>VLOOKUP(B1045,m.o.!$A:$H,2,FALSE)</f>
        <v>Servente</v>
      </c>
      <c r="B1045" s="234">
        <v>20002</v>
      </c>
      <c r="C1045" s="261">
        <f>VLOOKUP(B1045,m.o.!$A:$F,4,FALSE)</f>
        <v>1</v>
      </c>
      <c r="D1045" s="261">
        <f>VLOOKUP(B1045,m.o.!$A:$G,7,FALSE)</f>
        <v>12.52</v>
      </c>
      <c r="E1045" s="255"/>
      <c r="F1045" s="253"/>
      <c r="G1045" s="405">
        <v>5</v>
      </c>
      <c r="H1045" s="255"/>
      <c r="I1045" s="423">
        <f>TRUNC(D1045*G1045,2)</f>
        <v>62.6</v>
      </c>
      <c r="J1045" s="295"/>
      <c r="K1045" s="295"/>
    </row>
    <row r="1046" spans="1:17" x14ac:dyDescent="0.2">
      <c r="A1046" s="199"/>
      <c r="B1046" s="229"/>
      <c r="C1046" s="229"/>
      <c r="D1046" s="199"/>
      <c r="E1046" s="199"/>
      <c r="F1046" s="230" t="s">
        <v>188</v>
      </c>
      <c r="G1046" s="240"/>
      <c r="H1046" s="241"/>
      <c r="I1046" s="438">
        <f>SUM(I1043:I1045)</f>
        <v>92.28</v>
      </c>
      <c r="J1046" s="295"/>
      <c r="K1046" s="295"/>
    </row>
    <row r="1047" spans="1:17" x14ac:dyDescent="0.2">
      <c r="A1047" s="199"/>
      <c r="B1047" s="229"/>
      <c r="C1047" s="229"/>
      <c r="D1047" s="199"/>
      <c r="E1047" s="199"/>
      <c r="F1047" s="199"/>
      <c r="G1047" s="199"/>
      <c r="H1047" s="199"/>
      <c r="I1047" s="439"/>
      <c r="J1047" s="295"/>
      <c r="K1047" s="295"/>
    </row>
    <row r="1048" spans="1:17" x14ac:dyDescent="0.2">
      <c r="A1048" s="245" t="s">
        <v>189</v>
      </c>
      <c r="B1048" s="243" t="s">
        <v>59</v>
      </c>
      <c r="C1048" s="811" t="s">
        <v>17</v>
      </c>
      <c r="D1048" s="243" t="s">
        <v>190</v>
      </c>
      <c r="E1048" s="243" t="s">
        <v>191</v>
      </c>
      <c r="F1048" s="243" t="s">
        <v>192</v>
      </c>
      <c r="G1048" s="1121" t="s">
        <v>94</v>
      </c>
      <c r="H1048" s="1114"/>
      <c r="I1048" s="1115"/>
      <c r="J1048" s="295"/>
      <c r="K1048" s="295"/>
    </row>
    <row r="1049" spans="1:17" x14ac:dyDescent="0.2">
      <c r="A1049" s="244"/>
      <c r="B1049" s="234"/>
      <c r="C1049" s="239"/>
      <c r="D1049" s="235"/>
      <c r="E1049" s="246"/>
      <c r="F1049" s="246"/>
      <c r="G1049" s="240"/>
      <c r="H1049" s="241"/>
      <c r="I1049" s="427">
        <f>TRUNC(C1049/100*I1046,2)</f>
        <v>0</v>
      </c>
      <c r="J1049" s="295"/>
      <c r="K1049" s="295"/>
    </row>
    <row r="1050" spans="1:17" x14ac:dyDescent="0.2">
      <c r="A1050" s="199"/>
      <c r="B1050" s="229"/>
      <c r="C1050" s="199"/>
      <c r="D1050" s="199"/>
      <c r="E1050" s="199"/>
      <c r="F1050" s="230" t="s">
        <v>327</v>
      </c>
      <c r="G1050" s="240"/>
      <c r="H1050" s="241"/>
      <c r="I1050" s="438">
        <f>SUM(I1049)</f>
        <v>0</v>
      </c>
      <c r="J1050" s="295"/>
      <c r="K1050" s="295"/>
    </row>
    <row r="1051" spans="1:17" x14ac:dyDescent="0.2">
      <c r="A1051" s="199"/>
      <c r="B1051" s="229"/>
      <c r="C1051" s="199"/>
      <c r="D1051" s="199"/>
      <c r="E1051" s="199"/>
      <c r="F1051" s="199"/>
      <c r="G1051" s="199"/>
      <c r="H1051" s="199"/>
      <c r="I1051" s="439"/>
      <c r="J1051" s="295"/>
      <c r="K1051" s="295"/>
      <c r="P1051" s="198"/>
      <c r="Q1051" s="198"/>
    </row>
    <row r="1052" spans="1:17" x14ac:dyDescent="0.2">
      <c r="A1052" s="247"/>
      <c r="B1052" s="248"/>
      <c r="C1052" s="249"/>
      <c r="D1052" s="249"/>
      <c r="E1052" s="249"/>
      <c r="F1052" s="250" t="s">
        <v>193</v>
      </c>
      <c r="G1052" s="401"/>
      <c r="H1052" s="249"/>
      <c r="I1052" s="445">
        <f>+I1040+I1046+I1050</f>
        <v>1085.18</v>
      </c>
      <c r="J1052" s="295"/>
      <c r="K1052" s="295"/>
      <c r="P1052" s="198"/>
      <c r="Q1052" s="198"/>
    </row>
    <row r="1053" spans="1:17" x14ac:dyDescent="0.2">
      <c r="A1053" s="251"/>
      <c r="B1053" s="252"/>
      <c r="C1053" s="253"/>
      <c r="D1053" s="253"/>
      <c r="E1053" s="253"/>
      <c r="F1053" s="254" t="s">
        <v>194</v>
      </c>
      <c r="G1053" s="255"/>
      <c r="H1053" s="253"/>
      <c r="I1053" s="446">
        <v>60</v>
      </c>
      <c r="J1053" s="295"/>
      <c r="K1053" s="295"/>
      <c r="P1053" s="198"/>
      <c r="Q1053" s="198"/>
    </row>
    <row r="1054" spans="1:17" x14ac:dyDescent="0.2">
      <c r="A1054" s="233"/>
      <c r="B1054" s="256"/>
      <c r="C1054" s="241"/>
      <c r="D1054" s="241"/>
      <c r="E1054" s="241"/>
      <c r="F1054" s="257" t="s">
        <v>216</v>
      </c>
      <c r="G1054" s="240"/>
      <c r="H1054" s="241"/>
      <c r="I1054" s="447">
        <f>TRUNC(I1052/I1053,2)</f>
        <v>18.079999999999998</v>
      </c>
      <c r="J1054" s="295"/>
      <c r="K1054" s="295"/>
      <c r="P1054" s="198"/>
      <c r="Q1054" s="198"/>
    </row>
    <row r="1055" spans="1:17" x14ac:dyDescent="0.2">
      <c r="A1055" s="812"/>
      <c r="B1055" s="229"/>
      <c r="C1055" s="199"/>
      <c r="D1055" s="199"/>
      <c r="E1055" s="199"/>
      <c r="F1055" s="258"/>
      <c r="G1055" s="199"/>
      <c r="H1055" s="199"/>
      <c r="I1055" s="450"/>
      <c r="J1055" s="295"/>
      <c r="K1055" s="295"/>
      <c r="P1055" s="198"/>
      <c r="Q1055" s="198"/>
    </row>
    <row r="1056" spans="1:17" x14ac:dyDescent="0.2">
      <c r="A1056" s="242" t="s">
        <v>195</v>
      </c>
      <c r="B1056" s="243" t="s">
        <v>59</v>
      </c>
      <c r="C1056" s="243" t="s">
        <v>196</v>
      </c>
      <c r="D1056" s="243" t="s">
        <v>217</v>
      </c>
      <c r="E1056" s="1121" t="s">
        <v>89</v>
      </c>
      <c r="F1056" s="1114"/>
      <c r="G1056" s="1115"/>
      <c r="H1056" s="1121" t="s">
        <v>183</v>
      </c>
      <c r="I1056" s="1115"/>
      <c r="J1056" s="295"/>
      <c r="K1056" s="295"/>
    </row>
    <row r="1057" spans="1:17" x14ac:dyDescent="0.2">
      <c r="A1057" s="259"/>
      <c r="B1057" s="234"/>
      <c r="C1057" s="260"/>
      <c r="D1057" s="261"/>
      <c r="E1057" s="255"/>
      <c r="F1057" s="253"/>
      <c r="G1057" s="293"/>
      <c r="H1057" s="255"/>
      <c r="I1057" s="423">
        <f>TRUNC(D1057*G1057,2)</f>
        <v>0</v>
      </c>
      <c r="J1057" s="295"/>
      <c r="K1057" s="295"/>
    </row>
    <row r="1058" spans="1:17" x14ac:dyDescent="0.2">
      <c r="A1058" s="199"/>
      <c r="B1058" s="229"/>
      <c r="C1058" s="199"/>
      <c r="D1058" s="199"/>
      <c r="E1058" s="199"/>
      <c r="F1058" s="230" t="s">
        <v>197</v>
      </c>
      <c r="G1058" s="240"/>
      <c r="H1058" s="241"/>
      <c r="I1058" s="438">
        <f>SUM(I1057:I1057)</f>
        <v>0</v>
      </c>
      <c r="J1058" s="295"/>
      <c r="K1058" s="295"/>
    </row>
    <row r="1059" spans="1:17" x14ac:dyDescent="0.2">
      <c r="A1059" s="199"/>
      <c r="B1059" s="229"/>
      <c r="C1059" s="199"/>
      <c r="D1059" s="199"/>
      <c r="E1059" s="199"/>
      <c r="F1059" s="199"/>
      <c r="G1059" s="262"/>
      <c r="H1059" s="199"/>
      <c r="I1059" s="439"/>
    </row>
    <row r="1060" spans="1:17" x14ac:dyDescent="0.2">
      <c r="A1060" s="263" t="s">
        <v>198</v>
      </c>
      <c r="B1060" s="243" t="s">
        <v>59</v>
      </c>
      <c r="C1060" s="243" t="s">
        <v>196</v>
      </c>
      <c r="D1060" s="811" t="s">
        <v>217</v>
      </c>
      <c r="E1060" s="1111" t="s">
        <v>89</v>
      </c>
      <c r="F1060" s="1112"/>
      <c r="G1060" s="1113"/>
      <c r="H1060" s="1114" t="s">
        <v>183</v>
      </c>
      <c r="I1060" s="1115"/>
    </row>
    <row r="1061" spans="1:17" ht="33.75" x14ac:dyDescent="0.2">
      <c r="A1061" s="416" t="str">
        <f>VLOOKUP(B1061,'DER 11-20'!$A:$E,2,FALSE)</f>
        <v>Escavação e carga de material de 1ª categoria, com trator de esteira e pá carregadeira</v>
      </c>
      <c r="B1061" s="417">
        <v>40221</v>
      </c>
      <c r="C1061" s="417" t="str">
        <f>VLOOKUP(B1061,'DER 11-20'!$A:$E,3,FALSE)</f>
        <v>M3</v>
      </c>
      <c r="D1061" s="418">
        <f>TRUNC(VLOOKUP(B1061,'DER 11-20'!$A:$F,6,FALSE)/(1+$I$4),2)</f>
        <v>6.57</v>
      </c>
      <c r="E1061" s="419"/>
      <c r="F1061" s="420"/>
      <c r="G1061" s="421">
        <v>1.26</v>
      </c>
      <c r="H1061" s="422"/>
      <c r="I1061" s="423">
        <f>TRUNC(D1061*G1061,2)</f>
        <v>8.27</v>
      </c>
      <c r="J1061" s="415"/>
      <c r="K1061" s="415"/>
      <c r="L1061" s="198"/>
      <c r="M1061" s="198"/>
      <c r="N1061" s="198"/>
      <c r="O1061" s="198"/>
      <c r="P1061" s="198"/>
      <c r="Q1061" s="198"/>
    </row>
    <row r="1062" spans="1:17" x14ac:dyDescent="0.2">
      <c r="A1062" s="200"/>
      <c r="B1062" s="264"/>
      <c r="C1062" s="200"/>
      <c r="D1062" s="200"/>
      <c r="E1062" s="200"/>
      <c r="F1062" s="265" t="s">
        <v>199</v>
      </c>
      <c r="G1062" s="255"/>
      <c r="H1062" s="266"/>
      <c r="I1062" s="441">
        <f>I1061</f>
        <v>8.27</v>
      </c>
    </row>
    <row r="1063" spans="1:17" x14ac:dyDescent="0.2">
      <c r="A1063" s="200"/>
      <c r="B1063" s="264"/>
      <c r="C1063" s="200"/>
      <c r="D1063" s="200"/>
      <c r="E1063" s="200"/>
      <c r="F1063" s="200"/>
      <c r="G1063" s="200"/>
      <c r="H1063" s="200"/>
      <c r="I1063" s="440"/>
    </row>
    <row r="1064" spans="1:17" x14ac:dyDescent="0.2">
      <c r="A1064" s="267" t="s">
        <v>200</v>
      </c>
      <c r="B1064" s="268" t="s">
        <v>59</v>
      </c>
      <c r="C1064" s="268" t="s">
        <v>196</v>
      </c>
      <c r="D1064" s="268" t="s">
        <v>201</v>
      </c>
      <c r="E1064" s="268" t="s">
        <v>202</v>
      </c>
      <c r="F1064" s="268" t="s">
        <v>203</v>
      </c>
      <c r="G1064" s="268" t="s">
        <v>94</v>
      </c>
      <c r="H1064" s="268" t="s">
        <v>89</v>
      </c>
      <c r="I1064" s="442" t="s">
        <v>204</v>
      </c>
    </row>
    <row r="1065" spans="1:17" x14ac:dyDescent="0.2">
      <c r="A1065" s="244"/>
      <c r="B1065" s="234"/>
      <c r="C1065" s="234"/>
      <c r="D1065" s="402"/>
      <c r="E1065" s="270"/>
      <c r="F1065" s="270"/>
      <c r="G1065" s="239"/>
      <c r="H1065" s="271"/>
      <c r="I1065" s="418"/>
    </row>
    <row r="1066" spans="1:17" x14ac:dyDescent="0.2">
      <c r="A1066" s="200"/>
      <c r="B1066" s="264"/>
      <c r="C1066" s="200"/>
      <c r="D1066" s="200"/>
      <c r="E1066" s="200"/>
      <c r="F1066" s="265" t="s">
        <v>205</v>
      </c>
      <c r="G1066" s="240"/>
      <c r="H1066" s="272"/>
      <c r="I1066" s="443">
        <f>SUM(I1065:I1065)</f>
        <v>0</v>
      </c>
    </row>
    <row r="1067" spans="1:17" x14ac:dyDescent="0.2">
      <c r="A1067" s="200"/>
      <c r="B1067" s="264"/>
      <c r="C1067" s="200"/>
      <c r="D1067" s="200"/>
      <c r="E1067" s="200"/>
      <c r="F1067" s="200"/>
      <c r="G1067" s="200"/>
      <c r="H1067" s="200"/>
      <c r="I1067" s="444"/>
    </row>
    <row r="1068" spans="1:17" x14ac:dyDescent="0.2">
      <c r="A1068" s="273"/>
      <c r="B1068" s="274"/>
      <c r="C1068" s="275"/>
      <c r="D1068" s="275"/>
      <c r="E1068" s="275"/>
      <c r="F1068" s="276" t="s">
        <v>206</v>
      </c>
      <c r="G1068" s="273"/>
      <c r="H1068" s="249"/>
      <c r="I1068" s="445">
        <f>+I1054+I1058+I1062+I1066</f>
        <v>26.35</v>
      </c>
    </row>
    <row r="1069" spans="1:17" x14ac:dyDescent="0.2">
      <c r="A1069" s="255"/>
      <c r="B1069" s="277"/>
      <c r="C1069" s="266"/>
      <c r="D1069" s="266"/>
      <c r="E1069" s="266"/>
      <c r="F1069" s="278" t="str">
        <f>CONCATENATE($H$3," ",$I$3)</f>
        <v>BDI: 23,32</v>
      </c>
      <c r="G1069" s="403"/>
      <c r="H1069" s="253"/>
      <c r="I1069" s="446">
        <f>+ROUND(I1068*$I$4,2)</f>
        <v>6.14</v>
      </c>
    </row>
    <row r="1070" spans="1:17" x14ac:dyDescent="0.2">
      <c r="A1070" s="240"/>
      <c r="B1070" s="279"/>
      <c r="C1070" s="272"/>
      <c r="D1070" s="272"/>
      <c r="E1070" s="272"/>
      <c r="F1070" s="280" t="s">
        <v>207</v>
      </c>
      <c r="G1070" s="404"/>
      <c r="H1070" s="241"/>
      <c r="I1070" s="720">
        <f>+I1068+I1069</f>
        <v>32.49</v>
      </c>
    </row>
    <row r="1071" spans="1:17" x14ac:dyDescent="0.2">
      <c r="A1071" s="1116" t="str">
        <f>$A$1</f>
        <v>COMPOSIÇÃO DE CUSTOS UNITÁRIOS</v>
      </c>
      <c r="B1071" s="1116"/>
      <c r="C1071" s="1116"/>
      <c r="D1071" s="1116"/>
      <c r="E1071" s="1116"/>
      <c r="F1071" s="1116"/>
      <c r="G1071" s="1116"/>
      <c r="H1071" s="1116"/>
      <c r="I1071" s="1116"/>
    </row>
    <row r="1072" spans="1:17" x14ac:dyDescent="0.2">
      <c r="A1072" s="228" t="str">
        <f>$A$2</f>
        <v>Tabela Referencial de Preços - DER-ES</v>
      </c>
      <c r="B1072" s="229"/>
      <c r="C1072" s="199"/>
      <c r="D1072" s="199"/>
      <c r="E1072" s="199"/>
      <c r="F1072" s="199"/>
      <c r="G1072" s="199"/>
      <c r="H1072" s="199"/>
      <c r="I1072" s="414" t="str">
        <f>$I$2</f>
        <v>Data Base: novembro/2020</v>
      </c>
      <c r="J1072" s="400">
        <v>42045</v>
      </c>
      <c r="K1072" s="400">
        <f>VLOOKUP("Preço Unitário Total",F1074:I3863,4,FALSE)</f>
        <v>10.18</v>
      </c>
      <c r="L1072" s="295">
        <f>VLOOKUP(J1072,'DER 11-20'!A:E,5,FALSE)</f>
        <v>0</v>
      </c>
      <c r="M1072" s="295" t="str">
        <f>VLOOKUP(J1072,'DER 11-20'!$A:$D,2,FALSE)</f>
        <v>Aquisição de solo de jazida comercial (saibreira)</v>
      </c>
    </row>
    <row r="1073" spans="1:17" x14ac:dyDescent="0.2">
      <c r="A1073" s="1119" t="str">
        <f>+CONCATENATE("Serviço: ",J1072," ",VLOOKUP(J1072,'DER 11-20'!$A:$D,2,FALSE))</f>
        <v>Serviço: 42045 Aquisição de solo de jazida comercial (saibreira)</v>
      </c>
      <c r="B1073" s="1119"/>
      <c r="C1073" s="1119"/>
      <c r="D1073" s="1119"/>
      <c r="E1073" s="1119"/>
      <c r="F1073" s="1119"/>
      <c r="G1073" s="1119"/>
      <c r="H1073" s="1119"/>
      <c r="I1073" s="1119" t="str">
        <f>CONCATENATE("Unidade: ", VLOOKUP(J1072,'DER 11-20'!$A:$E,3,FALSE))</f>
        <v>Unidade: M3</v>
      </c>
    </row>
    <row r="1074" spans="1:17" x14ac:dyDescent="0.2">
      <c r="A1074" s="1120"/>
      <c r="B1074" s="1120"/>
      <c r="C1074" s="1120"/>
      <c r="D1074" s="1120"/>
      <c r="E1074" s="1120"/>
      <c r="F1074" s="1120"/>
      <c r="G1074" s="1120"/>
      <c r="H1074" s="1120"/>
      <c r="I1074" s="1120"/>
    </row>
    <row r="1075" spans="1:17" ht="22.5" x14ac:dyDescent="0.2">
      <c r="A1075" s="231" t="s">
        <v>177</v>
      </c>
      <c r="B1075" s="232" t="s">
        <v>59</v>
      </c>
      <c r="C1075" s="232" t="s">
        <v>178</v>
      </c>
      <c r="D1075" s="232" t="s">
        <v>179</v>
      </c>
      <c r="E1075" s="232" t="s">
        <v>180</v>
      </c>
      <c r="F1075" s="232" t="s">
        <v>181</v>
      </c>
      <c r="G1075" s="232" t="s">
        <v>182</v>
      </c>
      <c r="H1075" s="232" t="s">
        <v>89</v>
      </c>
      <c r="I1075" s="434" t="s">
        <v>183</v>
      </c>
    </row>
    <row r="1076" spans="1:17" x14ac:dyDescent="0.2">
      <c r="A1076" s="199"/>
      <c r="B1076" s="229"/>
      <c r="C1076" s="229"/>
      <c r="D1076" s="199"/>
      <c r="E1076" s="199"/>
      <c r="F1076" s="230" t="s">
        <v>184</v>
      </c>
      <c r="G1076" s="240"/>
      <c r="H1076" s="241"/>
      <c r="I1076" s="438">
        <v>0</v>
      </c>
    </row>
    <row r="1077" spans="1:17" x14ac:dyDescent="0.2">
      <c r="A1077" s="199"/>
      <c r="B1077" s="229"/>
      <c r="C1077" s="229"/>
      <c r="D1077" s="199"/>
      <c r="E1077" s="199"/>
      <c r="F1077" s="199"/>
      <c r="G1077" s="199"/>
      <c r="H1077" s="199"/>
      <c r="I1077" s="439"/>
    </row>
    <row r="1078" spans="1:17" x14ac:dyDescent="0.2">
      <c r="A1078" s="242" t="s">
        <v>185</v>
      </c>
      <c r="B1078" s="243" t="s">
        <v>59</v>
      </c>
      <c r="C1078" s="232" t="s">
        <v>357</v>
      </c>
      <c r="D1078" s="243" t="s">
        <v>187</v>
      </c>
      <c r="E1078" s="1111" t="s">
        <v>89</v>
      </c>
      <c r="F1078" s="1112"/>
      <c r="G1078" s="1113"/>
      <c r="H1078" s="1121" t="s">
        <v>183</v>
      </c>
      <c r="I1078" s="1115"/>
    </row>
    <row r="1079" spans="1:17" x14ac:dyDescent="0.2">
      <c r="A1079" s="199"/>
      <c r="B1079" s="229"/>
      <c r="C1079" s="229"/>
      <c r="D1079" s="199"/>
      <c r="E1079" s="199"/>
      <c r="F1079" s="230" t="s">
        <v>188</v>
      </c>
      <c r="G1079" s="240"/>
      <c r="H1079" s="241"/>
      <c r="I1079" s="438">
        <v>0</v>
      </c>
      <c r="J1079" s="295"/>
      <c r="K1079" s="295"/>
    </row>
    <row r="1080" spans="1:17" x14ac:dyDescent="0.2">
      <c r="A1080" s="199"/>
      <c r="B1080" s="229"/>
      <c r="C1080" s="229"/>
      <c r="D1080" s="199"/>
      <c r="E1080" s="199"/>
      <c r="F1080" s="199"/>
      <c r="G1080" s="199"/>
      <c r="H1080" s="199"/>
      <c r="I1080" s="439"/>
      <c r="J1080" s="295"/>
      <c r="K1080" s="295"/>
    </row>
    <row r="1081" spans="1:17" x14ac:dyDescent="0.2">
      <c r="A1081" s="245" t="s">
        <v>189</v>
      </c>
      <c r="B1081" s="243" t="s">
        <v>59</v>
      </c>
      <c r="C1081" s="811" t="s">
        <v>17</v>
      </c>
      <c r="D1081" s="243" t="s">
        <v>190</v>
      </c>
      <c r="E1081" s="243" t="s">
        <v>191</v>
      </c>
      <c r="F1081" s="243" t="s">
        <v>192</v>
      </c>
      <c r="G1081" s="1121" t="s">
        <v>94</v>
      </c>
      <c r="H1081" s="1114"/>
      <c r="I1081" s="1115"/>
      <c r="J1081" s="295"/>
      <c r="K1081" s="295"/>
    </row>
    <row r="1082" spans="1:17" x14ac:dyDescent="0.2">
      <c r="A1082" s="244"/>
      <c r="B1082" s="234"/>
      <c r="C1082" s="239"/>
      <c r="D1082" s="235"/>
      <c r="E1082" s="246"/>
      <c r="F1082" s="246"/>
      <c r="G1082" s="240"/>
      <c r="H1082" s="241"/>
      <c r="I1082" s="427">
        <f>TRUNC(C1082/100*I1079,2)</f>
        <v>0</v>
      </c>
      <c r="J1082" s="295"/>
      <c r="K1082" s="295"/>
    </row>
    <row r="1083" spans="1:17" x14ac:dyDescent="0.2">
      <c r="A1083" s="199"/>
      <c r="B1083" s="229"/>
      <c r="C1083" s="199"/>
      <c r="D1083" s="199"/>
      <c r="E1083" s="199"/>
      <c r="F1083" s="230" t="s">
        <v>327</v>
      </c>
      <c r="G1083" s="240"/>
      <c r="H1083" s="241"/>
      <c r="I1083" s="438">
        <f>SUM(I1082)</f>
        <v>0</v>
      </c>
      <c r="J1083" s="295"/>
      <c r="K1083" s="295"/>
    </row>
    <row r="1084" spans="1:17" x14ac:dyDescent="0.2">
      <c r="A1084" s="199"/>
      <c r="B1084" s="229"/>
      <c r="C1084" s="199"/>
      <c r="D1084" s="199"/>
      <c r="E1084" s="199"/>
      <c r="F1084" s="199"/>
      <c r="G1084" s="199"/>
      <c r="H1084" s="199"/>
      <c r="I1084" s="439"/>
      <c r="J1084" s="295"/>
      <c r="K1084" s="295"/>
      <c r="P1084" s="198"/>
      <c r="Q1084" s="198"/>
    </row>
    <row r="1085" spans="1:17" x14ac:dyDescent="0.2">
      <c r="A1085" s="247"/>
      <c r="B1085" s="248"/>
      <c r="C1085" s="249"/>
      <c r="D1085" s="249"/>
      <c r="E1085" s="249"/>
      <c r="F1085" s="250" t="s">
        <v>193</v>
      </c>
      <c r="G1085" s="401"/>
      <c r="H1085" s="249"/>
      <c r="I1085" s="445">
        <f>+I1076+I1079+I1083</f>
        <v>0</v>
      </c>
      <c r="J1085" s="295"/>
      <c r="K1085" s="295"/>
      <c r="P1085" s="198"/>
      <c r="Q1085" s="198"/>
    </row>
    <row r="1086" spans="1:17" x14ac:dyDescent="0.2">
      <c r="A1086" s="251"/>
      <c r="B1086" s="252"/>
      <c r="C1086" s="253"/>
      <c r="D1086" s="253"/>
      <c r="E1086" s="253"/>
      <c r="F1086" s="254" t="s">
        <v>194</v>
      </c>
      <c r="G1086" s="255"/>
      <c r="H1086" s="253"/>
      <c r="I1086" s="446">
        <v>1</v>
      </c>
      <c r="J1086" s="295"/>
      <c r="K1086" s="295"/>
      <c r="P1086" s="198"/>
      <c r="Q1086" s="198"/>
    </row>
    <row r="1087" spans="1:17" x14ac:dyDescent="0.2">
      <c r="A1087" s="233"/>
      <c r="B1087" s="256"/>
      <c r="C1087" s="241"/>
      <c r="D1087" s="241"/>
      <c r="E1087" s="241"/>
      <c r="F1087" s="257" t="s">
        <v>216</v>
      </c>
      <c r="G1087" s="240"/>
      <c r="H1087" s="241"/>
      <c r="I1087" s="447">
        <f>TRUNC(I1085/I1086,2)</f>
        <v>0</v>
      </c>
      <c r="J1087" s="295"/>
      <c r="K1087" s="295"/>
      <c r="P1087" s="198"/>
      <c r="Q1087" s="198"/>
    </row>
    <row r="1088" spans="1:17" x14ac:dyDescent="0.2">
      <c r="A1088" s="812"/>
      <c r="B1088" s="229"/>
      <c r="C1088" s="199"/>
      <c r="D1088" s="199"/>
      <c r="E1088" s="199"/>
      <c r="F1088" s="258"/>
      <c r="G1088" s="199"/>
      <c r="H1088" s="199"/>
      <c r="I1088" s="450"/>
      <c r="J1088" s="295"/>
      <c r="K1088" s="295"/>
      <c r="P1088" s="198"/>
      <c r="Q1088" s="198"/>
    </row>
    <row r="1089" spans="1:13" x14ac:dyDescent="0.2">
      <c r="A1089" s="242" t="s">
        <v>195</v>
      </c>
      <c r="B1089" s="243" t="s">
        <v>59</v>
      </c>
      <c r="C1089" s="243" t="s">
        <v>196</v>
      </c>
      <c r="D1089" s="243" t="s">
        <v>217</v>
      </c>
      <c r="E1089" s="1121" t="s">
        <v>89</v>
      </c>
      <c r="F1089" s="1114"/>
      <c r="G1089" s="1115"/>
      <c r="H1089" s="1121" t="s">
        <v>183</v>
      </c>
      <c r="I1089" s="1115"/>
      <c r="J1089" s="295"/>
      <c r="K1089" s="295"/>
    </row>
    <row r="1090" spans="1:13" ht="22.5" x14ac:dyDescent="0.2">
      <c r="A1090" s="259" t="str">
        <f>VLOOKUP(B1090,mat.!$A:$D,2,FALSE)</f>
        <v>Argila (barreiras comerciais - saibreiras)</v>
      </c>
      <c r="B1090" s="234">
        <v>10564</v>
      </c>
      <c r="C1090" s="260" t="str">
        <f>VLOOKUP(B1090,mat.!$A:$D,3,FALSE)</f>
        <v>M3</v>
      </c>
      <c r="D1090" s="261">
        <f>VLOOKUP(B1090,mat.!$A:$D,4,FALSE)</f>
        <v>10.18</v>
      </c>
      <c r="E1090" s="255"/>
      <c r="F1090" s="253"/>
      <c r="G1090" s="293">
        <v>1</v>
      </c>
      <c r="H1090" s="255"/>
      <c r="I1090" s="423">
        <f>TRUNC(D1090*G1090,2)</f>
        <v>10.18</v>
      </c>
    </row>
    <row r="1091" spans="1:13" x14ac:dyDescent="0.2">
      <c r="A1091" s="199"/>
      <c r="B1091" s="229"/>
      <c r="C1091" s="199"/>
      <c r="D1091" s="199"/>
      <c r="E1091" s="199"/>
      <c r="F1091" s="230" t="s">
        <v>197</v>
      </c>
      <c r="G1091" s="240"/>
      <c r="H1091" s="241"/>
      <c r="I1091" s="438">
        <f>I1090</f>
        <v>10.18</v>
      </c>
      <c r="J1091" s="295"/>
      <c r="K1091" s="295"/>
    </row>
    <row r="1092" spans="1:13" x14ac:dyDescent="0.2">
      <c r="A1092" s="199"/>
      <c r="B1092" s="229"/>
      <c r="C1092" s="199"/>
      <c r="D1092" s="199"/>
      <c r="E1092" s="199"/>
      <c r="F1092" s="199"/>
      <c r="G1092" s="262"/>
      <c r="H1092" s="199"/>
      <c r="I1092" s="439"/>
    </row>
    <row r="1093" spans="1:13" x14ac:dyDescent="0.2">
      <c r="A1093" s="263" t="s">
        <v>198</v>
      </c>
      <c r="B1093" s="243" t="s">
        <v>59</v>
      </c>
      <c r="C1093" s="243" t="s">
        <v>196</v>
      </c>
      <c r="D1093" s="811" t="s">
        <v>217</v>
      </c>
      <c r="E1093" s="1111" t="s">
        <v>89</v>
      </c>
      <c r="F1093" s="1112"/>
      <c r="G1093" s="1113"/>
      <c r="H1093" s="1114" t="s">
        <v>183</v>
      </c>
      <c r="I1093" s="1115"/>
    </row>
    <row r="1094" spans="1:13" x14ac:dyDescent="0.2">
      <c r="A1094" s="200"/>
      <c r="B1094" s="264"/>
      <c r="C1094" s="200"/>
      <c r="D1094" s="200"/>
      <c r="E1094" s="200"/>
      <c r="F1094" s="265" t="s">
        <v>199</v>
      </c>
      <c r="G1094" s="255"/>
      <c r="H1094" s="266"/>
      <c r="I1094" s="441">
        <v>0</v>
      </c>
    </row>
    <row r="1095" spans="1:13" x14ac:dyDescent="0.2">
      <c r="A1095" s="200"/>
      <c r="B1095" s="264"/>
      <c r="C1095" s="200"/>
      <c r="D1095" s="200"/>
      <c r="E1095" s="200"/>
      <c r="F1095" s="200"/>
      <c r="G1095" s="200"/>
      <c r="H1095" s="200"/>
      <c r="I1095" s="440"/>
    </row>
    <row r="1096" spans="1:13" x14ac:dyDescent="0.2">
      <c r="A1096" s="267" t="s">
        <v>200</v>
      </c>
      <c r="B1096" s="268" t="s">
        <v>59</v>
      </c>
      <c r="C1096" s="268" t="s">
        <v>196</v>
      </c>
      <c r="D1096" s="268" t="s">
        <v>201</v>
      </c>
      <c r="E1096" s="268" t="s">
        <v>202</v>
      </c>
      <c r="F1096" s="268" t="s">
        <v>203</v>
      </c>
      <c r="G1096" s="268" t="s">
        <v>94</v>
      </c>
      <c r="H1096" s="268" t="s">
        <v>89</v>
      </c>
      <c r="I1096" s="442" t="s">
        <v>204</v>
      </c>
    </row>
    <row r="1097" spans="1:13" x14ac:dyDescent="0.2">
      <c r="A1097" s="244"/>
      <c r="B1097" s="234"/>
      <c r="C1097" s="234"/>
      <c r="D1097" s="402"/>
      <c r="E1097" s="270"/>
      <c r="F1097" s="270"/>
      <c r="G1097" s="239"/>
      <c r="H1097" s="271"/>
      <c r="I1097" s="418"/>
    </row>
    <row r="1098" spans="1:13" x14ac:dyDescent="0.2">
      <c r="A1098" s="200"/>
      <c r="B1098" s="264"/>
      <c r="C1098" s="200"/>
      <c r="D1098" s="200"/>
      <c r="E1098" s="200"/>
      <c r="F1098" s="265" t="s">
        <v>205</v>
      </c>
      <c r="G1098" s="240"/>
      <c r="H1098" s="272"/>
      <c r="I1098" s="443">
        <f>SUM(I1097:I1097)</f>
        <v>0</v>
      </c>
    </row>
    <row r="1099" spans="1:13" x14ac:dyDescent="0.2">
      <c r="A1099" s="200"/>
      <c r="B1099" s="264"/>
      <c r="C1099" s="200"/>
      <c r="D1099" s="200"/>
      <c r="E1099" s="200"/>
      <c r="F1099" s="200"/>
      <c r="G1099" s="200"/>
      <c r="H1099" s="200"/>
      <c r="I1099" s="444"/>
    </row>
    <row r="1100" spans="1:13" x14ac:dyDescent="0.2">
      <c r="A1100" s="273"/>
      <c r="B1100" s="274"/>
      <c r="C1100" s="275"/>
      <c r="D1100" s="275"/>
      <c r="E1100" s="275"/>
      <c r="F1100" s="276" t="s">
        <v>206</v>
      </c>
      <c r="G1100" s="273"/>
      <c r="H1100" s="249"/>
      <c r="I1100" s="445">
        <f>+I1087+I1091+I1094+I1098</f>
        <v>10.18</v>
      </c>
    </row>
    <row r="1101" spans="1:13" x14ac:dyDescent="0.2">
      <c r="A1101" s="240"/>
      <c r="B1101" s="279"/>
      <c r="C1101" s="272"/>
      <c r="D1101" s="272"/>
      <c r="E1101" s="272"/>
      <c r="F1101" s="280" t="s">
        <v>207</v>
      </c>
      <c r="G1101" s="404"/>
      <c r="H1101" s="241"/>
      <c r="I1101" s="720">
        <f>I1100</f>
        <v>10.18</v>
      </c>
    </row>
    <row r="1102" spans="1:13" x14ac:dyDescent="0.2">
      <c r="A1102" s="1116" t="str">
        <f>$A$1</f>
        <v>COMPOSIÇÃO DE CUSTOS UNITÁRIOS</v>
      </c>
      <c r="B1102" s="1116"/>
      <c r="C1102" s="1116"/>
      <c r="D1102" s="1116"/>
      <c r="E1102" s="1116"/>
      <c r="F1102" s="1116"/>
      <c r="G1102" s="1116"/>
      <c r="H1102" s="1116"/>
      <c r="I1102" s="1116"/>
    </row>
    <row r="1103" spans="1:13" x14ac:dyDescent="0.2">
      <c r="A1103" s="228" t="str">
        <f>$A$2</f>
        <v>Tabela Referencial de Preços - DER-ES</v>
      </c>
      <c r="B1103" s="229"/>
      <c r="C1103" s="199"/>
      <c r="D1103" s="199"/>
      <c r="E1103" s="199"/>
      <c r="F1103" s="199"/>
      <c r="G1103" s="199"/>
      <c r="H1103" s="199"/>
      <c r="I1103" s="414" t="str">
        <f>$I$2</f>
        <v>Data Base: novembro/2020</v>
      </c>
      <c r="J1103" s="400">
        <v>40816</v>
      </c>
      <c r="K1103" s="400">
        <f>VLOOKUP("Preço Unitário Total",F1105:I3894,4,FALSE)</f>
        <v>0.88</v>
      </c>
      <c r="L1103" s="295">
        <f>VLOOKUP(J1103,'DER 11-20'!A:E,5,FALSE)</f>
        <v>0</v>
      </c>
      <c r="M1103" s="295" t="str">
        <f>VLOOKUP(J1103,'DER 11-20'!$A:$D,2,FALSE)</f>
        <v>Imprimação exclusive fornecimento e transporte comercial do material betuminoso</v>
      </c>
    </row>
    <row r="1104" spans="1:13" x14ac:dyDescent="0.2">
      <c r="A1104" s="1119" t="str">
        <f>+CONCATENATE("Serviço: ",J1103," ",VLOOKUP(J1103,'DER 11-20'!$A:$D,2,FALSE))</f>
        <v>Serviço: 40816 Imprimação exclusive fornecimento e transporte comercial do material betuminoso</v>
      </c>
      <c r="B1104" s="1119"/>
      <c r="C1104" s="1119"/>
      <c r="D1104" s="1119"/>
      <c r="E1104" s="1119"/>
      <c r="F1104" s="1119"/>
      <c r="G1104" s="1119"/>
      <c r="H1104" s="1119"/>
      <c r="I1104" s="1119" t="str">
        <f>CONCATENATE("Unidade: ", VLOOKUP(J1103,'DER 11-20'!$A:$E,3,FALSE))</f>
        <v>Unidade: M2</v>
      </c>
    </row>
    <row r="1105" spans="1:11" x14ac:dyDescent="0.2">
      <c r="A1105" s="1120"/>
      <c r="B1105" s="1120"/>
      <c r="C1105" s="1120"/>
      <c r="D1105" s="1120"/>
      <c r="E1105" s="1120"/>
      <c r="F1105" s="1120"/>
      <c r="G1105" s="1120"/>
      <c r="H1105" s="1120"/>
      <c r="I1105" s="1120"/>
    </row>
    <row r="1106" spans="1:11" ht="22.5" x14ac:dyDescent="0.2">
      <c r="A1106" s="231" t="s">
        <v>177</v>
      </c>
      <c r="B1106" s="232" t="s">
        <v>59</v>
      </c>
      <c r="C1106" s="232" t="s">
        <v>178</v>
      </c>
      <c r="D1106" s="232" t="s">
        <v>179</v>
      </c>
      <c r="E1106" s="232" t="s">
        <v>180</v>
      </c>
      <c r="F1106" s="232" t="s">
        <v>181</v>
      </c>
      <c r="G1106" s="232" t="s">
        <v>182</v>
      </c>
      <c r="H1106" s="232" t="s">
        <v>89</v>
      </c>
      <c r="I1106" s="434" t="s">
        <v>183</v>
      </c>
    </row>
    <row r="1107" spans="1:11" ht="33.75" x14ac:dyDescent="0.2">
      <c r="A1107" s="233" t="str">
        <f>VLOOKUP(B1107,equip.!$A:$G,2,FALSE)</f>
        <v>Equipamento espargidor de asfalto 1315C DA-6C 6.500L (CONSMAQ) ou equivalente</v>
      </c>
      <c r="B1107" s="234">
        <v>30009</v>
      </c>
      <c r="C1107" s="235" t="str">
        <f>VLOOKUP(B1107,equip.!$A$1:$G$239,3,FALSE)</f>
        <v>M</v>
      </c>
      <c r="D1107" s="236">
        <v>1</v>
      </c>
      <c r="E1107" s="203">
        <f>1-D1107</f>
        <v>0</v>
      </c>
      <c r="F1107" s="237">
        <f>VLOOKUP(B1107,equip.!$A:$G,6,FALSE)</f>
        <v>162.9</v>
      </c>
      <c r="G1107" s="237">
        <f>VLOOKUP(B1107,equip.!$A:$G,7,FALSE)</f>
        <v>57.01</v>
      </c>
      <c r="H1107" s="238">
        <v>1</v>
      </c>
      <c r="I1107" s="418">
        <f>TRUNC(D1107*F1107*H1107+E1107*G1107*H1107,2)</f>
        <v>162.9</v>
      </c>
    </row>
    <row r="1108" spans="1:11" x14ac:dyDescent="0.2">
      <c r="A1108" s="233" t="str">
        <f>VLOOKUP(B1108,equip.!$A:$G,2,FALSE)</f>
        <v>Tanque estacionário 20.000 L</v>
      </c>
      <c r="B1108" s="234">
        <v>30084</v>
      </c>
      <c r="C1108" s="235">
        <f>VLOOKUP(B1108,equip.!$A$1:$G$239,3,FALSE)</f>
        <v>0</v>
      </c>
      <c r="D1108" s="236">
        <v>1</v>
      </c>
      <c r="E1108" s="203">
        <f>1-D1108</f>
        <v>0</v>
      </c>
      <c r="F1108" s="237">
        <f>VLOOKUP(B1108,equip.!$A:$G,6,FALSE)</f>
        <v>7.68</v>
      </c>
      <c r="G1108" s="237">
        <f>VLOOKUP(B1108,equip.!$A:$G,7,FALSE)</f>
        <v>5.49</v>
      </c>
      <c r="H1108" s="238">
        <v>1</v>
      </c>
      <c r="I1108" s="418">
        <f>TRUNC(D1108*F1108*H1108+E1108*G1108*H1108,2)</f>
        <v>7.68</v>
      </c>
    </row>
    <row r="1109" spans="1:11" ht="33.75" x14ac:dyDescent="0.2">
      <c r="A1109" s="233" t="str">
        <f>VLOOKUP(B1109,equip.!$A:$G,2,FALSE)</f>
        <v>Trator agrícola MF 297/4 -4 X 4 (MASSEY FERGUSSON) ou equivalente</v>
      </c>
      <c r="B1109" s="234">
        <v>30030</v>
      </c>
      <c r="C1109" s="235" t="str">
        <f>VLOOKUP(B1109,equip.!$A$1:$G$239,3,FALSE)</f>
        <v>M</v>
      </c>
      <c r="D1109" s="236">
        <v>0.5</v>
      </c>
      <c r="E1109" s="203">
        <f>1-D1109</f>
        <v>0.5</v>
      </c>
      <c r="F1109" s="237">
        <f>VLOOKUP(B1109,equip.!$A:$G,6,FALSE)</f>
        <v>116.59</v>
      </c>
      <c r="G1109" s="237">
        <f>VLOOKUP(B1109,equip.!$A:$G,7,FALSE)</f>
        <v>33.1</v>
      </c>
      <c r="H1109" s="238">
        <v>1</v>
      </c>
      <c r="I1109" s="418">
        <f>TRUNC(D1109*F1109*H1109+E1109*G1109*H1109,2)</f>
        <v>74.84</v>
      </c>
    </row>
    <row r="1110" spans="1:11" ht="22.5" x14ac:dyDescent="0.2">
      <c r="A1110" s="233" t="str">
        <f>VLOOKUP(B1110,equip.!$A:$G,2,FALSE)</f>
        <v>Vassoura mecânica VM-2440 (CMV) ou equivalente</v>
      </c>
      <c r="B1110" s="234">
        <v>30051</v>
      </c>
      <c r="C1110" s="235" t="str">
        <f>VLOOKUP(B1110,equip.!$A$1:$G$239,3,FALSE)</f>
        <v>M</v>
      </c>
      <c r="D1110" s="236">
        <v>0.5</v>
      </c>
      <c r="E1110" s="203">
        <f>1-D1110</f>
        <v>0.5</v>
      </c>
      <c r="F1110" s="237">
        <f>VLOOKUP(B1110,equip.!$A:$G,6,FALSE)</f>
        <v>9.07</v>
      </c>
      <c r="G1110" s="237">
        <f>VLOOKUP(B1110,equip.!$A:$G,7,FALSE)</f>
        <v>5.68</v>
      </c>
      <c r="H1110" s="238">
        <v>1</v>
      </c>
      <c r="I1110" s="418">
        <f>TRUNC(D1110*F1110*H1110+E1110*G1110*H1110,2)</f>
        <v>7.37</v>
      </c>
    </row>
    <row r="1111" spans="1:11" x14ac:dyDescent="0.2">
      <c r="A1111" s="199"/>
      <c r="B1111" s="229"/>
      <c r="C1111" s="229"/>
      <c r="D1111" s="199"/>
      <c r="E1111" s="199"/>
      <c r="F1111" s="230" t="s">
        <v>184</v>
      </c>
      <c r="G1111" s="240"/>
      <c r="H1111" s="241"/>
      <c r="I1111" s="438">
        <f>SUM(I1107:I1110)</f>
        <v>252.79</v>
      </c>
    </row>
    <row r="1112" spans="1:11" x14ac:dyDescent="0.2">
      <c r="A1112" s="199"/>
      <c r="B1112" s="229"/>
      <c r="C1112" s="229"/>
      <c r="D1112" s="199"/>
      <c r="E1112" s="199"/>
      <c r="F1112" s="199"/>
      <c r="G1112" s="199"/>
      <c r="H1112" s="199"/>
      <c r="I1112" s="439"/>
    </row>
    <row r="1113" spans="1:11" x14ac:dyDescent="0.2">
      <c r="A1113" s="242" t="s">
        <v>185</v>
      </c>
      <c r="B1113" s="243" t="s">
        <v>59</v>
      </c>
      <c r="C1113" s="232" t="s">
        <v>357</v>
      </c>
      <c r="D1113" s="243" t="s">
        <v>187</v>
      </c>
      <c r="E1113" s="1111" t="s">
        <v>89</v>
      </c>
      <c r="F1113" s="1112"/>
      <c r="G1113" s="1113"/>
      <c r="H1113" s="1121" t="s">
        <v>183</v>
      </c>
      <c r="I1113" s="1115"/>
    </row>
    <row r="1114" spans="1:11" x14ac:dyDescent="0.2">
      <c r="A1114" s="244" t="str">
        <f>VLOOKUP(B1114,m.o.!$A:$H,2,FALSE)</f>
        <v>Encarregado de pista</v>
      </c>
      <c r="B1114" s="234">
        <v>20063</v>
      </c>
      <c r="C1114" s="239">
        <f>VLOOKUP(B1114,m.o.!$A:$F,4,FALSE)</f>
        <v>2.2599999999999998</v>
      </c>
      <c r="D1114" s="239">
        <f>VLOOKUP(B1114,m.o.!$A:$G,7,FALSE)</f>
        <v>28.31</v>
      </c>
      <c r="E1114" s="255"/>
      <c r="F1114" s="253"/>
      <c r="G1114" s="293">
        <v>1</v>
      </c>
      <c r="H1114" s="240"/>
      <c r="I1114" s="427">
        <f>TRUNC(D1114*G1114,2)</f>
        <v>28.31</v>
      </c>
      <c r="J1114" s="295"/>
      <c r="K1114" s="295"/>
    </row>
    <row r="1115" spans="1:11" x14ac:dyDescent="0.2">
      <c r="A1115" s="244" t="str">
        <f>VLOOKUP(B1115,m.o.!$A:$H,2,FALSE)</f>
        <v>Servente</v>
      </c>
      <c r="B1115" s="234">
        <v>20002</v>
      </c>
      <c r="C1115" s="239">
        <f>VLOOKUP(B1115,m.o.!$A:$F,4,FALSE)</f>
        <v>1</v>
      </c>
      <c r="D1115" s="239">
        <f>VLOOKUP(B1115,m.o.!$A:$G,7,FALSE)</f>
        <v>12.52</v>
      </c>
      <c r="E1115" s="255"/>
      <c r="F1115" s="253"/>
      <c r="G1115" s="293">
        <v>6</v>
      </c>
      <c r="H1115" s="240"/>
      <c r="I1115" s="427">
        <f>TRUNC(D1115*G1115,2)</f>
        <v>75.12</v>
      </c>
      <c r="J1115" s="295"/>
      <c r="K1115" s="295"/>
    </row>
    <row r="1116" spans="1:11" x14ac:dyDescent="0.2">
      <c r="A1116" s="199"/>
      <c r="B1116" s="229"/>
      <c r="C1116" s="229"/>
      <c r="D1116" s="199"/>
      <c r="E1116" s="199"/>
      <c r="F1116" s="230" t="s">
        <v>188</v>
      </c>
      <c r="G1116" s="240"/>
      <c r="H1116" s="241"/>
      <c r="I1116" s="438">
        <f>SUM(I1114:I1115)</f>
        <v>103.43</v>
      </c>
      <c r="J1116" s="295"/>
      <c r="K1116" s="295"/>
    </row>
    <row r="1117" spans="1:11" x14ac:dyDescent="0.2">
      <c r="A1117" s="199"/>
      <c r="B1117" s="229"/>
      <c r="C1117" s="229"/>
      <c r="D1117" s="199"/>
      <c r="E1117" s="199"/>
      <c r="F1117" s="199"/>
      <c r="G1117" s="199"/>
      <c r="H1117" s="199"/>
      <c r="I1117" s="439"/>
      <c r="J1117" s="295"/>
      <c r="K1117" s="295"/>
    </row>
    <row r="1118" spans="1:11" x14ac:dyDescent="0.2">
      <c r="A1118" s="245" t="s">
        <v>189</v>
      </c>
      <c r="B1118" s="243" t="s">
        <v>59</v>
      </c>
      <c r="C1118" s="814" t="s">
        <v>17</v>
      </c>
      <c r="D1118" s="243" t="s">
        <v>190</v>
      </c>
      <c r="E1118" s="243" t="s">
        <v>191</v>
      </c>
      <c r="F1118" s="243" t="s">
        <v>192</v>
      </c>
      <c r="G1118" s="1121" t="s">
        <v>94</v>
      </c>
      <c r="H1118" s="1114"/>
      <c r="I1118" s="1115"/>
      <c r="J1118" s="295"/>
      <c r="K1118" s="295"/>
    </row>
    <row r="1119" spans="1:11" x14ac:dyDescent="0.2">
      <c r="A1119" s="244"/>
      <c r="B1119" s="234"/>
      <c r="C1119" s="239"/>
      <c r="D1119" s="235"/>
      <c r="E1119" s="246"/>
      <c r="F1119" s="246"/>
      <c r="G1119" s="240"/>
      <c r="H1119" s="241"/>
      <c r="I1119" s="427">
        <f>TRUNC(C1119/100*I1116,2)</f>
        <v>0</v>
      </c>
      <c r="J1119" s="295"/>
      <c r="K1119" s="295"/>
    </row>
    <row r="1120" spans="1:11" x14ac:dyDescent="0.2">
      <c r="A1120" s="199"/>
      <c r="B1120" s="229"/>
      <c r="C1120" s="199"/>
      <c r="D1120" s="199"/>
      <c r="E1120" s="199"/>
      <c r="F1120" s="230" t="s">
        <v>327</v>
      </c>
      <c r="G1120" s="240"/>
      <c r="H1120" s="241"/>
      <c r="I1120" s="438">
        <f>SUM(I1119)</f>
        <v>0</v>
      </c>
      <c r="J1120" s="295"/>
      <c r="K1120" s="295"/>
    </row>
    <row r="1121" spans="1:17" x14ac:dyDescent="0.2">
      <c r="A1121" s="199"/>
      <c r="B1121" s="229"/>
      <c r="C1121" s="199"/>
      <c r="D1121" s="199"/>
      <c r="E1121" s="199"/>
      <c r="F1121" s="199"/>
      <c r="G1121" s="199"/>
      <c r="H1121" s="199"/>
      <c r="I1121" s="439"/>
      <c r="J1121" s="295"/>
      <c r="K1121" s="295"/>
      <c r="P1121" s="198"/>
      <c r="Q1121" s="198"/>
    </row>
    <row r="1122" spans="1:17" x14ac:dyDescent="0.2">
      <c r="A1122" s="247"/>
      <c r="B1122" s="248"/>
      <c r="C1122" s="249"/>
      <c r="D1122" s="249"/>
      <c r="E1122" s="249"/>
      <c r="F1122" s="250" t="s">
        <v>193</v>
      </c>
      <c r="G1122" s="401"/>
      <c r="H1122" s="249"/>
      <c r="I1122" s="445">
        <f>+I1111+I1116+I1120</f>
        <v>356.22</v>
      </c>
      <c r="J1122" s="295"/>
      <c r="K1122" s="295"/>
      <c r="P1122" s="198"/>
      <c r="Q1122" s="198"/>
    </row>
    <row r="1123" spans="1:17" x14ac:dyDescent="0.2">
      <c r="A1123" s="251"/>
      <c r="B1123" s="252"/>
      <c r="C1123" s="253"/>
      <c r="D1123" s="253"/>
      <c r="E1123" s="253"/>
      <c r="F1123" s="254" t="s">
        <v>194</v>
      </c>
      <c r="G1123" s="255"/>
      <c r="H1123" s="253"/>
      <c r="I1123" s="446">
        <v>500</v>
      </c>
      <c r="J1123" s="295"/>
      <c r="K1123" s="295"/>
      <c r="P1123" s="198"/>
      <c r="Q1123" s="198"/>
    </row>
    <row r="1124" spans="1:17" x14ac:dyDescent="0.2">
      <c r="A1124" s="233"/>
      <c r="B1124" s="256"/>
      <c r="C1124" s="241"/>
      <c r="D1124" s="241"/>
      <c r="E1124" s="241"/>
      <c r="F1124" s="257" t="s">
        <v>216</v>
      </c>
      <c r="G1124" s="240"/>
      <c r="H1124" s="241"/>
      <c r="I1124" s="447">
        <f>TRUNC(I1122/I1123,2)</f>
        <v>0.71</v>
      </c>
      <c r="J1124" s="295"/>
      <c r="K1124" s="295"/>
      <c r="P1124" s="198"/>
      <c r="Q1124" s="198"/>
    </row>
    <row r="1125" spans="1:17" x14ac:dyDescent="0.2">
      <c r="A1125" s="815"/>
      <c r="B1125" s="229"/>
      <c r="C1125" s="199"/>
      <c r="D1125" s="199"/>
      <c r="E1125" s="199"/>
      <c r="F1125" s="258"/>
      <c r="G1125" s="199"/>
      <c r="H1125" s="199"/>
      <c r="I1125" s="450"/>
      <c r="J1125" s="295"/>
      <c r="K1125" s="295"/>
      <c r="P1125" s="198"/>
      <c r="Q1125" s="198"/>
    </row>
    <row r="1126" spans="1:17" x14ac:dyDescent="0.2">
      <c r="A1126" s="242" t="s">
        <v>195</v>
      </c>
      <c r="B1126" s="243" t="s">
        <v>59</v>
      </c>
      <c r="C1126" s="243" t="s">
        <v>196</v>
      </c>
      <c r="D1126" s="243" t="s">
        <v>217</v>
      </c>
      <c r="E1126" s="1121" t="s">
        <v>89</v>
      </c>
      <c r="F1126" s="1114"/>
      <c r="G1126" s="1115"/>
      <c r="H1126" s="1121" t="s">
        <v>183</v>
      </c>
      <c r="I1126" s="1115"/>
      <c r="J1126" s="295"/>
      <c r="K1126" s="295"/>
    </row>
    <row r="1127" spans="1:17" x14ac:dyDescent="0.2">
      <c r="A1127" s="199"/>
      <c r="B1127" s="229"/>
      <c r="C1127" s="199"/>
      <c r="D1127" s="199"/>
      <c r="E1127" s="199"/>
      <c r="F1127" s="230" t="s">
        <v>197</v>
      </c>
      <c r="G1127" s="240"/>
      <c r="H1127" s="241"/>
      <c r="I1127" s="438">
        <v>0</v>
      </c>
      <c r="J1127" s="295"/>
      <c r="K1127" s="295"/>
    </row>
    <row r="1128" spans="1:17" x14ac:dyDescent="0.2">
      <c r="A1128" s="199"/>
      <c r="B1128" s="229"/>
      <c r="C1128" s="199"/>
      <c r="D1128" s="199"/>
      <c r="E1128" s="199"/>
      <c r="F1128" s="199"/>
      <c r="G1128" s="262"/>
      <c r="H1128" s="199"/>
      <c r="I1128" s="439"/>
    </row>
    <row r="1129" spans="1:17" x14ac:dyDescent="0.2">
      <c r="A1129" s="263" t="s">
        <v>198</v>
      </c>
      <c r="B1129" s="243" t="s">
        <v>59</v>
      </c>
      <c r="C1129" s="243" t="s">
        <v>196</v>
      </c>
      <c r="D1129" s="814" t="s">
        <v>217</v>
      </c>
      <c r="E1129" s="1111" t="s">
        <v>89</v>
      </c>
      <c r="F1129" s="1112"/>
      <c r="G1129" s="1113"/>
      <c r="H1129" s="1114" t="s">
        <v>183</v>
      </c>
      <c r="I1129" s="1115"/>
    </row>
    <row r="1130" spans="1:17" x14ac:dyDescent="0.2">
      <c r="A1130" s="200"/>
      <c r="B1130" s="264"/>
      <c r="C1130" s="200"/>
      <c r="D1130" s="200"/>
      <c r="E1130" s="200"/>
      <c r="F1130" s="265" t="s">
        <v>199</v>
      </c>
      <c r="G1130" s="255"/>
      <c r="H1130" s="266"/>
      <c r="I1130" s="441">
        <v>0</v>
      </c>
    </row>
    <row r="1131" spans="1:17" x14ac:dyDescent="0.2">
      <c r="A1131" s="200"/>
      <c r="B1131" s="264"/>
      <c r="C1131" s="200"/>
      <c r="D1131" s="200"/>
      <c r="E1131" s="200"/>
      <c r="F1131" s="200"/>
      <c r="G1131" s="200"/>
      <c r="H1131" s="200"/>
      <c r="I1131" s="440"/>
    </row>
    <row r="1132" spans="1:17" x14ac:dyDescent="0.2">
      <c r="A1132" s="267" t="s">
        <v>200</v>
      </c>
      <c r="B1132" s="268" t="s">
        <v>59</v>
      </c>
      <c r="C1132" s="268" t="s">
        <v>196</v>
      </c>
      <c r="D1132" s="268" t="s">
        <v>201</v>
      </c>
      <c r="E1132" s="268" t="s">
        <v>202</v>
      </c>
      <c r="F1132" s="268" t="s">
        <v>203</v>
      </c>
      <c r="G1132" s="268" t="s">
        <v>94</v>
      </c>
      <c r="H1132" s="268" t="s">
        <v>89</v>
      </c>
      <c r="I1132" s="442" t="s">
        <v>204</v>
      </c>
    </row>
    <row r="1133" spans="1:17" x14ac:dyDescent="0.2">
      <c r="A1133" s="244"/>
      <c r="B1133" s="234"/>
      <c r="C1133" s="234"/>
      <c r="D1133" s="402"/>
      <c r="E1133" s="270"/>
      <c r="F1133" s="270"/>
      <c r="G1133" s="239"/>
      <c r="H1133" s="271"/>
      <c r="I1133" s="418"/>
    </row>
    <row r="1134" spans="1:17" x14ac:dyDescent="0.2">
      <c r="A1134" s="200"/>
      <c r="B1134" s="264"/>
      <c r="C1134" s="200"/>
      <c r="D1134" s="200"/>
      <c r="E1134" s="200"/>
      <c r="F1134" s="265" t="s">
        <v>205</v>
      </c>
      <c r="G1134" s="240"/>
      <c r="H1134" s="272"/>
      <c r="I1134" s="443">
        <f>SUM(I1133:I1133)</f>
        <v>0</v>
      </c>
    </row>
    <row r="1135" spans="1:17" x14ac:dyDescent="0.2">
      <c r="A1135" s="200"/>
      <c r="B1135" s="264"/>
      <c r="C1135" s="200"/>
      <c r="D1135" s="200"/>
      <c r="E1135" s="200"/>
      <c r="F1135" s="200"/>
      <c r="G1135" s="200"/>
      <c r="H1135" s="200"/>
      <c r="I1135" s="444"/>
    </row>
    <row r="1136" spans="1:17" x14ac:dyDescent="0.2">
      <c r="A1136" s="273"/>
      <c r="B1136" s="274"/>
      <c r="C1136" s="275"/>
      <c r="D1136" s="275"/>
      <c r="E1136" s="275"/>
      <c r="F1136" s="276" t="s">
        <v>206</v>
      </c>
      <c r="G1136" s="273"/>
      <c r="H1136" s="249"/>
      <c r="I1136" s="445">
        <f>+I1124+I1127+I1130+I1134</f>
        <v>0.71</v>
      </c>
    </row>
    <row r="1137" spans="1:13" x14ac:dyDescent="0.2">
      <c r="A1137" s="255"/>
      <c r="B1137" s="277"/>
      <c r="C1137" s="266"/>
      <c r="D1137" s="266"/>
      <c r="E1137" s="266"/>
      <c r="F1137" s="278" t="str">
        <f>CONCATENATE($H$3," ",$I$3)</f>
        <v>BDI: 23,32</v>
      </c>
      <c r="G1137" s="403"/>
      <c r="H1137" s="253"/>
      <c r="I1137" s="446">
        <f>+ROUND(I1136*$I$4,2)</f>
        <v>0.17</v>
      </c>
    </row>
    <row r="1138" spans="1:13" x14ac:dyDescent="0.2">
      <c r="A1138" s="240"/>
      <c r="B1138" s="279"/>
      <c r="C1138" s="272"/>
      <c r="D1138" s="272"/>
      <c r="E1138" s="272"/>
      <c r="F1138" s="280" t="s">
        <v>207</v>
      </c>
      <c r="G1138" s="404"/>
      <c r="H1138" s="241"/>
      <c r="I1138" s="720">
        <f>SUM(I1136:I1137)</f>
        <v>0.88</v>
      </c>
    </row>
    <row r="1139" spans="1:13" x14ac:dyDescent="0.2">
      <c r="A1139" s="1116" t="str">
        <f>$A$1</f>
        <v>COMPOSIÇÃO DE CUSTOS UNITÁRIOS</v>
      </c>
      <c r="B1139" s="1116"/>
      <c r="C1139" s="1116"/>
      <c r="D1139" s="1116"/>
      <c r="E1139" s="1116"/>
      <c r="F1139" s="1116"/>
      <c r="G1139" s="1116"/>
      <c r="H1139" s="1116"/>
      <c r="I1139" s="1116"/>
    </row>
    <row r="1140" spans="1:13" x14ac:dyDescent="0.2">
      <c r="A1140" s="228" t="str">
        <f>$A$2</f>
        <v>Tabela Referencial de Preços - DER-ES</v>
      </c>
      <c r="B1140" s="229"/>
      <c r="C1140" s="199"/>
      <c r="D1140" s="199"/>
      <c r="E1140" s="199"/>
      <c r="F1140" s="199"/>
      <c r="G1140" s="199"/>
      <c r="H1140" s="199"/>
      <c r="I1140" s="414" t="str">
        <f>$I$2</f>
        <v>Data Base: novembro/2020</v>
      </c>
    </row>
    <row r="1141" spans="1:13" x14ac:dyDescent="0.2">
      <c r="A1141" s="1117" t="str">
        <f>+CONCATENATE("Serviço: ",J1141," ",VLOOKUP(J1141,'DER 11-20'!$A:$D,2,FALSE))</f>
        <v>Serviço: 40843 CBUQ (camada pronta - capa) exclusive fornecimento e transportes do CAP e massa</v>
      </c>
      <c r="B1141" s="1117"/>
      <c r="C1141" s="1117"/>
      <c r="D1141" s="1117"/>
      <c r="E1141" s="1117"/>
      <c r="F1141" s="1117"/>
      <c r="G1141" s="1117"/>
      <c r="H1141" s="1117"/>
      <c r="I1141" s="1119" t="str">
        <f>CONCATENATE("Unidade: ", VLOOKUP(J1141,'DER 11-20'!$A:$E,3,FALSE))</f>
        <v>Unidade: t</v>
      </c>
      <c r="J1141" s="400">
        <v>40843</v>
      </c>
      <c r="K1141" s="400">
        <f>VLOOKUP("Preço Unitário Total",F1142:I3698,4,FALSE)</f>
        <v>131.96</v>
      </c>
      <c r="L1141" s="295" t="str">
        <f>VLOOKUP(J1141,'DER 11-20'!A:E,5,FALSE)</f>
        <v>A incluir</v>
      </c>
      <c r="M1141" s="295" t="str">
        <f>VLOOKUP(J1141,'DER 11-20'!$A:$D,2,FALSE)</f>
        <v>CBUQ (camada pronta - capa) exclusive fornecimento e transportes do CAP e massa</v>
      </c>
    </row>
    <row r="1142" spans="1:13" x14ac:dyDescent="0.2">
      <c r="A1142" s="1118"/>
      <c r="B1142" s="1118"/>
      <c r="C1142" s="1118"/>
      <c r="D1142" s="1118"/>
      <c r="E1142" s="1118"/>
      <c r="F1142" s="1118"/>
      <c r="G1142" s="1118"/>
      <c r="H1142" s="1118"/>
      <c r="I1142" s="1120"/>
    </row>
    <row r="1143" spans="1:13" ht="22.5" x14ac:dyDescent="0.2">
      <c r="A1143" s="231" t="s">
        <v>177</v>
      </c>
      <c r="B1143" s="232" t="s">
        <v>59</v>
      </c>
      <c r="C1143" s="232" t="s">
        <v>178</v>
      </c>
      <c r="D1143" s="232" t="s">
        <v>179</v>
      </c>
      <c r="E1143" s="232" t="s">
        <v>180</v>
      </c>
      <c r="F1143" s="232" t="s">
        <v>181</v>
      </c>
      <c r="G1143" s="232" t="s">
        <v>182</v>
      </c>
      <c r="H1143" s="232" t="s">
        <v>89</v>
      </c>
      <c r="I1143" s="434" t="s">
        <v>183</v>
      </c>
    </row>
    <row r="1144" spans="1:13" ht="33" customHeight="1" x14ac:dyDescent="0.2">
      <c r="A1144" s="233" t="str">
        <f>VLOOKUP(B1144,equip.!$A:$G,2,FALSE)</f>
        <v>Acabadora de asfalto AF 5000, esteira, CIBER ou equivalente</v>
      </c>
      <c r="B1144" s="234">
        <v>30041</v>
      </c>
      <c r="C1144" s="235">
        <f>VLOOKUP(B1144,equip.!$A$1:$G$238,3,FALSE)</f>
        <v>0</v>
      </c>
      <c r="D1144" s="236">
        <v>0.84</v>
      </c>
      <c r="E1144" s="203">
        <v>0.16</v>
      </c>
      <c r="F1144" s="237">
        <f>VLOOKUP(B1144,equip.!$A:$G,6,FALSE)</f>
        <v>165.09</v>
      </c>
      <c r="G1144" s="237">
        <f>VLOOKUP(B1144,equip.!$A:$G,7,FALSE)</f>
        <v>82.89</v>
      </c>
      <c r="H1144" s="238">
        <v>1</v>
      </c>
      <c r="I1144" s="418">
        <f>TRUNC(D1144*F1144*H1144+E1144*G1144*H1144,2)</f>
        <v>151.93</v>
      </c>
    </row>
    <row r="1145" spans="1:13" ht="22.5" x14ac:dyDescent="0.2">
      <c r="A1145" s="233" t="str">
        <f>VLOOKUP(B1145,equip.!$A:$G,2,FALSE)</f>
        <v>Rolo AP de pneus AP-26 (8,9t) (MULLER) ou equivalente</v>
      </c>
      <c r="B1145" s="234">
        <v>30032</v>
      </c>
      <c r="C1145" s="235" t="str">
        <f>VLOOKUP(B1145,equip.!$A$1:$G$238,3,FALSE)</f>
        <v>M</v>
      </c>
      <c r="D1145" s="236">
        <v>0.96</v>
      </c>
      <c r="E1145" s="203">
        <v>0.04</v>
      </c>
      <c r="F1145" s="237">
        <f>VLOOKUP(B1145,equip.!$A:$G,6,FALSE)</f>
        <v>178.78</v>
      </c>
      <c r="G1145" s="237">
        <f>VLOOKUP(B1145,equip.!$A:$G,7,FALSE)</f>
        <v>64.73</v>
      </c>
      <c r="H1145" s="238">
        <v>1</v>
      </c>
      <c r="I1145" s="418">
        <f t="shared" ref="I1145:I1148" si="7">TRUNC(D1145*F1145*H1145+E1145*G1145*H1145,2)</f>
        <v>174.21</v>
      </c>
    </row>
    <row r="1146" spans="1:13" ht="22.5" x14ac:dyDescent="0.2">
      <c r="A1146" s="233" t="str">
        <f>VLOOKUP(B1146,equip.!$A:$G,2,FALSE)</f>
        <v>Rolo AP liso de aço TH-10 (6,3t) (TEMA TERRA) ou equivalente</v>
      </c>
      <c r="B1146" s="234">
        <v>30035</v>
      </c>
      <c r="C1146" s="235">
        <f>VLOOKUP(B1146,equip.!$A$1:$G$238,3,FALSE)</f>
        <v>0</v>
      </c>
      <c r="D1146" s="236">
        <v>0.3</v>
      </c>
      <c r="E1146" s="203">
        <v>0.7</v>
      </c>
      <c r="F1146" s="237">
        <f>VLOOKUP(B1146,equip.!$A:$G,6,FALSE)</f>
        <v>102.85</v>
      </c>
      <c r="G1146" s="237">
        <f>VLOOKUP(B1146,equip.!$A:$G,7,FALSE)</f>
        <v>53.81</v>
      </c>
      <c r="H1146" s="238">
        <v>1</v>
      </c>
      <c r="I1146" s="418">
        <f t="shared" si="7"/>
        <v>68.52</v>
      </c>
    </row>
    <row r="1147" spans="1:13" ht="33.75" x14ac:dyDescent="0.2">
      <c r="A1147" s="233" t="str">
        <f>VLOOKUP(B1147,equip.!$A:$G,2,FALSE)</f>
        <v>Trator agrícola MF 297/4 -4 X 4 (MASSEY FERGUSSON) ou equivalente</v>
      </c>
      <c r="B1147" s="234">
        <v>30030</v>
      </c>
      <c r="C1147" s="235" t="str">
        <f>VLOOKUP(B1147,equip.!$A$1:$G$238,3,FALSE)</f>
        <v>M</v>
      </c>
      <c r="D1147" s="236">
        <v>0.59</v>
      </c>
      <c r="E1147" s="203">
        <v>0.41</v>
      </c>
      <c r="F1147" s="237">
        <f>VLOOKUP(B1147,equip.!$A:$G,6,FALSE)</f>
        <v>116.59</v>
      </c>
      <c r="G1147" s="237">
        <f>VLOOKUP(B1147,equip.!$A:$G,7,FALSE)</f>
        <v>33.1</v>
      </c>
      <c r="H1147" s="238">
        <v>1</v>
      </c>
      <c r="I1147" s="418">
        <f t="shared" si="7"/>
        <v>82.35</v>
      </c>
    </row>
    <row r="1148" spans="1:13" ht="22.5" x14ac:dyDescent="0.2">
      <c r="A1148" s="233" t="str">
        <f>VLOOKUP(B1148,equip.!$A:$G,2,FALSE)</f>
        <v>Vassoura mecânica VM-2440 (CMV) ou equivalente</v>
      </c>
      <c r="B1148" s="234">
        <v>30051</v>
      </c>
      <c r="C1148" s="235" t="str">
        <f>VLOOKUP(B1148,equip.!$A$1:$G$238,3,FALSE)</f>
        <v>M</v>
      </c>
      <c r="D1148" s="236">
        <v>0.59</v>
      </c>
      <c r="E1148" s="203">
        <v>0.41</v>
      </c>
      <c r="F1148" s="237">
        <f>VLOOKUP(B1148,equip.!$A:$G,6,FALSE)</f>
        <v>9.07</v>
      </c>
      <c r="G1148" s="237">
        <f>VLOOKUP(B1148,equip.!$A:$G,7,FALSE)</f>
        <v>5.68</v>
      </c>
      <c r="H1148" s="238">
        <v>1</v>
      </c>
      <c r="I1148" s="418">
        <f t="shared" si="7"/>
        <v>7.68</v>
      </c>
    </row>
    <row r="1149" spans="1:13" x14ac:dyDescent="0.2">
      <c r="A1149" s="199"/>
      <c r="B1149" s="229"/>
      <c r="C1149" s="229"/>
      <c r="D1149" s="199"/>
      <c r="E1149" s="199"/>
      <c r="F1149" s="230" t="s">
        <v>184</v>
      </c>
      <c r="G1149" s="240"/>
      <c r="H1149" s="241"/>
      <c r="I1149" s="438">
        <f>SUM(I1144:I1148)</f>
        <v>484.69</v>
      </c>
    </row>
    <row r="1150" spans="1:13" x14ac:dyDescent="0.2">
      <c r="A1150" s="199"/>
      <c r="B1150" s="229"/>
      <c r="C1150" s="229"/>
      <c r="D1150" s="199"/>
      <c r="E1150" s="199"/>
      <c r="F1150" s="199"/>
      <c r="G1150" s="199"/>
      <c r="H1150" s="199"/>
      <c r="I1150" s="439"/>
    </row>
    <row r="1151" spans="1:13" x14ac:dyDescent="0.2">
      <c r="A1151" s="242" t="s">
        <v>185</v>
      </c>
      <c r="B1151" s="243" t="s">
        <v>59</v>
      </c>
      <c r="C1151" s="232" t="s">
        <v>357</v>
      </c>
      <c r="D1151" s="243" t="s">
        <v>187</v>
      </c>
      <c r="E1151" s="1111" t="s">
        <v>89</v>
      </c>
      <c r="F1151" s="1112"/>
      <c r="G1151" s="1113"/>
      <c r="H1151" s="1121" t="s">
        <v>183</v>
      </c>
      <c r="I1151" s="1115"/>
    </row>
    <row r="1152" spans="1:13" x14ac:dyDescent="0.2">
      <c r="A1152" s="244" t="str">
        <f>VLOOKUP(B1152,m.o.!$A:$H,2,FALSE)</f>
        <v>Encarregado de pista</v>
      </c>
      <c r="B1152" s="234">
        <v>20063</v>
      </c>
      <c r="C1152" s="239">
        <f>VLOOKUP(B1152,m.o.!$A:$F,4,FALSE)</f>
        <v>2.2599999999999998</v>
      </c>
      <c r="D1152" s="239">
        <f>VLOOKUP(B1152,m.o.!$A:$G,7,FALSE)</f>
        <v>28.31</v>
      </c>
      <c r="E1152" s="255"/>
      <c r="F1152" s="253"/>
      <c r="G1152" s="293">
        <v>1</v>
      </c>
      <c r="H1152" s="240"/>
      <c r="I1152" s="427">
        <f>TRUNC(D1152*G1152,2)</f>
        <v>28.31</v>
      </c>
    </row>
    <row r="1153" spans="1:11" x14ac:dyDescent="0.2">
      <c r="A1153" s="259" t="str">
        <f>VLOOKUP(B1153,m.o.!$A:$H,2,FALSE)</f>
        <v>Rasteleiro</v>
      </c>
      <c r="B1153" s="234">
        <v>20156</v>
      </c>
      <c r="C1153" s="261">
        <f>VLOOKUP(B1153,m.o.!$A:$F,4,FALSE)</f>
        <v>1.24</v>
      </c>
      <c r="D1153" s="261">
        <f>VLOOKUP(B1153,m.o.!$A:$G,7,FALSE)</f>
        <v>15.53</v>
      </c>
      <c r="E1153" s="255"/>
      <c r="F1153" s="253"/>
      <c r="G1153" s="405">
        <v>4</v>
      </c>
      <c r="H1153" s="255"/>
      <c r="I1153" s="423">
        <f>TRUNC(D1153*G1153,2)</f>
        <v>62.12</v>
      </c>
    </row>
    <row r="1154" spans="1:11" x14ac:dyDescent="0.2">
      <c r="A1154" s="259" t="str">
        <f>VLOOKUP(B1154,m.o.!$A:$H,2,FALSE)</f>
        <v>Servente</v>
      </c>
      <c r="B1154" s="234">
        <v>20002</v>
      </c>
      <c r="C1154" s="261">
        <f>VLOOKUP(B1154,m.o.!$A:$F,4,FALSE)</f>
        <v>1</v>
      </c>
      <c r="D1154" s="261">
        <f>VLOOKUP(B1154,m.o.!$A:$G,7,FALSE)</f>
        <v>12.52</v>
      </c>
      <c r="E1154" s="255"/>
      <c r="F1154" s="253"/>
      <c r="G1154" s="405">
        <v>8</v>
      </c>
      <c r="H1154" s="255"/>
      <c r="I1154" s="423">
        <f>TRUNC(D1154*G1154,2)</f>
        <v>100.16</v>
      </c>
    </row>
    <row r="1155" spans="1:11" x14ac:dyDescent="0.2">
      <c r="A1155" s="199"/>
      <c r="B1155" s="229"/>
      <c r="C1155" s="229"/>
      <c r="D1155" s="199"/>
      <c r="E1155" s="199"/>
      <c r="F1155" s="230" t="s">
        <v>188</v>
      </c>
      <c r="G1155" s="240"/>
      <c r="H1155" s="241"/>
      <c r="I1155" s="438">
        <f>SUM(I1152:I1154)</f>
        <v>190.59</v>
      </c>
    </row>
    <row r="1156" spans="1:11" x14ac:dyDescent="0.2">
      <c r="A1156" s="199"/>
      <c r="B1156" s="229"/>
      <c r="C1156" s="229"/>
      <c r="D1156" s="199"/>
      <c r="E1156" s="199"/>
      <c r="F1156" s="199"/>
      <c r="G1156" s="199"/>
      <c r="H1156" s="199"/>
      <c r="I1156" s="439"/>
    </row>
    <row r="1157" spans="1:11" x14ac:dyDescent="0.2">
      <c r="A1157" s="245" t="s">
        <v>189</v>
      </c>
      <c r="B1157" s="243" t="s">
        <v>59</v>
      </c>
      <c r="C1157" s="635" t="s">
        <v>17</v>
      </c>
      <c r="D1157" s="243" t="s">
        <v>190</v>
      </c>
      <c r="E1157" s="243" t="s">
        <v>191</v>
      </c>
      <c r="F1157" s="243" t="s">
        <v>192</v>
      </c>
      <c r="G1157" s="1121" t="s">
        <v>94</v>
      </c>
      <c r="H1157" s="1114"/>
      <c r="I1157" s="1115"/>
    </row>
    <row r="1158" spans="1:11" x14ac:dyDescent="0.2">
      <c r="A1158" s="244" t="s">
        <v>127</v>
      </c>
      <c r="B1158" s="234">
        <v>2000</v>
      </c>
      <c r="C1158" s="239">
        <v>5</v>
      </c>
      <c r="D1158" s="235" t="s">
        <v>208</v>
      </c>
      <c r="E1158" s="246"/>
      <c r="F1158" s="246"/>
      <c r="G1158" s="240"/>
      <c r="H1158" s="241"/>
      <c r="I1158" s="427">
        <f>TRUNC(C1158/100*I1155,2)</f>
        <v>9.52</v>
      </c>
      <c r="J1158" s="295"/>
      <c r="K1158" s="295"/>
    </row>
    <row r="1159" spans="1:11" x14ac:dyDescent="0.2">
      <c r="A1159" s="199"/>
      <c r="B1159" s="229"/>
      <c r="C1159" s="199"/>
      <c r="D1159" s="199"/>
      <c r="E1159" s="199"/>
      <c r="F1159" s="230" t="s">
        <v>327</v>
      </c>
      <c r="G1159" s="240"/>
      <c r="H1159" s="241"/>
      <c r="I1159" s="438">
        <f>I1158</f>
        <v>9.52</v>
      </c>
    </row>
    <row r="1160" spans="1:11" x14ac:dyDescent="0.2">
      <c r="A1160" s="199"/>
      <c r="B1160" s="229"/>
      <c r="C1160" s="199"/>
      <c r="D1160" s="199"/>
      <c r="E1160" s="199"/>
      <c r="F1160" s="199"/>
      <c r="G1160" s="199"/>
      <c r="H1160" s="199"/>
      <c r="I1160" s="439"/>
    </row>
    <row r="1161" spans="1:11" x14ac:dyDescent="0.2">
      <c r="A1161" s="247"/>
      <c r="B1161" s="248"/>
      <c r="C1161" s="249"/>
      <c r="D1161" s="249"/>
      <c r="E1161" s="249"/>
      <c r="F1161" s="250" t="s">
        <v>193</v>
      </c>
      <c r="G1161" s="401"/>
      <c r="H1161" s="249"/>
      <c r="I1161" s="445">
        <f>+I1149+I1155+I1159</f>
        <v>684.8</v>
      </c>
    </row>
    <row r="1162" spans="1:11" x14ac:dyDescent="0.2">
      <c r="A1162" s="251"/>
      <c r="B1162" s="252"/>
      <c r="C1162" s="253"/>
      <c r="D1162" s="253"/>
      <c r="E1162" s="253"/>
      <c r="F1162" s="254" t="s">
        <v>194</v>
      </c>
      <c r="G1162" s="255"/>
      <c r="H1162" s="253"/>
      <c r="I1162" s="446">
        <v>36</v>
      </c>
    </row>
    <row r="1163" spans="1:11" x14ac:dyDescent="0.2">
      <c r="A1163" s="233"/>
      <c r="B1163" s="256"/>
      <c r="C1163" s="241"/>
      <c r="D1163" s="241"/>
      <c r="E1163" s="241"/>
      <c r="F1163" s="257" t="s">
        <v>216</v>
      </c>
      <c r="G1163" s="240"/>
      <c r="H1163" s="241"/>
      <c r="I1163" s="447">
        <f>TRUNC(I1161/I1162,2)</f>
        <v>19.02</v>
      </c>
    </row>
    <row r="1164" spans="1:11" x14ac:dyDescent="0.2">
      <c r="A1164" s="636"/>
      <c r="B1164" s="229"/>
      <c r="C1164" s="199"/>
      <c r="D1164" s="199"/>
      <c r="E1164" s="199"/>
      <c r="F1164" s="258"/>
      <c r="G1164" s="199"/>
      <c r="H1164" s="199"/>
      <c r="I1164" s="450"/>
    </row>
    <row r="1165" spans="1:11" x14ac:dyDescent="0.2">
      <c r="A1165" s="242" t="s">
        <v>195</v>
      </c>
      <c r="B1165" s="243" t="s">
        <v>59</v>
      </c>
      <c r="C1165" s="243" t="s">
        <v>196</v>
      </c>
      <c r="D1165" s="243" t="s">
        <v>217</v>
      </c>
      <c r="E1165" s="1121" t="s">
        <v>89</v>
      </c>
      <c r="F1165" s="1114"/>
      <c r="G1165" s="1115"/>
      <c r="H1165" s="1121" t="s">
        <v>183</v>
      </c>
      <c r="I1165" s="1115"/>
    </row>
    <row r="1166" spans="1:11" ht="22.5" x14ac:dyDescent="0.2">
      <c r="A1166" s="259" t="str">
        <f>VLOOKUP(B1166,mat.!$A:$D,2,FALSE)</f>
        <v>Brita graduada, especificada sem pó, sem frete</v>
      </c>
      <c r="B1166" s="234">
        <v>10119</v>
      </c>
      <c r="C1166" s="260" t="str">
        <f>VLOOKUP(B1166,mat.!$A:$D,3,FALSE)</f>
        <v>m3</v>
      </c>
      <c r="D1166" s="261">
        <f>VLOOKUP(B1166,mat.!$A:$D,4,FALSE)</f>
        <v>48.4</v>
      </c>
      <c r="E1166" s="255"/>
      <c r="F1166" s="253"/>
      <c r="G1166" s="293">
        <v>0.39960000000000001</v>
      </c>
      <c r="H1166" s="255"/>
      <c r="I1166" s="423">
        <f>TRUNC(D1166*G1166,2)</f>
        <v>19.34</v>
      </c>
    </row>
    <row r="1167" spans="1:11" x14ac:dyDescent="0.2">
      <c r="A1167" s="259" t="str">
        <f>VLOOKUP(B1167,mat.!$A:$D,2,FALSE)</f>
        <v>Filler</v>
      </c>
      <c r="B1167" s="234">
        <v>10098</v>
      </c>
      <c r="C1167" s="260" t="str">
        <f>VLOOKUP(B1167,mat.!$A:$D,3,FALSE)</f>
        <v>t</v>
      </c>
      <c r="D1167" s="261">
        <f>VLOOKUP(B1167,mat.!$A:$D,4,FALSE)</f>
        <v>127.06</v>
      </c>
      <c r="E1167" s="255"/>
      <c r="F1167" s="253"/>
      <c r="G1167" s="293">
        <v>0.03</v>
      </c>
      <c r="H1167" s="255"/>
      <c r="I1167" s="423">
        <f>TRUNC(D1167*G1167,2)</f>
        <v>3.81</v>
      </c>
    </row>
    <row r="1168" spans="1:11" x14ac:dyDescent="0.2">
      <c r="A1168" s="259" t="str">
        <f>VLOOKUP(B1168,mat.!$A:$D,2,FALSE)</f>
        <v>Pó de pedra (incl. 0% IUM) s/ frete</v>
      </c>
      <c r="B1168" s="234">
        <v>10120</v>
      </c>
      <c r="C1168" s="260" t="str">
        <f>VLOOKUP(B1168,mat.!$A:$D,3,FALSE)</f>
        <v>m3</v>
      </c>
      <c r="D1168" s="261">
        <f>VLOOKUP(B1168,mat.!$A:$D,4,FALSE)</f>
        <v>50.87</v>
      </c>
      <c r="E1168" s="255"/>
      <c r="F1168" s="253"/>
      <c r="G1168" s="293">
        <v>0.20710000000000001</v>
      </c>
      <c r="H1168" s="255"/>
      <c r="I1168" s="423">
        <f>TRUNC(D1168*G1168,2)</f>
        <v>10.53</v>
      </c>
    </row>
    <row r="1169" spans="1:10" x14ac:dyDescent="0.2">
      <c r="A1169" s="199"/>
      <c r="B1169" s="229"/>
      <c r="C1169" s="199"/>
      <c r="D1169" s="199"/>
      <c r="E1169" s="199"/>
      <c r="F1169" s="230" t="s">
        <v>197</v>
      </c>
      <c r="G1169" s="240"/>
      <c r="H1169" s="241"/>
      <c r="I1169" s="438">
        <f>SUM(I1166:I1168)</f>
        <v>33.68</v>
      </c>
    </row>
    <row r="1170" spans="1:10" x14ac:dyDescent="0.2">
      <c r="A1170" s="199"/>
      <c r="B1170" s="229"/>
      <c r="C1170" s="199"/>
      <c r="D1170" s="199"/>
      <c r="E1170" s="199"/>
      <c r="F1170" s="199"/>
      <c r="G1170" s="262"/>
      <c r="H1170" s="199"/>
      <c r="I1170" s="439"/>
    </row>
    <row r="1171" spans="1:10" x14ac:dyDescent="0.2">
      <c r="A1171" s="263" t="s">
        <v>198</v>
      </c>
      <c r="B1171" s="243" t="s">
        <v>59</v>
      </c>
      <c r="C1171" s="243" t="s">
        <v>196</v>
      </c>
      <c r="D1171" s="635" t="s">
        <v>217</v>
      </c>
      <c r="E1171" s="1111" t="s">
        <v>89</v>
      </c>
      <c r="F1171" s="1112"/>
      <c r="G1171" s="1113"/>
      <c r="H1171" s="1114" t="s">
        <v>183</v>
      </c>
      <c r="I1171" s="1115"/>
    </row>
    <row r="1172" spans="1:10" ht="47.45" customHeight="1" x14ac:dyDescent="0.2">
      <c r="A1172" s="416" t="str">
        <f>VLOOKUP(B1172,'DER 11-20'!$A:$E,2,FALSE)</f>
        <v>Usinagem de concreto betuminoso usinado a quente (CBUQ), inclusive transporte comercial do oleo combustível</v>
      </c>
      <c r="B1172" s="417">
        <v>40840</v>
      </c>
      <c r="C1172" s="417" t="str">
        <f>VLOOKUP(B1172,'DER 11-20'!$A:$E,3,FALSE)</f>
        <v>t</v>
      </c>
      <c r="D1172" s="239">
        <f>TRUNC(VLOOKUP(B1172,'DER 11-20'!$A:$F,6,FALSE)/(1+$I$4),2)</f>
        <v>41.17</v>
      </c>
      <c r="E1172" s="419"/>
      <c r="F1172" s="420"/>
      <c r="G1172" s="790">
        <v>1</v>
      </c>
      <c r="H1172" s="422"/>
      <c r="I1172" s="423">
        <f>TRUNC(D1172*G1172,2)</f>
        <v>41.17</v>
      </c>
    </row>
    <row r="1173" spans="1:10" x14ac:dyDescent="0.2">
      <c r="A1173" s="200"/>
      <c r="B1173" s="264"/>
      <c r="C1173" s="200"/>
      <c r="D1173" s="200"/>
      <c r="E1173" s="200"/>
      <c r="F1173" s="265" t="s">
        <v>199</v>
      </c>
      <c r="G1173" s="255"/>
      <c r="H1173" s="266"/>
      <c r="I1173" s="441">
        <f>I1172</f>
        <v>41.17</v>
      </c>
    </row>
    <row r="1174" spans="1:10" x14ac:dyDescent="0.2">
      <c r="A1174" s="200"/>
      <c r="B1174" s="264"/>
      <c r="C1174" s="200"/>
      <c r="D1174" s="200"/>
      <c r="E1174" s="200"/>
      <c r="F1174" s="200"/>
      <c r="G1174" s="200"/>
      <c r="H1174" s="200"/>
      <c r="I1174" s="440"/>
    </row>
    <row r="1175" spans="1:10" x14ac:dyDescent="0.2">
      <c r="A1175" s="267" t="s">
        <v>200</v>
      </c>
      <c r="B1175" s="268" t="s">
        <v>59</v>
      </c>
      <c r="C1175" s="268" t="s">
        <v>196</v>
      </c>
      <c r="D1175" s="268" t="s">
        <v>201</v>
      </c>
      <c r="E1175" s="268" t="s">
        <v>202</v>
      </c>
      <c r="F1175" s="268" t="s">
        <v>203</v>
      </c>
      <c r="G1175" s="268" t="s">
        <v>94</v>
      </c>
      <c r="H1175" s="268" t="s">
        <v>89</v>
      </c>
      <c r="I1175" s="442" t="s">
        <v>204</v>
      </c>
    </row>
    <row r="1176" spans="1:10" ht="22.5" x14ac:dyDescent="0.2">
      <c r="A1176" s="244" t="str">
        <f>VLOOKUP(B1176,transp.!A:D,2,FALSE)</f>
        <v>Transporte de Brita 0</v>
      </c>
      <c r="B1176" s="234">
        <v>1028</v>
      </c>
      <c r="C1176" s="234" t="str">
        <f>VLOOKUP(B1176,transp.!$A:$J,3,FALSE)</f>
        <v xml:space="preserve"> t  </v>
      </c>
      <c r="D1176" s="402" t="str">
        <f>VLOOKUP(B1176,transp.!$A:$J,4,FALSE)</f>
        <v>0,719XP + 0,749XR + 2,997</v>
      </c>
      <c r="E1176" s="270">
        <f>VLOOKUP(J1176,Dis!$B:$F,4,FALSE)</f>
        <v>12.9</v>
      </c>
      <c r="F1176" s="270">
        <f>VLOOKUP(J1176,Dis!$B:$F,5,FALSE)</f>
        <v>2.42</v>
      </c>
      <c r="G1176" s="239">
        <f>TRUNC(VLOOKUP(B1176,transp.!$A:$J,5,FALSE)*E1176+VLOOKUP(B1176,transp.!$A:$J,6,FALSE)*F1176+VLOOKUP(B1176,transp.!$A:$J,7,FALSE),2)</f>
        <v>14.08</v>
      </c>
      <c r="H1176" s="271">
        <v>0.59950000000000003</v>
      </c>
      <c r="I1176" s="418">
        <f>TRUNC(G1176*H1176,2)</f>
        <v>8.44</v>
      </c>
      <c r="J1176" s="400" t="s">
        <v>667</v>
      </c>
    </row>
    <row r="1177" spans="1:10" x14ac:dyDescent="0.2">
      <c r="A1177" s="244" t="str">
        <f>VLOOKUP(B1177,transp.!A:D,2,FALSE)</f>
        <v>Transp. De Filler</v>
      </c>
      <c r="B1177" s="234">
        <v>1032</v>
      </c>
      <c r="C1177" s="234" t="str">
        <f>VLOOKUP(B1177,transp.!$A:$J,3,FALSE)</f>
        <v>t</v>
      </c>
      <c r="D1177" s="402" t="str">
        <f>VLOOKUP(B1177,transp.!$A:$J,4,FALSE)</f>
        <v>0,716XP + 0,745XR</v>
      </c>
      <c r="E1177" s="270">
        <f>VLOOKUP(J1177,Dis!$B:$F,4,FALSE)</f>
        <v>12.9</v>
      </c>
      <c r="F1177" s="270">
        <f>VLOOKUP(J1177,Dis!$B:$F,5,FALSE)</f>
        <v>2.4500000000000002</v>
      </c>
      <c r="G1177" s="239">
        <f>TRUNC(VLOOKUP(B1177,transp.!$A:$J,5,FALSE)*E1177+VLOOKUP(B1177,transp.!$A:$J,6,FALSE)*F1177+VLOOKUP(B1177,transp.!$A:$J,7,FALSE),2)</f>
        <v>11.06</v>
      </c>
      <c r="H1177" s="271">
        <v>0.03</v>
      </c>
      <c r="I1177" s="418">
        <f>TRUNC(G1177*H1177,2)</f>
        <v>0.33</v>
      </c>
      <c r="J1177" s="400" t="s">
        <v>637</v>
      </c>
    </row>
    <row r="1178" spans="1:10" ht="22.5" x14ac:dyDescent="0.2">
      <c r="A1178" s="244" t="str">
        <f>VLOOKUP(B1178,transp.!A:D,2,FALSE)</f>
        <v>Transporte de pó de pedra (Incl. 0% IUM) s/ frete</v>
      </c>
      <c r="B1178" s="234">
        <v>1029</v>
      </c>
      <c r="C1178" s="234" t="str">
        <f>VLOOKUP(B1178,transp.!$A:$J,3,FALSE)</f>
        <v xml:space="preserve"> t  </v>
      </c>
      <c r="D1178" s="402" t="str">
        <f>VLOOKUP(B1178,transp.!$A:$J,4,FALSE)</f>
        <v>0,719XP + 0,749XR + 2,997</v>
      </c>
      <c r="E1178" s="270">
        <f>VLOOKUP(J1178,Dis!$B:$F,4,FALSE)</f>
        <v>12.9</v>
      </c>
      <c r="F1178" s="270">
        <f>VLOOKUP(J1178,Dis!$B:$F,5,FALSE)</f>
        <v>2.42</v>
      </c>
      <c r="G1178" s="239">
        <f>TRUNC(VLOOKUP(B1178,transp.!$A:$J,5,FALSE)*E1178+VLOOKUP(B1178,transp.!$A:$J,6,FALSE)*F1178+VLOOKUP(B1178,transp.!$A:$J,7,FALSE),2)</f>
        <v>14.08</v>
      </c>
      <c r="H1178" s="271">
        <v>0.31059999999999999</v>
      </c>
      <c r="I1178" s="418">
        <f>TRUNC(G1178*H1178,2)</f>
        <v>4.37</v>
      </c>
      <c r="J1178" s="400" t="s">
        <v>667</v>
      </c>
    </row>
    <row r="1179" spans="1:10" x14ac:dyDescent="0.2">
      <c r="A1179" s="200"/>
      <c r="B1179" s="264"/>
      <c r="C1179" s="200"/>
      <c r="D1179" s="200"/>
      <c r="E1179" s="200"/>
      <c r="F1179" s="265" t="s">
        <v>205</v>
      </c>
      <c r="G1179" s="240"/>
      <c r="H1179" s="272"/>
      <c r="I1179" s="443">
        <f>SUM(I1176:I1178)</f>
        <v>13.14</v>
      </c>
    </row>
    <row r="1180" spans="1:10" x14ac:dyDescent="0.2">
      <c r="A1180" s="200"/>
      <c r="B1180" s="264"/>
      <c r="C1180" s="200"/>
      <c r="D1180" s="200"/>
      <c r="E1180" s="200"/>
      <c r="F1180" s="200"/>
      <c r="G1180" s="200"/>
      <c r="H1180" s="200"/>
      <c r="I1180" s="444"/>
    </row>
    <row r="1181" spans="1:10" x14ac:dyDescent="0.2">
      <c r="A1181" s="273"/>
      <c r="B1181" s="274"/>
      <c r="C1181" s="275"/>
      <c r="D1181" s="275"/>
      <c r="E1181" s="275"/>
      <c r="F1181" s="276" t="s">
        <v>206</v>
      </c>
      <c r="G1181" s="273"/>
      <c r="H1181" s="249"/>
      <c r="I1181" s="445">
        <f>+I1163+I1169+I1173+I1179</f>
        <v>107.01</v>
      </c>
    </row>
    <row r="1182" spans="1:10" x14ac:dyDescent="0.2">
      <c r="A1182" s="255"/>
      <c r="B1182" s="277"/>
      <c r="C1182" s="266"/>
      <c r="D1182" s="266"/>
      <c r="E1182" s="266"/>
      <c r="F1182" s="278" t="str">
        <f>CONCATENATE($H$3," ",$I$3)</f>
        <v>BDI: 23,32</v>
      </c>
      <c r="G1182" s="403"/>
      <c r="H1182" s="253"/>
      <c r="I1182" s="446">
        <f>+ROUND(I1181*$I$4,2)</f>
        <v>24.95</v>
      </c>
    </row>
    <row r="1183" spans="1:10" x14ac:dyDescent="0.2">
      <c r="A1183" s="240"/>
      <c r="B1183" s="279"/>
      <c r="C1183" s="272"/>
      <c r="D1183" s="272"/>
      <c r="E1183" s="272"/>
      <c r="F1183" s="280" t="s">
        <v>207</v>
      </c>
      <c r="G1183" s="404"/>
      <c r="H1183" s="241"/>
      <c r="I1183" s="720">
        <f>+I1181+I1182</f>
        <v>131.96</v>
      </c>
    </row>
    <row r="1184" spans="1:10" x14ac:dyDescent="0.2">
      <c r="A1184" s="1116" t="str">
        <f>$A$1</f>
        <v>COMPOSIÇÃO DE CUSTOS UNITÁRIOS</v>
      </c>
      <c r="B1184" s="1116"/>
      <c r="C1184" s="1116"/>
      <c r="D1184" s="1116"/>
      <c r="E1184" s="1116"/>
      <c r="F1184" s="1116"/>
      <c r="G1184" s="1116"/>
      <c r="H1184" s="1116"/>
      <c r="I1184" s="1116"/>
    </row>
    <row r="1185" spans="1:13" x14ac:dyDescent="0.2">
      <c r="A1185" s="228" t="str">
        <f>$A$2</f>
        <v>Tabela Referencial de Preços - DER-ES</v>
      </c>
      <c r="B1185" s="229"/>
      <c r="C1185" s="199"/>
      <c r="D1185" s="199"/>
      <c r="E1185" s="199"/>
      <c r="F1185" s="199"/>
      <c r="G1185" s="199"/>
      <c r="H1185" s="199"/>
      <c r="I1185" s="414" t="str">
        <f>$I$2</f>
        <v>Data Base: novembro/2020</v>
      </c>
    </row>
    <row r="1186" spans="1:13" x14ac:dyDescent="0.2">
      <c r="A1186" s="1117" t="str">
        <f>+CONCATENATE("Serviço: ",J1186," ",VLOOKUP(J1186,'DER 11-20'!$A:$D,2,FALSE))</f>
        <v>Serviço: 40898 Pavimentação com blocos de concreto (35 MPa) esp.=08 cm,colchão areia esp.=5cm, inclusive fornecim. do bloco e areia, exclusive transp. blocos e areia</v>
      </c>
      <c r="B1186" s="1117"/>
      <c r="C1186" s="1117"/>
      <c r="D1186" s="1117"/>
      <c r="E1186" s="1117"/>
      <c r="F1186" s="1117"/>
      <c r="G1186" s="1117"/>
      <c r="H1186" s="1117"/>
      <c r="I1186" s="1119" t="str">
        <f>CONCATENATE("Unidade: ", VLOOKUP(J1186,'DER 11-20'!$A:$E,3,FALSE))</f>
        <v>Unidade: M2</v>
      </c>
      <c r="J1186" s="400">
        <v>40898</v>
      </c>
      <c r="K1186" s="400">
        <f>VLOOKUP("Preço Unitário Total",F1187:I3394,4,FALSE)</f>
        <v>91.98</v>
      </c>
      <c r="L1186" s="295">
        <f>VLOOKUP(J1186,'DER 11-20'!A:E,5,FALSE)</f>
        <v>0</v>
      </c>
      <c r="M1186" s="295" t="str">
        <f>VLOOKUP(J1186,'DER 11-20'!$A:$D,2,FALSE)</f>
        <v>Pavimentação com blocos de concreto (35 MPa) esp.=08 cm,colchão areia esp.=5cm, inclusive fornecim. do bloco e areia, exclusive transp. blocos e areia</v>
      </c>
    </row>
    <row r="1187" spans="1:13" x14ac:dyDescent="0.2">
      <c r="A1187" s="1118"/>
      <c r="B1187" s="1118"/>
      <c r="C1187" s="1118"/>
      <c r="D1187" s="1118"/>
      <c r="E1187" s="1118"/>
      <c r="F1187" s="1118"/>
      <c r="G1187" s="1118"/>
      <c r="H1187" s="1118"/>
      <c r="I1187" s="1120"/>
    </row>
    <row r="1188" spans="1:13" ht="22.5" x14ac:dyDescent="0.2">
      <c r="A1188" s="231" t="s">
        <v>177</v>
      </c>
      <c r="B1188" s="232" t="s">
        <v>59</v>
      </c>
      <c r="C1188" s="232" t="s">
        <v>178</v>
      </c>
      <c r="D1188" s="232" t="s">
        <v>179</v>
      </c>
      <c r="E1188" s="232" t="s">
        <v>180</v>
      </c>
      <c r="F1188" s="232" t="s">
        <v>181</v>
      </c>
      <c r="G1188" s="232" t="s">
        <v>182</v>
      </c>
      <c r="H1188" s="232" t="s">
        <v>89</v>
      </c>
      <c r="I1188" s="434" t="s">
        <v>183</v>
      </c>
    </row>
    <row r="1189" spans="1:13" ht="22.5" x14ac:dyDescent="0.2">
      <c r="A1189" s="233" t="str">
        <f>VLOOKUP(B1189,equip.!$A:$G,2,FALSE)</f>
        <v>Rolo AP de pneus AP-26 (8,9t) (MULLER) ou equivalente</v>
      </c>
      <c r="B1189" s="234">
        <v>30032</v>
      </c>
      <c r="C1189" s="235" t="str">
        <f>VLOOKUP(B1189,equip.!$A$1:$G$238,3,FALSE)</f>
        <v>M</v>
      </c>
      <c r="D1189" s="236">
        <v>0.1</v>
      </c>
      <c r="E1189" s="203">
        <v>0.9</v>
      </c>
      <c r="F1189" s="237">
        <f>VLOOKUP(B1189,equip.!$A:$G,6,FALSE)</f>
        <v>178.78</v>
      </c>
      <c r="G1189" s="237">
        <f>VLOOKUP(B1189,equip.!$A:$G,7,FALSE)</f>
        <v>64.73</v>
      </c>
      <c r="H1189" s="238">
        <v>1</v>
      </c>
      <c r="I1189" s="418">
        <f>TRUNC(D1189*F1189*H1189+E1189*G1189*H1189,2)</f>
        <v>76.13</v>
      </c>
    </row>
    <row r="1190" spans="1:13" x14ac:dyDescent="0.2">
      <c r="A1190" s="199"/>
      <c r="B1190" s="229"/>
      <c r="C1190" s="229"/>
      <c r="D1190" s="199"/>
      <c r="E1190" s="199"/>
      <c r="F1190" s="230" t="s">
        <v>184</v>
      </c>
      <c r="G1190" s="240"/>
      <c r="H1190" s="241"/>
      <c r="I1190" s="438">
        <f>SUM(I1189:I1189)</f>
        <v>76.13</v>
      </c>
    </row>
    <row r="1191" spans="1:13" x14ac:dyDescent="0.2">
      <c r="A1191" s="199"/>
      <c r="B1191" s="229"/>
      <c r="C1191" s="229"/>
      <c r="D1191" s="199"/>
      <c r="E1191" s="199"/>
      <c r="F1191" s="199"/>
      <c r="G1191" s="199"/>
      <c r="H1191" s="199"/>
      <c r="I1191" s="439"/>
    </row>
    <row r="1192" spans="1:13" x14ac:dyDescent="0.2">
      <c r="A1192" s="242" t="s">
        <v>185</v>
      </c>
      <c r="B1192" s="243" t="s">
        <v>59</v>
      </c>
      <c r="C1192" s="232" t="s">
        <v>357</v>
      </c>
      <c r="D1192" s="243" t="s">
        <v>187</v>
      </c>
      <c r="E1192" s="1111" t="s">
        <v>89</v>
      </c>
      <c r="F1192" s="1112"/>
      <c r="G1192" s="1113"/>
      <c r="H1192" s="1121" t="s">
        <v>183</v>
      </c>
      <c r="I1192" s="1115"/>
    </row>
    <row r="1193" spans="1:13" x14ac:dyDescent="0.2">
      <c r="A1193" s="259" t="str">
        <f>VLOOKUP(B1193,m.o.!$A:$H,2,FALSE)</f>
        <v>Calceteiro</v>
      </c>
      <c r="B1193" s="234">
        <v>20035</v>
      </c>
      <c r="C1193" s="261">
        <f>VLOOKUP(B1193,m.o.!$A:$F,4,FALSE)</f>
        <v>1.24</v>
      </c>
      <c r="D1193" s="261">
        <f>VLOOKUP(B1193,m.o.!$A:$G,7,FALSE)</f>
        <v>15.53</v>
      </c>
      <c r="E1193" s="255"/>
      <c r="F1193" s="253"/>
      <c r="G1193" s="405">
        <v>1</v>
      </c>
      <c r="H1193" s="255"/>
      <c r="I1193" s="423">
        <f>TRUNC(D1193*G1193,2)</f>
        <v>15.53</v>
      </c>
    </row>
    <row r="1194" spans="1:13" x14ac:dyDescent="0.2">
      <c r="A1194" s="244" t="str">
        <f>VLOOKUP(B1194,m.o.!$A:$H,2,FALSE)</f>
        <v>Encarregado de pavimentação</v>
      </c>
      <c r="B1194" s="234">
        <v>20065</v>
      </c>
      <c r="C1194" s="239">
        <f>VLOOKUP(B1194,m.o.!$A:$F,4,FALSE)</f>
        <v>2.2599999999999998</v>
      </c>
      <c r="D1194" s="239">
        <f>VLOOKUP(B1194,m.o.!$A:$G,7,FALSE)</f>
        <v>28.31</v>
      </c>
      <c r="E1194" s="255"/>
      <c r="F1194" s="253"/>
      <c r="G1194" s="293">
        <v>0.5</v>
      </c>
      <c r="H1194" s="240"/>
      <c r="I1194" s="427">
        <f>TRUNC(D1194*G1194,2)</f>
        <v>14.15</v>
      </c>
    </row>
    <row r="1195" spans="1:13" x14ac:dyDescent="0.2">
      <c r="A1195" s="259" t="str">
        <f>VLOOKUP(B1195,m.o.!$A:$H,2,FALSE)</f>
        <v>Servente</v>
      </c>
      <c r="B1195" s="234">
        <v>20002</v>
      </c>
      <c r="C1195" s="261">
        <f>VLOOKUP(B1195,m.o.!$A:$F,4,FALSE)</f>
        <v>1</v>
      </c>
      <c r="D1195" s="261">
        <f>VLOOKUP(B1195,m.o.!$A:$G,7,FALSE)</f>
        <v>12.52</v>
      </c>
      <c r="E1195" s="255"/>
      <c r="F1195" s="253"/>
      <c r="G1195" s="405">
        <v>2</v>
      </c>
      <c r="H1195" s="255"/>
      <c r="I1195" s="423">
        <f>TRUNC(D1195*G1195,2)</f>
        <v>25.04</v>
      </c>
    </row>
    <row r="1196" spans="1:13" x14ac:dyDescent="0.2">
      <c r="A1196" s="199"/>
      <c r="B1196" s="229"/>
      <c r="C1196" s="229"/>
      <c r="D1196" s="199"/>
      <c r="E1196" s="199"/>
      <c r="F1196" s="230" t="s">
        <v>188</v>
      </c>
      <c r="G1196" s="240"/>
      <c r="H1196" s="241"/>
      <c r="I1196" s="438">
        <f>SUM(I1193:I1195)</f>
        <v>54.72</v>
      </c>
    </row>
    <row r="1197" spans="1:13" x14ac:dyDescent="0.2">
      <c r="A1197" s="199"/>
      <c r="B1197" s="229"/>
      <c r="C1197" s="229"/>
      <c r="D1197" s="199"/>
      <c r="E1197" s="199"/>
      <c r="F1197" s="199"/>
      <c r="G1197" s="199"/>
      <c r="H1197" s="199"/>
      <c r="I1197" s="439"/>
    </row>
    <row r="1198" spans="1:13" x14ac:dyDescent="0.2">
      <c r="A1198" s="245" t="s">
        <v>189</v>
      </c>
      <c r="B1198" s="243" t="s">
        <v>59</v>
      </c>
      <c r="C1198" s="814" t="s">
        <v>17</v>
      </c>
      <c r="D1198" s="243" t="s">
        <v>190</v>
      </c>
      <c r="E1198" s="243" t="s">
        <v>191</v>
      </c>
      <c r="F1198" s="243" t="s">
        <v>192</v>
      </c>
      <c r="G1198" s="1121" t="s">
        <v>94</v>
      </c>
      <c r="H1198" s="1114"/>
      <c r="I1198" s="1115"/>
    </row>
    <row r="1199" spans="1:13" x14ac:dyDescent="0.2">
      <c r="A1199" s="244" t="s">
        <v>127</v>
      </c>
      <c r="B1199" s="234">
        <v>2000</v>
      </c>
      <c r="C1199" s="239">
        <v>5</v>
      </c>
      <c r="D1199" s="235" t="s">
        <v>208</v>
      </c>
      <c r="E1199" s="246"/>
      <c r="F1199" s="246"/>
      <c r="G1199" s="240"/>
      <c r="H1199" s="241"/>
      <c r="I1199" s="427">
        <f>TRUNC(C1199/100*I1196,2)</f>
        <v>2.73</v>
      </c>
      <c r="J1199" s="295"/>
      <c r="K1199" s="295"/>
    </row>
    <row r="1200" spans="1:13" x14ac:dyDescent="0.2">
      <c r="A1200" s="199"/>
      <c r="B1200" s="229"/>
      <c r="C1200" s="199"/>
      <c r="D1200" s="199"/>
      <c r="E1200" s="199"/>
      <c r="F1200" s="230" t="s">
        <v>327</v>
      </c>
      <c r="G1200" s="240"/>
      <c r="H1200" s="241"/>
      <c r="I1200" s="438">
        <f>I1199</f>
        <v>2.73</v>
      </c>
    </row>
    <row r="1201" spans="1:9" x14ac:dyDescent="0.2">
      <c r="A1201" s="199"/>
      <c r="B1201" s="229"/>
      <c r="C1201" s="199"/>
      <c r="D1201" s="199"/>
      <c r="E1201" s="199"/>
      <c r="F1201" s="199"/>
      <c r="G1201" s="199"/>
      <c r="H1201" s="199"/>
      <c r="I1201" s="439"/>
    </row>
    <row r="1202" spans="1:9" x14ac:dyDescent="0.2">
      <c r="A1202" s="247"/>
      <c r="B1202" s="248"/>
      <c r="C1202" s="249"/>
      <c r="D1202" s="249"/>
      <c r="E1202" s="249"/>
      <c r="F1202" s="250" t="s">
        <v>193</v>
      </c>
      <c r="G1202" s="401"/>
      <c r="H1202" s="249"/>
      <c r="I1202" s="445">
        <f>+I1190+I1196+I1200</f>
        <v>133.58000000000001</v>
      </c>
    </row>
    <row r="1203" spans="1:9" x14ac:dyDescent="0.2">
      <c r="A1203" s="251"/>
      <c r="B1203" s="252"/>
      <c r="C1203" s="253"/>
      <c r="D1203" s="253"/>
      <c r="E1203" s="253"/>
      <c r="F1203" s="254" t="s">
        <v>194</v>
      </c>
      <c r="G1203" s="255"/>
      <c r="H1203" s="253"/>
      <c r="I1203" s="446">
        <v>5</v>
      </c>
    </row>
    <row r="1204" spans="1:9" x14ac:dyDescent="0.2">
      <c r="A1204" s="233"/>
      <c r="B1204" s="256"/>
      <c r="C1204" s="241"/>
      <c r="D1204" s="241"/>
      <c r="E1204" s="241"/>
      <c r="F1204" s="257" t="s">
        <v>216</v>
      </c>
      <c r="G1204" s="240"/>
      <c r="H1204" s="241"/>
      <c r="I1204" s="447">
        <f>TRUNC(I1202/I1203,2)</f>
        <v>26.71</v>
      </c>
    </row>
    <row r="1205" spans="1:9" x14ac:dyDescent="0.2">
      <c r="A1205" s="815"/>
      <c r="B1205" s="229"/>
      <c r="C1205" s="199"/>
      <c r="D1205" s="199"/>
      <c r="E1205" s="199"/>
      <c r="F1205" s="258"/>
      <c r="G1205" s="199"/>
      <c r="H1205" s="199"/>
      <c r="I1205" s="450"/>
    </row>
    <row r="1206" spans="1:9" x14ac:dyDescent="0.2">
      <c r="A1206" s="242" t="s">
        <v>195</v>
      </c>
      <c r="B1206" s="243" t="s">
        <v>59</v>
      </c>
      <c r="C1206" s="243" t="s">
        <v>196</v>
      </c>
      <c r="D1206" s="243" t="s">
        <v>217</v>
      </c>
      <c r="E1206" s="1121" t="s">
        <v>89</v>
      </c>
      <c r="F1206" s="1114"/>
      <c r="G1206" s="1115"/>
      <c r="H1206" s="1121" t="s">
        <v>183</v>
      </c>
      <c r="I1206" s="1115"/>
    </row>
    <row r="1207" spans="1:9" ht="22.5" x14ac:dyDescent="0.2">
      <c r="A1207" s="259" t="str">
        <f>VLOOKUP(B1207,mat.!$A:$D,2,FALSE)</f>
        <v>Areia grossa jazida com carregamento mecânico</v>
      </c>
      <c r="B1207" s="234">
        <v>10109</v>
      </c>
      <c r="C1207" s="260" t="str">
        <f>VLOOKUP(B1207,mat.!$A:$D,3,FALSE)</f>
        <v>m3</v>
      </c>
      <c r="D1207" s="261">
        <f>VLOOKUP(B1207,mat.!$A:$D,4,FALSE)</f>
        <v>60</v>
      </c>
      <c r="E1207" s="255"/>
      <c r="F1207" s="253"/>
      <c r="G1207" s="293">
        <v>0.05</v>
      </c>
      <c r="H1207" s="255"/>
      <c r="I1207" s="423">
        <f>TRUNC(D1207*G1207,2)</f>
        <v>3</v>
      </c>
    </row>
    <row r="1208" spans="1:9" ht="33.75" x14ac:dyDescent="0.2">
      <c r="A1208" s="259" t="str">
        <f>VLOOKUP(B1208,mat.!$A:$D,2,FALSE)</f>
        <v>Bloco para pavimentaçao intertravado - esp= 08 cm, resistência 35 MPa</v>
      </c>
      <c r="B1208" s="234">
        <v>10267</v>
      </c>
      <c r="C1208" s="260" t="str">
        <f>VLOOKUP(B1208,mat.!$A:$D,3,FALSE)</f>
        <v>M2</v>
      </c>
      <c r="D1208" s="261">
        <f>VLOOKUP(B1208,mat.!$A:$D,4,FALSE)</f>
        <v>44.88</v>
      </c>
      <c r="E1208" s="255"/>
      <c r="F1208" s="253"/>
      <c r="G1208" s="293">
        <v>1</v>
      </c>
      <c r="H1208" s="255"/>
      <c r="I1208" s="423">
        <f>TRUNC(D1208*G1208,2)</f>
        <v>44.88</v>
      </c>
    </row>
    <row r="1209" spans="1:9" x14ac:dyDescent="0.2">
      <c r="A1209" s="199"/>
      <c r="B1209" s="229"/>
      <c r="C1209" s="199"/>
      <c r="D1209" s="199"/>
      <c r="E1209" s="199"/>
      <c r="F1209" s="230" t="s">
        <v>197</v>
      </c>
      <c r="G1209" s="240"/>
      <c r="H1209" s="241"/>
      <c r="I1209" s="438">
        <f>SUM(I1207:I1208)</f>
        <v>47.88</v>
      </c>
    </row>
    <row r="1210" spans="1:9" x14ac:dyDescent="0.2">
      <c r="A1210" s="199"/>
      <c r="B1210" s="229"/>
      <c r="C1210" s="199"/>
      <c r="D1210" s="199"/>
      <c r="E1210" s="199"/>
      <c r="F1210" s="199"/>
      <c r="G1210" s="262"/>
      <c r="H1210" s="199"/>
      <c r="I1210" s="439"/>
    </row>
    <row r="1211" spans="1:9" x14ac:dyDescent="0.2">
      <c r="A1211" s="263" t="s">
        <v>198</v>
      </c>
      <c r="B1211" s="243" t="s">
        <v>59</v>
      </c>
      <c r="C1211" s="243" t="s">
        <v>196</v>
      </c>
      <c r="D1211" s="814" t="s">
        <v>217</v>
      </c>
      <c r="E1211" s="1111" t="s">
        <v>89</v>
      </c>
      <c r="F1211" s="1112"/>
      <c r="G1211" s="1113"/>
      <c r="H1211" s="1114" t="s">
        <v>183</v>
      </c>
      <c r="I1211" s="1115"/>
    </row>
    <row r="1212" spans="1:9" x14ac:dyDescent="0.2">
      <c r="A1212" s="200"/>
      <c r="B1212" s="264"/>
      <c r="C1212" s="200"/>
      <c r="D1212" s="200"/>
      <c r="E1212" s="200"/>
      <c r="F1212" s="265" t="s">
        <v>199</v>
      </c>
      <c r="G1212" s="255"/>
      <c r="H1212" s="266"/>
      <c r="I1212" s="441">
        <v>0</v>
      </c>
    </row>
    <row r="1213" spans="1:9" x14ac:dyDescent="0.2">
      <c r="A1213" s="200"/>
      <c r="B1213" s="264"/>
      <c r="C1213" s="200"/>
      <c r="D1213" s="200"/>
      <c r="E1213" s="200"/>
      <c r="F1213" s="200"/>
      <c r="G1213" s="200"/>
      <c r="H1213" s="200"/>
      <c r="I1213" s="440"/>
    </row>
    <row r="1214" spans="1:9" x14ac:dyDescent="0.2">
      <c r="A1214" s="267" t="s">
        <v>200</v>
      </c>
      <c r="B1214" s="268" t="s">
        <v>59</v>
      </c>
      <c r="C1214" s="268" t="s">
        <v>196</v>
      </c>
      <c r="D1214" s="268" t="s">
        <v>201</v>
      </c>
      <c r="E1214" s="268" t="s">
        <v>202</v>
      </c>
      <c r="F1214" s="268" t="s">
        <v>203</v>
      </c>
      <c r="G1214" s="268" t="s">
        <v>94</v>
      </c>
      <c r="H1214" s="268" t="s">
        <v>89</v>
      </c>
      <c r="I1214" s="442" t="s">
        <v>204</v>
      </c>
    </row>
    <row r="1215" spans="1:9" x14ac:dyDescent="0.2">
      <c r="A1215" s="200"/>
      <c r="B1215" s="264"/>
      <c r="C1215" s="200"/>
      <c r="D1215" s="200"/>
      <c r="E1215" s="200"/>
      <c r="F1215" s="265" t="s">
        <v>205</v>
      </c>
      <c r="G1215" s="240"/>
      <c r="H1215" s="272"/>
      <c r="I1215" s="443">
        <v>0</v>
      </c>
    </row>
    <row r="1216" spans="1:9" x14ac:dyDescent="0.2">
      <c r="A1216" s="200"/>
      <c r="B1216" s="264"/>
      <c r="C1216" s="200"/>
      <c r="D1216" s="200"/>
      <c r="E1216" s="200"/>
      <c r="F1216" s="200"/>
      <c r="G1216" s="200"/>
      <c r="H1216" s="200"/>
      <c r="I1216" s="444"/>
    </row>
    <row r="1217" spans="1:13" x14ac:dyDescent="0.2">
      <c r="A1217" s="273"/>
      <c r="B1217" s="274"/>
      <c r="C1217" s="275"/>
      <c r="D1217" s="275"/>
      <c r="E1217" s="275"/>
      <c r="F1217" s="276" t="s">
        <v>206</v>
      </c>
      <c r="G1217" s="273"/>
      <c r="H1217" s="249"/>
      <c r="I1217" s="445">
        <f>+I1204+I1209+I1212+I1215</f>
        <v>74.59</v>
      </c>
    </row>
    <row r="1218" spans="1:13" x14ac:dyDescent="0.2">
      <c r="A1218" s="255"/>
      <c r="B1218" s="277"/>
      <c r="C1218" s="266"/>
      <c r="D1218" s="266"/>
      <c r="E1218" s="266"/>
      <c r="F1218" s="278" t="str">
        <f>CONCATENATE($H$3," ",$I$3)</f>
        <v>BDI: 23,32</v>
      </c>
      <c r="G1218" s="403"/>
      <c r="H1218" s="253"/>
      <c r="I1218" s="446">
        <f>+ROUND(I1217*$I$4,2)</f>
        <v>17.39</v>
      </c>
    </row>
    <row r="1219" spans="1:13" x14ac:dyDescent="0.2">
      <c r="A1219" s="240"/>
      <c r="B1219" s="279"/>
      <c r="C1219" s="272"/>
      <c r="D1219" s="272"/>
      <c r="E1219" s="272"/>
      <c r="F1219" s="280" t="s">
        <v>207</v>
      </c>
      <c r="G1219" s="404"/>
      <c r="H1219" s="241"/>
      <c r="I1219" s="720">
        <f>+I1217+I1218</f>
        <v>91.98</v>
      </c>
    </row>
    <row r="1220" spans="1:13" x14ac:dyDescent="0.2">
      <c r="A1220" s="1116" t="str">
        <f>$A$1</f>
        <v>COMPOSIÇÃO DE CUSTOS UNITÁRIOS</v>
      </c>
      <c r="B1220" s="1116"/>
      <c r="C1220" s="1116"/>
      <c r="D1220" s="1116"/>
      <c r="E1220" s="1116"/>
      <c r="F1220" s="1116"/>
      <c r="G1220" s="1116"/>
      <c r="H1220" s="1116"/>
      <c r="I1220" s="1116"/>
    </row>
    <row r="1221" spans="1:13" x14ac:dyDescent="0.2">
      <c r="A1221" s="228" t="str">
        <f>$A$2</f>
        <v>Tabela Referencial de Preços - DER-ES</v>
      </c>
      <c r="B1221" s="229"/>
      <c r="C1221" s="199"/>
      <c r="D1221" s="199"/>
      <c r="E1221" s="199"/>
      <c r="F1221" s="199"/>
      <c r="G1221" s="199"/>
      <c r="H1221" s="199"/>
      <c r="I1221" s="414" t="str">
        <f>$I$2</f>
        <v>Data Base: novembro/2020</v>
      </c>
      <c r="J1221" s="400">
        <v>40968</v>
      </c>
      <c r="K1221" s="400">
        <f>VLOOKUP("Preço Unitário Total",F1223:I3920,4,FALSE)</f>
        <v>5412.05</v>
      </c>
      <c r="L1221" s="295">
        <f>VLOOKUP(J1221,'DER 11-20'!A:E,5,FALSE)</f>
        <v>0</v>
      </c>
      <c r="M1221" s="295" t="str">
        <f>VLOOKUP(J1221,'DER 11-20'!$A:$D,2,FALSE)</f>
        <v>CM-30, fornecimento</v>
      </c>
    </row>
    <row r="1222" spans="1:13" x14ac:dyDescent="0.2">
      <c r="A1222" s="1117" t="str">
        <f>+CONCATENATE("Serviço: ",J1221," ",VLOOKUP(J1221,'DER 11-20'!$A:$D,2,FALSE))</f>
        <v>Serviço: 40968 CM-30, fornecimento</v>
      </c>
      <c r="B1222" s="1117"/>
      <c r="C1222" s="1117"/>
      <c r="D1222" s="1117"/>
      <c r="E1222" s="1117"/>
      <c r="F1222" s="1117"/>
      <c r="G1222" s="1117"/>
      <c r="H1222" s="1117"/>
      <c r="I1222" s="1119" t="str">
        <f>CONCATENATE("Unidade: ", VLOOKUP(J1221,'DER 11-20'!$A:$E,3,FALSE))</f>
        <v>Unidade: t</v>
      </c>
    </row>
    <row r="1223" spans="1:13" x14ac:dyDescent="0.2">
      <c r="A1223" s="1118"/>
      <c r="B1223" s="1118"/>
      <c r="C1223" s="1118"/>
      <c r="D1223" s="1118"/>
      <c r="E1223" s="1118"/>
      <c r="F1223" s="1118"/>
      <c r="G1223" s="1118"/>
      <c r="H1223" s="1118"/>
      <c r="I1223" s="1120"/>
    </row>
    <row r="1224" spans="1:13" ht="22.5" x14ac:dyDescent="0.2">
      <c r="A1224" s="231" t="s">
        <v>177</v>
      </c>
      <c r="B1224" s="232" t="s">
        <v>59</v>
      </c>
      <c r="C1224" s="232" t="s">
        <v>178</v>
      </c>
      <c r="D1224" s="232" t="s">
        <v>179</v>
      </c>
      <c r="E1224" s="232" t="s">
        <v>180</v>
      </c>
      <c r="F1224" s="232" t="s">
        <v>181</v>
      </c>
      <c r="G1224" s="232" t="s">
        <v>182</v>
      </c>
      <c r="H1224" s="232" t="s">
        <v>89</v>
      </c>
      <c r="I1224" s="434" t="s">
        <v>183</v>
      </c>
    </row>
    <row r="1225" spans="1:13" x14ac:dyDescent="0.2">
      <c r="A1225" s="233"/>
      <c r="B1225" s="234"/>
      <c r="C1225" s="235"/>
      <c r="D1225" s="236"/>
      <c r="E1225" s="203"/>
      <c r="F1225" s="237"/>
      <c r="G1225" s="237"/>
      <c r="H1225" s="238"/>
      <c r="I1225" s="418"/>
    </row>
    <row r="1226" spans="1:13" x14ac:dyDescent="0.2">
      <c r="A1226" s="199"/>
      <c r="B1226" s="229"/>
      <c r="C1226" s="229"/>
      <c r="D1226" s="199"/>
      <c r="E1226" s="199"/>
      <c r="F1226" s="230" t="s">
        <v>184</v>
      </c>
      <c r="G1226" s="240"/>
      <c r="H1226" s="241"/>
      <c r="I1226" s="438">
        <f>SUM(I1225:I1225)</f>
        <v>0</v>
      </c>
    </row>
    <row r="1227" spans="1:13" x14ac:dyDescent="0.2">
      <c r="A1227" s="199"/>
      <c r="B1227" s="229"/>
      <c r="C1227" s="229"/>
      <c r="D1227" s="199"/>
      <c r="E1227" s="199"/>
      <c r="F1227" s="199"/>
      <c r="G1227" s="199"/>
      <c r="H1227" s="199"/>
      <c r="I1227" s="439"/>
    </row>
    <row r="1228" spans="1:13" x14ac:dyDescent="0.2">
      <c r="A1228" s="242" t="s">
        <v>185</v>
      </c>
      <c r="B1228" s="243" t="s">
        <v>59</v>
      </c>
      <c r="C1228" s="232" t="s">
        <v>357</v>
      </c>
      <c r="D1228" s="243" t="s">
        <v>187</v>
      </c>
      <c r="E1228" s="1111" t="s">
        <v>89</v>
      </c>
      <c r="F1228" s="1112"/>
      <c r="G1228" s="1113"/>
      <c r="H1228" s="1121" t="s">
        <v>183</v>
      </c>
      <c r="I1228" s="1115"/>
    </row>
    <row r="1229" spans="1:13" x14ac:dyDescent="0.2">
      <c r="A1229" s="244"/>
      <c r="B1229" s="234"/>
      <c r="C1229" s="239"/>
      <c r="D1229" s="239"/>
      <c r="E1229" s="255"/>
      <c r="F1229" s="253"/>
      <c r="G1229" s="293"/>
      <c r="H1229" s="240"/>
      <c r="I1229" s="427"/>
    </row>
    <row r="1230" spans="1:13" x14ac:dyDescent="0.2">
      <c r="A1230" s="199"/>
      <c r="B1230" s="229"/>
      <c r="C1230" s="229"/>
      <c r="D1230" s="199"/>
      <c r="E1230" s="199"/>
      <c r="F1230" s="230" t="s">
        <v>188</v>
      </c>
      <c r="G1230" s="240"/>
      <c r="H1230" s="241"/>
      <c r="I1230" s="438">
        <f>SUM(I1229:I1229)</f>
        <v>0</v>
      </c>
      <c r="J1230" s="295"/>
      <c r="K1230" s="295"/>
    </row>
    <row r="1231" spans="1:13" x14ac:dyDescent="0.2">
      <c r="A1231" s="199"/>
      <c r="B1231" s="229"/>
      <c r="C1231" s="229"/>
      <c r="D1231" s="199"/>
      <c r="E1231" s="199"/>
      <c r="F1231" s="199"/>
      <c r="G1231" s="199"/>
      <c r="H1231" s="199"/>
      <c r="I1231" s="439"/>
      <c r="J1231" s="295"/>
      <c r="K1231" s="295"/>
    </row>
    <row r="1232" spans="1:13" x14ac:dyDescent="0.2">
      <c r="A1232" s="245" t="s">
        <v>189</v>
      </c>
      <c r="B1232" s="243" t="s">
        <v>59</v>
      </c>
      <c r="C1232" s="635" t="s">
        <v>17</v>
      </c>
      <c r="D1232" s="243" t="s">
        <v>190</v>
      </c>
      <c r="E1232" s="243" t="s">
        <v>191</v>
      </c>
      <c r="F1232" s="243" t="s">
        <v>192</v>
      </c>
      <c r="G1232" s="1121" t="s">
        <v>94</v>
      </c>
      <c r="H1232" s="1114"/>
      <c r="I1232" s="1115"/>
      <c r="J1232" s="295"/>
      <c r="K1232" s="295"/>
    </row>
    <row r="1233" spans="1:11" x14ac:dyDescent="0.2">
      <c r="A1233" s="244"/>
      <c r="B1233" s="234"/>
      <c r="C1233" s="239"/>
      <c r="D1233" s="235"/>
      <c r="E1233" s="246"/>
      <c r="F1233" s="246"/>
      <c r="G1233" s="240"/>
      <c r="H1233" s="241"/>
      <c r="I1233" s="427">
        <f>TRUNC(C1233/100*I1230,2)</f>
        <v>0</v>
      </c>
      <c r="J1233" s="295"/>
      <c r="K1233" s="295"/>
    </row>
    <row r="1234" spans="1:11" x14ac:dyDescent="0.2">
      <c r="A1234" s="199"/>
      <c r="B1234" s="229"/>
      <c r="C1234" s="199"/>
      <c r="D1234" s="199"/>
      <c r="E1234" s="199"/>
      <c r="F1234" s="230" t="s">
        <v>327</v>
      </c>
      <c r="G1234" s="240"/>
      <c r="H1234" s="241"/>
      <c r="I1234" s="438">
        <f>SUM(I1233)</f>
        <v>0</v>
      </c>
      <c r="J1234" s="295"/>
      <c r="K1234" s="295"/>
    </row>
    <row r="1235" spans="1:11" x14ac:dyDescent="0.2">
      <c r="A1235" s="199"/>
      <c r="B1235" s="229"/>
      <c r="C1235" s="199"/>
      <c r="D1235" s="199"/>
      <c r="E1235" s="199"/>
      <c r="F1235" s="199"/>
      <c r="G1235" s="199"/>
      <c r="H1235" s="199"/>
      <c r="I1235" s="439"/>
      <c r="J1235" s="295"/>
      <c r="K1235" s="295"/>
    </row>
    <row r="1236" spans="1:11" x14ac:dyDescent="0.2">
      <c r="A1236" s="247"/>
      <c r="B1236" s="248"/>
      <c r="C1236" s="249"/>
      <c r="D1236" s="249"/>
      <c r="E1236" s="249"/>
      <c r="F1236" s="250" t="s">
        <v>193</v>
      </c>
      <c r="G1236" s="401"/>
      <c r="H1236" s="249"/>
      <c r="I1236" s="445">
        <f>+I1226+I1230+I1234</f>
        <v>0</v>
      </c>
      <c r="J1236" s="295"/>
      <c r="K1236" s="295"/>
    </row>
    <row r="1237" spans="1:11" x14ac:dyDescent="0.2">
      <c r="A1237" s="251"/>
      <c r="B1237" s="252"/>
      <c r="C1237" s="253"/>
      <c r="D1237" s="253"/>
      <c r="E1237" s="253"/>
      <c r="F1237" s="254" t="s">
        <v>194</v>
      </c>
      <c r="G1237" s="255"/>
      <c r="H1237" s="253"/>
      <c r="I1237" s="446">
        <v>1</v>
      </c>
      <c r="J1237" s="295"/>
      <c r="K1237" s="295"/>
    </row>
    <row r="1238" spans="1:11" x14ac:dyDescent="0.2">
      <c r="A1238" s="233"/>
      <c r="B1238" s="256"/>
      <c r="C1238" s="241"/>
      <c r="D1238" s="241"/>
      <c r="E1238" s="241"/>
      <c r="F1238" s="257" t="s">
        <v>216</v>
      </c>
      <c r="G1238" s="240"/>
      <c r="H1238" s="241"/>
      <c r="I1238" s="447">
        <f>TRUNC(I1236/I1237,2)</f>
        <v>0</v>
      </c>
      <c r="J1238" s="295"/>
      <c r="K1238" s="295"/>
    </row>
    <row r="1239" spans="1:11" x14ac:dyDescent="0.2">
      <c r="A1239" s="636"/>
      <c r="B1239" s="229"/>
      <c r="C1239" s="199"/>
      <c r="D1239" s="199"/>
      <c r="E1239" s="199"/>
      <c r="F1239" s="258"/>
      <c r="G1239" s="199"/>
      <c r="H1239" s="199"/>
      <c r="I1239" s="450"/>
      <c r="J1239" s="295"/>
      <c r="K1239" s="295"/>
    </row>
    <row r="1240" spans="1:11" x14ac:dyDescent="0.2">
      <c r="A1240" s="242" t="s">
        <v>195</v>
      </c>
      <c r="B1240" s="243" t="s">
        <v>59</v>
      </c>
      <c r="C1240" s="243" t="s">
        <v>196</v>
      </c>
      <c r="D1240" s="243" t="s">
        <v>217</v>
      </c>
      <c r="E1240" s="1121" t="s">
        <v>89</v>
      </c>
      <c r="F1240" s="1114"/>
      <c r="G1240" s="1115"/>
      <c r="H1240" s="1121" t="s">
        <v>183</v>
      </c>
      <c r="I1240" s="1115"/>
      <c r="J1240" s="295"/>
      <c r="K1240" s="295"/>
    </row>
    <row r="1241" spans="1:11" x14ac:dyDescent="0.2">
      <c r="A1241" s="259" t="str">
        <f>VLOOKUP(B1241,mat.!$A:$D,2,FALSE)</f>
        <v>CM 30</v>
      </c>
      <c r="B1241" s="234">
        <v>10006</v>
      </c>
      <c r="C1241" s="260" t="str">
        <f>VLOOKUP(B1241,mat.!$A:$D,3,FALSE)</f>
        <v>t</v>
      </c>
      <c r="D1241" s="261">
        <f>VLOOKUP(B1241,mat.!$A:$D,4,FALSE)</f>
        <v>5412.05</v>
      </c>
      <c r="E1241" s="255"/>
      <c r="F1241" s="253"/>
      <c r="G1241" s="293">
        <v>1</v>
      </c>
      <c r="H1241" s="255"/>
      <c r="I1241" s="423">
        <f>TRUNC(D1241*G1241,2)</f>
        <v>5412.05</v>
      </c>
      <c r="J1241" s="295"/>
      <c r="K1241" s="295"/>
    </row>
    <row r="1242" spans="1:11" x14ac:dyDescent="0.2">
      <c r="A1242" s="199"/>
      <c r="B1242" s="229"/>
      <c r="C1242" s="199"/>
      <c r="D1242" s="199"/>
      <c r="E1242" s="199"/>
      <c r="F1242" s="230" t="s">
        <v>197</v>
      </c>
      <c r="G1242" s="240"/>
      <c r="H1242" s="241"/>
      <c r="I1242" s="438">
        <f>SUM(I1241:I1241)</f>
        <v>5412.05</v>
      </c>
      <c r="J1242" s="295"/>
      <c r="K1242" s="295"/>
    </row>
    <row r="1243" spans="1:11" x14ac:dyDescent="0.2">
      <c r="A1243" s="199"/>
      <c r="B1243" s="229"/>
      <c r="C1243" s="199"/>
      <c r="D1243" s="199"/>
      <c r="E1243" s="199"/>
      <c r="F1243" s="199"/>
      <c r="G1243" s="262"/>
      <c r="H1243" s="199"/>
      <c r="I1243" s="439"/>
      <c r="J1243" s="295"/>
      <c r="K1243" s="295"/>
    </row>
    <row r="1244" spans="1:11" x14ac:dyDescent="0.2">
      <c r="A1244" s="263" t="s">
        <v>198</v>
      </c>
      <c r="B1244" s="243" t="s">
        <v>59</v>
      </c>
      <c r="C1244" s="243" t="s">
        <v>196</v>
      </c>
      <c r="D1244" s="635" t="s">
        <v>217</v>
      </c>
      <c r="E1244" s="1111" t="s">
        <v>89</v>
      </c>
      <c r="F1244" s="1112"/>
      <c r="G1244" s="1113"/>
      <c r="H1244" s="1114" t="s">
        <v>183</v>
      </c>
      <c r="I1244" s="1115"/>
      <c r="J1244" s="295"/>
      <c r="K1244" s="295"/>
    </row>
    <row r="1245" spans="1:11" x14ac:dyDescent="0.2">
      <c r="A1245" s="244"/>
      <c r="B1245" s="234"/>
      <c r="C1245" s="234"/>
      <c r="D1245" s="239"/>
      <c r="E1245" s="255"/>
      <c r="F1245" s="253"/>
      <c r="G1245" s="293"/>
      <c r="H1245" s="240"/>
      <c r="I1245" s="423">
        <f>TRUNC(D59589*G59589,2)</f>
        <v>0</v>
      </c>
      <c r="J1245" s="295"/>
      <c r="K1245" s="295"/>
    </row>
    <row r="1246" spans="1:11" x14ac:dyDescent="0.2">
      <c r="A1246" s="200"/>
      <c r="B1246" s="264"/>
      <c r="C1246" s="200"/>
      <c r="D1246" s="200"/>
      <c r="E1246" s="200"/>
      <c r="F1246" s="265" t="s">
        <v>199</v>
      </c>
      <c r="G1246" s="255"/>
      <c r="H1246" s="266"/>
      <c r="I1246" s="441">
        <f>SUM(I59589:I59589)</f>
        <v>0</v>
      </c>
    </row>
    <row r="1247" spans="1:11" x14ac:dyDescent="0.2">
      <c r="A1247" s="200"/>
      <c r="B1247" s="264"/>
      <c r="C1247" s="200"/>
      <c r="D1247" s="200"/>
      <c r="E1247" s="200"/>
      <c r="F1247" s="200"/>
      <c r="G1247" s="200"/>
      <c r="H1247" s="200"/>
      <c r="I1247" s="440"/>
    </row>
    <row r="1248" spans="1:11" x14ac:dyDescent="0.2">
      <c r="A1248" s="267" t="s">
        <v>200</v>
      </c>
      <c r="B1248" s="268" t="s">
        <v>59</v>
      </c>
      <c r="C1248" s="268" t="s">
        <v>196</v>
      </c>
      <c r="D1248" s="268" t="s">
        <v>201</v>
      </c>
      <c r="E1248" s="268" t="s">
        <v>202</v>
      </c>
      <c r="F1248" s="268" t="s">
        <v>203</v>
      </c>
      <c r="G1248" s="268" t="s">
        <v>94</v>
      </c>
      <c r="H1248" s="268" t="s">
        <v>89</v>
      </c>
      <c r="I1248" s="442" t="s">
        <v>204</v>
      </c>
    </row>
    <row r="1249" spans="1:17" x14ac:dyDescent="0.2">
      <c r="A1249" s="244"/>
      <c r="B1249" s="234"/>
      <c r="C1249" s="234"/>
      <c r="D1249" s="269"/>
      <c r="E1249" s="270"/>
      <c r="F1249" s="270"/>
      <c r="G1249" s="239"/>
      <c r="H1249" s="271"/>
      <c r="I1249" s="418"/>
    </row>
    <row r="1250" spans="1:17" x14ac:dyDescent="0.2">
      <c r="A1250" s="200"/>
      <c r="B1250" s="264"/>
      <c r="C1250" s="200"/>
      <c r="D1250" s="200"/>
      <c r="E1250" s="200"/>
      <c r="F1250" s="265" t="s">
        <v>205</v>
      </c>
      <c r="G1250" s="240"/>
      <c r="H1250" s="272"/>
      <c r="I1250" s="443">
        <f>SUM(I1249:I1249)</f>
        <v>0</v>
      </c>
    </row>
    <row r="1251" spans="1:17" x14ac:dyDescent="0.2">
      <c r="A1251" s="200"/>
      <c r="B1251" s="264"/>
      <c r="C1251" s="200"/>
      <c r="D1251" s="200"/>
      <c r="E1251" s="200"/>
      <c r="F1251" s="200"/>
      <c r="G1251" s="200"/>
      <c r="H1251" s="200"/>
      <c r="I1251" s="444"/>
    </row>
    <row r="1252" spans="1:17" x14ac:dyDescent="0.2">
      <c r="A1252" s="468" t="s">
        <v>322</v>
      </c>
      <c r="B1252" s="274"/>
      <c r="C1252" s="275"/>
      <c r="D1252" s="275"/>
      <c r="E1252" s="275"/>
      <c r="F1252" s="276" t="s">
        <v>206</v>
      </c>
      <c r="G1252" s="273"/>
      <c r="H1252" s="249"/>
      <c r="I1252" s="445">
        <f>+I1238+I1242+I1246+I1250</f>
        <v>5412.05</v>
      </c>
    </row>
    <row r="1253" spans="1:17" x14ac:dyDescent="0.2">
      <c r="A1253" s="240"/>
      <c r="B1253" s="279"/>
      <c r="C1253" s="272"/>
      <c r="D1253" s="272"/>
      <c r="E1253" s="272"/>
      <c r="F1253" s="280" t="s">
        <v>207</v>
      </c>
      <c r="G1253" s="404"/>
      <c r="H1253" s="241"/>
      <c r="I1253" s="720">
        <f>I1252</f>
        <v>5412.05</v>
      </c>
      <c r="K1253" s="295"/>
    </row>
    <row r="1254" spans="1:17" x14ac:dyDescent="0.2">
      <c r="A1254" s="1116" t="str">
        <f>$A$1</f>
        <v>COMPOSIÇÃO DE CUSTOS UNITÁRIOS</v>
      </c>
      <c r="B1254" s="1116"/>
      <c r="C1254" s="1116"/>
      <c r="D1254" s="1116"/>
      <c r="E1254" s="1116"/>
      <c r="F1254" s="1116"/>
      <c r="G1254" s="1116"/>
      <c r="H1254" s="1116"/>
      <c r="I1254" s="1116"/>
    </row>
    <row r="1255" spans="1:17" x14ac:dyDescent="0.2">
      <c r="A1255" s="228" t="str">
        <f>$A$2</f>
        <v>Tabela Referencial de Preços - DER-ES</v>
      </c>
      <c r="B1255" s="229"/>
      <c r="C1255" s="199"/>
      <c r="D1255" s="199"/>
      <c r="E1255" s="199"/>
      <c r="F1255" s="199"/>
      <c r="G1255" s="199"/>
      <c r="H1255" s="199"/>
      <c r="I1255" s="414" t="str">
        <f>$I$2</f>
        <v>Data Base: novembro/2020</v>
      </c>
    </row>
    <row r="1256" spans="1:17" x14ac:dyDescent="0.2">
      <c r="A1256" s="1117" t="str">
        <f>+CONCATENATE("Serviço: ",J1256," ",VLOOKUP(J1256,'DER 11-20'!$A:$D,2,FALSE))</f>
        <v>Serviço: 41360 CAP-50/70, fornecimento</v>
      </c>
      <c r="B1256" s="1117"/>
      <c r="C1256" s="1117"/>
      <c r="D1256" s="1117"/>
      <c r="E1256" s="1117"/>
      <c r="F1256" s="1117"/>
      <c r="G1256" s="1117"/>
      <c r="H1256" s="1117"/>
      <c r="I1256" s="1119" t="str">
        <f>CONCATENATE("Unidade: ", VLOOKUP(J1256,'DER 11-20'!$A:$E,3,FALSE))</f>
        <v>Unidade: t</v>
      </c>
      <c r="J1256" s="400">
        <v>41360</v>
      </c>
      <c r="K1256" s="400">
        <f>VLOOKUP("Preço Unitário Total",F1257:I3698,4,FALSE)</f>
        <v>3203</v>
      </c>
      <c r="L1256" s="295">
        <f>VLOOKUP(J1256,'DER 11-20'!A:E,5,FALSE)</f>
        <v>0</v>
      </c>
      <c r="M1256" s="295" t="str">
        <f>VLOOKUP(J1256,'DER 11-20'!$A:$D,2,FALSE)</f>
        <v>CAP-50/70, fornecimento</v>
      </c>
    </row>
    <row r="1257" spans="1:17" x14ac:dyDescent="0.2">
      <c r="A1257" s="1118"/>
      <c r="B1257" s="1118"/>
      <c r="C1257" s="1118"/>
      <c r="D1257" s="1118"/>
      <c r="E1257" s="1118"/>
      <c r="F1257" s="1118"/>
      <c r="G1257" s="1118"/>
      <c r="H1257" s="1118"/>
      <c r="I1257" s="1120"/>
    </row>
    <row r="1258" spans="1:17" s="198" customFormat="1" ht="22.5" x14ac:dyDescent="0.2">
      <c r="A1258" s="231" t="s">
        <v>177</v>
      </c>
      <c r="B1258" s="232" t="s">
        <v>59</v>
      </c>
      <c r="C1258" s="232" t="s">
        <v>178</v>
      </c>
      <c r="D1258" s="232" t="s">
        <v>179</v>
      </c>
      <c r="E1258" s="232" t="s">
        <v>180</v>
      </c>
      <c r="F1258" s="232" t="s">
        <v>181</v>
      </c>
      <c r="G1258" s="232" t="s">
        <v>182</v>
      </c>
      <c r="H1258" s="232" t="s">
        <v>89</v>
      </c>
      <c r="I1258" s="434" t="s">
        <v>183</v>
      </c>
      <c r="J1258" s="400"/>
      <c r="K1258" s="400"/>
      <c r="L1258" s="295"/>
      <c r="M1258" s="295"/>
      <c r="N1258" s="295"/>
      <c r="O1258" s="295"/>
      <c r="P1258" s="295"/>
      <c r="Q1258" s="295"/>
    </row>
    <row r="1259" spans="1:17" x14ac:dyDescent="0.2">
      <c r="A1259" s="233"/>
      <c r="B1259" s="234"/>
      <c r="C1259" s="235"/>
      <c r="D1259" s="236"/>
      <c r="E1259" s="203"/>
      <c r="F1259" s="237"/>
      <c r="G1259" s="237"/>
      <c r="H1259" s="238"/>
      <c r="I1259" s="418"/>
    </row>
    <row r="1260" spans="1:17" x14ac:dyDescent="0.2">
      <c r="A1260" s="199"/>
      <c r="B1260" s="229"/>
      <c r="C1260" s="229"/>
      <c r="D1260" s="199"/>
      <c r="E1260" s="199"/>
      <c r="F1260" s="230" t="s">
        <v>184</v>
      </c>
      <c r="G1260" s="240"/>
      <c r="H1260" s="241"/>
      <c r="I1260" s="438">
        <f>SUM(I1259:I1259)</f>
        <v>0</v>
      </c>
    </row>
    <row r="1261" spans="1:17" x14ac:dyDescent="0.2">
      <c r="A1261" s="199"/>
      <c r="B1261" s="229"/>
      <c r="C1261" s="229"/>
      <c r="D1261" s="199"/>
      <c r="E1261" s="199"/>
      <c r="F1261" s="199"/>
      <c r="G1261" s="199"/>
      <c r="H1261" s="199"/>
      <c r="I1261" s="439"/>
    </row>
    <row r="1262" spans="1:17" x14ac:dyDescent="0.2">
      <c r="A1262" s="242" t="s">
        <v>185</v>
      </c>
      <c r="B1262" s="243" t="s">
        <v>59</v>
      </c>
      <c r="C1262" s="232" t="s">
        <v>357</v>
      </c>
      <c r="D1262" s="243" t="s">
        <v>187</v>
      </c>
      <c r="E1262" s="1111" t="s">
        <v>89</v>
      </c>
      <c r="F1262" s="1112"/>
      <c r="G1262" s="1113"/>
      <c r="H1262" s="1121" t="s">
        <v>183</v>
      </c>
      <c r="I1262" s="1115"/>
    </row>
    <row r="1263" spans="1:17" x14ac:dyDescent="0.2">
      <c r="A1263" s="244"/>
      <c r="B1263" s="234"/>
      <c r="C1263" s="239"/>
      <c r="D1263" s="239"/>
      <c r="E1263" s="255"/>
      <c r="F1263" s="253"/>
      <c r="G1263" s="293"/>
      <c r="H1263" s="240"/>
      <c r="I1263" s="427"/>
    </row>
    <row r="1264" spans="1:17" x14ac:dyDescent="0.2">
      <c r="A1264" s="199"/>
      <c r="B1264" s="229"/>
      <c r="C1264" s="229"/>
      <c r="D1264" s="199"/>
      <c r="E1264" s="199"/>
      <c r="F1264" s="230" t="s">
        <v>188</v>
      </c>
      <c r="G1264" s="240"/>
      <c r="H1264" s="241"/>
      <c r="I1264" s="438">
        <f>SUM(I1263:I1263)</f>
        <v>0</v>
      </c>
    </row>
    <row r="1265" spans="1:17" x14ac:dyDescent="0.2">
      <c r="A1265" s="199"/>
      <c r="B1265" s="229"/>
      <c r="C1265" s="229"/>
      <c r="D1265" s="199"/>
      <c r="E1265" s="199"/>
      <c r="F1265" s="199"/>
      <c r="G1265" s="199"/>
      <c r="H1265" s="199"/>
      <c r="I1265" s="439"/>
    </row>
    <row r="1266" spans="1:17" x14ac:dyDescent="0.2">
      <c r="A1266" s="245" t="s">
        <v>189</v>
      </c>
      <c r="B1266" s="243" t="s">
        <v>59</v>
      </c>
      <c r="C1266" s="635" t="s">
        <v>17</v>
      </c>
      <c r="D1266" s="243" t="s">
        <v>190</v>
      </c>
      <c r="E1266" s="243" t="s">
        <v>191</v>
      </c>
      <c r="F1266" s="243" t="s">
        <v>192</v>
      </c>
      <c r="G1266" s="1121" t="s">
        <v>94</v>
      </c>
      <c r="H1266" s="1114"/>
      <c r="I1266" s="1115"/>
    </row>
    <row r="1267" spans="1:17" s="198" customFormat="1" x14ac:dyDescent="0.2">
      <c r="A1267" s="244"/>
      <c r="B1267" s="234"/>
      <c r="C1267" s="239"/>
      <c r="D1267" s="235"/>
      <c r="E1267" s="246"/>
      <c r="F1267" s="246"/>
      <c r="G1267" s="240"/>
      <c r="H1267" s="241"/>
      <c r="I1267" s="427">
        <f>TRUNC(C1267/100*I1264,2)</f>
        <v>0</v>
      </c>
      <c r="J1267" s="400"/>
      <c r="K1267" s="400"/>
      <c r="L1267" s="295"/>
      <c r="M1267" s="295"/>
      <c r="N1267" s="295"/>
      <c r="O1267" s="295"/>
      <c r="P1267" s="295"/>
      <c r="Q1267" s="295"/>
    </row>
    <row r="1268" spans="1:17" s="198" customFormat="1" x14ac:dyDescent="0.2">
      <c r="A1268" s="199"/>
      <c r="B1268" s="229"/>
      <c r="C1268" s="199"/>
      <c r="D1268" s="199"/>
      <c r="E1268" s="199"/>
      <c r="F1268" s="230" t="s">
        <v>327</v>
      </c>
      <c r="G1268" s="240"/>
      <c r="H1268" s="241"/>
      <c r="I1268" s="438">
        <f>SUM(I1267)</f>
        <v>0</v>
      </c>
      <c r="J1268" s="400"/>
      <c r="K1268" s="400"/>
      <c r="L1268" s="295"/>
      <c r="M1268" s="295"/>
      <c r="N1268" s="295"/>
      <c r="O1268" s="295"/>
      <c r="P1268" s="295"/>
      <c r="Q1268" s="295"/>
    </row>
    <row r="1269" spans="1:17" s="198" customFormat="1" x14ac:dyDescent="0.2">
      <c r="A1269" s="199"/>
      <c r="B1269" s="229"/>
      <c r="C1269" s="199"/>
      <c r="D1269" s="199"/>
      <c r="E1269" s="199"/>
      <c r="F1269" s="199"/>
      <c r="G1269" s="199"/>
      <c r="H1269" s="199"/>
      <c r="I1269" s="439"/>
      <c r="J1269" s="400"/>
      <c r="K1269" s="400"/>
      <c r="L1269" s="295"/>
      <c r="M1269" s="295"/>
      <c r="N1269" s="295"/>
      <c r="O1269" s="295"/>
      <c r="P1269" s="295"/>
      <c r="Q1269" s="295"/>
    </row>
    <row r="1270" spans="1:17" s="198" customFormat="1" x14ac:dyDescent="0.2">
      <c r="A1270" s="247"/>
      <c r="B1270" s="248"/>
      <c r="C1270" s="249"/>
      <c r="D1270" s="249"/>
      <c r="E1270" s="249"/>
      <c r="F1270" s="250" t="s">
        <v>193</v>
      </c>
      <c r="G1270" s="401"/>
      <c r="H1270" s="249"/>
      <c r="I1270" s="445">
        <f>+I1260+I1264+I1268</f>
        <v>0</v>
      </c>
      <c r="J1270" s="400"/>
      <c r="K1270" s="400"/>
      <c r="L1270" s="295"/>
      <c r="M1270" s="295"/>
      <c r="N1270" s="295"/>
      <c r="O1270" s="295"/>
      <c r="P1270" s="295"/>
      <c r="Q1270" s="295"/>
    </row>
    <row r="1271" spans="1:17" s="198" customFormat="1" x14ac:dyDescent="0.2">
      <c r="A1271" s="251"/>
      <c r="B1271" s="252"/>
      <c r="C1271" s="253"/>
      <c r="D1271" s="253"/>
      <c r="E1271" s="253"/>
      <c r="F1271" s="254" t="s">
        <v>194</v>
      </c>
      <c r="G1271" s="255"/>
      <c r="H1271" s="253"/>
      <c r="I1271" s="446">
        <v>1</v>
      </c>
      <c r="J1271" s="400"/>
      <c r="K1271" s="400"/>
      <c r="L1271" s="295"/>
      <c r="M1271" s="295"/>
      <c r="N1271" s="295"/>
      <c r="O1271" s="295"/>
      <c r="P1271" s="295"/>
      <c r="Q1271" s="295"/>
    </row>
    <row r="1272" spans="1:17" s="198" customFormat="1" x14ac:dyDescent="0.2">
      <c r="A1272" s="233"/>
      <c r="B1272" s="256"/>
      <c r="C1272" s="241"/>
      <c r="D1272" s="241"/>
      <c r="E1272" s="241"/>
      <c r="F1272" s="257" t="s">
        <v>216</v>
      </c>
      <c r="G1272" s="240"/>
      <c r="H1272" s="241"/>
      <c r="I1272" s="447">
        <f>TRUNC(I1270/I1271,2)</f>
        <v>0</v>
      </c>
      <c r="J1272" s="400"/>
      <c r="K1272" s="400"/>
      <c r="L1272" s="295"/>
      <c r="M1272" s="295"/>
      <c r="N1272" s="295"/>
      <c r="O1272" s="295"/>
      <c r="P1272" s="295"/>
      <c r="Q1272" s="295"/>
    </row>
    <row r="1273" spans="1:17" s="198" customFormat="1" x14ac:dyDescent="0.2">
      <c r="A1273" s="636"/>
      <c r="B1273" s="229"/>
      <c r="C1273" s="199"/>
      <c r="D1273" s="199"/>
      <c r="E1273" s="199"/>
      <c r="F1273" s="258"/>
      <c r="G1273" s="199"/>
      <c r="H1273" s="199"/>
      <c r="I1273" s="450"/>
      <c r="J1273" s="400"/>
      <c r="K1273" s="400"/>
      <c r="L1273" s="295"/>
      <c r="M1273" s="295"/>
      <c r="N1273" s="295"/>
      <c r="O1273" s="295"/>
      <c r="P1273" s="295"/>
      <c r="Q1273" s="295"/>
    </row>
    <row r="1274" spans="1:17" s="198" customFormat="1" x14ac:dyDescent="0.2">
      <c r="A1274" s="242" t="s">
        <v>195</v>
      </c>
      <c r="B1274" s="243" t="s">
        <v>59</v>
      </c>
      <c r="C1274" s="243" t="s">
        <v>196</v>
      </c>
      <c r="D1274" s="243" t="s">
        <v>217</v>
      </c>
      <c r="E1274" s="1121" t="s">
        <v>89</v>
      </c>
      <c r="F1274" s="1114"/>
      <c r="G1274" s="1115"/>
      <c r="H1274" s="1121" t="s">
        <v>183</v>
      </c>
      <c r="I1274" s="1115"/>
      <c r="J1274" s="400"/>
      <c r="K1274" s="400"/>
      <c r="L1274" s="295"/>
      <c r="M1274" s="295"/>
      <c r="N1274" s="295"/>
      <c r="O1274" s="295"/>
      <c r="P1274" s="295"/>
      <c r="Q1274" s="295"/>
    </row>
    <row r="1275" spans="1:17" s="198" customFormat="1" x14ac:dyDescent="0.2">
      <c r="A1275" s="259" t="str">
        <f>VLOOKUP(B1275,mat.!$A:$D,2,FALSE)</f>
        <v>CAP 50/70</v>
      </c>
      <c r="B1275" s="234">
        <v>10001</v>
      </c>
      <c r="C1275" s="260" t="str">
        <f>VLOOKUP(B1275,mat.!$A:$D,3,FALSE)</f>
        <v>t</v>
      </c>
      <c r="D1275" s="261">
        <f>VLOOKUP(B1275,mat.!$A:$D,4,FALSE)</f>
        <v>3203</v>
      </c>
      <c r="E1275" s="255"/>
      <c r="F1275" s="253"/>
      <c r="G1275" s="293">
        <v>1</v>
      </c>
      <c r="H1275" s="255"/>
      <c r="I1275" s="423">
        <f>TRUNC(D1275*G1275,2)</f>
        <v>3203</v>
      </c>
      <c r="J1275" s="400"/>
      <c r="K1275" s="400"/>
      <c r="L1275" s="295"/>
      <c r="M1275" s="295"/>
      <c r="N1275" s="295"/>
      <c r="O1275" s="295"/>
      <c r="P1275" s="295"/>
      <c r="Q1275" s="295"/>
    </row>
    <row r="1276" spans="1:17" s="198" customFormat="1" x14ac:dyDescent="0.2">
      <c r="A1276" s="199"/>
      <c r="B1276" s="229"/>
      <c r="C1276" s="199"/>
      <c r="D1276" s="199"/>
      <c r="E1276" s="199"/>
      <c r="F1276" s="230" t="s">
        <v>197</v>
      </c>
      <c r="G1276" s="240"/>
      <c r="H1276" s="241"/>
      <c r="I1276" s="438">
        <f>SUM(I1275:I1275)</f>
        <v>3203</v>
      </c>
      <c r="J1276" s="400"/>
      <c r="K1276" s="400"/>
      <c r="L1276" s="295"/>
      <c r="M1276" s="295"/>
      <c r="N1276" s="295"/>
      <c r="O1276" s="295"/>
      <c r="P1276" s="295"/>
      <c r="Q1276" s="295"/>
    </row>
    <row r="1277" spans="1:17" x14ac:dyDescent="0.2">
      <c r="A1277" s="199"/>
      <c r="B1277" s="229"/>
      <c r="C1277" s="199"/>
      <c r="D1277" s="199"/>
      <c r="E1277" s="199"/>
      <c r="F1277" s="199"/>
      <c r="G1277" s="262"/>
      <c r="H1277" s="199"/>
      <c r="I1277" s="439"/>
    </row>
    <row r="1278" spans="1:17" x14ac:dyDescent="0.2">
      <c r="A1278" s="263" t="s">
        <v>198</v>
      </c>
      <c r="B1278" s="243" t="s">
        <v>59</v>
      </c>
      <c r="C1278" s="243" t="s">
        <v>196</v>
      </c>
      <c r="D1278" s="635" t="s">
        <v>217</v>
      </c>
      <c r="E1278" s="1111" t="s">
        <v>89</v>
      </c>
      <c r="F1278" s="1112"/>
      <c r="G1278" s="1113"/>
      <c r="H1278" s="1114" t="s">
        <v>183</v>
      </c>
      <c r="I1278" s="1115"/>
    </row>
    <row r="1279" spans="1:17" x14ac:dyDescent="0.2">
      <c r="A1279" s="244"/>
      <c r="B1279" s="234"/>
      <c r="C1279" s="234"/>
      <c r="D1279" s="239"/>
      <c r="E1279" s="255"/>
      <c r="F1279" s="253"/>
      <c r="G1279" s="293"/>
      <c r="H1279" s="240"/>
      <c r="I1279" s="423">
        <f>TRUNC(D1279*G1279,2)</f>
        <v>0</v>
      </c>
    </row>
    <row r="1280" spans="1:17" x14ac:dyDescent="0.2">
      <c r="A1280" s="200"/>
      <c r="B1280" s="264"/>
      <c r="C1280" s="200"/>
      <c r="D1280" s="200"/>
      <c r="E1280" s="200"/>
      <c r="F1280" s="265" t="s">
        <v>199</v>
      </c>
      <c r="G1280" s="255"/>
      <c r="H1280" s="266"/>
      <c r="I1280" s="441">
        <f>SUM(I1279:I1279)</f>
        <v>0</v>
      </c>
    </row>
    <row r="1281" spans="1:17" x14ac:dyDescent="0.2">
      <c r="A1281" s="200"/>
      <c r="B1281" s="264"/>
      <c r="C1281" s="200"/>
      <c r="D1281" s="200"/>
      <c r="E1281" s="200"/>
      <c r="F1281" s="200"/>
      <c r="G1281" s="200"/>
      <c r="H1281" s="200"/>
      <c r="I1281" s="440"/>
    </row>
    <row r="1282" spans="1:17" x14ac:dyDescent="0.2">
      <c r="A1282" s="267" t="s">
        <v>200</v>
      </c>
      <c r="B1282" s="268" t="s">
        <v>59</v>
      </c>
      <c r="C1282" s="268" t="s">
        <v>196</v>
      </c>
      <c r="D1282" s="268" t="s">
        <v>201</v>
      </c>
      <c r="E1282" s="268" t="s">
        <v>202</v>
      </c>
      <c r="F1282" s="268" t="s">
        <v>203</v>
      </c>
      <c r="G1282" s="268" t="s">
        <v>94</v>
      </c>
      <c r="H1282" s="268" t="s">
        <v>89</v>
      </c>
      <c r="I1282" s="442" t="s">
        <v>204</v>
      </c>
    </row>
    <row r="1283" spans="1:17" x14ac:dyDescent="0.2">
      <c r="A1283" s="244"/>
      <c r="B1283" s="234"/>
      <c r="C1283" s="234"/>
      <c r="D1283" s="269"/>
      <c r="E1283" s="270"/>
      <c r="F1283" s="270"/>
      <c r="G1283" s="239"/>
      <c r="H1283" s="271"/>
      <c r="I1283" s="418"/>
      <c r="J1283" s="400" t="s">
        <v>115</v>
      </c>
    </row>
    <row r="1284" spans="1:17" x14ac:dyDescent="0.2">
      <c r="A1284" s="200"/>
      <c r="B1284" s="264"/>
      <c r="C1284" s="200"/>
      <c r="D1284" s="200"/>
      <c r="E1284" s="200"/>
      <c r="F1284" s="265" t="s">
        <v>205</v>
      </c>
      <c r="G1284" s="240"/>
      <c r="H1284" s="272"/>
      <c r="I1284" s="443">
        <f>SUM(I1283:I1283)</f>
        <v>0</v>
      </c>
    </row>
    <row r="1285" spans="1:17" x14ac:dyDescent="0.2">
      <c r="A1285" s="200"/>
      <c r="B1285" s="264"/>
      <c r="C1285" s="200"/>
      <c r="D1285" s="200"/>
      <c r="E1285" s="200"/>
      <c r="F1285" s="200"/>
      <c r="G1285" s="200"/>
      <c r="H1285" s="200"/>
      <c r="I1285" s="444"/>
    </row>
    <row r="1286" spans="1:17" x14ac:dyDescent="0.2">
      <c r="A1286" s="468" t="s">
        <v>322</v>
      </c>
      <c r="B1286" s="274"/>
      <c r="C1286" s="275"/>
      <c r="D1286" s="275"/>
      <c r="E1286" s="275"/>
      <c r="F1286" s="276" t="s">
        <v>206</v>
      </c>
      <c r="G1286" s="273"/>
      <c r="H1286" s="249"/>
      <c r="I1286" s="445">
        <f>+I1272+I1276+I1280+I1284</f>
        <v>3203</v>
      </c>
    </row>
    <row r="1287" spans="1:17" x14ac:dyDescent="0.2">
      <c r="A1287" s="240"/>
      <c r="B1287" s="279"/>
      <c r="C1287" s="272"/>
      <c r="D1287" s="272"/>
      <c r="E1287" s="272"/>
      <c r="F1287" s="280" t="s">
        <v>207</v>
      </c>
      <c r="G1287" s="404"/>
      <c r="H1287" s="241"/>
      <c r="I1287" s="720">
        <f>I1286</f>
        <v>3203</v>
      </c>
    </row>
    <row r="1288" spans="1:17" x14ac:dyDescent="0.2">
      <c r="A1288" s="1116" t="str">
        <f>$A$1</f>
        <v>COMPOSIÇÃO DE CUSTOS UNITÁRIOS</v>
      </c>
      <c r="B1288" s="1116"/>
      <c r="C1288" s="1116"/>
      <c r="D1288" s="1116"/>
      <c r="E1288" s="1116"/>
      <c r="F1288" s="1116"/>
      <c r="G1288" s="1116"/>
      <c r="H1288" s="1116"/>
      <c r="I1288" s="1116"/>
    </row>
    <row r="1289" spans="1:17" x14ac:dyDescent="0.2">
      <c r="A1289" s="228" t="str">
        <f>$A$2</f>
        <v>Tabela Referencial de Preços - DER-ES</v>
      </c>
      <c r="B1289" s="229"/>
      <c r="C1289" s="199"/>
      <c r="D1289" s="199"/>
      <c r="E1289" s="199"/>
      <c r="F1289" s="199"/>
      <c r="G1289" s="199"/>
      <c r="H1289" s="199"/>
      <c r="I1289" s="414" t="str">
        <f>$I$2</f>
        <v>Data Base: novembro/2020</v>
      </c>
    </row>
    <row r="1290" spans="1:17" x14ac:dyDescent="0.2">
      <c r="A1290" s="1117" t="str">
        <f>+CONCATENATE("Serviço: ",J1290," ",VLOOKUP(J1290,'DER 11-20'!$A:$D,2,FALSE))</f>
        <v>Serviço: 40976 Dope, fornecimento</v>
      </c>
      <c r="B1290" s="1117"/>
      <c r="C1290" s="1117"/>
      <c r="D1290" s="1117"/>
      <c r="E1290" s="1117"/>
      <c r="F1290" s="1117"/>
      <c r="G1290" s="1117"/>
      <c r="H1290" s="1117"/>
      <c r="I1290" s="1119" t="str">
        <f>CONCATENATE("Unidade: ", VLOOKUP(J1290,'DER 11-20'!$A:$E,3,FALSE))</f>
        <v>Unidade: t</v>
      </c>
      <c r="J1290" s="400">
        <v>40976</v>
      </c>
      <c r="K1290" s="400">
        <f>VLOOKUP("Preço Unitário Total",F1291:I3732,4,FALSE)</f>
        <v>63150</v>
      </c>
      <c r="L1290" s="295">
        <f>VLOOKUP(J1290,'DER 11-20'!A:E,5,FALSE)</f>
        <v>0</v>
      </c>
      <c r="M1290" s="295" t="str">
        <f>VLOOKUP(J1290,'DER 11-20'!$A:$D,2,FALSE)</f>
        <v>Dope, fornecimento</v>
      </c>
    </row>
    <row r="1291" spans="1:17" x14ac:dyDescent="0.2">
      <c r="A1291" s="1118"/>
      <c r="B1291" s="1118"/>
      <c r="C1291" s="1118"/>
      <c r="D1291" s="1118"/>
      <c r="E1291" s="1118"/>
      <c r="F1291" s="1118"/>
      <c r="G1291" s="1118"/>
      <c r="H1291" s="1118"/>
      <c r="I1291" s="1120"/>
    </row>
    <row r="1292" spans="1:17" s="198" customFormat="1" ht="22.5" x14ac:dyDescent="0.2">
      <c r="A1292" s="231" t="s">
        <v>177</v>
      </c>
      <c r="B1292" s="232" t="s">
        <v>59</v>
      </c>
      <c r="C1292" s="232" t="s">
        <v>178</v>
      </c>
      <c r="D1292" s="232" t="s">
        <v>179</v>
      </c>
      <c r="E1292" s="232" t="s">
        <v>180</v>
      </c>
      <c r="F1292" s="232" t="s">
        <v>181</v>
      </c>
      <c r="G1292" s="232" t="s">
        <v>182</v>
      </c>
      <c r="H1292" s="232" t="s">
        <v>89</v>
      </c>
      <c r="I1292" s="434" t="s">
        <v>183</v>
      </c>
      <c r="J1292" s="400"/>
      <c r="K1292" s="400"/>
      <c r="L1292" s="295"/>
      <c r="M1292" s="295"/>
      <c r="N1292" s="295"/>
      <c r="O1292" s="295"/>
      <c r="P1292" s="295"/>
      <c r="Q1292" s="295"/>
    </row>
    <row r="1293" spans="1:17" x14ac:dyDescent="0.2">
      <c r="A1293" s="233"/>
      <c r="B1293" s="234"/>
      <c r="C1293" s="235"/>
      <c r="D1293" s="236"/>
      <c r="E1293" s="203"/>
      <c r="F1293" s="237"/>
      <c r="G1293" s="237"/>
      <c r="H1293" s="238"/>
      <c r="I1293" s="418"/>
    </row>
    <row r="1294" spans="1:17" x14ac:dyDescent="0.2">
      <c r="A1294" s="199"/>
      <c r="B1294" s="229"/>
      <c r="C1294" s="229"/>
      <c r="D1294" s="199"/>
      <c r="E1294" s="199"/>
      <c r="F1294" s="230" t="s">
        <v>184</v>
      </c>
      <c r="G1294" s="240"/>
      <c r="H1294" s="241"/>
      <c r="I1294" s="438">
        <f>SUM(I1293:I1293)</f>
        <v>0</v>
      </c>
    </row>
    <row r="1295" spans="1:17" x14ac:dyDescent="0.2">
      <c r="A1295" s="199"/>
      <c r="B1295" s="229"/>
      <c r="C1295" s="229"/>
      <c r="D1295" s="199"/>
      <c r="E1295" s="199"/>
      <c r="F1295" s="199"/>
      <c r="G1295" s="199"/>
      <c r="H1295" s="199"/>
      <c r="I1295" s="439"/>
    </row>
    <row r="1296" spans="1:17" x14ac:dyDescent="0.2">
      <c r="A1296" s="242" t="s">
        <v>185</v>
      </c>
      <c r="B1296" s="243" t="s">
        <v>59</v>
      </c>
      <c r="C1296" s="232" t="s">
        <v>357</v>
      </c>
      <c r="D1296" s="243" t="s">
        <v>187</v>
      </c>
      <c r="E1296" s="1111" t="s">
        <v>89</v>
      </c>
      <c r="F1296" s="1112"/>
      <c r="G1296" s="1113"/>
      <c r="H1296" s="1121" t="s">
        <v>183</v>
      </c>
      <c r="I1296" s="1115"/>
    </row>
    <row r="1297" spans="1:17" x14ac:dyDescent="0.2">
      <c r="A1297" s="244"/>
      <c r="B1297" s="234"/>
      <c r="C1297" s="239"/>
      <c r="D1297" s="239"/>
      <c r="E1297" s="255"/>
      <c r="F1297" s="253"/>
      <c r="G1297" s="293"/>
      <c r="H1297" s="240"/>
      <c r="I1297" s="427"/>
    </row>
    <row r="1298" spans="1:17" x14ac:dyDescent="0.2">
      <c r="A1298" s="199"/>
      <c r="B1298" s="229"/>
      <c r="C1298" s="229"/>
      <c r="D1298" s="199"/>
      <c r="E1298" s="199"/>
      <c r="F1298" s="230" t="s">
        <v>188</v>
      </c>
      <c r="G1298" s="240"/>
      <c r="H1298" s="241"/>
      <c r="I1298" s="438">
        <f>SUM(I1297:I1297)</f>
        <v>0</v>
      </c>
    </row>
    <row r="1299" spans="1:17" x14ac:dyDescent="0.2">
      <c r="A1299" s="199"/>
      <c r="B1299" s="229"/>
      <c r="C1299" s="229"/>
      <c r="D1299" s="199"/>
      <c r="E1299" s="199"/>
      <c r="F1299" s="199"/>
      <c r="G1299" s="199"/>
      <c r="H1299" s="199"/>
      <c r="I1299" s="439"/>
    </row>
    <row r="1300" spans="1:17" x14ac:dyDescent="0.2">
      <c r="A1300" s="245" t="s">
        <v>189</v>
      </c>
      <c r="B1300" s="243" t="s">
        <v>59</v>
      </c>
      <c r="C1300" s="902" t="s">
        <v>17</v>
      </c>
      <c r="D1300" s="243" t="s">
        <v>190</v>
      </c>
      <c r="E1300" s="243" t="s">
        <v>191</v>
      </c>
      <c r="F1300" s="243" t="s">
        <v>192</v>
      </c>
      <c r="G1300" s="1121" t="s">
        <v>94</v>
      </c>
      <c r="H1300" s="1114"/>
      <c r="I1300" s="1115"/>
    </row>
    <row r="1301" spans="1:17" s="198" customFormat="1" x14ac:dyDescent="0.2">
      <c r="A1301" s="244"/>
      <c r="B1301" s="234"/>
      <c r="C1301" s="239"/>
      <c r="D1301" s="235"/>
      <c r="E1301" s="246"/>
      <c r="F1301" s="246"/>
      <c r="G1301" s="240"/>
      <c r="H1301" s="241"/>
      <c r="I1301" s="427">
        <f>TRUNC(C1301/100*I1298,2)</f>
        <v>0</v>
      </c>
      <c r="J1301" s="400"/>
      <c r="K1301" s="400"/>
      <c r="L1301" s="295"/>
      <c r="M1301" s="295"/>
      <c r="N1301" s="295"/>
      <c r="O1301" s="295"/>
      <c r="P1301" s="295"/>
      <c r="Q1301" s="295"/>
    </row>
    <row r="1302" spans="1:17" s="198" customFormat="1" x14ac:dyDescent="0.2">
      <c r="A1302" s="199"/>
      <c r="B1302" s="229"/>
      <c r="C1302" s="199"/>
      <c r="D1302" s="199"/>
      <c r="E1302" s="199"/>
      <c r="F1302" s="230" t="s">
        <v>327</v>
      </c>
      <c r="G1302" s="240"/>
      <c r="H1302" s="241"/>
      <c r="I1302" s="438">
        <f>SUM(I1301)</f>
        <v>0</v>
      </c>
      <c r="J1302" s="400"/>
      <c r="K1302" s="400"/>
      <c r="L1302" s="295"/>
      <c r="M1302" s="295"/>
      <c r="N1302" s="295"/>
      <c r="O1302" s="295"/>
      <c r="P1302" s="295"/>
      <c r="Q1302" s="295"/>
    </row>
    <row r="1303" spans="1:17" s="198" customFormat="1" x14ac:dyDescent="0.2">
      <c r="A1303" s="199"/>
      <c r="B1303" s="229"/>
      <c r="C1303" s="199"/>
      <c r="D1303" s="199"/>
      <c r="E1303" s="199"/>
      <c r="F1303" s="199"/>
      <c r="G1303" s="199"/>
      <c r="H1303" s="199"/>
      <c r="I1303" s="439"/>
      <c r="J1303" s="400"/>
      <c r="K1303" s="400"/>
      <c r="L1303" s="295"/>
      <c r="M1303" s="295"/>
      <c r="N1303" s="295"/>
      <c r="O1303" s="295"/>
      <c r="P1303" s="295"/>
      <c r="Q1303" s="295"/>
    </row>
    <row r="1304" spans="1:17" s="198" customFormat="1" x14ac:dyDescent="0.2">
      <c r="A1304" s="247"/>
      <c r="B1304" s="248"/>
      <c r="C1304" s="249"/>
      <c r="D1304" s="249"/>
      <c r="E1304" s="249"/>
      <c r="F1304" s="250" t="s">
        <v>193</v>
      </c>
      <c r="G1304" s="401"/>
      <c r="H1304" s="249"/>
      <c r="I1304" s="445">
        <f>+I1294+I1298+I1302</f>
        <v>0</v>
      </c>
      <c r="J1304" s="400"/>
      <c r="K1304" s="400"/>
      <c r="L1304" s="295"/>
      <c r="M1304" s="295"/>
      <c r="N1304" s="295"/>
      <c r="O1304" s="295"/>
      <c r="P1304" s="295"/>
      <c r="Q1304" s="295"/>
    </row>
    <row r="1305" spans="1:17" s="198" customFormat="1" x14ac:dyDescent="0.2">
      <c r="A1305" s="251"/>
      <c r="B1305" s="252"/>
      <c r="C1305" s="253"/>
      <c r="D1305" s="253"/>
      <c r="E1305" s="253"/>
      <c r="F1305" s="254" t="s">
        <v>194</v>
      </c>
      <c r="G1305" s="255"/>
      <c r="H1305" s="253"/>
      <c r="I1305" s="446">
        <v>1</v>
      </c>
      <c r="J1305" s="400"/>
      <c r="K1305" s="400"/>
      <c r="L1305" s="295"/>
      <c r="M1305" s="295"/>
      <c r="N1305" s="295"/>
      <c r="O1305" s="295"/>
      <c r="P1305" s="295"/>
      <c r="Q1305" s="295"/>
    </row>
    <row r="1306" spans="1:17" s="198" customFormat="1" x14ac:dyDescent="0.2">
      <c r="A1306" s="233"/>
      <c r="B1306" s="256"/>
      <c r="C1306" s="241"/>
      <c r="D1306" s="241"/>
      <c r="E1306" s="241"/>
      <c r="F1306" s="257" t="s">
        <v>216</v>
      </c>
      <c r="G1306" s="240"/>
      <c r="H1306" s="241"/>
      <c r="I1306" s="447">
        <f>TRUNC(I1304/I1305,2)</f>
        <v>0</v>
      </c>
      <c r="J1306" s="400"/>
      <c r="K1306" s="400"/>
      <c r="L1306" s="295"/>
      <c r="M1306" s="295"/>
      <c r="N1306" s="295"/>
      <c r="O1306" s="295"/>
      <c r="P1306" s="295"/>
      <c r="Q1306" s="295"/>
    </row>
    <row r="1307" spans="1:17" s="198" customFormat="1" x14ac:dyDescent="0.2">
      <c r="A1307" s="903"/>
      <c r="B1307" s="229"/>
      <c r="C1307" s="199"/>
      <c r="D1307" s="199"/>
      <c r="E1307" s="199"/>
      <c r="F1307" s="258"/>
      <c r="G1307" s="199"/>
      <c r="H1307" s="199"/>
      <c r="I1307" s="450"/>
      <c r="J1307" s="400"/>
      <c r="K1307" s="400"/>
      <c r="L1307" s="295"/>
      <c r="M1307" s="295"/>
      <c r="N1307" s="295"/>
      <c r="O1307" s="295"/>
      <c r="P1307" s="295"/>
      <c r="Q1307" s="295"/>
    </row>
    <row r="1308" spans="1:17" s="198" customFormat="1" x14ac:dyDescent="0.2">
      <c r="A1308" s="242" t="s">
        <v>195</v>
      </c>
      <c r="B1308" s="243" t="s">
        <v>59</v>
      </c>
      <c r="C1308" s="243" t="s">
        <v>196</v>
      </c>
      <c r="D1308" s="243" t="s">
        <v>217</v>
      </c>
      <c r="E1308" s="1121" t="s">
        <v>89</v>
      </c>
      <c r="F1308" s="1114"/>
      <c r="G1308" s="1115"/>
      <c r="H1308" s="1121" t="s">
        <v>183</v>
      </c>
      <c r="I1308" s="1115"/>
      <c r="J1308" s="400"/>
      <c r="K1308" s="400"/>
      <c r="L1308" s="295"/>
      <c r="M1308" s="295"/>
      <c r="N1308" s="295"/>
      <c r="O1308" s="295"/>
      <c r="P1308" s="295"/>
      <c r="Q1308" s="295"/>
    </row>
    <row r="1309" spans="1:17" s="198" customFormat="1" x14ac:dyDescent="0.2">
      <c r="A1309" s="259" t="str">
        <f>VLOOKUP(B1309,mat.!$A:$D,2,FALSE)</f>
        <v>Dope AT</v>
      </c>
      <c r="B1309" s="234">
        <v>10028</v>
      </c>
      <c r="C1309" s="260" t="str">
        <f>VLOOKUP(B1309,mat.!$A:$D,3,FALSE)</f>
        <v>t</v>
      </c>
      <c r="D1309" s="261">
        <f>VLOOKUP(B1309,mat.!$A:$D,4,FALSE)</f>
        <v>63150</v>
      </c>
      <c r="E1309" s="255"/>
      <c r="F1309" s="253"/>
      <c r="G1309" s="293">
        <v>1</v>
      </c>
      <c r="H1309" s="255"/>
      <c r="I1309" s="423">
        <f>TRUNC(D1309*G1309,2)</f>
        <v>63150</v>
      </c>
      <c r="J1309" s="400"/>
      <c r="K1309" s="400"/>
      <c r="L1309" s="295"/>
      <c r="M1309" s="295"/>
      <c r="N1309" s="295"/>
      <c r="O1309" s="295"/>
      <c r="P1309" s="295"/>
      <c r="Q1309" s="295"/>
    </row>
    <row r="1310" spans="1:17" s="198" customFormat="1" x14ac:dyDescent="0.2">
      <c r="A1310" s="199"/>
      <c r="B1310" s="229"/>
      <c r="C1310" s="199"/>
      <c r="D1310" s="199"/>
      <c r="E1310" s="199"/>
      <c r="F1310" s="230" t="s">
        <v>197</v>
      </c>
      <c r="G1310" s="240"/>
      <c r="H1310" s="241"/>
      <c r="I1310" s="438">
        <f>SUM(I1309:I1309)</f>
        <v>63150</v>
      </c>
      <c r="J1310" s="400"/>
      <c r="K1310" s="400"/>
      <c r="L1310" s="295"/>
      <c r="M1310" s="295"/>
      <c r="N1310" s="295"/>
      <c r="O1310" s="295"/>
      <c r="P1310" s="295"/>
      <c r="Q1310" s="295"/>
    </row>
    <row r="1311" spans="1:17" x14ac:dyDescent="0.2">
      <c r="A1311" s="199"/>
      <c r="B1311" s="229"/>
      <c r="C1311" s="199"/>
      <c r="D1311" s="199"/>
      <c r="E1311" s="199"/>
      <c r="F1311" s="199"/>
      <c r="G1311" s="262"/>
      <c r="H1311" s="199"/>
      <c r="I1311" s="439"/>
    </row>
    <row r="1312" spans="1:17" x14ac:dyDescent="0.2">
      <c r="A1312" s="263" t="s">
        <v>198</v>
      </c>
      <c r="B1312" s="243" t="s">
        <v>59</v>
      </c>
      <c r="C1312" s="243" t="s">
        <v>196</v>
      </c>
      <c r="D1312" s="902" t="s">
        <v>217</v>
      </c>
      <c r="E1312" s="1111" t="s">
        <v>89</v>
      </c>
      <c r="F1312" s="1112"/>
      <c r="G1312" s="1113"/>
      <c r="H1312" s="1114" t="s">
        <v>183</v>
      </c>
      <c r="I1312" s="1115"/>
    </row>
    <row r="1313" spans="1:14" x14ac:dyDescent="0.2">
      <c r="A1313" s="244"/>
      <c r="B1313" s="234"/>
      <c r="C1313" s="234"/>
      <c r="D1313" s="239"/>
      <c r="E1313" s="255"/>
      <c r="F1313" s="253"/>
      <c r="G1313" s="293"/>
      <c r="H1313" s="240"/>
      <c r="I1313" s="423">
        <f>TRUNC(D1313*G1313,2)</f>
        <v>0</v>
      </c>
    </row>
    <row r="1314" spans="1:14" x14ac:dyDescent="0.2">
      <c r="A1314" s="200"/>
      <c r="B1314" s="264"/>
      <c r="C1314" s="200"/>
      <c r="D1314" s="200"/>
      <c r="E1314" s="200"/>
      <c r="F1314" s="265" t="s">
        <v>199</v>
      </c>
      <c r="G1314" s="255"/>
      <c r="H1314" s="266"/>
      <c r="I1314" s="441">
        <f>SUM(I1313:I1313)</f>
        <v>0</v>
      </c>
    </row>
    <row r="1315" spans="1:14" x14ac:dyDescent="0.2">
      <c r="A1315" s="200"/>
      <c r="B1315" s="264"/>
      <c r="C1315" s="200"/>
      <c r="D1315" s="200"/>
      <c r="E1315" s="200"/>
      <c r="F1315" s="200"/>
      <c r="G1315" s="200"/>
      <c r="H1315" s="200"/>
      <c r="I1315" s="440"/>
    </row>
    <row r="1316" spans="1:14" x14ac:dyDescent="0.2">
      <c r="A1316" s="267" t="s">
        <v>200</v>
      </c>
      <c r="B1316" s="268" t="s">
        <v>59</v>
      </c>
      <c r="C1316" s="268" t="s">
        <v>196</v>
      </c>
      <c r="D1316" s="268" t="s">
        <v>201</v>
      </c>
      <c r="E1316" s="268" t="s">
        <v>202</v>
      </c>
      <c r="F1316" s="268" t="s">
        <v>203</v>
      </c>
      <c r="G1316" s="268" t="s">
        <v>94</v>
      </c>
      <c r="H1316" s="268" t="s">
        <v>89</v>
      </c>
      <c r="I1316" s="442" t="s">
        <v>204</v>
      </c>
    </row>
    <row r="1317" spans="1:14" x14ac:dyDescent="0.2">
      <c r="A1317" s="244"/>
      <c r="B1317" s="234"/>
      <c r="C1317" s="234"/>
      <c r="D1317" s="269"/>
      <c r="E1317" s="270"/>
      <c r="F1317" s="270"/>
      <c r="G1317" s="239"/>
      <c r="H1317" s="271"/>
      <c r="I1317" s="418"/>
      <c r="J1317" s="400" t="s">
        <v>115</v>
      </c>
    </row>
    <row r="1318" spans="1:14" x14ac:dyDescent="0.2">
      <c r="A1318" s="200"/>
      <c r="B1318" s="264"/>
      <c r="C1318" s="200"/>
      <c r="D1318" s="200"/>
      <c r="E1318" s="200"/>
      <c r="F1318" s="265" t="s">
        <v>205</v>
      </c>
      <c r="G1318" s="240"/>
      <c r="H1318" s="272"/>
      <c r="I1318" s="443">
        <f>SUM(I1317:I1317)</f>
        <v>0</v>
      </c>
    </row>
    <row r="1319" spans="1:14" x14ac:dyDescent="0.2">
      <c r="A1319" s="200"/>
      <c r="B1319" s="264"/>
      <c r="C1319" s="200"/>
      <c r="D1319" s="200"/>
      <c r="E1319" s="200"/>
      <c r="F1319" s="200"/>
      <c r="G1319" s="200"/>
      <c r="H1319" s="200"/>
      <c r="I1319" s="444"/>
    </row>
    <row r="1320" spans="1:14" x14ac:dyDescent="0.2">
      <c r="A1320" s="468" t="s">
        <v>322</v>
      </c>
      <c r="B1320" s="274"/>
      <c r="C1320" s="275"/>
      <c r="D1320" s="275"/>
      <c r="E1320" s="275"/>
      <c r="F1320" s="276" t="s">
        <v>206</v>
      </c>
      <c r="G1320" s="273"/>
      <c r="H1320" s="249"/>
      <c r="I1320" s="445">
        <f>+I1306+I1310+I1314+I1318</f>
        <v>63150</v>
      </c>
    </row>
    <row r="1321" spans="1:14" x14ac:dyDescent="0.2">
      <c r="A1321" s="240"/>
      <c r="B1321" s="279"/>
      <c r="C1321" s="272"/>
      <c r="D1321" s="272"/>
      <c r="E1321" s="272"/>
      <c r="F1321" s="280" t="s">
        <v>207</v>
      </c>
      <c r="G1321" s="404"/>
      <c r="H1321" s="241"/>
      <c r="I1321" s="720">
        <f>I1320</f>
        <v>63150</v>
      </c>
    </row>
    <row r="1322" spans="1:14" x14ac:dyDescent="0.2">
      <c r="A1322" s="1116" t="str">
        <f>$A$1</f>
        <v>COMPOSIÇÃO DE CUSTOS UNITÁRIOS</v>
      </c>
      <c r="B1322" s="1116"/>
      <c r="C1322" s="1116"/>
      <c r="D1322" s="1116"/>
      <c r="E1322" s="1116"/>
      <c r="F1322" s="1116"/>
      <c r="G1322" s="1116"/>
      <c r="H1322" s="1116"/>
      <c r="I1322" s="1116"/>
      <c r="J1322" s="415"/>
      <c r="K1322" s="415"/>
      <c r="L1322" s="198"/>
      <c r="M1322" s="198"/>
      <c r="N1322" s="198"/>
    </row>
    <row r="1323" spans="1:14" x14ac:dyDescent="0.2">
      <c r="A1323" s="411" t="str">
        <f>$A$2</f>
        <v>Tabela Referencial de Preços - DER-ES</v>
      </c>
      <c r="B1323" s="412"/>
      <c r="C1323" s="413"/>
      <c r="D1323" s="413"/>
      <c r="E1323" s="413"/>
      <c r="F1323" s="413"/>
      <c r="G1323" s="413"/>
      <c r="H1323" s="413"/>
      <c r="I1323" s="414" t="str">
        <f>$I$2</f>
        <v>Data Base: novembro/2020</v>
      </c>
      <c r="J1323" s="415">
        <v>40972</v>
      </c>
      <c r="K1323" s="400">
        <f>VLOOKUP("Preço Unitário Total",F1325:I3936,4,FALSE)</f>
        <v>0</v>
      </c>
      <c r="L1323" s="198">
        <f>VLOOKUP(J1323,'DER 11-20'!A:E,5,FALSE)</f>
        <v>0</v>
      </c>
      <c r="M1323" s="198" t="str">
        <f>VLOOKUP(J1323,'DER 11-20'!$A:$D,2,FALSE)</f>
        <v>Bonificação de 15,28% sobre Materiais Betuminosos</v>
      </c>
      <c r="N1323" s="198"/>
    </row>
    <row r="1324" spans="1:14" x14ac:dyDescent="0.2">
      <c r="A1324" s="1119" t="str">
        <f>+CONCATENATE("Serviço: ",J1323," ",VLOOKUP(J1323,'DER 11-20'!$A:$D,2,FALSE))</f>
        <v>Serviço: 40972 Bonificação de 15,28% sobre Materiais Betuminosos</v>
      </c>
      <c r="B1324" s="1119"/>
      <c r="C1324" s="1119"/>
      <c r="D1324" s="1119"/>
      <c r="E1324" s="1119"/>
      <c r="F1324" s="1119"/>
      <c r="G1324" s="1119"/>
      <c r="H1324" s="1119"/>
      <c r="I1324" s="1119" t="str">
        <f>CONCATENATE("Unidade: ", VLOOKUP(J1323,'DER 11-20'!$A:$E,3,FALSE))</f>
        <v>Unidade: %</v>
      </c>
      <c r="J1324" s="415"/>
      <c r="K1324" s="415"/>
      <c r="L1324" s="198"/>
      <c r="M1324" s="198"/>
      <c r="N1324" s="198"/>
    </row>
    <row r="1325" spans="1:14" x14ac:dyDescent="0.2">
      <c r="A1325" s="1120"/>
      <c r="B1325" s="1120"/>
      <c r="C1325" s="1120"/>
      <c r="D1325" s="1120"/>
      <c r="E1325" s="1120"/>
      <c r="F1325" s="1120"/>
      <c r="G1325" s="1120"/>
      <c r="H1325" s="1120"/>
      <c r="I1325" s="1120"/>
      <c r="J1325" s="415"/>
      <c r="K1325" s="415"/>
      <c r="L1325" s="198"/>
      <c r="M1325" s="198"/>
      <c r="N1325" s="198"/>
    </row>
    <row r="1326" spans="1:14" ht="22.5" x14ac:dyDescent="0.2">
      <c r="A1326" s="433" t="s">
        <v>177</v>
      </c>
      <c r="B1326" s="434" t="s">
        <v>59</v>
      </c>
      <c r="C1326" s="434" t="s">
        <v>178</v>
      </c>
      <c r="D1326" s="434" t="s">
        <v>179</v>
      </c>
      <c r="E1326" s="434" t="s">
        <v>180</v>
      </c>
      <c r="F1326" s="434" t="s">
        <v>181</v>
      </c>
      <c r="G1326" s="434" t="s">
        <v>182</v>
      </c>
      <c r="H1326" s="434" t="s">
        <v>89</v>
      </c>
      <c r="I1326" s="434" t="s">
        <v>183</v>
      </c>
      <c r="J1326" s="295"/>
      <c r="K1326" s="295"/>
    </row>
    <row r="1327" spans="1:14" x14ac:dyDescent="0.2">
      <c r="A1327" s="233"/>
      <c r="B1327" s="234"/>
      <c r="C1327" s="235"/>
      <c r="D1327" s="236"/>
      <c r="E1327" s="203"/>
      <c r="F1327" s="237"/>
      <c r="G1327" s="237"/>
      <c r="H1327" s="238"/>
      <c r="I1327" s="418"/>
      <c r="J1327" s="295"/>
      <c r="K1327" s="295"/>
    </row>
    <row r="1328" spans="1:14" x14ac:dyDescent="0.2">
      <c r="A1328" s="199"/>
      <c r="B1328" s="229"/>
      <c r="C1328" s="229"/>
      <c r="D1328" s="199"/>
      <c r="E1328" s="199"/>
      <c r="F1328" s="230" t="s">
        <v>184</v>
      </c>
      <c r="G1328" s="240"/>
      <c r="H1328" s="241"/>
      <c r="I1328" s="438">
        <f>SUM(I1327:I1327)</f>
        <v>0</v>
      </c>
      <c r="J1328" s="295"/>
      <c r="K1328" s="295"/>
    </row>
    <row r="1329" spans="1:17" s="198" customFormat="1" x14ac:dyDescent="0.2">
      <c r="A1329" s="199"/>
      <c r="B1329" s="229"/>
      <c r="C1329" s="229"/>
      <c r="D1329" s="199"/>
      <c r="E1329" s="199"/>
      <c r="F1329" s="199"/>
      <c r="G1329" s="199"/>
      <c r="H1329" s="199"/>
      <c r="I1329" s="439"/>
      <c r="J1329" s="295"/>
      <c r="K1329" s="295"/>
      <c r="L1329" s="295"/>
      <c r="M1329" s="295"/>
      <c r="N1329" s="295"/>
      <c r="O1329" s="295"/>
      <c r="P1329" s="295"/>
      <c r="Q1329" s="295"/>
    </row>
    <row r="1330" spans="1:17" x14ac:dyDescent="0.2">
      <c r="A1330" s="242" t="s">
        <v>185</v>
      </c>
      <c r="B1330" s="243" t="s">
        <v>59</v>
      </c>
      <c r="C1330" s="232" t="s">
        <v>357</v>
      </c>
      <c r="D1330" s="243" t="s">
        <v>187</v>
      </c>
      <c r="E1330" s="1111" t="s">
        <v>89</v>
      </c>
      <c r="F1330" s="1112"/>
      <c r="G1330" s="1113"/>
      <c r="H1330" s="1121" t="s">
        <v>183</v>
      </c>
      <c r="I1330" s="1115"/>
      <c r="J1330" s="295"/>
      <c r="K1330" s="295"/>
    </row>
    <row r="1331" spans="1:17" x14ac:dyDescent="0.2">
      <c r="A1331" s="244"/>
      <c r="B1331" s="234"/>
      <c r="C1331" s="239"/>
      <c r="D1331" s="239"/>
      <c r="E1331" s="255"/>
      <c r="F1331" s="253"/>
      <c r="G1331" s="293"/>
      <c r="H1331" s="240"/>
      <c r="I1331" s="427"/>
      <c r="J1331" s="295"/>
      <c r="K1331" s="295"/>
    </row>
    <row r="1332" spans="1:17" x14ac:dyDescent="0.2">
      <c r="A1332" s="199"/>
      <c r="B1332" s="229"/>
      <c r="C1332" s="229"/>
      <c r="D1332" s="199"/>
      <c r="E1332" s="199"/>
      <c r="F1332" s="230" t="s">
        <v>188</v>
      </c>
      <c r="G1332" s="240"/>
      <c r="H1332" s="241"/>
      <c r="I1332" s="438">
        <f>SUM(I1331:I1331)</f>
        <v>0</v>
      </c>
      <c r="J1332" s="295"/>
      <c r="K1332" s="295"/>
    </row>
    <row r="1333" spans="1:17" x14ac:dyDescent="0.2">
      <c r="A1333" s="199"/>
      <c r="B1333" s="229"/>
      <c r="C1333" s="229"/>
      <c r="D1333" s="199"/>
      <c r="E1333" s="199"/>
      <c r="F1333" s="199"/>
      <c r="G1333" s="199"/>
      <c r="H1333" s="199"/>
      <c r="I1333" s="439"/>
      <c r="J1333" s="295"/>
      <c r="K1333" s="295"/>
    </row>
    <row r="1334" spans="1:17" x14ac:dyDescent="0.2">
      <c r="A1334" s="245" t="s">
        <v>189</v>
      </c>
      <c r="B1334" s="243" t="s">
        <v>59</v>
      </c>
      <c r="C1334" s="635" t="s">
        <v>17</v>
      </c>
      <c r="D1334" s="243" t="s">
        <v>190</v>
      </c>
      <c r="E1334" s="243" t="s">
        <v>191</v>
      </c>
      <c r="F1334" s="243" t="s">
        <v>192</v>
      </c>
      <c r="G1334" s="1121" t="s">
        <v>94</v>
      </c>
      <c r="H1334" s="1114"/>
      <c r="I1334" s="1115"/>
      <c r="J1334" s="295"/>
      <c r="K1334" s="295"/>
    </row>
    <row r="1335" spans="1:17" x14ac:dyDescent="0.2">
      <c r="A1335" s="244"/>
      <c r="B1335" s="234"/>
      <c r="C1335" s="239"/>
      <c r="D1335" s="235"/>
      <c r="E1335" s="246"/>
      <c r="F1335" s="246"/>
      <c r="G1335" s="240"/>
      <c r="H1335" s="241"/>
      <c r="I1335" s="427">
        <f>TRUNC(C1335/100*I1332,2)</f>
        <v>0</v>
      </c>
      <c r="J1335" s="295"/>
      <c r="K1335" s="295"/>
    </row>
    <row r="1336" spans="1:17" x14ac:dyDescent="0.2">
      <c r="A1336" s="199"/>
      <c r="B1336" s="229"/>
      <c r="C1336" s="199"/>
      <c r="D1336" s="199"/>
      <c r="E1336" s="199"/>
      <c r="F1336" s="230" t="s">
        <v>327</v>
      </c>
      <c r="G1336" s="240"/>
      <c r="H1336" s="241"/>
      <c r="I1336" s="438">
        <f>SUM(I1335)</f>
        <v>0</v>
      </c>
      <c r="J1336" s="295"/>
      <c r="K1336" s="295"/>
    </row>
    <row r="1337" spans="1:17" x14ac:dyDescent="0.2">
      <c r="A1337" s="199"/>
      <c r="B1337" s="229"/>
      <c r="C1337" s="199"/>
      <c r="D1337" s="199"/>
      <c r="E1337" s="199"/>
      <c r="F1337" s="199"/>
      <c r="G1337" s="199"/>
      <c r="H1337" s="199"/>
      <c r="I1337" s="439"/>
      <c r="J1337" s="295"/>
      <c r="K1337" s="295"/>
    </row>
    <row r="1338" spans="1:17" x14ac:dyDescent="0.2">
      <c r="A1338" s="247"/>
      <c r="B1338" s="248"/>
      <c r="C1338" s="249"/>
      <c r="D1338" s="249"/>
      <c r="E1338" s="249"/>
      <c r="F1338" s="250" t="s">
        <v>193</v>
      </c>
      <c r="G1338" s="401"/>
      <c r="H1338" s="249"/>
      <c r="I1338" s="445">
        <f>+I1328+I1332+I1336</f>
        <v>0</v>
      </c>
      <c r="J1338" s="295"/>
      <c r="K1338" s="295"/>
    </row>
    <row r="1339" spans="1:17" x14ac:dyDescent="0.2">
      <c r="A1339" s="251"/>
      <c r="B1339" s="252"/>
      <c r="C1339" s="253"/>
      <c r="D1339" s="253"/>
      <c r="E1339" s="253"/>
      <c r="F1339" s="254" t="s">
        <v>194</v>
      </c>
      <c r="G1339" s="255"/>
      <c r="H1339" s="253"/>
      <c r="I1339" s="446">
        <v>1</v>
      </c>
      <c r="J1339" s="295"/>
      <c r="K1339" s="295"/>
    </row>
    <row r="1340" spans="1:17" x14ac:dyDescent="0.2">
      <c r="A1340" s="233"/>
      <c r="B1340" s="256"/>
      <c r="C1340" s="241"/>
      <c r="D1340" s="241"/>
      <c r="E1340" s="241"/>
      <c r="F1340" s="257" t="s">
        <v>216</v>
      </c>
      <c r="G1340" s="240"/>
      <c r="H1340" s="241"/>
      <c r="I1340" s="447"/>
      <c r="J1340" s="295"/>
      <c r="K1340" s="295"/>
    </row>
    <row r="1341" spans="1:17" x14ac:dyDescent="0.2">
      <c r="A1341" s="636"/>
      <c r="B1341" s="229"/>
      <c r="C1341" s="199"/>
      <c r="D1341" s="199"/>
      <c r="E1341" s="199"/>
      <c r="F1341" s="258"/>
      <c r="G1341" s="199"/>
      <c r="H1341" s="199"/>
      <c r="I1341" s="450"/>
      <c r="J1341" s="295"/>
      <c r="K1341" s="295"/>
    </row>
    <row r="1342" spans="1:17" x14ac:dyDescent="0.2">
      <c r="A1342" s="242" t="s">
        <v>195</v>
      </c>
      <c r="B1342" s="243" t="s">
        <v>59</v>
      </c>
      <c r="C1342" s="243" t="s">
        <v>196</v>
      </c>
      <c r="D1342" s="243" t="s">
        <v>217</v>
      </c>
      <c r="E1342" s="1121" t="s">
        <v>89</v>
      </c>
      <c r="F1342" s="1114"/>
      <c r="G1342" s="1115"/>
      <c r="H1342" s="1121" t="s">
        <v>183</v>
      </c>
      <c r="I1342" s="1115"/>
      <c r="K1342" s="295"/>
    </row>
    <row r="1343" spans="1:17" x14ac:dyDescent="0.2">
      <c r="A1343" s="259"/>
      <c r="B1343" s="234"/>
      <c r="C1343" s="260"/>
      <c r="D1343" s="261"/>
      <c r="E1343" s="255"/>
      <c r="F1343" s="253"/>
      <c r="G1343" s="293"/>
      <c r="H1343" s="255"/>
      <c r="I1343" s="423"/>
      <c r="K1343" s="295"/>
    </row>
    <row r="1344" spans="1:17" x14ac:dyDescent="0.2">
      <c r="A1344" s="199"/>
      <c r="B1344" s="229"/>
      <c r="C1344" s="199"/>
      <c r="D1344" s="199"/>
      <c r="E1344" s="199"/>
      <c r="F1344" s="230" t="s">
        <v>197</v>
      </c>
      <c r="G1344" s="240"/>
      <c r="H1344" s="241"/>
      <c r="I1344" s="438">
        <f>SUM(I1343:I1343)</f>
        <v>0</v>
      </c>
      <c r="K1344" s="295"/>
    </row>
    <row r="1345" spans="1:17" x14ac:dyDescent="0.2">
      <c r="A1345" s="199"/>
      <c r="B1345" s="229"/>
      <c r="C1345" s="199"/>
      <c r="D1345" s="199"/>
      <c r="E1345" s="199"/>
      <c r="F1345" s="199"/>
      <c r="G1345" s="262"/>
      <c r="H1345" s="199"/>
      <c r="I1345" s="439"/>
      <c r="K1345" s="295"/>
    </row>
    <row r="1346" spans="1:17" x14ac:dyDescent="0.2">
      <c r="A1346" s="263" t="s">
        <v>198</v>
      </c>
      <c r="B1346" s="243" t="s">
        <v>59</v>
      </c>
      <c r="C1346" s="243" t="s">
        <v>196</v>
      </c>
      <c r="D1346" s="635" t="s">
        <v>217</v>
      </c>
      <c r="E1346" s="1111" t="s">
        <v>89</v>
      </c>
      <c r="F1346" s="1112"/>
      <c r="G1346" s="1113"/>
      <c r="H1346" s="1114" t="s">
        <v>183</v>
      </c>
      <c r="I1346" s="1115"/>
      <c r="K1346" s="295"/>
    </row>
    <row r="1347" spans="1:17" x14ac:dyDescent="0.2">
      <c r="A1347" s="244"/>
      <c r="B1347" s="234"/>
      <c r="C1347" s="234"/>
      <c r="D1347" s="239"/>
      <c r="E1347" s="255"/>
      <c r="F1347" s="253"/>
      <c r="G1347" s="293"/>
      <c r="H1347" s="240"/>
      <c r="I1347" s="423">
        <f>TRUNC(D1347*G1347,2)</f>
        <v>0</v>
      </c>
      <c r="K1347" s="295"/>
    </row>
    <row r="1348" spans="1:17" x14ac:dyDescent="0.2">
      <c r="A1348" s="200"/>
      <c r="B1348" s="264"/>
      <c r="C1348" s="200"/>
      <c r="D1348" s="200"/>
      <c r="E1348" s="200"/>
      <c r="F1348" s="265" t="s">
        <v>199</v>
      </c>
      <c r="G1348" s="255"/>
      <c r="H1348" s="266"/>
      <c r="I1348" s="441">
        <f>SUM(I1347:I1347)</f>
        <v>0</v>
      </c>
      <c r="K1348" s="295"/>
    </row>
    <row r="1349" spans="1:17" x14ac:dyDescent="0.2">
      <c r="A1349" s="200"/>
      <c r="B1349" s="264"/>
      <c r="C1349" s="200"/>
      <c r="D1349" s="200"/>
      <c r="E1349" s="200"/>
      <c r="F1349" s="200"/>
      <c r="G1349" s="200"/>
      <c r="H1349" s="200"/>
      <c r="I1349" s="440"/>
      <c r="K1349" s="295"/>
    </row>
    <row r="1350" spans="1:17" x14ac:dyDescent="0.2">
      <c r="A1350" s="267" t="s">
        <v>200</v>
      </c>
      <c r="B1350" s="268" t="s">
        <v>59</v>
      </c>
      <c r="C1350" s="268" t="s">
        <v>196</v>
      </c>
      <c r="D1350" s="268" t="s">
        <v>201</v>
      </c>
      <c r="E1350" s="268" t="s">
        <v>202</v>
      </c>
      <c r="F1350" s="268" t="s">
        <v>203</v>
      </c>
      <c r="G1350" s="268" t="s">
        <v>94</v>
      </c>
      <c r="H1350" s="268" t="s">
        <v>89</v>
      </c>
      <c r="I1350" s="442" t="s">
        <v>204</v>
      </c>
      <c r="K1350" s="295"/>
    </row>
    <row r="1351" spans="1:17" x14ac:dyDescent="0.2">
      <c r="A1351" s="244"/>
      <c r="B1351" s="234"/>
      <c r="C1351" s="234"/>
      <c r="D1351" s="269"/>
      <c r="E1351" s="270"/>
      <c r="F1351" s="270"/>
      <c r="G1351" s="239"/>
      <c r="H1351" s="271"/>
      <c r="I1351" s="418"/>
      <c r="K1351" s="295"/>
    </row>
    <row r="1352" spans="1:17" x14ac:dyDescent="0.2">
      <c r="A1352" s="200"/>
      <c r="B1352" s="264"/>
      <c r="C1352" s="200"/>
      <c r="D1352" s="200"/>
      <c r="E1352" s="200"/>
      <c r="F1352" s="265" t="s">
        <v>205</v>
      </c>
      <c r="G1352" s="240"/>
      <c r="H1352" s="272"/>
      <c r="I1352" s="443">
        <f>SUM(I1351:I1351)</f>
        <v>0</v>
      </c>
      <c r="K1352" s="295"/>
    </row>
    <row r="1353" spans="1:17" x14ac:dyDescent="0.2">
      <c r="A1353" s="200"/>
      <c r="B1353" s="264"/>
      <c r="C1353" s="200"/>
      <c r="D1353" s="200"/>
      <c r="E1353" s="200"/>
      <c r="F1353" s="200"/>
      <c r="G1353" s="200"/>
      <c r="H1353" s="200"/>
      <c r="I1353" s="444"/>
      <c r="K1353" s="295"/>
    </row>
    <row r="1354" spans="1:17" x14ac:dyDescent="0.2">
      <c r="A1354" s="468" t="s">
        <v>322</v>
      </c>
      <c r="B1354" s="274"/>
      <c r="C1354" s="275"/>
      <c r="D1354" s="275"/>
      <c r="E1354" s="275"/>
      <c r="F1354" s="276" t="s">
        <v>206</v>
      </c>
      <c r="G1354" s="273"/>
      <c r="H1354" s="249"/>
      <c r="I1354" s="445">
        <f>+I1340+I1344+I1348+I1352</f>
        <v>0</v>
      </c>
      <c r="K1354" s="295"/>
    </row>
    <row r="1355" spans="1:17" x14ac:dyDescent="0.2">
      <c r="A1355" s="240"/>
      <c r="B1355" s="279"/>
      <c r="C1355" s="272"/>
      <c r="D1355" s="272"/>
      <c r="E1355" s="272"/>
      <c r="F1355" s="280" t="s">
        <v>207</v>
      </c>
      <c r="G1355" s="404"/>
      <c r="H1355" s="241"/>
      <c r="I1355" s="447">
        <f>I1354</f>
        <v>0</v>
      </c>
    </row>
    <row r="1356" spans="1:17" x14ac:dyDescent="0.2">
      <c r="A1356" s="1124" t="str">
        <f>$A$1</f>
        <v>COMPOSIÇÃO DE CUSTOS UNITÁRIOS</v>
      </c>
      <c r="B1356" s="1124"/>
      <c r="C1356" s="1124"/>
      <c r="D1356" s="1124"/>
      <c r="E1356" s="1124"/>
      <c r="F1356" s="1124"/>
      <c r="G1356" s="1124"/>
      <c r="H1356" s="1124"/>
      <c r="I1356" s="1124"/>
      <c r="J1356" s="415"/>
      <c r="K1356" s="415"/>
      <c r="L1356" s="198"/>
      <c r="M1356" s="198"/>
      <c r="N1356" s="198"/>
      <c r="O1356" s="198"/>
      <c r="P1356" s="198"/>
      <c r="Q1356" s="198"/>
    </row>
    <row r="1357" spans="1:17" x14ac:dyDescent="0.2">
      <c r="A1357" s="411" t="s">
        <v>214</v>
      </c>
      <c r="B1357" s="412"/>
      <c r="C1357" s="413"/>
      <c r="D1357" s="413"/>
      <c r="E1357" s="413"/>
      <c r="F1357" s="413"/>
      <c r="G1357" s="413"/>
      <c r="H1357" s="413"/>
      <c r="I1357" s="414" t="str">
        <f>I3938</f>
        <v>Data Base: novembro/2020</v>
      </c>
      <c r="J1357" s="415">
        <v>40283</v>
      </c>
      <c r="K1357" s="415">
        <f>VLOOKUP("Preço Unitário Total",F1359:I1391,4,FALSE)</f>
        <v>15.67</v>
      </c>
      <c r="L1357" s="198">
        <f>VLOOKUP(J1357,'DER 11-20'!A:E,5,FALSE)</f>
        <v>0</v>
      </c>
      <c r="M1357" s="198" t="str">
        <f>VLOOKUP(J1357,'DER 11-20'!$A:$D,2,FALSE)</f>
        <v>Escavação mecânica em material de 1ª cat. H= 1,50 a 3,00 m</v>
      </c>
      <c r="N1357" s="198"/>
      <c r="O1357" s="198"/>
      <c r="P1357" s="198"/>
      <c r="Q1357" s="198"/>
    </row>
    <row r="1358" spans="1:17" x14ac:dyDescent="0.2">
      <c r="A1358" s="1119" t="str">
        <f>+CONCATENATE("Serviço: ",J1357," ",VLOOKUP(J1357,'DER 11-20'!$A:$D,2,FALSE))</f>
        <v>Serviço: 40283 Escavação mecânica em material de 1ª cat. H= 1,50 a 3,00 m</v>
      </c>
      <c r="B1358" s="1119"/>
      <c r="C1358" s="1119"/>
      <c r="D1358" s="1119"/>
      <c r="E1358" s="1119"/>
      <c r="F1358" s="1119"/>
      <c r="G1358" s="1119"/>
      <c r="H1358" s="1119"/>
      <c r="I1358" s="1119" t="str">
        <f>CONCATENATE("Unidade: ", VLOOKUP(J1357,'DER 11-20'!$A:$E,3,FALSE))</f>
        <v>Unidade: M3</v>
      </c>
      <c r="J1358" s="198"/>
      <c r="K1358" s="198"/>
      <c r="L1358" s="198"/>
      <c r="M1358" s="198"/>
      <c r="N1358" s="198"/>
      <c r="O1358" s="198"/>
      <c r="P1358" s="198"/>
      <c r="Q1358" s="198"/>
    </row>
    <row r="1359" spans="1:17" x14ac:dyDescent="0.2">
      <c r="A1359" s="1120"/>
      <c r="B1359" s="1120"/>
      <c r="C1359" s="1120"/>
      <c r="D1359" s="1120"/>
      <c r="E1359" s="1120"/>
      <c r="F1359" s="1120"/>
      <c r="G1359" s="1120"/>
      <c r="H1359" s="1120"/>
      <c r="I1359" s="1120"/>
      <c r="J1359" s="295"/>
      <c r="K1359" s="295"/>
    </row>
    <row r="1360" spans="1:17" ht="22.5" x14ac:dyDescent="0.2">
      <c r="A1360" s="231" t="s">
        <v>177</v>
      </c>
      <c r="B1360" s="232" t="s">
        <v>59</v>
      </c>
      <c r="C1360" s="232" t="s">
        <v>178</v>
      </c>
      <c r="D1360" s="232" t="s">
        <v>179</v>
      </c>
      <c r="E1360" s="232" t="s">
        <v>180</v>
      </c>
      <c r="F1360" s="232" t="s">
        <v>181</v>
      </c>
      <c r="G1360" s="232" t="s">
        <v>182</v>
      </c>
      <c r="H1360" s="232" t="s">
        <v>89</v>
      </c>
      <c r="I1360" s="434" t="s">
        <v>183</v>
      </c>
      <c r="J1360" s="295"/>
      <c r="K1360" s="295"/>
    </row>
    <row r="1361" spans="1:11" ht="33.75" x14ac:dyDescent="0.2">
      <c r="A1361" s="233" t="str">
        <f>VLOOKUP(B1361,equip.!$A:$G,2,FALSE)</f>
        <v>Escavadeira hidráulica sobre esteiras mod. C X 220 (22t), Case ou equivalente</v>
      </c>
      <c r="B1361" s="234">
        <v>30025</v>
      </c>
      <c r="C1361" s="235">
        <f>VLOOKUP(B1361,equip.!$A$1:$G$239,3,FALSE)</f>
        <v>0</v>
      </c>
      <c r="D1361" s="236">
        <v>1</v>
      </c>
      <c r="E1361" s="203">
        <v>0</v>
      </c>
      <c r="F1361" s="237">
        <f>VLOOKUP(B1361,equip.!$A:$G,6,FALSE)</f>
        <v>227.7</v>
      </c>
      <c r="G1361" s="237">
        <f>VLOOKUP(B1361,equip.!$A:$G,7,FALSE)</f>
        <v>101.44</v>
      </c>
      <c r="H1361" s="238">
        <v>1</v>
      </c>
      <c r="I1361" s="418">
        <f>TRUNC(D1361*F1361*H1361+E1361*G1361*H1361,2)</f>
        <v>227.7</v>
      </c>
      <c r="J1361" s="295"/>
      <c r="K1361" s="295"/>
    </row>
    <row r="1362" spans="1:11" x14ac:dyDescent="0.2">
      <c r="A1362" s="199"/>
      <c r="B1362" s="229"/>
      <c r="C1362" s="229"/>
      <c r="D1362" s="199"/>
      <c r="E1362" s="199"/>
      <c r="F1362" s="230" t="s">
        <v>184</v>
      </c>
      <c r="G1362" s="240"/>
      <c r="H1362" s="241"/>
      <c r="I1362" s="438">
        <f>SUM(I1361:I1361)</f>
        <v>227.7</v>
      </c>
      <c r="J1362" s="295"/>
      <c r="K1362" s="295"/>
    </row>
    <row r="1363" spans="1:11" x14ac:dyDescent="0.2">
      <c r="A1363" s="199"/>
      <c r="B1363" s="229"/>
      <c r="C1363" s="229"/>
      <c r="D1363" s="199"/>
      <c r="E1363" s="199"/>
      <c r="F1363" s="199"/>
      <c r="G1363" s="199"/>
      <c r="H1363" s="199"/>
      <c r="I1363" s="439"/>
      <c r="J1363" s="295"/>
      <c r="K1363" s="295"/>
    </row>
    <row r="1364" spans="1:11" x14ac:dyDescent="0.2">
      <c r="A1364" s="242" t="s">
        <v>185</v>
      </c>
      <c r="B1364" s="243" t="s">
        <v>59</v>
      </c>
      <c r="C1364" s="232" t="s">
        <v>357</v>
      </c>
      <c r="D1364" s="243" t="s">
        <v>187</v>
      </c>
      <c r="E1364" s="1111" t="s">
        <v>89</v>
      </c>
      <c r="F1364" s="1112"/>
      <c r="G1364" s="1113"/>
      <c r="H1364" s="1121" t="s">
        <v>183</v>
      </c>
      <c r="I1364" s="1115"/>
      <c r="J1364" s="295"/>
      <c r="K1364" s="295"/>
    </row>
    <row r="1365" spans="1:11" x14ac:dyDescent="0.2">
      <c r="A1365" s="244" t="str">
        <f>VLOOKUP(B1365,m.o.!$A:$H,2,FALSE)</f>
        <v>Encarregado de O.A.C.</v>
      </c>
      <c r="B1365" s="234">
        <v>20060</v>
      </c>
      <c r="C1365" s="239">
        <f>VLOOKUP(B1365,m.o.!$A:$F,4,FALSE)</f>
        <v>2.2599999999999998</v>
      </c>
      <c r="D1365" s="239">
        <f>VLOOKUP(B1365,m.o.!$A:$G,7,FALSE)</f>
        <v>28.31</v>
      </c>
      <c r="E1365" s="255"/>
      <c r="F1365" s="253"/>
      <c r="G1365" s="293">
        <v>0.5</v>
      </c>
      <c r="H1365" s="240"/>
      <c r="I1365" s="427">
        <f>TRUNC(D1365*G1365,2)</f>
        <v>14.15</v>
      </c>
      <c r="J1365" s="295"/>
      <c r="K1365" s="295"/>
    </row>
    <row r="1366" spans="1:11" x14ac:dyDescent="0.2">
      <c r="A1366" s="259" t="str">
        <f>VLOOKUP(B1366,m.o.!$A:$H,2,FALSE)</f>
        <v>Servente</v>
      </c>
      <c r="B1366" s="234">
        <v>20002</v>
      </c>
      <c r="C1366" s="261">
        <f>VLOOKUP(B1366,m.o.!$A:$F,4,FALSE)</f>
        <v>1</v>
      </c>
      <c r="D1366" s="261">
        <f>VLOOKUP(B1366,m.o.!$A:$G,7,FALSE)</f>
        <v>12.52</v>
      </c>
      <c r="E1366" s="255"/>
      <c r="F1366" s="253"/>
      <c r="G1366" s="405">
        <v>1</v>
      </c>
      <c r="H1366" s="255"/>
      <c r="I1366" s="423">
        <f>TRUNC(D1366*G1366,2)</f>
        <v>12.52</v>
      </c>
      <c r="J1366" s="295"/>
      <c r="K1366" s="295"/>
    </row>
    <row r="1367" spans="1:11" x14ac:dyDescent="0.2">
      <c r="A1367" s="199"/>
      <c r="B1367" s="229"/>
      <c r="C1367" s="229"/>
      <c r="D1367" s="199"/>
      <c r="E1367" s="199"/>
      <c r="F1367" s="230" t="s">
        <v>188</v>
      </c>
      <c r="G1367" s="240"/>
      <c r="H1367" s="241"/>
      <c r="I1367" s="438">
        <f>SUM(I1365:I1366)</f>
        <v>26.67</v>
      </c>
      <c r="J1367" s="295"/>
      <c r="K1367" s="295"/>
    </row>
    <row r="1368" spans="1:11" x14ac:dyDescent="0.2">
      <c r="A1368" s="199"/>
      <c r="B1368" s="229"/>
      <c r="C1368" s="229"/>
      <c r="D1368" s="199"/>
      <c r="E1368" s="199"/>
      <c r="F1368" s="199"/>
      <c r="G1368" s="199"/>
      <c r="H1368" s="199"/>
      <c r="I1368" s="439"/>
      <c r="J1368" s="295"/>
      <c r="K1368" s="295"/>
    </row>
    <row r="1369" spans="1:11" x14ac:dyDescent="0.2">
      <c r="A1369" s="245" t="s">
        <v>189</v>
      </c>
      <c r="B1369" s="243" t="s">
        <v>59</v>
      </c>
      <c r="C1369" s="635" t="s">
        <v>17</v>
      </c>
      <c r="D1369" s="243" t="s">
        <v>190</v>
      </c>
      <c r="E1369" s="243" t="s">
        <v>191</v>
      </c>
      <c r="F1369" s="243" t="s">
        <v>192</v>
      </c>
      <c r="G1369" s="1121" t="s">
        <v>94</v>
      </c>
      <c r="H1369" s="1114"/>
      <c r="I1369" s="1115"/>
      <c r="J1369" s="295"/>
      <c r="K1369" s="295"/>
    </row>
    <row r="1370" spans="1:11" x14ac:dyDescent="0.2">
      <c r="A1370" s="244"/>
      <c r="B1370" s="234"/>
      <c r="C1370" s="239"/>
      <c r="D1370" s="235"/>
      <c r="E1370" s="246"/>
      <c r="F1370" s="246"/>
      <c r="G1370" s="240"/>
      <c r="H1370" s="241"/>
      <c r="I1370" s="427">
        <f>TRUNC(C1370/100*I1367,2)</f>
        <v>0</v>
      </c>
      <c r="J1370" s="295"/>
      <c r="K1370" s="295"/>
    </row>
    <row r="1371" spans="1:11" x14ac:dyDescent="0.2">
      <c r="A1371" s="199"/>
      <c r="B1371" s="229"/>
      <c r="C1371" s="199"/>
      <c r="D1371" s="199"/>
      <c r="E1371" s="199"/>
      <c r="F1371" s="230" t="s">
        <v>327</v>
      </c>
      <c r="G1371" s="240"/>
      <c r="H1371" s="241"/>
      <c r="I1371" s="438">
        <f>SUM(I1370)</f>
        <v>0</v>
      </c>
      <c r="J1371" s="295"/>
      <c r="K1371" s="295"/>
    </row>
    <row r="1372" spans="1:11" x14ac:dyDescent="0.2">
      <c r="A1372" s="199"/>
      <c r="B1372" s="229"/>
      <c r="C1372" s="199"/>
      <c r="D1372" s="199"/>
      <c r="E1372" s="199"/>
      <c r="F1372" s="199"/>
      <c r="G1372" s="199"/>
      <c r="H1372" s="199"/>
      <c r="I1372" s="439"/>
      <c r="J1372" s="295"/>
      <c r="K1372" s="295"/>
    </row>
    <row r="1373" spans="1:11" x14ac:dyDescent="0.2">
      <c r="A1373" s="247"/>
      <c r="B1373" s="248"/>
      <c r="C1373" s="249"/>
      <c r="D1373" s="249"/>
      <c r="E1373" s="249"/>
      <c r="F1373" s="250" t="s">
        <v>193</v>
      </c>
      <c r="G1373" s="401"/>
      <c r="H1373" s="249"/>
      <c r="I1373" s="445">
        <f>+I1362+I1367+I1371</f>
        <v>254.37</v>
      </c>
      <c r="J1373" s="295"/>
      <c r="K1373" s="295"/>
    </row>
    <row r="1374" spans="1:11" x14ac:dyDescent="0.2">
      <c r="A1374" s="251"/>
      <c r="B1374" s="252"/>
      <c r="C1374" s="253"/>
      <c r="D1374" s="253"/>
      <c r="E1374" s="253"/>
      <c r="F1374" s="254" t="s">
        <v>194</v>
      </c>
      <c r="G1374" s="255"/>
      <c r="H1374" s="253"/>
      <c r="I1374" s="446">
        <v>20</v>
      </c>
      <c r="K1374" s="295"/>
    </row>
    <row r="1375" spans="1:11" x14ac:dyDescent="0.2">
      <c r="A1375" s="233"/>
      <c r="B1375" s="256"/>
      <c r="C1375" s="241"/>
      <c r="D1375" s="241"/>
      <c r="E1375" s="241"/>
      <c r="F1375" s="257" t="s">
        <v>216</v>
      </c>
      <c r="G1375" s="240"/>
      <c r="H1375" s="241"/>
      <c r="I1375" s="447">
        <f>TRUNC(I1373/I1374,2)</f>
        <v>12.71</v>
      </c>
      <c r="K1375" s="295"/>
    </row>
    <row r="1376" spans="1:11" x14ac:dyDescent="0.2">
      <c r="A1376" s="636"/>
      <c r="B1376" s="229"/>
      <c r="C1376" s="199"/>
      <c r="D1376" s="199"/>
      <c r="E1376" s="199"/>
      <c r="F1376" s="258"/>
      <c r="G1376" s="199"/>
      <c r="H1376" s="199"/>
      <c r="I1376" s="450"/>
      <c r="K1376" s="295"/>
    </row>
    <row r="1377" spans="1:17" x14ac:dyDescent="0.2">
      <c r="A1377" s="242" t="s">
        <v>195</v>
      </c>
      <c r="B1377" s="243" t="s">
        <v>59</v>
      </c>
      <c r="C1377" s="243" t="s">
        <v>196</v>
      </c>
      <c r="D1377" s="243" t="s">
        <v>217</v>
      </c>
      <c r="E1377" s="1121" t="s">
        <v>89</v>
      </c>
      <c r="F1377" s="1114"/>
      <c r="G1377" s="1115"/>
      <c r="H1377" s="1121" t="s">
        <v>183</v>
      </c>
      <c r="I1377" s="1115"/>
      <c r="K1377" s="295"/>
    </row>
    <row r="1378" spans="1:17" x14ac:dyDescent="0.2">
      <c r="A1378" s="259"/>
      <c r="B1378" s="234"/>
      <c r="C1378" s="260"/>
      <c r="D1378" s="261"/>
      <c r="E1378" s="255"/>
      <c r="F1378" s="253"/>
      <c r="G1378" s="293"/>
      <c r="H1378" s="255"/>
      <c r="I1378" s="423">
        <f>TRUNC(D1378*G1378,2)</f>
        <v>0</v>
      </c>
      <c r="K1378" s="295"/>
    </row>
    <row r="1379" spans="1:17" x14ac:dyDescent="0.2">
      <c r="A1379" s="199"/>
      <c r="B1379" s="229"/>
      <c r="C1379" s="199"/>
      <c r="D1379" s="199"/>
      <c r="E1379" s="199"/>
      <c r="F1379" s="230" t="s">
        <v>197</v>
      </c>
      <c r="G1379" s="240"/>
      <c r="H1379" s="241"/>
      <c r="I1379" s="438">
        <f>SUM(I1378:I1378)</f>
        <v>0</v>
      </c>
      <c r="K1379" s="295"/>
    </row>
    <row r="1380" spans="1:17" x14ac:dyDescent="0.2">
      <c r="A1380" s="199"/>
      <c r="B1380" s="229"/>
      <c r="C1380" s="199"/>
      <c r="D1380" s="199"/>
      <c r="E1380" s="199"/>
      <c r="F1380" s="199"/>
      <c r="G1380" s="262"/>
      <c r="H1380" s="199"/>
      <c r="I1380" s="439"/>
      <c r="K1380" s="295"/>
    </row>
    <row r="1381" spans="1:17" x14ac:dyDescent="0.2">
      <c r="A1381" s="263" t="s">
        <v>198</v>
      </c>
      <c r="B1381" s="243" t="s">
        <v>59</v>
      </c>
      <c r="C1381" s="243" t="s">
        <v>196</v>
      </c>
      <c r="D1381" s="635" t="s">
        <v>217</v>
      </c>
      <c r="E1381" s="1111" t="s">
        <v>89</v>
      </c>
      <c r="F1381" s="1112"/>
      <c r="G1381" s="1113"/>
      <c r="H1381" s="1114" t="s">
        <v>183</v>
      </c>
      <c r="I1381" s="1115"/>
      <c r="K1381" s="295"/>
    </row>
    <row r="1382" spans="1:17" x14ac:dyDescent="0.2">
      <c r="A1382" s="244"/>
      <c r="B1382" s="260"/>
      <c r="C1382" s="234"/>
      <c r="D1382" s="239"/>
      <c r="E1382" s="240"/>
      <c r="F1382" s="241"/>
      <c r="G1382" s="409"/>
      <c r="H1382" s="240"/>
      <c r="I1382" s="423"/>
      <c r="K1382" s="295"/>
    </row>
    <row r="1383" spans="1:17" x14ac:dyDescent="0.2">
      <c r="A1383" s="200"/>
      <c r="B1383" s="264"/>
      <c r="C1383" s="200"/>
      <c r="D1383" s="200"/>
      <c r="E1383" s="200"/>
      <c r="F1383" s="265" t="s">
        <v>199</v>
      </c>
      <c r="G1383" s="255"/>
      <c r="H1383" s="266"/>
      <c r="I1383" s="441">
        <f>SUM(I1380:I1382)</f>
        <v>0</v>
      </c>
      <c r="K1383" s="295"/>
    </row>
    <row r="1384" spans="1:17" x14ac:dyDescent="0.2">
      <c r="A1384" s="200"/>
      <c r="B1384" s="264"/>
      <c r="C1384" s="200"/>
      <c r="D1384" s="200"/>
      <c r="E1384" s="200"/>
      <c r="F1384" s="200"/>
      <c r="G1384" s="200"/>
      <c r="H1384" s="200"/>
      <c r="I1384" s="440"/>
      <c r="K1384" s="295"/>
    </row>
    <row r="1385" spans="1:17" x14ac:dyDescent="0.2">
      <c r="A1385" s="267" t="s">
        <v>200</v>
      </c>
      <c r="B1385" s="268" t="s">
        <v>59</v>
      </c>
      <c r="C1385" s="268" t="s">
        <v>196</v>
      </c>
      <c r="D1385" s="268" t="s">
        <v>201</v>
      </c>
      <c r="E1385" s="268" t="s">
        <v>202</v>
      </c>
      <c r="F1385" s="268" t="s">
        <v>203</v>
      </c>
      <c r="G1385" s="268" t="s">
        <v>94</v>
      </c>
      <c r="H1385" s="268" t="s">
        <v>89</v>
      </c>
      <c r="I1385" s="442" t="s">
        <v>204</v>
      </c>
      <c r="K1385" s="295"/>
    </row>
    <row r="1386" spans="1:17" x14ac:dyDescent="0.2">
      <c r="A1386" s="244"/>
      <c r="B1386" s="234"/>
      <c r="C1386" s="234"/>
      <c r="D1386" s="269"/>
      <c r="E1386" s="270"/>
      <c r="F1386" s="270"/>
      <c r="G1386" s="239"/>
      <c r="H1386" s="271"/>
      <c r="I1386" s="418">
        <f>TRUNC(G1386*H1386,2)</f>
        <v>0</v>
      </c>
      <c r="K1386" s="295"/>
    </row>
    <row r="1387" spans="1:17" x14ac:dyDescent="0.2">
      <c r="A1387" s="200"/>
      <c r="B1387" s="264"/>
      <c r="C1387" s="200"/>
      <c r="D1387" s="200"/>
      <c r="E1387" s="200"/>
      <c r="F1387" s="265" t="s">
        <v>205</v>
      </c>
      <c r="G1387" s="240"/>
      <c r="H1387" s="272"/>
      <c r="I1387" s="443">
        <f>SUM(I1386:I1386)</f>
        <v>0</v>
      </c>
      <c r="K1387" s="295"/>
    </row>
    <row r="1388" spans="1:17" x14ac:dyDescent="0.2">
      <c r="A1388" s="200"/>
      <c r="B1388" s="264"/>
      <c r="C1388" s="200"/>
      <c r="D1388" s="200"/>
      <c r="E1388" s="200"/>
      <c r="F1388" s="200"/>
      <c r="G1388" s="200"/>
      <c r="H1388" s="200"/>
      <c r="I1388" s="444"/>
      <c r="K1388" s="295"/>
    </row>
    <row r="1389" spans="1:17" x14ac:dyDescent="0.2">
      <c r="A1389" s="273"/>
      <c r="B1389" s="274"/>
      <c r="C1389" s="275"/>
      <c r="D1389" s="275"/>
      <c r="E1389" s="275"/>
      <c r="F1389" s="276" t="s">
        <v>206</v>
      </c>
      <c r="G1389" s="273"/>
      <c r="H1389" s="249"/>
      <c r="I1389" s="445">
        <f>+I1375+I1379+I1383+I1387</f>
        <v>12.71</v>
      </c>
      <c r="K1389" s="295"/>
    </row>
    <row r="1390" spans="1:17" x14ac:dyDescent="0.2">
      <c r="A1390" s="255"/>
      <c r="B1390" s="277"/>
      <c r="C1390" s="266"/>
      <c r="D1390" s="266"/>
      <c r="E1390" s="266"/>
      <c r="F1390" s="278" t="str">
        <f>CONCATENATE($H$3," ",$I$3)</f>
        <v>BDI: 23,32</v>
      </c>
      <c r="G1390" s="403"/>
      <c r="H1390" s="253"/>
      <c r="I1390" s="446">
        <f>+ROUND(I1389*$I$4,2)</f>
        <v>2.96</v>
      </c>
    </row>
    <row r="1391" spans="1:17" x14ac:dyDescent="0.2">
      <c r="A1391" s="240"/>
      <c r="B1391" s="279"/>
      <c r="C1391" s="272"/>
      <c r="D1391" s="272"/>
      <c r="E1391" s="272"/>
      <c r="F1391" s="280" t="s">
        <v>207</v>
      </c>
      <c r="G1391" s="404"/>
      <c r="H1391" s="241"/>
      <c r="I1391" s="720">
        <f>+I1389+I1390</f>
        <v>15.67</v>
      </c>
      <c r="J1391" s="467"/>
      <c r="K1391" s="198"/>
      <c r="L1391" s="198"/>
      <c r="M1391" s="198"/>
      <c r="N1391" s="198"/>
      <c r="O1391" s="198"/>
      <c r="P1391" s="198"/>
      <c r="Q1391" s="198"/>
    </row>
    <row r="1392" spans="1:17" x14ac:dyDescent="0.2">
      <c r="A1392" s="1124" t="str">
        <f>$A$1</f>
        <v>COMPOSIÇÃO DE CUSTOS UNITÁRIOS</v>
      </c>
      <c r="B1392" s="1124"/>
      <c r="C1392" s="1124"/>
      <c r="D1392" s="1124"/>
      <c r="E1392" s="1124"/>
      <c r="F1392" s="1124"/>
      <c r="G1392" s="1124"/>
      <c r="H1392" s="1124"/>
      <c r="I1392" s="1124"/>
      <c r="J1392" s="415"/>
      <c r="K1392" s="415"/>
      <c r="L1392" s="198"/>
      <c r="M1392" s="198"/>
      <c r="N1392" s="198"/>
      <c r="O1392" s="198"/>
      <c r="P1392" s="198"/>
      <c r="Q1392" s="198"/>
    </row>
    <row r="1393" spans="1:17" x14ac:dyDescent="0.2">
      <c r="A1393" s="411" t="str">
        <f>$A$2</f>
        <v>Tabela Referencial de Preços - DER-ES</v>
      </c>
      <c r="B1393" s="412"/>
      <c r="C1393" s="413"/>
      <c r="D1393" s="413"/>
      <c r="E1393" s="413"/>
      <c r="F1393" s="413"/>
      <c r="G1393" s="413"/>
      <c r="H1393" s="413"/>
      <c r="I1393" s="414" t="str">
        <f>$I$2</f>
        <v>Data Base: novembro/2020</v>
      </c>
      <c r="J1393" s="415">
        <v>40303</v>
      </c>
      <c r="K1393" s="415">
        <f>VLOOKUP("Preço Unitário Total",F1395:I4015,4,FALSE)</f>
        <v>46.23</v>
      </c>
      <c r="L1393" s="198">
        <f>VLOOKUP(J1393,'DER 11-20'!A:E,5,FALSE)</f>
        <v>0</v>
      </c>
      <c r="M1393" s="198" t="str">
        <f>VLOOKUP(J1393,'DER 11-20'!$A:$D,2,FALSE)</f>
        <v>Reaterro de cavas c/ compactação mecânica (compactador manual)</v>
      </c>
      <c r="N1393" s="198"/>
      <c r="O1393" s="198"/>
      <c r="P1393" s="198"/>
      <c r="Q1393" s="198"/>
    </row>
    <row r="1394" spans="1:17" x14ac:dyDescent="0.2">
      <c r="A1394" s="1119" t="str">
        <f>+CONCATENATE("Serviço: ",J1393," ",VLOOKUP(J1393,'DER 11-20'!$A:$D,2,FALSE))</f>
        <v>Serviço: 40303 Reaterro de cavas c/ compactação mecânica (compactador manual)</v>
      </c>
      <c r="B1394" s="1119"/>
      <c r="C1394" s="1119"/>
      <c r="D1394" s="1119"/>
      <c r="E1394" s="1119"/>
      <c r="F1394" s="1119"/>
      <c r="G1394" s="1119"/>
      <c r="H1394" s="1119"/>
      <c r="I1394" s="1119" t="str">
        <f>CONCATENATE("Unidade: ", VLOOKUP(J1393,'DER 11-20'!$A:$E,3,FALSE))</f>
        <v>Unidade: M3</v>
      </c>
      <c r="J1394" s="415"/>
      <c r="K1394" s="415"/>
      <c r="L1394" s="198"/>
      <c r="M1394" s="198"/>
      <c r="N1394" s="198"/>
      <c r="O1394" s="198"/>
      <c r="P1394" s="198"/>
      <c r="Q1394" s="198"/>
    </row>
    <row r="1395" spans="1:17" x14ac:dyDescent="0.2">
      <c r="A1395" s="1120"/>
      <c r="B1395" s="1120"/>
      <c r="C1395" s="1120"/>
      <c r="D1395" s="1120"/>
      <c r="E1395" s="1120"/>
      <c r="F1395" s="1120"/>
      <c r="G1395" s="1120"/>
      <c r="H1395" s="1120"/>
      <c r="I1395" s="1120"/>
    </row>
    <row r="1396" spans="1:17" ht="22.5" x14ac:dyDescent="0.2">
      <c r="A1396" s="231" t="s">
        <v>177</v>
      </c>
      <c r="B1396" s="232" t="s">
        <v>59</v>
      </c>
      <c r="C1396" s="232" t="s">
        <v>178</v>
      </c>
      <c r="D1396" s="232" t="s">
        <v>179</v>
      </c>
      <c r="E1396" s="232" t="s">
        <v>180</v>
      </c>
      <c r="F1396" s="232" t="s">
        <v>181</v>
      </c>
      <c r="G1396" s="232" t="s">
        <v>182</v>
      </c>
      <c r="H1396" s="232" t="s">
        <v>89</v>
      </c>
      <c r="I1396" s="434" t="s">
        <v>183</v>
      </c>
    </row>
    <row r="1397" spans="1:17" ht="33.75" x14ac:dyDescent="0.2">
      <c r="A1397" s="233" t="str">
        <f>VLOOKUP(B1397,equip.!$A:$G,2,FALSE)</f>
        <v>Compactador manual LF-100 gasol marca de referência Honda asfal 500mm ou equivalente</v>
      </c>
      <c r="B1397" s="234">
        <v>30075</v>
      </c>
      <c r="C1397" s="235">
        <f>VLOOKUP(B1397,equip.!$A$1:$G$239,3,FALSE)</f>
        <v>0</v>
      </c>
      <c r="D1397" s="236">
        <v>1</v>
      </c>
      <c r="E1397" s="203">
        <v>0</v>
      </c>
      <c r="F1397" s="237">
        <f>VLOOKUP(B1397,equip.!$A:$G,6,FALSE)</f>
        <v>15.42</v>
      </c>
      <c r="G1397" s="237">
        <f>VLOOKUP(B1397,equip.!$A:$G,7,FALSE)</f>
        <v>13.71</v>
      </c>
      <c r="H1397" s="238">
        <v>1</v>
      </c>
      <c r="I1397" s="418">
        <f>TRUNC(D1397*F1397*H1397+E1397*G1397*H1397,2)</f>
        <v>15.42</v>
      </c>
    </row>
    <row r="1398" spans="1:17" x14ac:dyDescent="0.2">
      <c r="A1398" s="199"/>
      <c r="B1398" s="229"/>
      <c r="C1398" s="229"/>
      <c r="D1398" s="199"/>
      <c r="E1398" s="199"/>
      <c r="F1398" s="230" t="s">
        <v>184</v>
      </c>
      <c r="G1398" s="240"/>
      <c r="H1398" s="241"/>
      <c r="I1398" s="438">
        <f>SUM(I1397:I1397)</f>
        <v>15.42</v>
      </c>
    </row>
    <row r="1399" spans="1:17" x14ac:dyDescent="0.2">
      <c r="A1399" s="199"/>
      <c r="B1399" s="229"/>
      <c r="C1399" s="229"/>
      <c r="D1399" s="199"/>
      <c r="E1399" s="199"/>
      <c r="F1399" s="199"/>
      <c r="G1399" s="199"/>
      <c r="H1399" s="199"/>
      <c r="I1399" s="439"/>
    </row>
    <row r="1400" spans="1:17" x14ac:dyDescent="0.2">
      <c r="A1400" s="242" t="s">
        <v>185</v>
      </c>
      <c r="B1400" s="243" t="s">
        <v>59</v>
      </c>
      <c r="C1400" s="232" t="s">
        <v>357</v>
      </c>
      <c r="D1400" s="243" t="s">
        <v>187</v>
      </c>
      <c r="E1400" s="1111" t="s">
        <v>89</v>
      </c>
      <c r="F1400" s="1112"/>
      <c r="G1400" s="1113"/>
      <c r="H1400" s="1121" t="s">
        <v>183</v>
      </c>
      <c r="I1400" s="1115"/>
    </row>
    <row r="1401" spans="1:17" x14ac:dyDescent="0.2">
      <c r="A1401" s="244" t="str">
        <f>VLOOKUP(B1401,m.o.!$A:$H,2,FALSE)</f>
        <v>Encarregado de O.A.C.</v>
      </c>
      <c r="B1401" s="234">
        <v>20060</v>
      </c>
      <c r="C1401" s="239">
        <f>VLOOKUP(B1401,m.o.!$A:$F,4,FALSE)</f>
        <v>2.2599999999999998</v>
      </c>
      <c r="D1401" s="239">
        <f>VLOOKUP(B1401,m.o.!$A:$G,7,FALSE)</f>
        <v>28.31</v>
      </c>
      <c r="E1401" s="255"/>
      <c r="F1401" s="253"/>
      <c r="G1401" s="293">
        <v>0.2</v>
      </c>
      <c r="H1401" s="240"/>
      <c r="I1401" s="427">
        <f>TRUNC(D1401*G1401,2)</f>
        <v>5.66</v>
      </c>
    </row>
    <row r="1402" spans="1:17" x14ac:dyDescent="0.2">
      <c r="A1402" s="244" t="str">
        <f>VLOOKUP(B1402,m.o.!$A:$H,2,FALSE)</f>
        <v>Operário braçal</v>
      </c>
      <c r="B1402" s="234">
        <v>20107</v>
      </c>
      <c r="C1402" s="239">
        <f>VLOOKUP(B1402,m.o.!$A:$F,4,FALSE)</f>
        <v>1.02</v>
      </c>
      <c r="D1402" s="239">
        <f>VLOOKUP(B1402,m.o.!$A:$G,7,FALSE)</f>
        <v>12.77</v>
      </c>
      <c r="E1402" s="255"/>
      <c r="F1402" s="253"/>
      <c r="G1402" s="293">
        <v>4</v>
      </c>
      <c r="H1402" s="240"/>
      <c r="I1402" s="427">
        <f>TRUNC(D1402*G1402,2)</f>
        <v>51.08</v>
      </c>
    </row>
    <row r="1403" spans="1:17" x14ac:dyDescent="0.2">
      <c r="A1403" s="199"/>
      <c r="B1403" s="229"/>
      <c r="C1403" s="229"/>
      <c r="D1403" s="199"/>
      <c r="E1403" s="199"/>
      <c r="F1403" s="230" t="s">
        <v>188</v>
      </c>
      <c r="G1403" s="240"/>
      <c r="H1403" s="241"/>
      <c r="I1403" s="438">
        <f>SUM(I1401:I1402)</f>
        <v>56.74</v>
      </c>
    </row>
    <row r="1404" spans="1:17" x14ac:dyDescent="0.2">
      <c r="A1404" s="199"/>
      <c r="B1404" s="229"/>
      <c r="C1404" s="229"/>
      <c r="D1404" s="199"/>
      <c r="E1404" s="199"/>
      <c r="F1404" s="199"/>
      <c r="G1404" s="199"/>
      <c r="H1404" s="199"/>
      <c r="I1404" s="439"/>
    </row>
    <row r="1405" spans="1:17" x14ac:dyDescent="0.2">
      <c r="A1405" s="245" t="s">
        <v>189</v>
      </c>
      <c r="B1405" s="243" t="s">
        <v>59</v>
      </c>
      <c r="C1405" s="635" t="s">
        <v>17</v>
      </c>
      <c r="D1405" s="243" t="s">
        <v>190</v>
      </c>
      <c r="E1405" s="243" t="s">
        <v>191</v>
      </c>
      <c r="F1405" s="243" t="s">
        <v>192</v>
      </c>
      <c r="G1405" s="1121" t="s">
        <v>94</v>
      </c>
      <c r="H1405" s="1114"/>
      <c r="I1405" s="1115"/>
    </row>
    <row r="1406" spans="1:17" x14ac:dyDescent="0.2">
      <c r="A1406" s="244" t="s">
        <v>127</v>
      </c>
      <c r="B1406" s="234">
        <v>2000</v>
      </c>
      <c r="C1406" s="239">
        <v>5</v>
      </c>
      <c r="D1406" s="235" t="s">
        <v>208</v>
      </c>
      <c r="E1406" s="246"/>
      <c r="F1406" s="246"/>
      <c r="G1406" s="240"/>
      <c r="H1406" s="241"/>
      <c r="I1406" s="427">
        <f>TRUNC(C1406/100*I1403,2)</f>
        <v>2.83</v>
      </c>
    </row>
    <row r="1407" spans="1:17" x14ac:dyDescent="0.2">
      <c r="A1407" s="199"/>
      <c r="B1407" s="229"/>
      <c r="C1407" s="199"/>
      <c r="D1407" s="199"/>
      <c r="E1407" s="199"/>
      <c r="F1407" s="230" t="s">
        <v>327</v>
      </c>
      <c r="G1407" s="240"/>
      <c r="H1407" s="241"/>
      <c r="I1407" s="438">
        <f>SUM(I1406)</f>
        <v>2.83</v>
      </c>
    </row>
    <row r="1408" spans="1:17" x14ac:dyDescent="0.2">
      <c r="A1408" s="199"/>
      <c r="B1408" s="229"/>
      <c r="C1408" s="199"/>
      <c r="D1408" s="199"/>
      <c r="E1408" s="199"/>
      <c r="F1408" s="199"/>
      <c r="G1408" s="199"/>
      <c r="H1408" s="199"/>
      <c r="I1408" s="439"/>
    </row>
    <row r="1409" spans="1:17" x14ac:dyDescent="0.2">
      <c r="A1409" s="247"/>
      <c r="B1409" s="248"/>
      <c r="C1409" s="249"/>
      <c r="D1409" s="249"/>
      <c r="E1409" s="249"/>
      <c r="F1409" s="250" t="s">
        <v>193</v>
      </c>
      <c r="G1409" s="401"/>
      <c r="H1409" s="249"/>
      <c r="I1409" s="445">
        <f>+I1398+I1403+I1407</f>
        <v>74.989999999999995</v>
      </c>
    </row>
    <row r="1410" spans="1:17" x14ac:dyDescent="0.2">
      <c r="A1410" s="251"/>
      <c r="B1410" s="252"/>
      <c r="C1410" s="253"/>
      <c r="D1410" s="253"/>
      <c r="E1410" s="253"/>
      <c r="F1410" s="254" t="s">
        <v>194</v>
      </c>
      <c r="G1410" s="255"/>
      <c r="H1410" s="253"/>
      <c r="I1410" s="446">
        <v>2</v>
      </c>
    </row>
    <row r="1411" spans="1:17" x14ac:dyDescent="0.2">
      <c r="A1411" s="233"/>
      <c r="B1411" s="256"/>
      <c r="C1411" s="241"/>
      <c r="D1411" s="241"/>
      <c r="E1411" s="241"/>
      <c r="F1411" s="257" t="s">
        <v>216</v>
      </c>
      <c r="G1411" s="240"/>
      <c r="H1411" s="241"/>
      <c r="I1411" s="447">
        <f>TRUNC(I1409/I1410,2)</f>
        <v>37.49</v>
      </c>
    </row>
    <row r="1412" spans="1:17" x14ac:dyDescent="0.2">
      <c r="A1412" s="636"/>
      <c r="B1412" s="229"/>
      <c r="C1412" s="199"/>
      <c r="D1412" s="199"/>
      <c r="E1412" s="199"/>
      <c r="F1412" s="258"/>
      <c r="G1412" s="199"/>
      <c r="H1412" s="199"/>
      <c r="I1412" s="450"/>
    </row>
    <row r="1413" spans="1:17" x14ac:dyDescent="0.2">
      <c r="A1413" s="242" t="s">
        <v>195</v>
      </c>
      <c r="B1413" s="243" t="s">
        <v>59</v>
      </c>
      <c r="C1413" s="243" t="s">
        <v>196</v>
      </c>
      <c r="D1413" s="243" t="s">
        <v>217</v>
      </c>
      <c r="E1413" s="1121" t="s">
        <v>89</v>
      </c>
      <c r="F1413" s="1114"/>
      <c r="G1413" s="1115"/>
      <c r="H1413" s="1121" t="s">
        <v>183</v>
      </c>
      <c r="I1413" s="1115"/>
      <c r="J1413" s="415"/>
      <c r="K1413" s="415"/>
      <c r="L1413" s="198"/>
      <c r="M1413" s="198"/>
      <c r="N1413" s="198"/>
      <c r="O1413" s="198"/>
      <c r="P1413" s="198"/>
      <c r="Q1413" s="198"/>
    </row>
    <row r="1414" spans="1:17" x14ac:dyDescent="0.2">
      <c r="A1414" s="428"/>
      <c r="B1414" s="417"/>
      <c r="C1414" s="429"/>
      <c r="D1414" s="430"/>
      <c r="E1414" s="419"/>
      <c r="F1414" s="420"/>
      <c r="G1414" s="421"/>
      <c r="H1414" s="419"/>
      <c r="I1414" s="423"/>
    </row>
    <row r="1415" spans="1:17" x14ac:dyDescent="0.2">
      <c r="A1415" s="199"/>
      <c r="B1415" s="229"/>
      <c r="C1415" s="199"/>
      <c r="D1415" s="199"/>
      <c r="E1415" s="199"/>
      <c r="F1415" s="230" t="s">
        <v>197</v>
      </c>
      <c r="G1415" s="240"/>
      <c r="H1415" s="241"/>
      <c r="I1415" s="438">
        <f>SUM(I1414:I1414)</f>
        <v>0</v>
      </c>
    </row>
    <row r="1416" spans="1:17" x14ac:dyDescent="0.2">
      <c r="A1416" s="199"/>
      <c r="B1416" s="229"/>
      <c r="C1416" s="199"/>
      <c r="D1416" s="199"/>
      <c r="E1416" s="199"/>
      <c r="F1416" s="199"/>
      <c r="G1416" s="262"/>
      <c r="H1416" s="199"/>
      <c r="I1416" s="439"/>
    </row>
    <row r="1417" spans="1:17" x14ac:dyDescent="0.2">
      <c r="A1417" s="263" t="s">
        <v>198</v>
      </c>
      <c r="B1417" s="243" t="s">
        <v>59</v>
      </c>
      <c r="C1417" s="243" t="s">
        <v>196</v>
      </c>
      <c r="D1417" s="635" t="s">
        <v>217</v>
      </c>
      <c r="E1417" s="1111" t="s">
        <v>89</v>
      </c>
      <c r="F1417" s="1112"/>
      <c r="G1417" s="1113"/>
      <c r="H1417" s="1114" t="s">
        <v>183</v>
      </c>
      <c r="I1417" s="1115"/>
      <c r="J1417" s="415"/>
      <c r="K1417" s="415"/>
      <c r="L1417" s="198"/>
      <c r="M1417" s="198"/>
      <c r="N1417" s="198"/>
      <c r="O1417" s="198"/>
      <c r="P1417" s="198"/>
      <c r="Q1417" s="198"/>
    </row>
    <row r="1418" spans="1:17" x14ac:dyDescent="0.2">
      <c r="A1418" s="416"/>
      <c r="B1418" s="417"/>
      <c r="C1418" s="417"/>
      <c r="D1418" s="418"/>
      <c r="E1418" s="419"/>
      <c r="F1418" s="420"/>
      <c r="G1418" s="421"/>
      <c r="H1418" s="422"/>
      <c r="I1418" s="423"/>
    </row>
    <row r="1419" spans="1:17" x14ac:dyDescent="0.2">
      <c r="A1419" s="200"/>
      <c r="B1419" s="264"/>
      <c r="C1419" s="200"/>
      <c r="D1419" s="200"/>
      <c r="E1419" s="200"/>
      <c r="F1419" s="265" t="s">
        <v>199</v>
      </c>
      <c r="G1419" s="255"/>
      <c r="H1419" s="266"/>
      <c r="I1419" s="441">
        <f>SUM(I1418:I1418)</f>
        <v>0</v>
      </c>
    </row>
    <row r="1420" spans="1:17" x14ac:dyDescent="0.2">
      <c r="A1420" s="200"/>
      <c r="B1420" s="264"/>
      <c r="C1420" s="200"/>
      <c r="D1420" s="200"/>
      <c r="E1420" s="200"/>
      <c r="F1420" s="200"/>
      <c r="G1420" s="200"/>
      <c r="H1420" s="200"/>
      <c r="I1420" s="440"/>
    </row>
    <row r="1421" spans="1:17" x14ac:dyDescent="0.2">
      <c r="A1421" s="267" t="s">
        <v>200</v>
      </c>
      <c r="B1421" s="268" t="s">
        <v>59</v>
      </c>
      <c r="C1421" s="268" t="s">
        <v>196</v>
      </c>
      <c r="D1421" s="268" t="s">
        <v>201</v>
      </c>
      <c r="E1421" s="268" t="s">
        <v>202</v>
      </c>
      <c r="F1421" s="268" t="s">
        <v>203</v>
      </c>
      <c r="G1421" s="268" t="s">
        <v>94</v>
      </c>
      <c r="H1421" s="268" t="s">
        <v>89</v>
      </c>
      <c r="I1421" s="442" t="s">
        <v>204</v>
      </c>
    </row>
    <row r="1422" spans="1:17" x14ac:dyDescent="0.2">
      <c r="A1422" s="244"/>
      <c r="B1422" s="234"/>
      <c r="C1422" s="234"/>
      <c r="D1422" s="402"/>
      <c r="E1422" s="270"/>
      <c r="F1422" s="270"/>
      <c r="G1422" s="239"/>
      <c r="H1422" s="271"/>
      <c r="I1422" s="418"/>
    </row>
    <row r="1423" spans="1:17" x14ac:dyDescent="0.2">
      <c r="A1423" s="200"/>
      <c r="B1423" s="264"/>
      <c r="C1423" s="200"/>
      <c r="D1423" s="200"/>
      <c r="E1423" s="200"/>
      <c r="F1423" s="265" t="s">
        <v>205</v>
      </c>
      <c r="G1423" s="240"/>
      <c r="H1423" s="272"/>
      <c r="I1423" s="443">
        <f>SUM(I1422:I1422)</f>
        <v>0</v>
      </c>
    </row>
    <row r="1424" spans="1:17" x14ac:dyDescent="0.2">
      <c r="A1424" s="200"/>
      <c r="B1424" s="264"/>
      <c r="C1424" s="200"/>
      <c r="D1424" s="200"/>
      <c r="E1424" s="200"/>
      <c r="F1424" s="200"/>
      <c r="G1424" s="200"/>
      <c r="H1424" s="200"/>
      <c r="I1424" s="444"/>
    </row>
    <row r="1425" spans="1:13" x14ac:dyDescent="0.2">
      <c r="A1425" s="273"/>
      <c r="B1425" s="274"/>
      <c r="C1425" s="275"/>
      <c r="D1425" s="275"/>
      <c r="E1425" s="275"/>
      <c r="F1425" s="276" t="s">
        <v>206</v>
      </c>
      <c r="G1425" s="273"/>
      <c r="H1425" s="249"/>
      <c r="I1425" s="445">
        <f>+I1411+I1415+I1419+I1423</f>
        <v>37.49</v>
      </c>
    </row>
    <row r="1426" spans="1:13" ht="20.25" customHeight="1" x14ac:dyDescent="0.2">
      <c r="A1426" s="255"/>
      <c r="B1426" s="277"/>
      <c r="C1426" s="266"/>
      <c r="D1426" s="266"/>
      <c r="E1426" s="266"/>
      <c r="F1426" s="278" t="str">
        <f>CONCATENATE($H$3," ",$I$3)</f>
        <v>BDI: 23,32</v>
      </c>
      <c r="G1426" s="403"/>
      <c r="H1426" s="253"/>
      <c r="I1426" s="446">
        <f>+ROUND(I1425*$I$4,2)</f>
        <v>8.74</v>
      </c>
    </row>
    <row r="1427" spans="1:13" x14ac:dyDescent="0.2">
      <c r="A1427" s="240"/>
      <c r="B1427" s="279"/>
      <c r="C1427" s="272"/>
      <c r="D1427" s="272"/>
      <c r="E1427" s="272"/>
      <c r="F1427" s="280" t="s">
        <v>207</v>
      </c>
      <c r="G1427" s="404"/>
      <c r="H1427" s="241"/>
      <c r="I1427" s="720">
        <f>+I1425+I1426</f>
        <v>46.23</v>
      </c>
    </row>
    <row r="1428" spans="1:13" x14ac:dyDescent="0.2">
      <c r="A1428" s="1116" t="str">
        <f>$A$1</f>
        <v>COMPOSIÇÃO DE CUSTOS UNITÁRIOS</v>
      </c>
      <c r="B1428" s="1116"/>
      <c r="C1428" s="1116"/>
      <c r="D1428" s="1116"/>
      <c r="E1428" s="1116"/>
      <c r="F1428" s="1116"/>
      <c r="G1428" s="1116"/>
      <c r="H1428" s="1116"/>
      <c r="I1428" s="1116"/>
    </row>
    <row r="1429" spans="1:13" x14ac:dyDescent="0.2">
      <c r="A1429" s="228" t="str">
        <f>$A$2</f>
        <v>Tabela Referencial de Preços - DER-ES</v>
      </c>
      <c r="B1429" s="229"/>
      <c r="C1429" s="199"/>
      <c r="D1429" s="199"/>
      <c r="E1429" s="199"/>
      <c r="F1429" s="199"/>
      <c r="G1429" s="199"/>
      <c r="H1429" s="199"/>
      <c r="I1429" s="414" t="str">
        <f>$I$2</f>
        <v>Data Base: novembro/2020</v>
      </c>
      <c r="J1429" s="400">
        <v>40358</v>
      </c>
      <c r="K1429" s="400">
        <f>VLOOKUP("Preço Unitário Total",F1431:I4015,4,FALSE)</f>
        <v>674.89</v>
      </c>
      <c r="L1429" s="295" t="str">
        <f>VLOOKUP(J1429,'DER 11-20'!A:E,5,FALSE)</f>
        <v>A incluir</v>
      </c>
      <c r="M1429" s="295" t="str">
        <f>VLOOKUP(J1429,'DER 11-20'!$A:$D,2,FALSE)</f>
        <v>Concreto estrutural fck = 15,0 MPa, tudo incluído</v>
      </c>
    </row>
    <row r="1430" spans="1:13" x14ac:dyDescent="0.2">
      <c r="A1430" s="1117" t="str">
        <f>+CONCATENATE("Serviço: ",J1429," ",VLOOKUP(J1429,'DER 11-20'!$A:$D,2,FALSE))</f>
        <v>Serviço: 40358 Concreto estrutural fck = 15,0 MPa, tudo incluído</v>
      </c>
      <c r="B1430" s="1117"/>
      <c r="C1430" s="1117"/>
      <c r="D1430" s="1117"/>
      <c r="E1430" s="1117"/>
      <c r="F1430" s="1117"/>
      <c r="G1430" s="1117"/>
      <c r="H1430" s="1117"/>
      <c r="I1430" s="1119" t="str">
        <f>CONCATENATE("Unidade: ", VLOOKUP(J1429,'DER 11-20'!$A:$E,3,FALSE))</f>
        <v>Unidade: M3</v>
      </c>
      <c r="J1430" s="295"/>
      <c r="K1430" s="295"/>
    </row>
    <row r="1431" spans="1:13" x14ac:dyDescent="0.2">
      <c r="A1431" s="1118"/>
      <c r="B1431" s="1118"/>
      <c r="C1431" s="1118"/>
      <c r="D1431" s="1118"/>
      <c r="E1431" s="1118"/>
      <c r="F1431" s="1118"/>
      <c r="G1431" s="1118"/>
      <c r="H1431" s="1118"/>
      <c r="I1431" s="1120"/>
      <c r="J1431" s="295"/>
      <c r="K1431" s="295"/>
    </row>
    <row r="1432" spans="1:13" ht="22.5" x14ac:dyDescent="0.2">
      <c r="A1432" s="231" t="s">
        <v>177</v>
      </c>
      <c r="B1432" s="232" t="s">
        <v>59</v>
      </c>
      <c r="C1432" s="232" t="s">
        <v>178</v>
      </c>
      <c r="D1432" s="232" t="s">
        <v>179</v>
      </c>
      <c r="E1432" s="232" t="s">
        <v>180</v>
      </c>
      <c r="F1432" s="232" t="s">
        <v>181</v>
      </c>
      <c r="G1432" s="232" t="s">
        <v>182</v>
      </c>
      <c r="H1432" s="232" t="s">
        <v>89</v>
      </c>
      <c r="I1432" s="434" t="s">
        <v>183</v>
      </c>
      <c r="J1432" s="295"/>
      <c r="K1432" s="295"/>
    </row>
    <row r="1433" spans="1:13" ht="22.5" x14ac:dyDescent="0.2">
      <c r="A1433" s="233" t="str">
        <f>VLOOKUP(B1433,equip.!$A:$G,2,FALSE)</f>
        <v>Betoneira 600 l com carregador (elétrica)</v>
      </c>
      <c r="B1433" s="234">
        <v>30070</v>
      </c>
      <c r="C1433" s="235">
        <f>VLOOKUP(B1433,equip.!$A$1:$G$239,3,FALSE)</f>
        <v>0</v>
      </c>
      <c r="D1433" s="236">
        <v>1</v>
      </c>
      <c r="E1433" s="203">
        <v>0</v>
      </c>
      <c r="F1433" s="237">
        <f>VLOOKUP(B1433,equip.!$A:$G,6,FALSE)</f>
        <v>26.5</v>
      </c>
      <c r="G1433" s="237">
        <f>VLOOKUP(B1433,equip.!$A:$G,7,FALSE)</f>
        <v>21.55</v>
      </c>
      <c r="H1433" s="238">
        <v>1</v>
      </c>
      <c r="I1433" s="418">
        <f>TRUNC(D1433*F1433*H1433+E1433*G1433*H1433,2)</f>
        <v>26.5</v>
      </c>
      <c r="J1433" s="295"/>
      <c r="K1433" s="295"/>
    </row>
    <row r="1434" spans="1:13" x14ac:dyDescent="0.2">
      <c r="A1434" s="233" t="str">
        <f>VLOOKUP(B1434,equip.!$A:$G,2,FALSE)</f>
        <v>Carrinho de mão</v>
      </c>
      <c r="B1434" s="234">
        <v>30076</v>
      </c>
      <c r="C1434" s="235">
        <f>VLOOKUP(B1434,equip.!$A$1:$G$239,3,FALSE)</f>
        <v>0</v>
      </c>
      <c r="D1434" s="236">
        <v>1</v>
      </c>
      <c r="E1434" s="203">
        <v>0</v>
      </c>
      <c r="F1434" s="237">
        <f>VLOOKUP(B1434,equip.!$A:$G,6,FALSE)</f>
        <v>0.19</v>
      </c>
      <c r="G1434" s="237">
        <f>VLOOKUP(B1434,equip.!$A:$G,7,FALSE)</f>
        <v>0.13</v>
      </c>
      <c r="H1434" s="238">
        <v>3</v>
      </c>
      <c r="I1434" s="418">
        <f>TRUNC(D1434*F1434*H1434+E1434*G1434*H1434,2)</f>
        <v>0.56999999999999995</v>
      </c>
      <c r="J1434" s="295"/>
      <c r="K1434" s="295"/>
    </row>
    <row r="1435" spans="1:13" ht="33.75" x14ac:dyDescent="0.2">
      <c r="A1435" s="233" t="str">
        <f>VLOOKUP(B1435,equip.!$A:$G,2,FALSE)</f>
        <v>Vibrador de imersao AA67 c/ mangote, marca de referência ATLAS COPCO ou equivalente</v>
      </c>
      <c r="B1435" s="234">
        <v>30071</v>
      </c>
      <c r="C1435" s="235">
        <f>VLOOKUP(B1435,equip.!$A$1:$G$239,3,FALSE)</f>
        <v>0</v>
      </c>
      <c r="D1435" s="236">
        <v>1</v>
      </c>
      <c r="E1435" s="203">
        <v>0</v>
      </c>
      <c r="F1435" s="237">
        <f>VLOOKUP(B1435,equip.!$A:$G,6,FALSE)</f>
        <v>15.98</v>
      </c>
      <c r="G1435" s="237">
        <f>VLOOKUP(B1435,equip.!$A:$G,7,FALSE)</f>
        <v>13.16</v>
      </c>
      <c r="H1435" s="238">
        <v>2</v>
      </c>
      <c r="I1435" s="418">
        <f>TRUNC(D1435*F1435*H1435+E1435*G1435*H1435,2)</f>
        <v>31.96</v>
      </c>
      <c r="J1435" s="295"/>
      <c r="K1435" s="295"/>
    </row>
    <row r="1436" spans="1:13" x14ac:dyDescent="0.2">
      <c r="A1436" s="199"/>
      <c r="B1436" s="229"/>
      <c r="C1436" s="229"/>
      <c r="D1436" s="199"/>
      <c r="E1436" s="199"/>
      <c r="F1436" s="230" t="s">
        <v>184</v>
      </c>
      <c r="G1436" s="240"/>
      <c r="H1436" s="241"/>
      <c r="I1436" s="438">
        <f>SUM(I1433:I1435)</f>
        <v>59.03</v>
      </c>
      <c r="J1436" s="295"/>
      <c r="K1436" s="295"/>
    </row>
    <row r="1437" spans="1:13" x14ac:dyDescent="0.2">
      <c r="A1437" s="199"/>
      <c r="B1437" s="229"/>
      <c r="C1437" s="229"/>
      <c r="D1437" s="199"/>
      <c r="E1437" s="199"/>
      <c r="F1437" s="199"/>
      <c r="G1437" s="199"/>
      <c r="H1437" s="199"/>
      <c r="I1437" s="439"/>
      <c r="J1437" s="295"/>
      <c r="K1437" s="295"/>
    </row>
    <row r="1438" spans="1:13" x14ac:dyDescent="0.2">
      <c r="A1438" s="242" t="s">
        <v>185</v>
      </c>
      <c r="B1438" s="243" t="s">
        <v>59</v>
      </c>
      <c r="C1438" s="232" t="s">
        <v>357</v>
      </c>
      <c r="D1438" s="243" t="s">
        <v>187</v>
      </c>
      <c r="E1438" s="1121" t="s">
        <v>89</v>
      </c>
      <c r="F1438" s="1114"/>
      <c r="G1438" s="1115"/>
      <c r="H1438" s="1121" t="s">
        <v>183</v>
      </c>
      <c r="I1438" s="1115"/>
      <c r="J1438" s="295"/>
      <c r="K1438" s="295"/>
    </row>
    <row r="1439" spans="1:13" x14ac:dyDescent="0.2">
      <c r="A1439" s="244" t="str">
        <f>VLOOKUP(B1439,m.o.!$A:$H,2,FALSE)</f>
        <v>Encarregado de O.A.C.</v>
      </c>
      <c r="B1439" s="234">
        <v>20060</v>
      </c>
      <c r="C1439" s="239">
        <f>VLOOKUP(B1439,m.o.!$A:$F,4,FALSE)</f>
        <v>2.2599999999999998</v>
      </c>
      <c r="D1439" s="239">
        <f>VLOOKUP(B1439,m.o.!$A:$G,7,FALSE)</f>
        <v>28.31</v>
      </c>
      <c r="E1439" s="255"/>
      <c r="F1439" s="253"/>
      <c r="G1439" s="293">
        <v>1</v>
      </c>
      <c r="H1439" s="240"/>
      <c r="I1439" s="427">
        <f>TRUNC(D1439*G1439,2)</f>
        <v>28.31</v>
      </c>
      <c r="J1439" s="295"/>
      <c r="K1439" s="295"/>
    </row>
    <row r="1440" spans="1:13" x14ac:dyDescent="0.2">
      <c r="A1440" s="244" t="str">
        <f>VLOOKUP(B1440,m.o.!$A:$H,2,FALSE)</f>
        <v>Operário braçal</v>
      </c>
      <c r="B1440" s="234">
        <v>20107</v>
      </c>
      <c r="C1440" s="239">
        <f>VLOOKUP(B1440,m.o.!$A:$F,4,FALSE)</f>
        <v>1.02</v>
      </c>
      <c r="D1440" s="239">
        <f>VLOOKUP(B1440,m.o.!$A:$G,7,FALSE)</f>
        <v>12.77</v>
      </c>
      <c r="E1440" s="240"/>
      <c r="F1440" s="241"/>
      <c r="G1440" s="405">
        <v>10</v>
      </c>
      <c r="H1440" s="240"/>
      <c r="I1440" s="427">
        <f>TRUNC(D1440*G1440,2)</f>
        <v>127.7</v>
      </c>
      <c r="J1440" s="295"/>
      <c r="K1440" s="295"/>
    </row>
    <row r="1441" spans="1:17" x14ac:dyDescent="0.2">
      <c r="A1441" s="259" t="str">
        <f>VLOOKUP(B1441,m.o.!$A:$H,2,FALSE)</f>
        <v>Pedreiro de O.A.C.</v>
      </c>
      <c r="B1441" s="234">
        <v>20109</v>
      </c>
      <c r="C1441" s="261">
        <f>VLOOKUP(B1441,m.o.!$A:$F,4,FALSE)</f>
        <v>1.24</v>
      </c>
      <c r="D1441" s="261">
        <f>VLOOKUP(B1441,m.o.!$A:$G,7,FALSE)</f>
        <v>15.53</v>
      </c>
      <c r="E1441" s="255"/>
      <c r="F1441" s="253"/>
      <c r="G1441" s="405">
        <v>2</v>
      </c>
      <c r="H1441" s="255"/>
      <c r="I1441" s="423">
        <f>TRUNC(D1441*G1441,2)</f>
        <v>31.06</v>
      </c>
      <c r="J1441" s="295"/>
      <c r="K1441" s="295"/>
    </row>
    <row r="1442" spans="1:17" x14ac:dyDescent="0.2">
      <c r="A1442" s="199"/>
      <c r="B1442" s="229"/>
      <c r="C1442" s="229"/>
      <c r="D1442" s="199"/>
      <c r="E1442" s="199"/>
      <c r="F1442" s="230" t="s">
        <v>188</v>
      </c>
      <c r="G1442" s="240"/>
      <c r="H1442" s="241"/>
      <c r="I1442" s="438">
        <f>SUM(I1439:I1441)</f>
        <v>187.07</v>
      </c>
      <c r="J1442" s="295"/>
      <c r="K1442" s="295"/>
    </row>
    <row r="1443" spans="1:17" x14ac:dyDescent="0.2">
      <c r="A1443" s="199"/>
      <c r="B1443" s="229"/>
      <c r="C1443" s="229"/>
      <c r="D1443" s="199"/>
      <c r="E1443" s="199"/>
      <c r="F1443" s="199"/>
      <c r="G1443" s="199"/>
      <c r="H1443" s="199"/>
      <c r="I1443" s="439"/>
      <c r="J1443" s="295"/>
      <c r="K1443" s="295"/>
    </row>
    <row r="1444" spans="1:17" x14ac:dyDescent="0.2">
      <c r="A1444" s="245" t="s">
        <v>189</v>
      </c>
      <c r="B1444" s="243" t="s">
        <v>59</v>
      </c>
      <c r="C1444" s="635" t="s">
        <v>17</v>
      </c>
      <c r="D1444" s="243" t="s">
        <v>190</v>
      </c>
      <c r="E1444" s="243" t="s">
        <v>191</v>
      </c>
      <c r="F1444" s="243" t="s">
        <v>192</v>
      </c>
      <c r="G1444" s="1121" t="s">
        <v>94</v>
      </c>
      <c r="H1444" s="1114"/>
      <c r="I1444" s="1115"/>
      <c r="J1444" s="295"/>
      <c r="K1444" s="295"/>
    </row>
    <row r="1445" spans="1:17" x14ac:dyDescent="0.2">
      <c r="A1445" s="244" t="s">
        <v>127</v>
      </c>
      <c r="B1445" s="234">
        <v>2000</v>
      </c>
      <c r="C1445" s="239">
        <v>5</v>
      </c>
      <c r="D1445" s="235" t="s">
        <v>208</v>
      </c>
      <c r="E1445" s="246"/>
      <c r="F1445" s="246"/>
      <c r="G1445" s="240"/>
      <c r="H1445" s="241"/>
      <c r="I1445" s="427">
        <f>TRUNC(C1445/100*I1442,2)</f>
        <v>9.35</v>
      </c>
      <c r="J1445" s="295"/>
      <c r="K1445" s="295"/>
    </row>
    <row r="1446" spans="1:17" x14ac:dyDescent="0.2">
      <c r="A1446" s="199"/>
      <c r="B1446" s="229"/>
      <c r="C1446" s="199"/>
      <c r="D1446" s="199"/>
      <c r="E1446" s="199"/>
      <c r="F1446" s="230" t="s">
        <v>327</v>
      </c>
      <c r="G1446" s="240"/>
      <c r="H1446" s="241"/>
      <c r="I1446" s="438">
        <f>SUM(I1445)</f>
        <v>9.35</v>
      </c>
      <c r="J1446" s="295"/>
      <c r="K1446" s="295"/>
    </row>
    <row r="1447" spans="1:17" x14ac:dyDescent="0.2">
      <c r="A1447" s="199"/>
      <c r="B1447" s="229"/>
      <c r="C1447" s="199"/>
      <c r="D1447" s="199"/>
      <c r="E1447" s="199"/>
      <c r="F1447" s="199"/>
      <c r="G1447" s="199"/>
      <c r="H1447" s="199"/>
      <c r="I1447" s="439"/>
      <c r="J1447" s="295"/>
      <c r="K1447" s="295"/>
    </row>
    <row r="1448" spans="1:17" x14ac:dyDescent="0.2">
      <c r="A1448" s="247"/>
      <c r="B1448" s="248"/>
      <c r="C1448" s="249"/>
      <c r="D1448" s="249"/>
      <c r="E1448" s="249"/>
      <c r="F1448" s="250" t="s">
        <v>193</v>
      </c>
      <c r="G1448" s="401"/>
      <c r="H1448" s="249"/>
      <c r="I1448" s="445">
        <f>+I1436+I1442+I1446</f>
        <v>255.45</v>
      </c>
      <c r="J1448" s="295"/>
      <c r="K1448" s="295"/>
    </row>
    <row r="1449" spans="1:17" x14ac:dyDescent="0.2">
      <c r="A1449" s="251"/>
      <c r="B1449" s="252"/>
      <c r="C1449" s="253"/>
      <c r="D1449" s="253"/>
      <c r="E1449" s="253"/>
      <c r="F1449" s="254" t="s">
        <v>194</v>
      </c>
      <c r="G1449" s="255"/>
      <c r="H1449" s="253"/>
      <c r="I1449" s="446">
        <v>1</v>
      </c>
      <c r="J1449" s="295"/>
      <c r="K1449" s="295"/>
    </row>
    <row r="1450" spans="1:17" x14ac:dyDescent="0.2">
      <c r="A1450" s="233"/>
      <c r="B1450" s="256"/>
      <c r="C1450" s="241"/>
      <c r="D1450" s="241"/>
      <c r="E1450" s="241"/>
      <c r="F1450" s="257" t="s">
        <v>216</v>
      </c>
      <c r="G1450" s="240"/>
      <c r="H1450" s="241"/>
      <c r="I1450" s="447">
        <f>TRUNC(I1448/I1449,2)</f>
        <v>255.45</v>
      </c>
      <c r="J1450" s="295"/>
      <c r="K1450" s="295"/>
    </row>
    <row r="1451" spans="1:17" s="198" customFormat="1" x14ac:dyDescent="0.2">
      <c r="A1451" s="636"/>
      <c r="B1451" s="229"/>
      <c r="C1451" s="199"/>
      <c r="D1451" s="199"/>
      <c r="E1451" s="199"/>
      <c r="F1451" s="258"/>
      <c r="G1451" s="199"/>
      <c r="H1451" s="199"/>
      <c r="I1451" s="450"/>
      <c r="J1451" s="295"/>
      <c r="K1451" s="295"/>
      <c r="L1451" s="295"/>
      <c r="M1451" s="295"/>
      <c r="N1451" s="295"/>
      <c r="O1451" s="295"/>
      <c r="P1451" s="295"/>
      <c r="Q1451" s="295"/>
    </row>
    <row r="1452" spans="1:17" x14ac:dyDescent="0.2">
      <c r="A1452" s="242" t="s">
        <v>195</v>
      </c>
      <c r="B1452" s="243" t="s">
        <v>59</v>
      </c>
      <c r="C1452" s="243" t="s">
        <v>196</v>
      </c>
      <c r="D1452" s="243" t="s">
        <v>217</v>
      </c>
      <c r="E1452" s="1121" t="s">
        <v>89</v>
      </c>
      <c r="F1452" s="1114"/>
      <c r="G1452" s="1115"/>
      <c r="H1452" s="1121" t="s">
        <v>183</v>
      </c>
      <c r="I1452" s="1115"/>
      <c r="J1452" s="295"/>
      <c r="K1452" s="295"/>
    </row>
    <row r="1453" spans="1:17" ht="22.5" x14ac:dyDescent="0.2">
      <c r="A1453" s="259" t="str">
        <f>VLOOKUP(B1453,mat.!$A:$D,2,FALSE)</f>
        <v>Areia grossa jazida com carregamento mecânico</v>
      </c>
      <c r="B1453" s="234">
        <v>10109</v>
      </c>
      <c r="C1453" s="260" t="str">
        <f>VLOOKUP(B1453,mat.!$A:$D,3,FALSE)</f>
        <v>m3</v>
      </c>
      <c r="D1453" s="261">
        <f>VLOOKUP(B1453,mat.!$A:$D,4,FALSE)</f>
        <v>60</v>
      </c>
      <c r="E1453" s="255"/>
      <c r="F1453" s="253"/>
      <c r="G1453" s="789">
        <v>0.64470000000000005</v>
      </c>
      <c r="H1453" s="255"/>
      <c r="I1453" s="423">
        <f>TRUNC(D1453*G1453,2)</f>
        <v>38.68</v>
      </c>
      <c r="J1453" s="295"/>
      <c r="K1453" s="295"/>
    </row>
    <row r="1454" spans="1:17" x14ac:dyDescent="0.2">
      <c r="A1454" s="259" t="str">
        <f>VLOOKUP(B1454,mat.!$A:$D,2,FALSE)</f>
        <v>Cimento CP III</v>
      </c>
      <c r="B1454" s="234">
        <v>10092</v>
      </c>
      <c r="C1454" s="260" t="str">
        <f>VLOOKUP(B1454,mat.!$A:$D,3,FALSE)</f>
        <v>kg</v>
      </c>
      <c r="D1454" s="261">
        <f>VLOOKUP(B1454,mat.!$A:$D,4,FALSE)</f>
        <v>0.41</v>
      </c>
      <c r="E1454" s="255"/>
      <c r="F1454" s="253"/>
      <c r="G1454" s="791">
        <v>357</v>
      </c>
      <c r="H1454" s="255"/>
      <c r="I1454" s="423">
        <f>TRUNC(D1454*G1454,2)</f>
        <v>146.37</v>
      </c>
      <c r="J1454" s="295"/>
      <c r="K1454" s="295"/>
    </row>
    <row r="1455" spans="1:17" x14ac:dyDescent="0.2">
      <c r="A1455" s="259" t="str">
        <f>VLOOKUP(B1455,mat.!$A:$D,2,FALSE)</f>
        <v>Pedra britada p/ concreto, sem frete</v>
      </c>
      <c r="B1455" s="234">
        <v>10125</v>
      </c>
      <c r="C1455" s="260" t="str">
        <f>VLOOKUP(B1455,mat.!$A:$D,3,FALSE)</f>
        <v>m3</v>
      </c>
      <c r="D1455" s="261">
        <f>VLOOKUP(B1455,mat.!$A:$D,4,FALSE)</f>
        <v>70.75</v>
      </c>
      <c r="E1455" s="255"/>
      <c r="F1455" s="253"/>
      <c r="G1455" s="791">
        <v>0.77700000000000002</v>
      </c>
      <c r="H1455" s="255"/>
      <c r="I1455" s="423">
        <f>TRUNC(D1455*G1455,2)</f>
        <v>54.97</v>
      </c>
      <c r="J1455" s="295"/>
      <c r="K1455" s="295"/>
    </row>
    <row r="1456" spans="1:17" x14ac:dyDescent="0.2">
      <c r="A1456" s="199"/>
      <c r="B1456" s="229"/>
      <c r="C1456" s="199"/>
      <c r="D1456" s="199"/>
      <c r="E1456" s="199"/>
      <c r="F1456" s="230" t="s">
        <v>197</v>
      </c>
      <c r="G1456" s="240"/>
      <c r="H1456" s="241"/>
      <c r="I1456" s="438">
        <f>SUM(I1453:I1455)</f>
        <v>240.02</v>
      </c>
      <c r="J1456" s="295"/>
      <c r="K1456" s="295"/>
    </row>
    <row r="1457" spans="1:11" x14ac:dyDescent="0.2">
      <c r="A1457" s="199"/>
      <c r="B1457" s="229"/>
      <c r="C1457" s="199"/>
      <c r="D1457" s="199"/>
      <c r="E1457" s="199"/>
      <c r="F1457" s="199"/>
      <c r="G1457" s="262"/>
      <c r="H1457" s="199"/>
      <c r="I1457" s="439"/>
      <c r="J1457" s="295"/>
      <c r="K1457" s="295"/>
    </row>
    <row r="1458" spans="1:11" x14ac:dyDescent="0.2">
      <c r="A1458" s="263" t="s">
        <v>198</v>
      </c>
      <c r="B1458" s="243" t="s">
        <v>59</v>
      </c>
      <c r="C1458" s="243" t="s">
        <v>196</v>
      </c>
      <c r="D1458" s="635" t="s">
        <v>217</v>
      </c>
      <c r="E1458" s="1121" t="s">
        <v>89</v>
      </c>
      <c r="F1458" s="1114"/>
      <c r="G1458" s="1115"/>
      <c r="H1458" s="1121" t="s">
        <v>183</v>
      </c>
      <c r="I1458" s="1115"/>
      <c r="J1458" s="295"/>
      <c r="K1458" s="295"/>
    </row>
    <row r="1459" spans="1:11" x14ac:dyDescent="0.2">
      <c r="A1459" s="244"/>
      <c r="B1459" s="234"/>
      <c r="C1459" s="234"/>
      <c r="D1459" s="239"/>
      <c r="E1459" s="240"/>
      <c r="F1459" s="241"/>
      <c r="G1459" s="409"/>
      <c r="H1459" s="240"/>
      <c r="I1459" s="423"/>
      <c r="J1459" s="295"/>
      <c r="K1459" s="295"/>
    </row>
    <row r="1460" spans="1:11" x14ac:dyDescent="0.2">
      <c r="A1460" s="200"/>
      <c r="B1460" s="264"/>
      <c r="C1460" s="200"/>
      <c r="D1460" s="200"/>
      <c r="E1460" s="200"/>
      <c r="F1460" s="265" t="s">
        <v>199</v>
      </c>
      <c r="G1460" s="255"/>
      <c r="H1460" s="266"/>
      <c r="I1460" s="441">
        <f>SUM(I1459:I1459)</f>
        <v>0</v>
      </c>
      <c r="J1460" s="295"/>
      <c r="K1460" s="295"/>
    </row>
    <row r="1461" spans="1:11" x14ac:dyDescent="0.2">
      <c r="A1461" s="200"/>
      <c r="B1461" s="264"/>
      <c r="C1461" s="200"/>
      <c r="D1461" s="200"/>
      <c r="E1461" s="200"/>
      <c r="F1461" s="200"/>
      <c r="G1461" s="200"/>
      <c r="H1461" s="200"/>
      <c r="I1461" s="440"/>
      <c r="J1461" s="295"/>
      <c r="K1461" s="295"/>
    </row>
    <row r="1462" spans="1:11" x14ac:dyDescent="0.2">
      <c r="A1462" s="267" t="s">
        <v>200</v>
      </c>
      <c r="B1462" s="268" t="s">
        <v>59</v>
      </c>
      <c r="C1462" s="268" t="s">
        <v>196</v>
      </c>
      <c r="D1462" s="268" t="s">
        <v>201</v>
      </c>
      <c r="E1462" s="268" t="s">
        <v>202</v>
      </c>
      <c r="F1462" s="268" t="s">
        <v>203</v>
      </c>
      <c r="G1462" s="268" t="s">
        <v>94</v>
      </c>
      <c r="H1462" s="268" t="s">
        <v>89</v>
      </c>
      <c r="I1462" s="442" t="s">
        <v>204</v>
      </c>
      <c r="J1462" s="295"/>
    </row>
    <row r="1463" spans="1:11" ht="22.5" x14ac:dyDescent="0.2">
      <c r="A1463" s="259" t="str">
        <f>VLOOKUP(B1463,transp.!A:D,2,FALSE)</f>
        <v>Transp. de Areia grossa jazida c/ carreg.mecânico</v>
      </c>
      <c r="B1463" s="234">
        <v>1026</v>
      </c>
      <c r="C1463" s="234" t="str">
        <f>VLOOKUP(B1463,transp.!$A:$J,3,FALSE)</f>
        <v xml:space="preserve"> t  </v>
      </c>
      <c r="D1463" s="269" t="str">
        <f>VLOOKUP(B1463,transp.!$A:$J,4,FALSE)</f>
        <v>0,719XP + 0,749XR + 2,997</v>
      </c>
      <c r="E1463" s="270">
        <f>VLOOKUP(J1463,Dis!$B:$F,4,FALSE)</f>
        <v>29.1</v>
      </c>
      <c r="F1463" s="270">
        <f>VLOOKUP(J1463,Dis!$B:$F,5,FALSE)</f>
        <v>5.5</v>
      </c>
      <c r="G1463" s="239">
        <f>TRUNC(VLOOKUP(B1463,transp.!$A:$J,5,FALSE)*E1463+VLOOKUP(B1463,transp.!$A:$J,6,FALSE)*F1463+VLOOKUP(B1463,transp.!$A:$J,7,FALSE),2)</f>
        <v>28.03</v>
      </c>
      <c r="H1463" s="271">
        <v>0.96709999999999996</v>
      </c>
      <c r="I1463" s="418">
        <f>TRUNC(G1463*H1463,2)</f>
        <v>27.1</v>
      </c>
      <c r="J1463" s="400" t="s">
        <v>113</v>
      </c>
    </row>
    <row r="1464" spans="1:11" x14ac:dyDescent="0.2">
      <c r="A1464" s="259" t="str">
        <f>VLOOKUP(B1464,transp.!A:D,2,FALSE)</f>
        <v>Transp. de Cimento</v>
      </c>
      <c r="B1464" s="234">
        <v>1153</v>
      </c>
      <c r="C1464" s="234" t="str">
        <f>VLOOKUP(B1464,transp.!$A:$J,3,FALSE)</f>
        <v xml:space="preserve"> t  </v>
      </c>
      <c r="D1464" s="269" t="str">
        <f>VLOOKUP(B1464,transp.!$A:$J,4,FALSE)</f>
        <v>0,716XP + 0,745XR</v>
      </c>
      <c r="E1464" s="270">
        <f>VLOOKUP(J1464,Dis!$B:$F,4,FALSE)</f>
        <v>37</v>
      </c>
      <c r="F1464" s="270">
        <f>VLOOKUP(J1464,Dis!$B:$F,5,FALSE)</f>
        <v>4.83</v>
      </c>
      <c r="G1464" s="239">
        <f>TRUNC(VLOOKUP(B1464,transp.!$A:$J,5,FALSE)*E1464+VLOOKUP(B1464,transp.!$A:$J,6,FALSE)*F1464+VLOOKUP(B1464,transp.!$A:$J,7,FALSE),2)</f>
        <v>30.09</v>
      </c>
      <c r="H1464" s="271">
        <v>0.35699999999999998</v>
      </c>
      <c r="I1464" s="418">
        <f>TRUNC(G1464*H1464,2)</f>
        <v>10.74</v>
      </c>
      <c r="J1464" s="400" t="s">
        <v>159</v>
      </c>
    </row>
    <row r="1465" spans="1:11" ht="22.5" x14ac:dyDescent="0.2">
      <c r="A1465" s="259" t="str">
        <f>VLOOKUP(B1465,transp.!A:D,2,FALSE)</f>
        <v>Transp. de Pedra britada p/ concreto</v>
      </c>
      <c r="B1465" s="234">
        <v>1162</v>
      </c>
      <c r="C1465" s="234" t="str">
        <f>VLOOKUP(B1465,transp.!$A:$J,3,FALSE)</f>
        <v xml:space="preserve"> t  </v>
      </c>
      <c r="D1465" s="269" t="str">
        <f>VLOOKUP(B1465,transp.!$A:$J,4,FALSE)</f>
        <v>0,719XP + 0,749XR + 2,997</v>
      </c>
      <c r="E1465" s="270">
        <f>VLOOKUP(J1465,Dis!$B:$F,4,FALSE)</f>
        <v>12.5</v>
      </c>
      <c r="F1465" s="270">
        <f>VLOOKUP(J1465,Dis!$B:$F,5,FALSE)</f>
        <v>0</v>
      </c>
      <c r="G1465" s="239">
        <f>TRUNC(VLOOKUP(B1465,transp.!$A:$J,5,FALSE)*E1465+VLOOKUP(B1465,transp.!$A:$J,6,FALSE)*F1465+VLOOKUP(B1465,transp.!$A:$J,7,FALSE),2)</f>
        <v>11.98</v>
      </c>
      <c r="H1465" s="271">
        <v>1.1655</v>
      </c>
      <c r="I1465" s="418">
        <f>TRUNC(G1465*H1465,2)</f>
        <v>13.96</v>
      </c>
      <c r="J1465" s="400" t="s">
        <v>111</v>
      </c>
    </row>
    <row r="1466" spans="1:11" x14ac:dyDescent="0.2">
      <c r="A1466" s="200"/>
      <c r="B1466" s="264"/>
      <c r="C1466" s="200"/>
      <c r="D1466" s="200"/>
      <c r="E1466" s="200"/>
      <c r="F1466" s="265" t="s">
        <v>205</v>
      </c>
      <c r="G1466" s="240"/>
      <c r="H1466" s="272"/>
      <c r="I1466" s="443">
        <f>SUM(I1463:I1465)</f>
        <v>51.8</v>
      </c>
    </row>
    <row r="1467" spans="1:11" x14ac:dyDescent="0.2">
      <c r="A1467" s="200"/>
      <c r="B1467" s="264"/>
      <c r="C1467" s="200"/>
      <c r="D1467" s="200"/>
      <c r="E1467" s="200"/>
      <c r="F1467" s="200"/>
      <c r="G1467" s="200"/>
      <c r="H1467" s="200"/>
      <c r="I1467" s="444"/>
      <c r="J1467" s="410"/>
      <c r="K1467" s="410"/>
    </row>
    <row r="1468" spans="1:11" x14ac:dyDescent="0.2">
      <c r="A1468" s="273"/>
      <c r="B1468" s="274"/>
      <c r="C1468" s="275"/>
      <c r="D1468" s="275"/>
      <c r="E1468" s="275"/>
      <c r="F1468" s="276" t="s">
        <v>206</v>
      </c>
      <c r="G1468" s="273"/>
      <c r="H1468" s="249"/>
      <c r="I1468" s="445">
        <f>+I1450+I1456+I1460+I1466</f>
        <v>547.27</v>
      </c>
      <c r="K1468" s="410"/>
    </row>
    <row r="1469" spans="1:11" x14ac:dyDescent="0.2">
      <c r="A1469" s="255"/>
      <c r="B1469" s="277"/>
      <c r="C1469" s="266"/>
      <c r="D1469" s="266"/>
      <c r="E1469" s="266"/>
      <c r="F1469" s="278" t="str">
        <f>CONCATENATE($H$3," ",$I$3)</f>
        <v>BDI: 23,32</v>
      </c>
      <c r="G1469" s="403"/>
      <c r="H1469" s="253"/>
      <c r="I1469" s="446">
        <f>+ROUND(I1468*$I$4,2)</f>
        <v>127.62</v>
      </c>
    </row>
    <row r="1470" spans="1:11" x14ac:dyDescent="0.2">
      <c r="A1470" s="240"/>
      <c r="B1470" s="279"/>
      <c r="C1470" s="272"/>
      <c r="D1470" s="272"/>
      <c r="E1470" s="272"/>
      <c r="F1470" s="280" t="s">
        <v>207</v>
      </c>
      <c r="G1470" s="404"/>
      <c r="H1470" s="241"/>
      <c r="I1470" s="720">
        <f>+I1468+I1469</f>
        <v>674.89</v>
      </c>
    </row>
    <row r="1471" spans="1:11" x14ac:dyDescent="0.2">
      <c r="A1471" s="1116" t="str">
        <f>$A$1</f>
        <v>COMPOSIÇÃO DE CUSTOS UNITÁRIOS</v>
      </c>
      <c r="B1471" s="1116"/>
      <c r="C1471" s="1116"/>
      <c r="D1471" s="1116"/>
      <c r="E1471" s="1116"/>
      <c r="F1471" s="1116"/>
      <c r="G1471" s="1116"/>
      <c r="H1471" s="1116"/>
      <c r="I1471" s="1116"/>
    </row>
    <row r="1472" spans="1:11" x14ac:dyDescent="0.2">
      <c r="A1472" s="228" t="str">
        <f>$A$2</f>
        <v>Tabela Referencial de Preços - DER-ES</v>
      </c>
      <c r="B1472" s="229"/>
      <c r="C1472" s="199"/>
      <c r="D1472" s="199"/>
      <c r="E1472" s="199"/>
      <c r="F1472" s="199"/>
      <c r="G1472" s="199"/>
      <c r="H1472" s="199"/>
      <c r="I1472" s="414" t="str">
        <f>$I$2</f>
        <v>Data Base: novembro/2020</v>
      </c>
    </row>
    <row r="1473" spans="1:13" x14ac:dyDescent="0.2">
      <c r="A1473" s="1117" t="str">
        <f>+CONCATENATE("Serviço: ",J1473," ",VLOOKUP(J1473,'DER 11-20'!$A:$D,2,FALSE))</f>
        <v>Serviço: 40433 Corpo BSTC (greide) diâmetro 0,80 m CA-1 PB inclusive escavação, reaterro e transporte do tubo</v>
      </c>
      <c r="B1473" s="1117"/>
      <c r="C1473" s="1117"/>
      <c r="D1473" s="1117"/>
      <c r="E1473" s="1117"/>
      <c r="F1473" s="1117"/>
      <c r="G1473" s="1117"/>
      <c r="H1473" s="1117"/>
      <c r="I1473" s="1119" t="str">
        <f>CONCATENATE("Unidade: ", VLOOKUP(J1473,'DER 11-20'!$A:$E,3,FALSE))</f>
        <v>Unidade: M</v>
      </c>
      <c r="J1473" s="400">
        <v>40433</v>
      </c>
      <c r="K1473" s="400">
        <f>VLOOKUP("Preço Unitário Total",F1474:I3698,4,FALSE)</f>
        <v>597.65</v>
      </c>
      <c r="L1473" s="295" t="str">
        <f>VLOOKUP(J1473,'DER 11-20'!A:E,5,FALSE)</f>
        <v>A incluir</v>
      </c>
      <c r="M1473" s="295" t="str">
        <f>VLOOKUP(J1473,'DER 11-20'!$A:$D,2,FALSE)</f>
        <v>Corpo BSTC (greide) diâmetro 0,80 m CA-1 PB inclusive escavação, reaterro e transporte do tubo</v>
      </c>
    </row>
    <row r="1474" spans="1:13" x14ac:dyDescent="0.2">
      <c r="A1474" s="1118"/>
      <c r="B1474" s="1118"/>
      <c r="C1474" s="1118"/>
      <c r="D1474" s="1118"/>
      <c r="E1474" s="1118"/>
      <c r="F1474" s="1118"/>
      <c r="G1474" s="1118"/>
      <c r="H1474" s="1118"/>
      <c r="I1474" s="1120"/>
    </row>
    <row r="1475" spans="1:13" ht="22.5" x14ac:dyDescent="0.2">
      <c r="A1475" s="231" t="s">
        <v>177</v>
      </c>
      <c r="B1475" s="232" t="s">
        <v>59</v>
      </c>
      <c r="C1475" s="232" t="s">
        <v>178</v>
      </c>
      <c r="D1475" s="232" t="s">
        <v>179</v>
      </c>
      <c r="E1475" s="232" t="s">
        <v>180</v>
      </c>
      <c r="F1475" s="232" t="s">
        <v>181</v>
      </c>
      <c r="G1475" s="232" t="s">
        <v>182</v>
      </c>
      <c r="H1475" s="232" t="s">
        <v>89</v>
      </c>
      <c r="I1475" s="434" t="s">
        <v>183</v>
      </c>
    </row>
    <row r="1476" spans="1:13" ht="33.75" x14ac:dyDescent="0.2">
      <c r="A1476" s="233" t="str">
        <f>VLOOKUP(B1476,equip.!$A:$G,2,FALSE)</f>
        <v>Carregadeira de rodas ref. Caterpillar modelo 924H (1,9 m3) ( cab + ar ) ou equivalente</v>
      </c>
      <c r="B1476" s="234">
        <v>30023</v>
      </c>
      <c r="C1476" s="235" t="str">
        <f>VLOOKUP(B1476,equip.!$A$1:$G$240,3,FALSE)</f>
        <v>M</v>
      </c>
      <c r="D1476" s="236">
        <v>0.1</v>
      </c>
      <c r="E1476" s="203">
        <v>0.9</v>
      </c>
      <c r="F1476" s="237">
        <f>VLOOKUP(B1476,equip.!$A:$G,6,FALSE)</f>
        <v>201.89</v>
      </c>
      <c r="G1476" s="237">
        <f>VLOOKUP(B1476,equip.!$A:$G,7,FALSE)</f>
        <v>68.959999999999994</v>
      </c>
      <c r="H1476" s="238">
        <v>1</v>
      </c>
      <c r="I1476" s="418">
        <f>TRUNC(D1476*F1476*H1476+E1476*G1476*H1476,2)</f>
        <v>82.25</v>
      </c>
    </row>
    <row r="1477" spans="1:13" x14ac:dyDescent="0.2">
      <c r="A1477" s="199"/>
      <c r="B1477" s="229"/>
      <c r="C1477" s="229"/>
      <c r="D1477" s="199"/>
      <c r="E1477" s="199"/>
      <c r="F1477" s="230" t="s">
        <v>184</v>
      </c>
      <c r="G1477" s="240"/>
      <c r="H1477" s="241"/>
      <c r="I1477" s="438">
        <f>SUM(I1476:I1476)</f>
        <v>82.25</v>
      </c>
    </row>
    <row r="1478" spans="1:13" x14ac:dyDescent="0.2">
      <c r="A1478" s="199"/>
      <c r="B1478" s="229"/>
      <c r="C1478" s="229"/>
      <c r="D1478" s="199"/>
      <c r="E1478" s="199"/>
      <c r="F1478" s="199"/>
      <c r="G1478" s="199"/>
      <c r="H1478" s="199"/>
      <c r="I1478" s="439"/>
    </row>
    <row r="1479" spans="1:13" x14ac:dyDescent="0.2">
      <c r="A1479" s="242" t="s">
        <v>185</v>
      </c>
      <c r="B1479" s="243" t="s">
        <v>59</v>
      </c>
      <c r="C1479" s="232" t="s">
        <v>357</v>
      </c>
      <c r="D1479" s="243" t="s">
        <v>187</v>
      </c>
      <c r="E1479" s="1111" t="s">
        <v>89</v>
      </c>
      <c r="F1479" s="1112"/>
      <c r="G1479" s="1113"/>
      <c r="H1479" s="1121" t="s">
        <v>183</v>
      </c>
      <c r="I1479" s="1115"/>
    </row>
    <row r="1480" spans="1:13" x14ac:dyDescent="0.2">
      <c r="A1480" s="244" t="str">
        <f>VLOOKUP(B1480,m.o.!$A:$H,2,FALSE)</f>
        <v>Encarregado de O.A.C.</v>
      </c>
      <c r="B1480" s="234">
        <v>20060</v>
      </c>
      <c r="C1480" s="239">
        <f>VLOOKUP(B1480,m.o.!$A:$F,4,FALSE)</f>
        <v>2.2599999999999998</v>
      </c>
      <c r="D1480" s="239">
        <f>VLOOKUP(B1480,m.o.!$A:$G,7,FALSE)</f>
        <v>28.31</v>
      </c>
      <c r="E1480" s="255"/>
      <c r="F1480" s="253"/>
      <c r="G1480" s="293">
        <v>0.5</v>
      </c>
      <c r="H1480" s="240"/>
      <c r="I1480" s="427">
        <f>TRUNC(D1480*G1480,2)</f>
        <v>14.15</v>
      </c>
    </row>
    <row r="1481" spans="1:13" x14ac:dyDescent="0.2">
      <c r="A1481" s="244" t="str">
        <f>VLOOKUP(B1481,m.o.!$A:$H,2,FALSE)</f>
        <v>Pedreiro de O.A.C.</v>
      </c>
      <c r="B1481" s="234">
        <v>20109</v>
      </c>
      <c r="C1481" s="239">
        <f>VLOOKUP(B1481,m.o.!$A:$F,4,FALSE)</f>
        <v>1.24</v>
      </c>
      <c r="D1481" s="239">
        <f>VLOOKUP(B1481,m.o.!$A:$G,7,FALSE)</f>
        <v>15.53</v>
      </c>
      <c r="E1481" s="255"/>
      <c r="F1481" s="253"/>
      <c r="G1481" s="293">
        <v>1.8</v>
      </c>
      <c r="H1481" s="240"/>
      <c r="I1481" s="427">
        <f>TRUNC(D1481*G1481,2)</f>
        <v>27.95</v>
      </c>
    </row>
    <row r="1482" spans="1:13" x14ac:dyDescent="0.2">
      <c r="A1482" s="244" t="str">
        <f>VLOOKUP(B1482,m.o.!$A:$H,2,FALSE)</f>
        <v>Servente</v>
      </c>
      <c r="B1482" s="234">
        <v>20002</v>
      </c>
      <c r="C1482" s="239">
        <f>VLOOKUP(B1482,m.o.!$A:$F,4,FALSE)</f>
        <v>1</v>
      </c>
      <c r="D1482" s="239">
        <f>VLOOKUP(B1482,m.o.!$A:$G,7,FALSE)</f>
        <v>12.52</v>
      </c>
      <c r="E1482" s="255"/>
      <c r="F1482" s="253"/>
      <c r="G1482" s="293">
        <v>3</v>
      </c>
      <c r="H1482" s="240"/>
      <c r="I1482" s="427">
        <f>TRUNC(D1482*G1482,2)</f>
        <v>37.56</v>
      </c>
    </row>
    <row r="1483" spans="1:13" x14ac:dyDescent="0.2">
      <c r="A1483" s="199"/>
      <c r="B1483" s="229"/>
      <c r="C1483" s="229"/>
      <c r="D1483" s="199"/>
      <c r="E1483" s="199"/>
      <c r="F1483" s="230" t="s">
        <v>188</v>
      </c>
      <c r="G1483" s="240"/>
      <c r="H1483" s="241"/>
      <c r="I1483" s="438">
        <f>SUM(I1480:I1482)</f>
        <v>79.66</v>
      </c>
    </row>
    <row r="1484" spans="1:13" x14ac:dyDescent="0.2">
      <c r="A1484" s="199"/>
      <c r="B1484" s="229"/>
      <c r="C1484" s="229"/>
      <c r="D1484" s="199"/>
      <c r="E1484" s="199"/>
      <c r="F1484" s="199"/>
      <c r="G1484" s="199"/>
      <c r="H1484" s="199"/>
      <c r="I1484" s="439"/>
    </row>
    <row r="1485" spans="1:13" x14ac:dyDescent="0.2">
      <c r="A1485" s="245" t="s">
        <v>189</v>
      </c>
      <c r="B1485" s="243" t="s">
        <v>59</v>
      </c>
      <c r="C1485" s="635" t="s">
        <v>17</v>
      </c>
      <c r="D1485" s="243" t="s">
        <v>190</v>
      </c>
      <c r="E1485" s="243" t="s">
        <v>191</v>
      </c>
      <c r="F1485" s="243" t="s">
        <v>192</v>
      </c>
      <c r="G1485" s="1121" t="s">
        <v>94</v>
      </c>
      <c r="H1485" s="1114"/>
      <c r="I1485" s="1115"/>
    </row>
    <row r="1486" spans="1:13" x14ac:dyDescent="0.2">
      <c r="A1486" s="244" t="s">
        <v>127</v>
      </c>
      <c r="B1486" s="234">
        <v>2000</v>
      </c>
      <c r="C1486" s="239">
        <v>5</v>
      </c>
      <c r="D1486" s="235" t="s">
        <v>208</v>
      </c>
      <c r="E1486" s="246"/>
      <c r="F1486" s="246"/>
      <c r="G1486" s="240"/>
      <c r="H1486" s="241"/>
      <c r="I1486" s="427">
        <f>TRUNC(C1486/100*I1483,2)</f>
        <v>3.98</v>
      </c>
    </row>
    <row r="1487" spans="1:13" x14ac:dyDescent="0.2">
      <c r="A1487" s="199"/>
      <c r="B1487" s="229"/>
      <c r="C1487" s="199"/>
      <c r="D1487" s="199"/>
      <c r="E1487" s="199"/>
      <c r="F1487" s="230" t="s">
        <v>327</v>
      </c>
      <c r="G1487" s="240"/>
      <c r="H1487" s="241"/>
      <c r="I1487" s="438">
        <f>SUM(I1486)</f>
        <v>3.98</v>
      </c>
    </row>
    <row r="1488" spans="1:13" x14ac:dyDescent="0.2">
      <c r="A1488" s="199"/>
      <c r="B1488" s="229"/>
      <c r="C1488" s="199"/>
      <c r="D1488" s="199"/>
      <c r="E1488" s="199"/>
      <c r="F1488" s="199"/>
      <c r="G1488" s="199"/>
      <c r="H1488" s="199"/>
      <c r="I1488" s="439"/>
    </row>
    <row r="1489" spans="1:17" x14ac:dyDescent="0.2">
      <c r="A1489" s="247"/>
      <c r="B1489" s="248"/>
      <c r="C1489" s="249"/>
      <c r="D1489" s="249"/>
      <c r="E1489" s="249"/>
      <c r="F1489" s="250" t="s">
        <v>193</v>
      </c>
      <c r="G1489" s="401"/>
      <c r="H1489" s="249"/>
      <c r="I1489" s="445">
        <f>+I1477+I1483+I1487</f>
        <v>165.89</v>
      </c>
    </row>
    <row r="1490" spans="1:17" x14ac:dyDescent="0.2">
      <c r="A1490" s="251"/>
      <c r="B1490" s="252"/>
      <c r="C1490" s="253"/>
      <c r="D1490" s="253"/>
      <c r="E1490" s="253"/>
      <c r="F1490" s="254" t="s">
        <v>194</v>
      </c>
      <c r="G1490" s="255"/>
      <c r="H1490" s="253"/>
      <c r="I1490" s="446">
        <v>1</v>
      </c>
    </row>
    <row r="1491" spans="1:17" x14ac:dyDescent="0.2">
      <c r="A1491" s="233"/>
      <c r="B1491" s="256"/>
      <c r="C1491" s="241"/>
      <c r="D1491" s="241"/>
      <c r="E1491" s="241"/>
      <c r="F1491" s="257" t="s">
        <v>216</v>
      </c>
      <c r="G1491" s="240"/>
      <c r="H1491" s="241"/>
      <c r="I1491" s="447">
        <f>TRUNC(I1489/I1490,2)</f>
        <v>165.89</v>
      </c>
    </row>
    <row r="1492" spans="1:17" x14ac:dyDescent="0.2">
      <c r="A1492" s="636"/>
      <c r="B1492" s="229"/>
      <c r="C1492" s="199"/>
      <c r="D1492" s="199"/>
      <c r="E1492" s="199"/>
      <c r="F1492" s="258"/>
      <c r="G1492" s="199"/>
      <c r="H1492" s="199"/>
      <c r="I1492" s="450"/>
    </row>
    <row r="1493" spans="1:17" x14ac:dyDescent="0.2">
      <c r="A1493" s="242" t="s">
        <v>195</v>
      </c>
      <c r="B1493" s="243" t="s">
        <v>59</v>
      </c>
      <c r="C1493" s="243" t="s">
        <v>196</v>
      </c>
      <c r="D1493" s="243" t="s">
        <v>217</v>
      </c>
      <c r="E1493" s="1121" t="s">
        <v>89</v>
      </c>
      <c r="F1493" s="1114"/>
      <c r="G1493" s="1115"/>
      <c r="H1493" s="1121" t="s">
        <v>183</v>
      </c>
      <c r="I1493" s="1115"/>
    </row>
    <row r="1494" spans="1:17" ht="22.5" x14ac:dyDescent="0.2">
      <c r="A1494" s="259" t="str">
        <f>VLOOKUP(B1494,mat.!$A:$D,2,FALSE)</f>
        <v>Tubo de concreto armado D=0,80m CA-1 PB</v>
      </c>
      <c r="B1494" s="234">
        <v>10225</v>
      </c>
      <c r="C1494" s="260" t="str">
        <f>VLOOKUP(B1494,mat.!$A:$D,3,FALSE)</f>
        <v>M</v>
      </c>
      <c r="D1494" s="261">
        <f>VLOOKUP(B1494,mat.!$A:$D,4,FALSE)</f>
        <v>156.4</v>
      </c>
      <c r="E1494" s="255"/>
      <c r="F1494" s="253"/>
      <c r="G1494" s="293">
        <v>1</v>
      </c>
      <c r="H1494" s="255"/>
      <c r="I1494" s="423">
        <f>TRUNC(D1494*G1494,2)</f>
        <v>156.4</v>
      </c>
    </row>
    <row r="1495" spans="1:17" x14ac:dyDescent="0.2">
      <c r="A1495" s="199"/>
      <c r="B1495" s="229"/>
      <c r="C1495" s="199"/>
      <c r="D1495" s="199"/>
      <c r="E1495" s="199"/>
      <c r="F1495" s="230" t="s">
        <v>197</v>
      </c>
      <c r="G1495" s="240"/>
      <c r="H1495" s="241"/>
      <c r="I1495" s="438">
        <f>SUM(I1494:I1494)</f>
        <v>156.4</v>
      </c>
    </row>
    <row r="1496" spans="1:17" x14ac:dyDescent="0.2">
      <c r="A1496" s="199"/>
      <c r="B1496" s="229"/>
      <c r="C1496" s="199"/>
      <c r="D1496" s="199"/>
      <c r="E1496" s="199"/>
      <c r="F1496" s="199"/>
      <c r="G1496" s="262"/>
      <c r="H1496" s="199"/>
      <c r="I1496" s="439"/>
    </row>
    <row r="1497" spans="1:17" x14ac:dyDescent="0.2">
      <c r="A1497" s="431" t="s">
        <v>198</v>
      </c>
      <c r="B1497" s="432" t="s">
        <v>59</v>
      </c>
      <c r="C1497" s="432" t="s">
        <v>196</v>
      </c>
      <c r="D1497" s="637" t="s">
        <v>217</v>
      </c>
      <c r="E1497" s="1125" t="s">
        <v>89</v>
      </c>
      <c r="F1497" s="1126"/>
      <c r="G1497" s="1127"/>
      <c r="H1497" s="1128" t="s">
        <v>183</v>
      </c>
      <c r="I1497" s="1129"/>
      <c r="J1497" s="415"/>
      <c r="K1497" s="415"/>
      <c r="L1497" s="198"/>
      <c r="M1497" s="198"/>
      <c r="N1497" s="198"/>
      <c r="O1497" s="198"/>
      <c r="P1497" s="198"/>
      <c r="Q1497" s="198"/>
    </row>
    <row r="1498" spans="1:17" ht="22.5" x14ac:dyDescent="0.2">
      <c r="A1498" s="416" t="str">
        <f>VLOOKUP(B1498,'DER 11-20'!$A:$E,2,FALSE)</f>
        <v>Argamassa cimento e areia traço 1:4, tudo incluído</v>
      </c>
      <c r="B1498" s="417">
        <v>40348</v>
      </c>
      <c r="C1498" s="417" t="str">
        <f>VLOOKUP(B1498,'DER 11-20'!$A:$E,3,FALSE)</f>
        <v>M3</v>
      </c>
      <c r="D1498" s="418">
        <f>TRUNC(VLOOKUP(B1498,'DER 11-20'!$A:$F,6,FALSE)/(1+$I$4),2)</f>
        <v>449.06</v>
      </c>
      <c r="E1498" s="419"/>
      <c r="F1498" s="420"/>
      <c r="G1498" s="421">
        <v>2.5000000000000001E-2</v>
      </c>
      <c r="H1498" s="422"/>
      <c r="I1498" s="423">
        <f>TRUNC(D1498*G1498,2)</f>
        <v>11.22</v>
      </c>
      <c r="J1498" s="415"/>
      <c r="K1498" s="415"/>
      <c r="L1498" s="198"/>
      <c r="M1498" s="198"/>
      <c r="N1498" s="198"/>
      <c r="O1498" s="198"/>
      <c r="P1498" s="198"/>
      <c r="Q1498" s="198"/>
    </row>
    <row r="1499" spans="1:17" ht="22.5" x14ac:dyDescent="0.2">
      <c r="A1499" s="416" t="str">
        <f>VLOOKUP(B1499,'DER 11-20'!$A:$E,2,FALSE)</f>
        <v>Escavação manual em mat. 1ª cat. H= 0,00 a 1,50 m</v>
      </c>
      <c r="B1499" s="417">
        <v>40258</v>
      </c>
      <c r="C1499" s="417" t="str">
        <f>VLOOKUP(B1499,'DER 11-20'!$A:$E,3,FALSE)</f>
        <v>M3</v>
      </c>
      <c r="D1499" s="418">
        <f>TRUNC(VLOOKUP(B1499,'DER 11-20'!$A:$F,6,FALSE)/(1+$I$4),2)</f>
        <v>56.6</v>
      </c>
      <c r="E1499" s="419"/>
      <c r="F1499" s="420"/>
      <c r="G1499" s="421">
        <v>0.16</v>
      </c>
      <c r="H1499" s="422"/>
      <c r="I1499" s="423">
        <f>TRUNC(D1499*G1499,2)</f>
        <v>9.0500000000000007</v>
      </c>
      <c r="J1499" s="415"/>
      <c r="K1499" s="415"/>
      <c r="L1499" s="198"/>
      <c r="M1499" s="198"/>
      <c r="N1499" s="198"/>
      <c r="O1499" s="198"/>
      <c r="P1499" s="198"/>
      <c r="Q1499" s="198"/>
    </row>
    <row r="1500" spans="1:17" ht="22.5" x14ac:dyDescent="0.2">
      <c r="A1500" s="416" t="str">
        <f>VLOOKUP(B1500,'DER 11-20'!$A:$E,2,FALSE)</f>
        <v>Escavação mecânica em material de 1ª cat. H= 0,00 a 1,50 m</v>
      </c>
      <c r="B1500" s="417">
        <v>40282</v>
      </c>
      <c r="C1500" s="417" t="str">
        <f>VLOOKUP(B1500,'DER 11-20'!$A:$E,3,FALSE)</f>
        <v>M3</v>
      </c>
      <c r="D1500" s="418">
        <f>TRUNC(VLOOKUP(B1500,'DER 11-20'!$A:$F,6,FALSE)/(1+$I$4),2)</f>
        <v>11.56</v>
      </c>
      <c r="E1500" s="419"/>
      <c r="F1500" s="420"/>
      <c r="G1500" s="421">
        <v>3</v>
      </c>
      <c r="H1500" s="422"/>
      <c r="I1500" s="423">
        <f>TRUNC(D1500*G1500,2)</f>
        <v>34.68</v>
      </c>
      <c r="J1500" s="415"/>
      <c r="K1500" s="415"/>
      <c r="L1500" s="198"/>
      <c r="M1500" s="198"/>
      <c r="N1500" s="198"/>
      <c r="O1500" s="198"/>
      <c r="P1500" s="198"/>
      <c r="Q1500" s="198"/>
    </row>
    <row r="1501" spans="1:17" ht="22.5" x14ac:dyDescent="0.2">
      <c r="A1501" s="416" t="str">
        <f>VLOOKUP(B1501,'DER 11-20'!$A:$E,2,FALSE)</f>
        <v>Reaterro de cavas c/ compactação mecânica (compactador manual)</v>
      </c>
      <c r="B1501" s="417">
        <v>40303</v>
      </c>
      <c r="C1501" s="417" t="str">
        <f>VLOOKUP(B1501,'DER 11-20'!$A:$E,3,FALSE)</f>
        <v>M3</v>
      </c>
      <c r="D1501" s="418">
        <f>TRUNC(VLOOKUP(B1501,'DER 11-20'!$A:$F,6,FALSE)/(1+$I$4),2)</f>
        <v>37.479999999999997</v>
      </c>
      <c r="E1501" s="419"/>
      <c r="F1501" s="420"/>
      <c r="G1501" s="421">
        <v>2.5</v>
      </c>
      <c r="H1501" s="422"/>
      <c r="I1501" s="423">
        <f>TRUNC(D1501*G1501,2)</f>
        <v>93.7</v>
      </c>
      <c r="J1501" s="415"/>
      <c r="K1501" s="415"/>
      <c r="L1501" s="198"/>
      <c r="M1501" s="198"/>
      <c r="N1501" s="198"/>
      <c r="O1501" s="198"/>
      <c r="P1501" s="198"/>
      <c r="Q1501" s="198"/>
    </row>
    <row r="1502" spans="1:17" x14ac:dyDescent="0.2">
      <c r="A1502" s="200"/>
      <c r="B1502" s="264"/>
      <c r="C1502" s="200"/>
      <c r="D1502" s="200"/>
      <c r="E1502" s="200"/>
      <c r="F1502" s="265" t="s">
        <v>199</v>
      </c>
      <c r="G1502" s="255"/>
      <c r="H1502" s="266"/>
      <c r="I1502" s="441">
        <f>SUM(I1498:I1501)</f>
        <v>148.65</v>
      </c>
    </row>
    <row r="1503" spans="1:17" x14ac:dyDescent="0.2">
      <c r="A1503" s="200"/>
      <c r="B1503" s="264"/>
      <c r="C1503" s="200"/>
      <c r="D1503" s="200"/>
      <c r="E1503" s="200"/>
      <c r="F1503" s="200"/>
      <c r="G1503" s="200"/>
      <c r="H1503" s="200"/>
      <c r="I1503" s="440"/>
    </row>
    <row r="1504" spans="1:17" ht="24.75" customHeight="1" x14ac:dyDescent="0.2">
      <c r="A1504" s="267" t="s">
        <v>200</v>
      </c>
      <c r="B1504" s="268" t="s">
        <v>59</v>
      </c>
      <c r="C1504" s="268" t="s">
        <v>196</v>
      </c>
      <c r="D1504" s="268" t="s">
        <v>201</v>
      </c>
      <c r="E1504" s="268" t="s">
        <v>202</v>
      </c>
      <c r="F1504" s="268" t="s">
        <v>203</v>
      </c>
      <c r="G1504" s="268" t="s">
        <v>94</v>
      </c>
      <c r="H1504" s="268" t="s">
        <v>89</v>
      </c>
      <c r="I1504" s="442" t="s">
        <v>204</v>
      </c>
    </row>
    <row r="1505" spans="1:13" ht="22.5" x14ac:dyDescent="0.2">
      <c r="A1505" s="244" t="str">
        <f>VLOOKUP(B1505,transp.!$A:$J,2,FALSE)</f>
        <v xml:space="preserve"> Transp. de Tubo de concreto armado D=0,80m CA-1 PB</v>
      </c>
      <c r="B1505" s="234">
        <v>1006</v>
      </c>
      <c r="C1505" s="234" t="str">
        <f>VLOOKUP(B1505,transp.!$A:$J,3,FALSE)</f>
        <v xml:space="preserve"> t  </v>
      </c>
      <c r="D1505" s="269" t="str">
        <f>VLOOKUP(B1505,transp.!$A:$J,4,FALSE)</f>
        <v>0,716XP + 0,745XR</v>
      </c>
      <c r="E1505" s="270">
        <f>VLOOKUP(J1505,Dis!$B:$F,4,FALSE)</f>
        <v>27</v>
      </c>
      <c r="F1505" s="270">
        <f>VLOOKUP(J1505,Dis!$B:$F,5,FALSE)</f>
        <v>2.34</v>
      </c>
      <c r="G1505" s="239">
        <f>TRUNC(VLOOKUP(B1505,transp.!$A:$J,5,FALSE)*E1505+VLOOKUP(B1505,transp.!$A:$J,6,FALSE)*F1505+VLOOKUP(B1505,transp.!$A:$J,7,FALSE),2)</f>
        <v>21.07</v>
      </c>
      <c r="H1505" s="271">
        <v>0.65</v>
      </c>
      <c r="I1505" s="418">
        <f>TRUNC(G1505*H1505,2)</f>
        <v>13.69</v>
      </c>
      <c r="J1505" s="400" t="s">
        <v>114</v>
      </c>
    </row>
    <row r="1506" spans="1:13" x14ac:dyDescent="0.2">
      <c r="A1506" s="200"/>
      <c r="B1506" s="264"/>
      <c r="C1506" s="200"/>
      <c r="D1506" s="200"/>
      <c r="E1506" s="200"/>
      <c r="F1506" s="265" t="s">
        <v>205</v>
      </c>
      <c r="G1506" s="240"/>
      <c r="H1506" s="272"/>
      <c r="I1506" s="443">
        <f>SUM(I1505:I1505)</f>
        <v>13.69</v>
      </c>
    </row>
    <row r="1507" spans="1:13" x14ac:dyDescent="0.2">
      <c r="A1507" s="200"/>
      <c r="B1507" s="264"/>
      <c r="C1507" s="200"/>
      <c r="D1507" s="200"/>
      <c r="E1507" s="200"/>
      <c r="F1507" s="200"/>
      <c r="G1507" s="200"/>
      <c r="H1507" s="200"/>
      <c r="I1507" s="444"/>
    </row>
    <row r="1508" spans="1:13" x14ac:dyDescent="0.2">
      <c r="A1508" s="273"/>
      <c r="B1508" s="274"/>
      <c r="C1508" s="275"/>
      <c r="D1508" s="275"/>
      <c r="E1508" s="275"/>
      <c r="F1508" s="276" t="s">
        <v>206</v>
      </c>
      <c r="G1508" s="273"/>
      <c r="H1508" s="249"/>
      <c r="I1508" s="445">
        <f>+I1491+I1495+I1502+I1506</f>
        <v>484.63</v>
      </c>
    </row>
    <row r="1509" spans="1:13" x14ac:dyDescent="0.2">
      <c r="A1509" s="255"/>
      <c r="B1509" s="277"/>
      <c r="C1509" s="266"/>
      <c r="D1509" s="266"/>
      <c r="E1509" s="266"/>
      <c r="F1509" s="278" t="str">
        <f>CONCATENATE($H$3," ",$I$3)</f>
        <v>BDI: 23,32</v>
      </c>
      <c r="G1509" s="403"/>
      <c r="H1509" s="253"/>
      <c r="I1509" s="446">
        <f>+ROUND(I1508*$I$4,2)</f>
        <v>113.02</v>
      </c>
    </row>
    <row r="1510" spans="1:13" x14ac:dyDescent="0.2">
      <c r="A1510" s="240"/>
      <c r="B1510" s="279"/>
      <c r="C1510" s="272"/>
      <c r="D1510" s="272"/>
      <c r="E1510" s="272"/>
      <c r="F1510" s="280" t="s">
        <v>207</v>
      </c>
      <c r="G1510" s="404"/>
      <c r="H1510" s="241"/>
      <c r="I1510" s="720">
        <f>+I1508+I1509</f>
        <v>597.65</v>
      </c>
    </row>
    <row r="1511" spans="1:13" x14ac:dyDescent="0.2">
      <c r="A1511" s="1116" t="str">
        <f>$A$1</f>
        <v>COMPOSIÇÃO DE CUSTOS UNITÁRIOS</v>
      </c>
      <c r="B1511" s="1116"/>
      <c r="C1511" s="1116"/>
      <c r="D1511" s="1116"/>
      <c r="E1511" s="1116"/>
      <c r="F1511" s="1116"/>
      <c r="G1511" s="1116"/>
      <c r="H1511" s="1116"/>
      <c r="I1511" s="1116"/>
    </row>
    <row r="1512" spans="1:13" x14ac:dyDescent="0.2">
      <c r="A1512" s="228" t="str">
        <f>$A$2</f>
        <v>Tabela Referencial de Preços - DER-ES</v>
      </c>
      <c r="B1512" s="229"/>
      <c r="C1512" s="199"/>
      <c r="D1512" s="199"/>
      <c r="E1512" s="199"/>
      <c r="F1512" s="199"/>
      <c r="G1512" s="199"/>
      <c r="H1512" s="199"/>
      <c r="I1512" s="414" t="str">
        <f>$I$2</f>
        <v>Data Base: novembro/2020</v>
      </c>
    </row>
    <row r="1513" spans="1:13" x14ac:dyDescent="0.2">
      <c r="A1513" s="1117" t="str">
        <f>+CONCATENATE("Serviço: ",J1513," ",VLOOKUP(J1513,'DER 11-20'!$A:$D,2,FALSE))</f>
        <v>Serviço: 40449 Corpo BSTC (grota) diâmetro 0,80 m CA-1 PB exclusive escavação e reaterro, inclusive transporte do tubo</v>
      </c>
      <c r="B1513" s="1117"/>
      <c r="C1513" s="1117"/>
      <c r="D1513" s="1117"/>
      <c r="E1513" s="1117"/>
      <c r="F1513" s="1117"/>
      <c r="G1513" s="1117"/>
      <c r="H1513" s="1117"/>
      <c r="I1513" s="1119" t="str">
        <f>CONCATENATE("Unidade: ", VLOOKUP(J1513,'DER 11-20'!$A:$E,3,FALSE))</f>
        <v>Unidade: M</v>
      </c>
      <c r="J1513" s="400">
        <v>40449</v>
      </c>
      <c r="K1513" s="400">
        <f>VLOOKUP("Preço Unitário Total",F1514:I3388,4,FALSE)</f>
        <v>428.17</v>
      </c>
      <c r="L1513" s="295" t="str">
        <f>VLOOKUP(J1513,'DER 11-20'!A:E,5,FALSE)</f>
        <v>A incluir</v>
      </c>
      <c r="M1513" s="295" t="str">
        <f>VLOOKUP(J1513,'DER 11-20'!$A:$D,2,FALSE)</f>
        <v>Corpo BSTC (grota) diâmetro 0,80 m CA-1 PB exclusive escavação e reaterro, inclusive transporte do tubo</v>
      </c>
    </row>
    <row r="1514" spans="1:13" x14ac:dyDescent="0.2">
      <c r="A1514" s="1118"/>
      <c r="B1514" s="1118"/>
      <c r="C1514" s="1118"/>
      <c r="D1514" s="1118"/>
      <c r="E1514" s="1118"/>
      <c r="F1514" s="1118"/>
      <c r="G1514" s="1118"/>
      <c r="H1514" s="1118"/>
      <c r="I1514" s="1120"/>
    </row>
    <row r="1515" spans="1:13" ht="22.5" x14ac:dyDescent="0.2">
      <c r="A1515" s="231" t="s">
        <v>177</v>
      </c>
      <c r="B1515" s="232" t="s">
        <v>59</v>
      </c>
      <c r="C1515" s="232" t="s">
        <v>178</v>
      </c>
      <c r="D1515" s="232" t="s">
        <v>179</v>
      </c>
      <c r="E1515" s="232" t="s">
        <v>180</v>
      </c>
      <c r="F1515" s="232" t="s">
        <v>181</v>
      </c>
      <c r="G1515" s="232" t="s">
        <v>182</v>
      </c>
      <c r="H1515" s="232" t="s">
        <v>89</v>
      </c>
      <c r="I1515" s="434" t="s">
        <v>183</v>
      </c>
    </row>
    <row r="1516" spans="1:13" ht="33.75" x14ac:dyDescent="0.2">
      <c r="A1516" s="233" t="str">
        <f>VLOOKUP(B1516,equip.!$A:$G,2,FALSE)</f>
        <v>Carregadeira de rodas ref. Caterpillar modelo 924H (1,9 m3) ( cab + ar ) ou equivalente</v>
      </c>
      <c r="B1516" s="234">
        <v>30023</v>
      </c>
      <c r="C1516" s="235" t="str">
        <f>VLOOKUP(B1516,equip.!$A$1:$G$240,3,FALSE)</f>
        <v>M</v>
      </c>
      <c r="D1516" s="236">
        <v>0.1</v>
      </c>
      <c r="E1516" s="203">
        <v>0.9</v>
      </c>
      <c r="F1516" s="237">
        <f>VLOOKUP(B1516,equip.!$A:$G,6,FALSE)</f>
        <v>201.89</v>
      </c>
      <c r="G1516" s="237">
        <f>VLOOKUP(B1516,equip.!$A:$G,7,FALSE)</f>
        <v>68.959999999999994</v>
      </c>
      <c r="H1516" s="238">
        <v>1</v>
      </c>
      <c r="I1516" s="418">
        <f>TRUNC(D1516*F1516*H1516+E1516*G1516*H1516,2)</f>
        <v>82.25</v>
      </c>
    </row>
    <row r="1517" spans="1:13" x14ac:dyDescent="0.2">
      <c r="A1517" s="199"/>
      <c r="B1517" s="229"/>
      <c r="C1517" s="229"/>
      <c r="D1517" s="199"/>
      <c r="E1517" s="199"/>
      <c r="F1517" s="230" t="s">
        <v>184</v>
      </c>
      <c r="G1517" s="240"/>
      <c r="H1517" s="241"/>
      <c r="I1517" s="438">
        <f>SUM(I1516:I1516)</f>
        <v>82.25</v>
      </c>
    </row>
    <row r="1518" spans="1:13" x14ac:dyDescent="0.2">
      <c r="A1518" s="199"/>
      <c r="B1518" s="229"/>
      <c r="C1518" s="229"/>
      <c r="D1518" s="199"/>
      <c r="E1518" s="199"/>
      <c r="F1518" s="199"/>
      <c r="G1518" s="199"/>
      <c r="H1518" s="199"/>
      <c r="I1518" s="439"/>
    </row>
    <row r="1519" spans="1:13" x14ac:dyDescent="0.2">
      <c r="A1519" s="242" t="s">
        <v>185</v>
      </c>
      <c r="B1519" s="243" t="s">
        <v>59</v>
      </c>
      <c r="C1519" s="232" t="s">
        <v>357</v>
      </c>
      <c r="D1519" s="243" t="s">
        <v>187</v>
      </c>
      <c r="E1519" s="1111" t="s">
        <v>89</v>
      </c>
      <c r="F1519" s="1112"/>
      <c r="G1519" s="1113"/>
      <c r="H1519" s="1121" t="s">
        <v>183</v>
      </c>
      <c r="I1519" s="1115"/>
    </row>
    <row r="1520" spans="1:13" x14ac:dyDescent="0.2">
      <c r="A1520" s="244" t="str">
        <f>VLOOKUP(B1520,m.o.!$A:$H,2,FALSE)</f>
        <v>Encarregado de O.A.C.</v>
      </c>
      <c r="B1520" s="234">
        <v>20060</v>
      </c>
      <c r="C1520" s="239">
        <f>VLOOKUP(B1520,m.o.!$A:$F,4,FALSE)</f>
        <v>2.2599999999999998</v>
      </c>
      <c r="D1520" s="239">
        <f>VLOOKUP(B1520,m.o.!$A:$G,7,FALSE)</f>
        <v>28.31</v>
      </c>
      <c r="E1520" s="255"/>
      <c r="F1520" s="253"/>
      <c r="G1520" s="293">
        <v>0.5</v>
      </c>
      <c r="H1520" s="240"/>
      <c r="I1520" s="427">
        <f>TRUNC(D1520*G1520,2)</f>
        <v>14.15</v>
      </c>
    </row>
    <row r="1521" spans="1:9" x14ac:dyDescent="0.2">
      <c r="A1521" s="244" t="str">
        <f>VLOOKUP(B1521,m.o.!$A:$H,2,FALSE)</f>
        <v>Pedreiro de O.A.C.</v>
      </c>
      <c r="B1521" s="234">
        <v>20109</v>
      </c>
      <c r="C1521" s="239">
        <f>VLOOKUP(B1521,m.o.!$A:$F,4,FALSE)</f>
        <v>1.24</v>
      </c>
      <c r="D1521" s="239">
        <f>VLOOKUP(B1521,m.o.!$A:$G,7,FALSE)</f>
        <v>15.53</v>
      </c>
      <c r="E1521" s="255"/>
      <c r="F1521" s="253"/>
      <c r="G1521" s="293">
        <v>1.8</v>
      </c>
      <c r="H1521" s="240"/>
      <c r="I1521" s="427">
        <f>TRUNC(D1521*G1521,2)</f>
        <v>27.95</v>
      </c>
    </row>
    <row r="1522" spans="1:9" x14ac:dyDescent="0.2">
      <c r="A1522" s="244" t="str">
        <f>VLOOKUP(B1522,m.o.!$A:$H,2,FALSE)</f>
        <v>Servente</v>
      </c>
      <c r="B1522" s="234">
        <v>20002</v>
      </c>
      <c r="C1522" s="239">
        <f>VLOOKUP(B1522,m.o.!$A:$F,4,FALSE)</f>
        <v>1</v>
      </c>
      <c r="D1522" s="239">
        <f>VLOOKUP(B1522,m.o.!$A:$G,7,FALSE)</f>
        <v>12.52</v>
      </c>
      <c r="E1522" s="255"/>
      <c r="F1522" s="253"/>
      <c r="G1522" s="293">
        <v>3</v>
      </c>
      <c r="H1522" s="240"/>
      <c r="I1522" s="427">
        <f>TRUNC(D1522*G1522,2)</f>
        <v>37.56</v>
      </c>
    </row>
    <row r="1523" spans="1:9" x14ac:dyDescent="0.2">
      <c r="A1523" s="199"/>
      <c r="B1523" s="229"/>
      <c r="C1523" s="229"/>
      <c r="D1523" s="199"/>
      <c r="E1523" s="199"/>
      <c r="F1523" s="230" t="s">
        <v>188</v>
      </c>
      <c r="G1523" s="240"/>
      <c r="H1523" s="241"/>
      <c r="I1523" s="438">
        <f>SUM(I1520:I1522)</f>
        <v>79.66</v>
      </c>
    </row>
    <row r="1524" spans="1:9" x14ac:dyDescent="0.2">
      <c r="A1524" s="199"/>
      <c r="B1524" s="229"/>
      <c r="C1524" s="229"/>
      <c r="D1524" s="199"/>
      <c r="E1524" s="199"/>
      <c r="F1524" s="199"/>
      <c r="G1524" s="199"/>
      <c r="H1524" s="199"/>
      <c r="I1524" s="439"/>
    </row>
    <row r="1525" spans="1:9" x14ac:dyDescent="0.2">
      <c r="A1525" s="245" t="s">
        <v>189</v>
      </c>
      <c r="B1525" s="243" t="s">
        <v>59</v>
      </c>
      <c r="C1525" s="818" t="s">
        <v>17</v>
      </c>
      <c r="D1525" s="243" t="s">
        <v>190</v>
      </c>
      <c r="E1525" s="243" t="s">
        <v>191</v>
      </c>
      <c r="F1525" s="243" t="s">
        <v>192</v>
      </c>
      <c r="G1525" s="1121" t="s">
        <v>94</v>
      </c>
      <c r="H1525" s="1114"/>
      <c r="I1525" s="1115"/>
    </row>
    <row r="1526" spans="1:9" x14ac:dyDescent="0.2">
      <c r="A1526" s="244" t="s">
        <v>127</v>
      </c>
      <c r="B1526" s="234">
        <v>2000</v>
      </c>
      <c r="C1526" s="239">
        <v>5</v>
      </c>
      <c r="D1526" s="235" t="s">
        <v>208</v>
      </c>
      <c r="E1526" s="246"/>
      <c r="F1526" s="246"/>
      <c r="G1526" s="240"/>
      <c r="H1526" s="241"/>
      <c r="I1526" s="427">
        <f>TRUNC(C1526/100*I1523,2)</f>
        <v>3.98</v>
      </c>
    </row>
    <row r="1527" spans="1:9" x14ac:dyDescent="0.2">
      <c r="A1527" s="199"/>
      <c r="B1527" s="229"/>
      <c r="C1527" s="199"/>
      <c r="D1527" s="199"/>
      <c r="E1527" s="199"/>
      <c r="F1527" s="230" t="s">
        <v>327</v>
      </c>
      <c r="G1527" s="240"/>
      <c r="H1527" s="241"/>
      <c r="I1527" s="438">
        <f>SUM(I1526)</f>
        <v>3.98</v>
      </c>
    </row>
    <row r="1528" spans="1:9" x14ac:dyDescent="0.2">
      <c r="A1528" s="199"/>
      <c r="B1528" s="229"/>
      <c r="C1528" s="199"/>
      <c r="D1528" s="199"/>
      <c r="E1528" s="199"/>
      <c r="F1528" s="199"/>
      <c r="G1528" s="199"/>
      <c r="H1528" s="199"/>
      <c r="I1528" s="439"/>
    </row>
    <row r="1529" spans="1:9" x14ac:dyDescent="0.2">
      <c r="A1529" s="247"/>
      <c r="B1529" s="248"/>
      <c r="C1529" s="249"/>
      <c r="D1529" s="249"/>
      <c r="E1529" s="249"/>
      <c r="F1529" s="250" t="s">
        <v>193</v>
      </c>
      <c r="G1529" s="401"/>
      <c r="H1529" s="249"/>
      <c r="I1529" s="445">
        <f>+I1517+I1523+I1527</f>
        <v>165.89</v>
      </c>
    </row>
    <row r="1530" spans="1:9" x14ac:dyDescent="0.2">
      <c r="A1530" s="251"/>
      <c r="B1530" s="252"/>
      <c r="C1530" s="253"/>
      <c r="D1530" s="253"/>
      <c r="E1530" s="253"/>
      <c r="F1530" s="254" t="s">
        <v>194</v>
      </c>
      <c r="G1530" s="255"/>
      <c r="H1530" s="253"/>
      <c r="I1530" s="446">
        <v>1</v>
      </c>
    </row>
    <row r="1531" spans="1:9" x14ac:dyDescent="0.2">
      <c r="A1531" s="233"/>
      <c r="B1531" s="256"/>
      <c r="C1531" s="241"/>
      <c r="D1531" s="241"/>
      <c r="E1531" s="241"/>
      <c r="F1531" s="257" t="s">
        <v>216</v>
      </c>
      <c r="G1531" s="240"/>
      <c r="H1531" s="241"/>
      <c r="I1531" s="447">
        <f>TRUNC(I1529/I1530,2)</f>
        <v>165.89</v>
      </c>
    </row>
    <row r="1532" spans="1:9" x14ac:dyDescent="0.2">
      <c r="A1532" s="819"/>
      <c r="B1532" s="229"/>
      <c r="C1532" s="199"/>
      <c r="D1532" s="199"/>
      <c r="E1532" s="199"/>
      <c r="F1532" s="258"/>
      <c r="G1532" s="199"/>
      <c r="H1532" s="199"/>
      <c r="I1532" s="450"/>
    </row>
    <row r="1533" spans="1:9" x14ac:dyDescent="0.2">
      <c r="A1533" s="242" t="s">
        <v>195</v>
      </c>
      <c r="B1533" s="243" t="s">
        <v>59</v>
      </c>
      <c r="C1533" s="243" t="s">
        <v>196</v>
      </c>
      <c r="D1533" s="243" t="s">
        <v>217</v>
      </c>
      <c r="E1533" s="1121" t="s">
        <v>89</v>
      </c>
      <c r="F1533" s="1114"/>
      <c r="G1533" s="1115"/>
      <c r="H1533" s="1121" t="s">
        <v>183</v>
      </c>
      <c r="I1533" s="1115"/>
    </row>
    <row r="1534" spans="1:9" ht="22.5" x14ac:dyDescent="0.2">
      <c r="A1534" s="259" t="str">
        <f>VLOOKUP(B1534,mat.!$A:$D,2,FALSE)</f>
        <v>Tubo de concreto armado D=0,80m CA-1 PB</v>
      </c>
      <c r="B1534" s="234">
        <v>10225</v>
      </c>
      <c r="C1534" s="260" t="str">
        <f>VLOOKUP(B1534,mat.!$A:$D,3,FALSE)</f>
        <v>M</v>
      </c>
      <c r="D1534" s="261">
        <f>VLOOKUP(B1534,mat.!$A:$D,4,FALSE)</f>
        <v>156.4</v>
      </c>
      <c r="E1534" s="255"/>
      <c r="F1534" s="253"/>
      <c r="G1534" s="293">
        <v>1</v>
      </c>
      <c r="H1534" s="255"/>
      <c r="I1534" s="423">
        <f>TRUNC(D1534*G1534,2)</f>
        <v>156.4</v>
      </c>
    </row>
    <row r="1535" spans="1:9" x14ac:dyDescent="0.2">
      <c r="A1535" s="199"/>
      <c r="B1535" s="229"/>
      <c r="C1535" s="199"/>
      <c r="D1535" s="199"/>
      <c r="E1535" s="199"/>
      <c r="F1535" s="230" t="s">
        <v>197</v>
      </c>
      <c r="G1535" s="240"/>
      <c r="H1535" s="241"/>
      <c r="I1535" s="438">
        <f>SUM(I1534:I1534)</f>
        <v>156.4</v>
      </c>
    </row>
    <row r="1536" spans="1:9" x14ac:dyDescent="0.2">
      <c r="A1536" s="199"/>
      <c r="B1536" s="229"/>
      <c r="C1536" s="199"/>
      <c r="D1536" s="199"/>
      <c r="E1536" s="199"/>
      <c r="F1536" s="199"/>
      <c r="G1536" s="262"/>
      <c r="H1536" s="199"/>
      <c r="I1536" s="439"/>
    </row>
    <row r="1537" spans="1:17" x14ac:dyDescent="0.2">
      <c r="A1537" s="431" t="s">
        <v>198</v>
      </c>
      <c r="B1537" s="432" t="s">
        <v>59</v>
      </c>
      <c r="C1537" s="432" t="s">
        <v>196</v>
      </c>
      <c r="D1537" s="820" t="s">
        <v>217</v>
      </c>
      <c r="E1537" s="1125" t="s">
        <v>89</v>
      </c>
      <c r="F1537" s="1126"/>
      <c r="G1537" s="1127"/>
      <c r="H1537" s="1128" t="s">
        <v>183</v>
      </c>
      <c r="I1537" s="1129"/>
      <c r="J1537" s="415"/>
      <c r="K1537" s="415"/>
      <c r="L1537" s="198"/>
      <c r="M1537" s="198"/>
      <c r="N1537" s="198"/>
      <c r="O1537" s="198"/>
      <c r="P1537" s="198"/>
      <c r="Q1537" s="198"/>
    </row>
    <row r="1538" spans="1:17" ht="22.5" x14ac:dyDescent="0.2">
      <c r="A1538" s="416" t="str">
        <f>VLOOKUP(B1538,'DER 11-20'!$A:$E,2,FALSE)</f>
        <v>Argamassa cimento e areia traço 1:4, tudo incluído</v>
      </c>
      <c r="B1538" s="417">
        <v>40348</v>
      </c>
      <c r="C1538" s="417" t="str">
        <f>VLOOKUP(B1538,'DER 11-20'!$A:$E,3,FALSE)</f>
        <v>M3</v>
      </c>
      <c r="D1538" s="418">
        <f>TRUNC(VLOOKUP(B1538,'DER 11-20'!$A:$F,6,FALSE)/(1+$I$4),2)</f>
        <v>449.06</v>
      </c>
      <c r="E1538" s="419"/>
      <c r="F1538" s="420"/>
      <c r="G1538" s="421">
        <v>2.5000000000000001E-2</v>
      </c>
      <c r="H1538" s="422"/>
      <c r="I1538" s="423">
        <f>TRUNC(D1538*G1538,2)</f>
        <v>11.22</v>
      </c>
      <c r="J1538" s="415"/>
      <c r="K1538" s="415"/>
      <c r="L1538" s="198"/>
      <c r="M1538" s="198"/>
      <c r="N1538" s="198"/>
      <c r="O1538" s="198"/>
      <c r="P1538" s="198"/>
      <c r="Q1538" s="198"/>
    </row>
    <row r="1539" spans="1:17" x14ac:dyDescent="0.2">
      <c r="A1539" s="200"/>
      <c r="B1539" s="264"/>
      <c r="C1539" s="200"/>
      <c r="D1539" s="200"/>
      <c r="E1539" s="200"/>
      <c r="F1539" s="265" t="s">
        <v>199</v>
      </c>
      <c r="G1539" s="255"/>
      <c r="H1539" s="266"/>
      <c r="I1539" s="441">
        <f>SUM(I1538:I1538)</f>
        <v>11.22</v>
      </c>
    </row>
    <row r="1540" spans="1:17" x14ac:dyDescent="0.2">
      <c r="A1540" s="200"/>
      <c r="B1540" s="264"/>
      <c r="C1540" s="200"/>
      <c r="D1540" s="200"/>
      <c r="E1540" s="200"/>
      <c r="F1540" s="200"/>
      <c r="G1540" s="200"/>
      <c r="H1540" s="200"/>
      <c r="I1540" s="440"/>
    </row>
    <row r="1541" spans="1:17" ht="24.75" customHeight="1" x14ac:dyDescent="0.2">
      <c r="A1541" s="267" t="s">
        <v>200</v>
      </c>
      <c r="B1541" s="268" t="s">
        <v>59</v>
      </c>
      <c r="C1541" s="268" t="s">
        <v>196</v>
      </c>
      <c r="D1541" s="268" t="s">
        <v>201</v>
      </c>
      <c r="E1541" s="268" t="s">
        <v>202</v>
      </c>
      <c r="F1541" s="268" t="s">
        <v>203</v>
      </c>
      <c r="G1541" s="268" t="s">
        <v>94</v>
      </c>
      <c r="H1541" s="268" t="s">
        <v>89</v>
      </c>
      <c r="I1541" s="442" t="s">
        <v>204</v>
      </c>
    </row>
    <row r="1542" spans="1:17" ht="22.5" x14ac:dyDescent="0.2">
      <c r="A1542" s="244" t="str">
        <f>VLOOKUP(B1542,transp.!$A:$J,2,FALSE)</f>
        <v xml:space="preserve"> Transp. de Tubo de concreto armado D=0,80m CA-1 PB</v>
      </c>
      <c r="B1542" s="234">
        <v>1006</v>
      </c>
      <c r="C1542" s="234" t="str">
        <f>VLOOKUP(B1542,transp.!$A:$J,3,FALSE)</f>
        <v xml:space="preserve"> t  </v>
      </c>
      <c r="D1542" s="269" t="str">
        <f>VLOOKUP(B1542,transp.!$A:$J,4,FALSE)</f>
        <v>0,716XP + 0,745XR</v>
      </c>
      <c r="E1542" s="455">
        <f>VLOOKUP(J1542,Dis!$B:$F,4,FALSE)</f>
        <v>27</v>
      </c>
      <c r="F1542" s="455">
        <f>VLOOKUP(J1542,Dis!$B:$F,5,FALSE)</f>
        <v>2.34</v>
      </c>
      <c r="G1542" s="239">
        <f>TRUNC(VLOOKUP(B1542,transp.!$A:$J,5,FALSE)*E1542+VLOOKUP(B1542,transp.!$A:$J,6,FALSE)*F1542+VLOOKUP(B1542,transp.!$A:$J,7,FALSE),2)</f>
        <v>21.07</v>
      </c>
      <c r="H1542" s="271">
        <v>0.65</v>
      </c>
      <c r="I1542" s="418">
        <f>TRUNC(G1542*H1542,2)</f>
        <v>13.69</v>
      </c>
      <c r="J1542" s="400" t="s">
        <v>114</v>
      </c>
    </row>
    <row r="1543" spans="1:17" x14ac:dyDescent="0.2">
      <c r="A1543" s="200"/>
      <c r="B1543" s="264"/>
      <c r="C1543" s="200"/>
      <c r="D1543" s="200"/>
      <c r="E1543" s="200"/>
      <c r="F1543" s="265" t="s">
        <v>205</v>
      </c>
      <c r="G1543" s="240"/>
      <c r="H1543" s="272"/>
      <c r="I1543" s="443">
        <f>SUM(I1542:I1542)</f>
        <v>13.69</v>
      </c>
    </row>
    <row r="1544" spans="1:17" x14ac:dyDescent="0.2">
      <c r="A1544" s="200"/>
      <c r="B1544" s="264"/>
      <c r="C1544" s="200"/>
      <c r="D1544" s="200"/>
      <c r="E1544" s="200"/>
      <c r="F1544" s="200"/>
      <c r="G1544" s="200"/>
      <c r="H1544" s="200"/>
      <c r="I1544" s="444"/>
    </row>
    <row r="1545" spans="1:17" x14ac:dyDescent="0.2">
      <c r="A1545" s="273"/>
      <c r="B1545" s="274"/>
      <c r="C1545" s="275"/>
      <c r="D1545" s="275"/>
      <c r="E1545" s="275"/>
      <c r="F1545" s="276" t="s">
        <v>206</v>
      </c>
      <c r="G1545" s="273"/>
      <c r="H1545" s="249"/>
      <c r="I1545" s="445">
        <f>+I1531+I1535+I1539+I1543</f>
        <v>347.2</v>
      </c>
    </row>
    <row r="1546" spans="1:17" x14ac:dyDescent="0.2">
      <c r="A1546" s="255"/>
      <c r="B1546" s="277"/>
      <c r="C1546" s="266"/>
      <c r="D1546" s="266"/>
      <c r="E1546" s="266"/>
      <c r="F1546" s="278" t="str">
        <f>CONCATENATE($H$3," ",$I$3)</f>
        <v>BDI: 23,32</v>
      </c>
      <c r="G1546" s="403"/>
      <c r="H1546" s="253"/>
      <c r="I1546" s="446">
        <f>+ROUND(I1545*$I$4,2)</f>
        <v>80.97</v>
      </c>
    </row>
    <row r="1547" spans="1:17" x14ac:dyDescent="0.2">
      <c r="A1547" s="240"/>
      <c r="B1547" s="279"/>
      <c r="C1547" s="272"/>
      <c r="D1547" s="272"/>
      <c r="E1547" s="272"/>
      <c r="F1547" s="280" t="s">
        <v>207</v>
      </c>
      <c r="G1547" s="404"/>
      <c r="H1547" s="241"/>
      <c r="I1547" s="720">
        <f>+I1545+I1546</f>
        <v>428.17</v>
      </c>
    </row>
    <row r="1548" spans="1:17" x14ac:dyDescent="0.2">
      <c r="A1548" s="1116" t="str">
        <f>$A$1</f>
        <v>COMPOSIÇÃO DE CUSTOS UNITÁRIOS</v>
      </c>
      <c r="B1548" s="1116"/>
      <c r="C1548" s="1116"/>
      <c r="D1548" s="1116"/>
      <c r="E1548" s="1116"/>
      <c r="F1548" s="1116"/>
      <c r="G1548" s="1116"/>
      <c r="H1548" s="1116"/>
      <c r="I1548" s="1116"/>
    </row>
    <row r="1549" spans="1:17" x14ac:dyDescent="0.2">
      <c r="A1549" s="228" t="str">
        <f>$A$2</f>
        <v>Tabela Referencial de Preços - DER-ES</v>
      </c>
      <c r="B1549" s="229"/>
      <c r="C1549" s="199"/>
      <c r="D1549" s="199"/>
      <c r="E1549" s="199"/>
      <c r="F1549" s="199"/>
      <c r="G1549" s="199"/>
      <c r="H1549" s="199"/>
      <c r="I1549" s="414" t="str">
        <f>$I$2</f>
        <v>Data Base: novembro/2020</v>
      </c>
    </row>
    <row r="1550" spans="1:17" x14ac:dyDescent="0.2">
      <c r="A1550" s="1117" t="str">
        <f>+CONCATENATE("Serviço: ",J1550," ",VLOOKUP(J1550,'DER 11-20'!$A:$D,2,FALSE))</f>
        <v>Serviço: 40437 Corpo BSTC (greide) diâmetro 1,00 m CA-1 PB inclusive escavação, reaterro e transporte do tubo</v>
      </c>
      <c r="B1550" s="1117"/>
      <c r="C1550" s="1117"/>
      <c r="D1550" s="1117"/>
      <c r="E1550" s="1117"/>
      <c r="F1550" s="1117"/>
      <c r="G1550" s="1117"/>
      <c r="H1550" s="1117"/>
      <c r="I1550" s="1119" t="str">
        <f>CONCATENATE("Unidade: ", VLOOKUP(J1550,'DER 11-20'!$A:$E,3,FALSE))</f>
        <v>Unidade: M</v>
      </c>
      <c r="J1550" s="400">
        <v>40437</v>
      </c>
      <c r="K1550" s="400">
        <f>VLOOKUP("Preço Unitário Total",F1551:I3661,4,FALSE)</f>
        <v>769.33</v>
      </c>
      <c r="L1550" s="295" t="str">
        <f>VLOOKUP(J1550,'DER 11-20'!A:E,5,FALSE)</f>
        <v>A incluir</v>
      </c>
      <c r="M1550" s="295" t="str">
        <f>VLOOKUP(J1550,'DER 11-20'!$A:$D,2,FALSE)</f>
        <v>Corpo BSTC (greide) diâmetro 1,00 m CA-1 PB inclusive escavação, reaterro e transporte do tubo</v>
      </c>
    </row>
    <row r="1551" spans="1:17" x14ac:dyDescent="0.2">
      <c r="A1551" s="1118"/>
      <c r="B1551" s="1118"/>
      <c r="C1551" s="1118"/>
      <c r="D1551" s="1118"/>
      <c r="E1551" s="1118"/>
      <c r="F1551" s="1118"/>
      <c r="G1551" s="1118"/>
      <c r="H1551" s="1118"/>
      <c r="I1551" s="1120"/>
    </row>
    <row r="1552" spans="1:17" ht="22.5" x14ac:dyDescent="0.2">
      <c r="A1552" s="231" t="s">
        <v>177</v>
      </c>
      <c r="B1552" s="232" t="s">
        <v>59</v>
      </c>
      <c r="C1552" s="232" t="s">
        <v>178</v>
      </c>
      <c r="D1552" s="232" t="s">
        <v>179</v>
      </c>
      <c r="E1552" s="232" t="s">
        <v>180</v>
      </c>
      <c r="F1552" s="232" t="s">
        <v>181</v>
      </c>
      <c r="G1552" s="232" t="s">
        <v>182</v>
      </c>
      <c r="H1552" s="232" t="s">
        <v>89</v>
      </c>
      <c r="I1552" s="434" t="s">
        <v>183</v>
      </c>
    </row>
    <row r="1553" spans="1:9" ht="33.75" x14ac:dyDescent="0.2">
      <c r="A1553" s="233" t="str">
        <f>VLOOKUP(B1553,equip.!$A:$G,2,FALSE)</f>
        <v>Carregadeira de rodas ref. Caterpillar modelo 924H (1,9 m3) ( cab + ar ) ou equivalente</v>
      </c>
      <c r="B1553" s="234">
        <v>30023</v>
      </c>
      <c r="C1553" s="235" t="str">
        <f>VLOOKUP(B1553,equip.!$A$1:$G$240,3,FALSE)</f>
        <v>M</v>
      </c>
      <c r="D1553" s="236">
        <v>0.1</v>
      </c>
      <c r="E1553" s="203">
        <v>0.9</v>
      </c>
      <c r="F1553" s="237">
        <f>VLOOKUP(B1553,equip.!$A:$G,6,FALSE)</f>
        <v>201.89</v>
      </c>
      <c r="G1553" s="237">
        <f>VLOOKUP(B1553,equip.!$A:$G,7,FALSE)</f>
        <v>68.959999999999994</v>
      </c>
      <c r="H1553" s="238">
        <v>1</v>
      </c>
      <c r="I1553" s="418">
        <f>TRUNC(D1553*F1553*H1553+E1553*G1553*H1553,2)</f>
        <v>82.25</v>
      </c>
    </row>
    <row r="1554" spans="1:9" x14ac:dyDescent="0.2">
      <c r="A1554" s="199"/>
      <c r="B1554" s="229"/>
      <c r="C1554" s="229"/>
      <c r="D1554" s="199"/>
      <c r="E1554" s="199"/>
      <c r="F1554" s="230" t="s">
        <v>184</v>
      </c>
      <c r="G1554" s="240"/>
      <c r="H1554" s="241"/>
      <c r="I1554" s="438">
        <f>SUM(I1553:I1553)</f>
        <v>82.25</v>
      </c>
    </row>
    <row r="1555" spans="1:9" x14ac:dyDescent="0.2">
      <c r="A1555" s="199"/>
      <c r="B1555" s="229"/>
      <c r="C1555" s="229"/>
      <c r="D1555" s="199"/>
      <c r="E1555" s="199"/>
      <c r="F1555" s="199"/>
      <c r="G1555" s="199"/>
      <c r="H1555" s="199"/>
      <c r="I1555" s="439"/>
    </row>
    <row r="1556" spans="1:9" x14ac:dyDescent="0.2">
      <c r="A1556" s="242" t="s">
        <v>185</v>
      </c>
      <c r="B1556" s="243" t="s">
        <v>59</v>
      </c>
      <c r="C1556" s="232" t="s">
        <v>357</v>
      </c>
      <c r="D1556" s="243" t="s">
        <v>187</v>
      </c>
      <c r="E1556" s="1111" t="s">
        <v>89</v>
      </c>
      <c r="F1556" s="1112"/>
      <c r="G1556" s="1113"/>
      <c r="H1556" s="1121" t="s">
        <v>183</v>
      </c>
      <c r="I1556" s="1115"/>
    </row>
    <row r="1557" spans="1:9" x14ac:dyDescent="0.2">
      <c r="A1557" s="244" t="str">
        <f>VLOOKUP(B1557,m.o.!$A:$H,2,FALSE)</f>
        <v>Encarregado de O.A.C.</v>
      </c>
      <c r="B1557" s="234">
        <v>20060</v>
      </c>
      <c r="C1557" s="239">
        <f>VLOOKUP(B1557,m.o.!$A:$F,4,FALSE)</f>
        <v>2.2599999999999998</v>
      </c>
      <c r="D1557" s="239">
        <f>VLOOKUP(B1557,m.o.!$A:$G,7,FALSE)</f>
        <v>28.31</v>
      </c>
      <c r="E1557" s="255"/>
      <c r="F1557" s="253"/>
      <c r="G1557" s="293">
        <v>0.5</v>
      </c>
      <c r="H1557" s="240"/>
      <c r="I1557" s="427">
        <f>TRUNC(D1557*G1557,2)</f>
        <v>14.15</v>
      </c>
    </row>
    <row r="1558" spans="1:9" x14ac:dyDescent="0.2">
      <c r="A1558" s="244" t="str">
        <f>VLOOKUP(B1558,m.o.!$A:$H,2,FALSE)</f>
        <v>Pedreiro de O.A.C.</v>
      </c>
      <c r="B1558" s="234">
        <v>20109</v>
      </c>
      <c r="C1558" s="239">
        <f>VLOOKUP(B1558,m.o.!$A:$F,4,FALSE)</f>
        <v>1.24</v>
      </c>
      <c r="D1558" s="239">
        <f>VLOOKUP(B1558,m.o.!$A:$G,7,FALSE)</f>
        <v>15.53</v>
      </c>
      <c r="E1558" s="255"/>
      <c r="F1558" s="253"/>
      <c r="G1558" s="293">
        <v>2</v>
      </c>
      <c r="H1558" s="240"/>
      <c r="I1558" s="427">
        <f>TRUNC(D1558*G1558,2)</f>
        <v>31.06</v>
      </c>
    </row>
    <row r="1559" spans="1:9" x14ac:dyDescent="0.2">
      <c r="A1559" s="244" t="str">
        <f>VLOOKUP(B1559,m.o.!$A:$H,2,FALSE)</f>
        <v>Servente</v>
      </c>
      <c r="B1559" s="234">
        <v>20002</v>
      </c>
      <c r="C1559" s="239">
        <f>VLOOKUP(B1559,m.o.!$A:$F,4,FALSE)</f>
        <v>1</v>
      </c>
      <c r="D1559" s="239">
        <f>VLOOKUP(B1559,m.o.!$A:$G,7,FALSE)</f>
        <v>12.52</v>
      </c>
      <c r="E1559" s="255"/>
      <c r="F1559" s="253"/>
      <c r="G1559" s="293">
        <v>4</v>
      </c>
      <c r="H1559" s="240"/>
      <c r="I1559" s="427">
        <f>TRUNC(D1559*G1559,2)</f>
        <v>50.08</v>
      </c>
    </row>
    <row r="1560" spans="1:9" x14ac:dyDescent="0.2">
      <c r="A1560" s="199"/>
      <c r="B1560" s="229"/>
      <c r="C1560" s="229"/>
      <c r="D1560" s="199"/>
      <c r="E1560" s="199"/>
      <c r="F1560" s="230" t="s">
        <v>188</v>
      </c>
      <c r="G1560" s="240"/>
      <c r="H1560" s="241"/>
      <c r="I1560" s="438">
        <f>SUM(I1557:I1559)</f>
        <v>95.29</v>
      </c>
    </row>
    <row r="1561" spans="1:9" x14ac:dyDescent="0.2">
      <c r="A1561" s="199"/>
      <c r="B1561" s="229"/>
      <c r="C1561" s="229"/>
      <c r="D1561" s="199"/>
      <c r="E1561" s="199"/>
      <c r="F1561" s="199"/>
      <c r="G1561" s="199"/>
      <c r="H1561" s="199"/>
      <c r="I1561" s="439"/>
    </row>
    <row r="1562" spans="1:9" x14ac:dyDescent="0.2">
      <c r="A1562" s="245" t="s">
        <v>189</v>
      </c>
      <c r="B1562" s="243" t="s">
        <v>59</v>
      </c>
      <c r="C1562" s="818" t="s">
        <v>17</v>
      </c>
      <c r="D1562" s="243" t="s">
        <v>190</v>
      </c>
      <c r="E1562" s="243" t="s">
        <v>191</v>
      </c>
      <c r="F1562" s="243" t="s">
        <v>192</v>
      </c>
      <c r="G1562" s="1121" t="s">
        <v>94</v>
      </c>
      <c r="H1562" s="1114"/>
      <c r="I1562" s="1115"/>
    </row>
    <row r="1563" spans="1:9" x14ac:dyDescent="0.2">
      <c r="A1563" s="244" t="s">
        <v>127</v>
      </c>
      <c r="B1563" s="234">
        <v>2000</v>
      </c>
      <c r="C1563" s="239">
        <v>5</v>
      </c>
      <c r="D1563" s="235" t="s">
        <v>208</v>
      </c>
      <c r="E1563" s="246"/>
      <c r="F1563" s="246"/>
      <c r="G1563" s="240"/>
      <c r="H1563" s="241"/>
      <c r="I1563" s="427">
        <f>TRUNC(C1563/100*I1560,2)</f>
        <v>4.76</v>
      </c>
    </row>
    <row r="1564" spans="1:9" x14ac:dyDescent="0.2">
      <c r="A1564" s="199"/>
      <c r="B1564" s="229"/>
      <c r="C1564" s="199"/>
      <c r="D1564" s="199"/>
      <c r="E1564" s="199"/>
      <c r="F1564" s="230" t="s">
        <v>327</v>
      </c>
      <c r="G1564" s="240"/>
      <c r="H1564" s="241"/>
      <c r="I1564" s="438">
        <f>SUM(I1563)</f>
        <v>4.76</v>
      </c>
    </row>
    <row r="1565" spans="1:9" x14ac:dyDescent="0.2">
      <c r="A1565" s="199"/>
      <c r="B1565" s="229"/>
      <c r="C1565" s="199"/>
      <c r="D1565" s="199"/>
      <c r="E1565" s="199"/>
      <c r="F1565" s="199"/>
      <c r="G1565" s="199"/>
      <c r="H1565" s="199"/>
      <c r="I1565" s="439"/>
    </row>
    <row r="1566" spans="1:9" x14ac:dyDescent="0.2">
      <c r="A1566" s="247"/>
      <c r="B1566" s="248"/>
      <c r="C1566" s="249"/>
      <c r="D1566" s="249"/>
      <c r="E1566" s="249"/>
      <c r="F1566" s="250" t="s">
        <v>193</v>
      </c>
      <c r="G1566" s="401"/>
      <c r="H1566" s="249"/>
      <c r="I1566" s="445">
        <f>+I1554+I1560+I1564</f>
        <v>182.3</v>
      </c>
    </row>
    <row r="1567" spans="1:9" x14ac:dyDescent="0.2">
      <c r="A1567" s="251"/>
      <c r="B1567" s="252"/>
      <c r="C1567" s="253"/>
      <c r="D1567" s="253"/>
      <c r="E1567" s="253"/>
      <c r="F1567" s="254" t="s">
        <v>194</v>
      </c>
      <c r="G1567" s="255"/>
      <c r="H1567" s="253"/>
      <c r="I1567" s="446">
        <v>1</v>
      </c>
    </row>
    <row r="1568" spans="1:9" x14ac:dyDescent="0.2">
      <c r="A1568" s="233"/>
      <c r="B1568" s="256"/>
      <c r="C1568" s="241"/>
      <c r="D1568" s="241"/>
      <c r="E1568" s="241"/>
      <c r="F1568" s="257" t="s">
        <v>216</v>
      </c>
      <c r="G1568" s="240"/>
      <c r="H1568" s="241"/>
      <c r="I1568" s="447">
        <f>TRUNC(I1566/I1567,2)</f>
        <v>182.3</v>
      </c>
    </row>
    <row r="1569" spans="1:17" x14ac:dyDescent="0.2">
      <c r="A1569" s="819"/>
      <c r="B1569" s="229"/>
      <c r="C1569" s="199"/>
      <c r="D1569" s="199"/>
      <c r="E1569" s="199"/>
      <c r="F1569" s="258"/>
      <c r="G1569" s="199"/>
      <c r="H1569" s="199"/>
      <c r="I1569" s="450"/>
    </row>
    <row r="1570" spans="1:17" x14ac:dyDescent="0.2">
      <c r="A1570" s="242" t="s">
        <v>195</v>
      </c>
      <c r="B1570" s="243" t="s">
        <v>59</v>
      </c>
      <c r="C1570" s="243" t="s">
        <v>196</v>
      </c>
      <c r="D1570" s="243" t="s">
        <v>217</v>
      </c>
      <c r="E1570" s="1121" t="s">
        <v>89</v>
      </c>
      <c r="F1570" s="1114"/>
      <c r="G1570" s="1115"/>
      <c r="H1570" s="1121" t="s">
        <v>183</v>
      </c>
      <c r="I1570" s="1115"/>
    </row>
    <row r="1571" spans="1:17" ht="22.5" x14ac:dyDescent="0.2">
      <c r="A1571" s="259" t="str">
        <f>VLOOKUP(B1571,mat.!$A:$D,2,FALSE)</f>
        <v>Tubo de concreto armado D=1,00m CA-1 PB</v>
      </c>
      <c r="B1571" s="234">
        <v>10226</v>
      </c>
      <c r="C1571" s="260" t="str">
        <f>VLOOKUP(B1571,mat.!$A:$D,3,FALSE)</f>
        <v>M</v>
      </c>
      <c r="D1571" s="261">
        <f>VLOOKUP(B1571,mat.!$A:$D,4,FALSE)</f>
        <v>186.23</v>
      </c>
      <c r="E1571" s="255"/>
      <c r="F1571" s="253"/>
      <c r="G1571" s="293">
        <v>1</v>
      </c>
      <c r="H1571" s="255"/>
      <c r="I1571" s="423">
        <f>TRUNC(D1571*G1571,2)</f>
        <v>186.23</v>
      </c>
    </row>
    <row r="1572" spans="1:17" x14ac:dyDescent="0.2">
      <c r="A1572" s="199"/>
      <c r="B1572" s="229"/>
      <c r="C1572" s="199"/>
      <c r="D1572" s="199"/>
      <c r="E1572" s="199"/>
      <c r="F1572" s="230" t="s">
        <v>197</v>
      </c>
      <c r="G1572" s="240"/>
      <c r="H1572" s="241"/>
      <c r="I1572" s="438">
        <f>SUM(I1571:I1571)</f>
        <v>186.23</v>
      </c>
    </row>
    <row r="1573" spans="1:17" x14ac:dyDescent="0.2">
      <c r="A1573" s="199"/>
      <c r="B1573" s="229"/>
      <c r="C1573" s="199"/>
      <c r="D1573" s="199"/>
      <c r="E1573" s="199"/>
      <c r="F1573" s="199"/>
      <c r="G1573" s="262"/>
      <c r="H1573" s="199"/>
      <c r="I1573" s="439"/>
    </row>
    <row r="1574" spans="1:17" x14ac:dyDescent="0.2">
      <c r="A1574" s="263" t="s">
        <v>198</v>
      </c>
      <c r="B1574" s="243" t="s">
        <v>59</v>
      </c>
      <c r="C1574" s="243" t="s">
        <v>196</v>
      </c>
      <c r="D1574" s="818" t="s">
        <v>217</v>
      </c>
      <c r="E1574" s="1111" t="s">
        <v>89</v>
      </c>
      <c r="F1574" s="1112"/>
      <c r="G1574" s="1113"/>
      <c r="H1574" s="1114" t="s">
        <v>183</v>
      </c>
      <c r="I1574" s="1115"/>
    </row>
    <row r="1575" spans="1:17" ht="22.5" x14ac:dyDescent="0.2">
      <c r="A1575" s="416" t="str">
        <f>VLOOKUP(B1575,'DER 11-20'!$A:$E,2,FALSE)</f>
        <v>Argamassa cimento e areia traço 1:4, tudo incluído</v>
      </c>
      <c r="B1575" s="417">
        <v>40348</v>
      </c>
      <c r="C1575" s="417" t="str">
        <f>VLOOKUP(B1575,'DER 11-20'!$A:$E,3,FALSE)</f>
        <v>M3</v>
      </c>
      <c r="D1575" s="418">
        <f>TRUNC(VLOOKUP(B1575,'DER 11-20'!$A:$F,6,FALSE)/(1+$I$4),2)</f>
        <v>449.06</v>
      </c>
      <c r="E1575" s="419"/>
      <c r="F1575" s="420"/>
      <c r="G1575" s="421">
        <v>3.2000000000000001E-2</v>
      </c>
      <c r="H1575" s="422"/>
      <c r="I1575" s="423">
        <f>TRUNC(D1575*G1575,2)</f>
        <v>14.36</v>
      </c>
      <c r="J1575" s="415"/>
      <c r="K1575" s="415"/>
      <c r="L1575" s="198"/>
      <c r="M1575" s="198"/>
      <c r="N1575" s="198"/>
      <c r="O1575" s="198"/>
      <c r="P1575" s="198"/>
      <c r="Q1575" s="198"/>
    </row>
    <row r="1576" spans="1:17" ht="22.5" x14ac:dyDescent="0.2">
      <c r="A1576" s="416" t="str">
        <f>VLOOKUP(B1576,'DER 11-20'!$A:$E,2,FALSE)</f>
        <v>Escavação manual em mat. 1ª cat. H= 0,00 a 1,50 m</v>
      </c>
      <c r="B1576" s="417">
        <v>40258</v>
      </c>
      <c r="C1576" s="417" t="str">
        <f>VLOOKUP(B1576,'DER 11-20'!$A:$E,3,FALSE)</f>
        <v>M3</v>
      </c>
      <c r="D1576" s="418">
        <f>TRUNC(VLOOKUP(B1576,'DER 11-20'!$A:$F,6,FALSE)/(1+$I$4),2)</f>
        <v>56.6</v>
      </c>
      <c r="E1576" s="419"/>
      <c r="F1576" s="420"/>
      <c r="G1576" s="421">
        <v>0.2</v>
      </c>
      <c r="H1576" s="422"/>
      <c r="I1576" s="423">
        <f>TRUNC(D1576*G1576,2)</f>
        <v>11.32</v>
      </c>
      <c r="J1576" s="415"/>
      <c r="K1576" s="415"/>
      <c r="L1576" s="198"/>
      <c r="M1576" s="198"/>
      <c r="N1576" s="198"/>
      <c r="O1576" s="198"/>
      <c r="P1576" s="198"/>
      <c r="Q1576" s="198"/>
    </row>
    <row r="1577" spans="1:17" ht="22.5" x14ac:dyDescent="0.2">
      <c r="A1577" s="416" t="str">
        <f>VLOOKUP(B1577,'DER 11-20'!$A:$E,2,FALSE)</f>
        <v>Escavação mecânica em material de 1ª cat. H= 0,00 a 1,50 m</v>
      </c>
      <c r="B1577" s="417">
        <v>40282</v>
      </c>
      <c r="C1577" s="417" t="str">
        <f>VLOOKUP(B1577,'DER 11-20'!$A:$E,3,FALSE)</f>
        <v>M3</v>
      </c>
      <c r="D1577" s="418">
        <f>TRUNC(VLOOKUP(B1577,'DER 11-20'!$A:$F,6,FALSE)/(1+$I$4),2)</f>
        <v>11.56</v>
      </c>
      <c r="E1577" s="419"/>
      <c r="F1577" s="420"/>
      <c r="G1577" s="421">
        <v>5.22</v>
      </c>
      <c r="H1577" s="422"/>
      <c r="I1577" s="423">
        <f>TRUNC(D1577*G1577,2)</f>
        <v>60.34</v>
      </c>
      <c r="J1577" s="415"/>
      <c r="K1577" s="415"/>
      <c r="L1577" s="198"/>
      <c r="M1577" s="198"/>
      <c r="N1577" s="198"/>
      <c r="O1577" s="198"/>
      <c r="P1577" s="198"/>
      <c r="Q1577" s="198"/>
    </row>
    <row r="1578" spans="1:17" ht="22.5" x14ac:dyDescent="0.2">
      <c r="A1578" s="416" t="str">
        <f>VLOOKUP(B1578,'DER 11-20'!$A:$E,2,FALSE)</f>
        <v>Reaterro de cavas c/ compactação mecânica (compactador manual)</v>
      </c>
      <c r="B1578" s="417">
        <v>40303</v>
      </c>
      <c r="C1578" s="417" t="str">
        <f>VLOOKUP(B1578,'DER 11-20'!$A:$E,3,FALSE)</f>
        <v>M3</v>
      </c>
      <c r="D1578" s="418">
        <f>TRUNC(VLOOKUP(B1578,'DER 11-20'!$A:$F,6,FALSE)/(1+$I$4),2)</f>
        <v>37.479999999999997</v>
      </c>
      <c r="E1578" s="419"/>
      <c r="F1578" s="420"/>
      <c r="G1578" s="421">
        <v>4</v>
      </c>
      <c r="H1578" s="422"/>
      <c r="I1578" s="423">
        <f>TRUNC(D1578*G1578,2)</f>
        <v>149.91999999999999</v>
      </c>
      <c r="J1578" s="415"/>
      <c r="K1578" s="415"/>
      <c r="L1578" s="198"/>
      <c r="M1578" s="198"/>
      <c r="N1578" s="198"/>
      <c r="O1578" s="198"/>
      <c r="P1578" s="198"/>
      <c r="Q1578" s="198"/>
    </row>
    <row r="1579" spans="1:17" ht="23.25" customHeight="1" x14ac:dyDescent="0.2">
      <c r="A1579" s="200"/>
      <c r="B1579" s="264"/>
      <c r="C1579" s="200"/>
      <c r="D1579" s="200"/>
      <c r="E1579" s="200"/>
      <c r="F1579" s="265" t="s">
        <v>199</v>
      </c>
      <c r="G1579" s="255"/>
      <c r="H1579" s="266"/>
      <c r="I1579" s="441">
        <f>SUM(I1575:I1578)</f>
        <v>235.94</v>
      </c>
    </row>
    <row r="1580" spans="1:17" x14ac:dyDescent="0.2">
      <c r="A1580" s="200"/>
      <c r="B1580" s="264"/>
      <c r="C1580" s="200"/>
      <c r="D1580" s="200"/>
      <c r="E1580" s="200"/>
      <c r="F1580" s="200"/>
      <c r="G1580" s="200"/>
      <c r="H1580" s="200"/>
      <c r="I1580" s="440"/>
    </row>
    <row r="1581" spans="1:17" x14ac:dyDescent="0.2">
      <c r="A1581" s="267" t="s">
        <v>200</v>
      </c>
      <c r="B1581" s="268" t="s">
        <v>59</v>
      </c>
      <c r="C1581" s="268" t="s">
        <v>196</v>
      </c>
      <c r="D1581" s="268" t="s">
        <v>201</v>
      </c>
      <c r="E1581" s="268" t="s">
        <v>202</v>
      </c>
      <c r="F1581" s="268" t="s">
        <v>203</v>
      </c>
      <c r="G1581" s="268" t="s">
        <v>94</v>
      </c>
      <c r="H1581" s="268" t="s">
        <v>89</v>
      </c>
      <c r="I1581" s="442" t="s">
        <v>204</v>
      </c>
    </row>
    <row r="1582" spans="1:17" ht="22.5" x14ac:dyDescent="0.2">
      <c r="A1582" s="244" t="str">
        <f>VLOOKUP(B1582,transp.!$A:$J,2,FALSE)</f>
        <v>Transp. de Tubo de concreto armado D=1,00m CA-1 PB</v>
      </c>
      <c r="B1582" s="234">
        <v>1269</v>
      </c>
      <c r="C1582" s="234" t="str">
        <f>VLOOKUP(B1582,transp.!$A:$J,3,FALSE)</f>
        <v xml:space="preserve"> t  </v>
      </c>
      <c r="D1582" s="269" t="str">
        <f>VLOOKUP(B1582,transp.!$A:$J,4,FALSE)</f>
        <v>0,716XP + 0,745XR</v>
      </c>
      <c r="E1582" s="270">
        <f>VLOOKUP(J1582,Dis!$B:$F,4,FALSE)</f>
        <v>27</v>
      </c>
      <c r="F1582" s="270">
        <f>VLOOKUP(J1582,Dis!$B:$F,5,FALSE)</f>
        <v>2.34</v>
      </c>
      <c r="G1582" s="239">
        <f>TRUNC(VLOOKUP(B1582,transp.!$A:$J,5,FALSE)*E1582+VLOOKUP(B1582,transp.!$A:$J,6,FALSE)*F1582+VLOOKUP(B1582,transp.!$A:$J,7,FALSE),2)</f>
        <v>21.07</v>
      </c>
      <c r="H1582" s="271">
        <v>0.92</v>
      </c>
      <c r="I1582" s="418">
        <f>TRUNC(G1582*H1582,2)</f>
        <v>19.38</v>
      </c>
      <c r="J1582" s="400" t="s">
        <v>114</v>
      </c>
    </row>
    <row r="1583" spans="1:17" x14ac:dyDescent="0.2">
      <c r="A1583" s="200"/>
      <c r="B1583" s="264"/>
      <c r="C1583" s="200"/>
      <c r="D1583" s="200"/>
      <c r="E1583" s="200"/>
      <c r="F1583" s="265" t="s">
        <v>205</v>
      </c>
      <c r="G1583" s="240"/>
      <c r="H1583" s="272"/>
      <c r="I1583" s="443">
        <f>SUM(I1582:I1582)</f>
        <v>19.38</v>
      </c>
    </row>
    <row r="1584" spans="1:17" x14ac:dyDescent="0.2">
      <c r="A1584" s="200"/>
      <c r="B1584" s="264"/>
      <c r="C1584" s="200"/>
      <c r="D1584" s="200"/>
      <c r="E1584" s="200"/>
      <c r="F1584" s="200"/>
      <c r="G1584" s="200"/>
      <c r="H1584" s="200"/>
      <c r="I1584" s="444"/>
    </row>
    <row r="1585" spans="1:13" x14ac:dyDescent="0.2">
      <c r="A1585" s="273"/>
      <c r="B1585" s="274"/>
      <c r="C1585" s="275"/>
      <c r="D1585" s="275"/>
      <c r="E1585" s="275"/>
      <c r="F1585" s="276" t="s">
        <v>206</v>
      </c>
      <c r="G1585" s="273"/>
      <c r="H1585" s="249"/>
      <c r="I1585" s="445">
        <f>+I1568+I1572+I1579+I1583</f>
        <v>623.85</v>
      </c>
      <c r="J1585" s="410"/>
    </row>
    <row r="1586" spans="1:13" x14ac:dyDescent="0.2">
      <c r="A1586" s="255"/>
      <c r="B1586" s="277"/>
      <c r="C1586" s="266"/>
      <c r="D1586" s="266"/>
      <c r="E1586" s="266"/>
      <c r="F1586" s="278" t="str">
        <f>CONCATENATE($H$3," ",$I$3)</f>
        <v>BDI: 23,32</v>
      </c>
      <c r="G1586" s="403"/>
      <c r="H1586" s="253"/>
      <c r="I1586" s="446">
        <f>+ROUND(I1585*$I$4,2)</f>
        <v>145.47999999999999</v>
      </c>
    </row>
    <row r="1587" spans="1:13" x14ac:dyDescent="0.2">
      <c r="A1587" s="240"/>
      <c r="B1587" s="279"/>
      <c r="C1587" s="272"/>
      <c r="D1587" s="272"/>
      <c r="E1587" s="272"/>
      <c r="F1587" s="280" t="s">
        <v>207</v>
      </c>
      <c r="G1587" s="404"/>
      <c r="H1587" s="241"/>
      <c r="I1587" s="720">
        <f>+I1585+I1586</f>
        <v>769.33</v>
      </c>
      <c r="J1587" s="410"/>
    </row>
    <row r="1588" spans="1:13" x14ac:dyDescent="0.2">
      <c r="A1588" s="1116" t="str">
        <f>$A$1</f>
        <v>COMPOSIÇÃO DE CUSTOS UNITÁRIOS</v>
      </c>
      <c r="B1588" s="1116"/>
      <c r="C1588" s="1116"/>
      <c r="D1588" s="1116"/>
      <c r="E1588" s="1116"/>
      <c r="F1588" s="1116"/>
      <c r="G1588" s="1116"/>
      <c r="H1588" s="1116"/>
      <c r="I1588" s="1116"/>
    </row>
    <row r="1589" spans="1:13" x14ac:dyDescent="0.2">
      <c r="A1589" s="228" t="str">
        <f>$A$2</f>
        <v>Tabela Referencial de Preços - DER-ES</v>
      </c>
      <c r="B1589" s="229"/>
      <c r="C1589" s="199"/>
      <c r="D1589" s="199"/>
      <c r="E1589" s="199"/>
      <c r="F1589" s="199"/>
      <c r="G1589" s="199"/>
      <c r="H1589" s="199"/>
      <c r="I1589" s="414" t="str">
        <f>$I$2</f>
        <v>Data Base: novembro/2020</v>
      </c>
    </row>
    <row r="1590" spans="1:13" x14ac:dyDescent="0.2">
      <c r="A1590" s="1117" t="str">
        <f>+CONCATENATE("Serviço: ",J1590," ",VLOOKUP(J1590,'DER 11-20'!$A:$D,2,FALSE))</f>
        <v>Serviço: 40453 Corpo BSTC (grota) diâmetro 1,00 m CA-1 PB exclusive escavação e reaterro, inclusive transporte do tubo</v>
      </c>
      <c r="B1590" s="1117"/>
      <c r="C1590" s="1117"/>
      <c r="D1590" s="1117"/>
      <c r="E1590" s="1117"/>
      <c r="F1590" s="1117"/>
      <c r="G1590" s="1117"/>
      <c r="H1590" s="1117"/>
      <c r="I1590" s="1119" t="str">
        <f>CONCATENATE("Unidade: ", VLOOKUP(J1590,'DER 11-20'!$A:$E,3,FALSE))</f>
        <v>Unidade: M</v>
      </c>
      <c r="J1590" s="400">
        <v>40453</v>
      </c>
      <c r="K1590" s="400">
        <f>VLOOKUP("Preço Unitário Total",F1591:I3698,4,FALSE)</f>
        <v>496.08</v>
      </c>
      <c r="L1590" s="295" t="str">
        <f>VLOOKUP(J1590,'DER 11-20'!A:E,5,FALSE)</f>
        <v>A incluir</v>
      </c>
      <c r="M1590" s="295" t="str">
        <f>VLOOKUP(J1590,'DER 11-20'!$A:$D,2,FALSE)</f>
        <v>Corpo BSTC (grota) diâmetro 1,00 m CA-1 PB exclusive escavação e reaterro, inclusive transporte do tubo</v>
      </c>
    </row>
    <row r="1591" spans="1:13" x14ac:dyDescent="0.2">
      <c r="A1591" s="1118"/>
      <c r="B1591" s="1118"/>
      <c r="C1591" s="1118"/>
      <c r="D1591" s="1118"/>
      <c r="E1591" s="1118"/>
      <c r="F1591" s="1118"/>
      <c r="G1591" s="1118"/>
      <c r="H1591" s="1118"/>
      <c r="I1591" s="1120"/>
    </row>
    <row r="1592" spans="1:13" ht="22.5" x14ac:dyDescent="0.2">
      <c r="A1592" s="231" t="s">
        <v>177</v>
      </c>
      <c r="B1592" s="232" t="s">
        <v>59</v>
      </c>
      <c r="C1592" s="232" t="s">
        <v>178</v>
      </c>
      <c r="D1592" s="232" t="s">
        <v>179</v>
      </c>
      <c r="E1592" s="232" t="s">
        <v>180</v>
      </c>
      <c r="F1592" s="232" t="s">
        <v>181</v>
      </c>
      <c r="G1592" s="232" t="s">
        <v>182</v>
      </c>
      <c r="H1592" s="232" t="s">
        <v>89</v>
      </c>
      <c r="I1592" s="434" t="s">
        <v>183</v>
      </c>
    </row>
    <row r="1593" spans="1:13" ht="33.75" x14ac:dyDescent="0.2">
      <c r="A1593" s="233" t="str">
        <f>VLOOKUP(B1593,equip.!$A:$G,2,FALSE)</f>
        <v>Carregadeira de rodas ref. Caterpillar modelo 924H (1,9 m3) ( cab + ar ) ou equivalente</v>
      </c>
      <c r="B1593" s="234">
        <v>30023</v>
      </c>
      <c r="C1593" s="235" t="str">
        <f>VLOOKUP(B1593,equip.!$A$1:$G$240,3,FALSE)</f>
        <v>M</v>
      </c>
      <c r="D1593" s="236">
        <v>0.1</v>
      </c>
      <c r="E1593" s="203">
        <v>0.9</v>
      </c>
      <c r="F1593" s="237">
        <f>VLOOKUP(B1593,equip.!$A:$G,6,FALSE)</f>
        <v>201.89</v>
      </c>
      <c r="G1593" s="237">
        <f>VLOOKUP(B1593,equip.!$A:$G,7,FALSE)</f>
        <v>68.959999999999994</v>
      </c>
      <c r="H1593" s="238">
        <v>1</v>
      </c>
      <c r="I1593" s="418">
        <f>TRUNC(D1593*F1593*H1593+E1593*G1593*H1593,2)</f>
        <v>82.25</v>
      </c>
    </row>
    <row r="1594" spans="1:13" x14ac:dyDescent="0.2">
      <c r="A1594" s="199"/>
      <c r="B1594" s="229"/>
      <c r="C1594" s="229"/>
      <c r="D1594" s="199"/>
      <c r="E1594" s="199"/>
      <c r="F1594" s="230" t="s">
        <v>184</v>
      </c>
      <c r="G1594" s="240"/>
      <c r="H1594" s="241"/>
      <c r="I1594" s="438">
        <f>SUM(I1593:I1593)</f>
        <v>82.25</v>
      </c>
    </row>
    <row r="1595" spans="1:13" x14ac:dyDescent="0.2">
      <c r="A1595" s="199"/>
      <c r="B1595" s="229"/>
      <c r="C1595" s="229"/>
      <c r="D1595" s="199"/>
      <c r="E1595" s="199"/>
      <c r="F1595" s="199"/>
      <c r="G1595" s="199"/>
      <c r="H1595" s="199"/>
      <c r="I1595" s="439"/>
    </row>
    <row r="1596" spans="1:13" x14ac:dyDescent="0.2">
      <c r="A1596" s="242" t="s">
        <v>185</v>
      </c>
      <c r="B1596" s="243" t="s">
        <v>59</v>
      </c>
      <c r="C1596" s="232" t="s">
        <v>357</v>
      </c>
      <c r="D1596" s="243" t="s">
        <v>187</v>
      </c>
      <c r="E1596" s="1111" t="s">
        <v>89</v>
      </c>
      <c r="F1596" s="1112"/>
      <c r="G1596" s="1113"/>
      <c r="H1596" s="1121" t="s">
        <v>183</v>
      </c>
      <c r="I1596" s="1115"/>
    </row>
    <row r="1597" spans="1:13" x14ac:dyDescent="0.2">
      <c r="A1597" s="244" t="str">
        <f>VLOOKUP(B1597,m.o.!$A:$H,2,FALSE)</f>
        <v>Encarregado de O.A.C.</v>
      </c>
      <c r="B1597" s="234">
        <v>20060</v>
      </c>
      <c r="C1597" s="239">
        <f>VLOOKUP(B1597,m.o.!$A:$F,4,FALSE)</f>
        <v>2.2599999999999998</v>
      </c>
      <c r="D1597" s="239">
        <f>VLOOKUP(B1597,m.o.!$A:$G,7,FALSE)</f>
        <v>28.31</v>
      </c>
      <c r="E1597" s="255"/>
      <c r="F1597" s="253"/>
      <c r="G1597" s="293">
        <v>0.5</v>
      </c>
      <c r="H1597" s="240"/>
      <c r="I1597" s="427">
        <f>TRUNC(D1597*G1597,2)</f>
        <v>14.15</v>
      </c>
    </row>
    <row r="1598" spans="1:13" x14ac:dyDescent="0.2">
      <c r="A1598" s="244" t="str">
        <f>VLOOKUP(B1598,m.o.!$A:$H,2,FALSE)</f>
        <v>Pedreiro de O.A.C.</v>
      </c>
      <c r="B1598" s="234">
        <v>20109</v>
      </c>
      <c r="C1598" s="239">
        <f>VLOOKUP(B1598,m.o.!$A:$F,4,FALSE)</f>
        <v>1.24</v>
      </c>
      <c r="D1598" s="239">
        <f>VLOOKUP(B1598,m.o.!$A:$G,7,FALSE)</f>
        <v>15.53</v>
      </c>
      <c r="E1598" s="255"/>
      <c r="F1598" s="253"/>
      <c r="G1598" s="293">
        <v>2</v>
      </c>
      <c r="H1598" s="240"/>
      <c r="I1598" s="427">
        <f>TRUNC(D1598*G1598,2)</f>
        <v>31.06</v>
      </c>
    </row>
    <row r="1599" spans="1:13" x14ac:dyDescent="0.2">
      <c r="A1599" s="244" t="str">
        <f>VLOOKUP(B1599,m.o.!$A:$H,2,FALSE)</f>
        <v>Servente</v>
      </c>
      <c r="B1599" s="234">
        <v>20002</v>
      </c>
      <c r="C1599" s="239">
        <f>VLOOKUP(B1599,m.o.!$A:$F,4,FALSE)</f>
        <v>1</v>
      </c>
      <c r="D1599" s="239">
        <f>VLOOKUP(B1599,m.o.!$A:$G,7,FALSE)</f>
        <v>12.52</v>
      </c>
      <c r="E1599" s="255"/>
      <c r="F1599" s="253"/>
      <c r="G1599" s="293">
        <v>4</v>
      </c>
      <c r="H1599" s="240"/>
      <c r="I1599" s="427">
        <f>TRUNC(D1599*G1599,2)</f>
        <v>50.08</v>
      </c>
    </row>
    <row r="1600" spans="1:13" x14ac:dyDescent="0.2">
      <c r="A1600" s="199"/>
      <c r="B1600" s="229"/>
      <c r="C1600" s="229"/>
      <c r="D1600" s="199"/>
      <c r="E1600" s="199"/>
      <c r="F1600" s="230" t="s">
        <v>188</v>
      </c>
      <c r="G1600" s="240"/>
      <c r="H1600" s="241"/>
      <c r="I1600" s="438">
        <f>SUM(I1597:I1599)</f>
        <v>95.29</v>
      </c>
    </row>
    <row r="1601" spans="1:17" x14ac:dyDescent="0.2">
      <c r="A1601" s="199"/>
      <c r="B1601" s="229"/>
      <c r="C1601" s="229"/>
      <c r="D1601" s="199"/>
      <c r="E1601" s="199"/>
      <c r="F1601" s="199"/>
      <c r="G1601" s="199"/>
      <c r="H1601" s="199"/>
      <c r="I1601" s="439"/>
    </row>
    <row r="1602" spans="1:17" x14ac:dyDescent="0.2">
      <c r="A1602" s="245" t="s">
        <v>189</v>
      </c>
      <c r="B1602" s="243" t="s">
        <v>59</v>
      </c>
      <c r="C1602" s="635" t="s">
        <v>17</v>
      </c>
      <c r="D1602" s="243" t="s">
        <v>190</v>
      </c>
      <c r="E1602" s="243" t="s">
        <v>191</v>
      </c>
      <c r="F1602" s="243" t="s">
        <v>192</v>
      </c>
      <c r="G1602" s="1121" t="s">
        <v>94</v>
      </c>
      <c r="H1602" s="1114"/>
      <c r="I1602" s="1115"/>
    </row>
    <row r="1603" spans="1:17" x14ac:dyDescent="0.2">
      <c r="A1603" s="244" t="s">
        <v>127</v>
      </c>
      <c r="B1603" s="234">
        <v>2000</v>
      </c>
      <c r="C1603" s="239">
        <v>5</v>
      </c>
      <c r="D1603" s="235" t="s">
        <v>208</v>
      </c>
      <c r="E1603" s="246"/>
      <c r="F1603" s="246"/>
      <c r="G1603" s="240"/>
      <c r="H1603" s="241"/>
      <c r="I1603" s="427">
        <f>TRUNC(C1603/100*I1600,2)</f>
        <v>4.76</v>
      </c>
    </row>
    <row r="1604" spans="1:17" x14ac:dyDescent="0.2">
      <c r="A1604" s="199"/>
      <c r="B1604" s="229"/>
      <c r="C1604" s="199"/>
      <c r="D1604" s="199"/>
      <c r="E1604" s="199"/>
      <c r="F1604" s="230" t="s">
        <v>327</v>
      </c>
      <c r="G1604" s="240"/>
      <c r="H1604" s="241"/>
      <c r="I1604" s="438">
        <f>SUM(I1603)</f>
        <v>4.76</v>
      </c>
    </row>
    <row r="1605" spans="1:17" x14ac:dyDescent="0.2">
      <c r="A1605" s="199"/>
      <c r="B1605" s="229"/>
      <c r="C1605" s="199"/>
      <c r="D1605" s="199"/>
      <c r="E1605" s="199"/>
      <c r="F1605" s="199"/>
      <c r="G1605" s="199"/>
      <c r="H1605" s="199"/>
      <c r="I1605" s="439"/>
    </row>
    <row r="1606" spans="1:17" x14ac:dyDescent="0.2">
      <c r="A1606" s="247"/>
      <c r="B1606" s="248"/>
      <c r="C1606" s="249"/>
      <c r="D1606" s="249"/>
      <c r="E1606" s="249"/>
      <c r="F1606" s="250" t="s">
        <v>193</v>
      </c>
      <c r="G1606" s="401"/>
      <c r="H1606" s="249"/>
      <c r="I1606" s="445">
        <f>+I1594+I1600+I1604</f>
        <v>182.3</v>
      </c>
    </row>
    <row r="1607" spans="1:17" x14ac:dyDescent="0.2">
      <c r="A1607" s="251"/>
      <c r="B1607" s="252"/>
      <c r="C1607" s="253"/>
      <c r="D1607" s="253"/>
      <c r="E1607" s="253"/>
      <c r="F1607" s="254" t="s">
        <v>194</v>
      </c>
      <c r="G1607" s="255"/>
      <c r="H1607" s="253"/>
      <c r="I1607" s="446">
        <v>1</v>
      </c>
    </row>
    <row r="1608" spans="1:17" x14ac:dyDescent="0.2">
      <c r="A1608" s="233"/>
      <c r="B1608" s="256"/>
      <c r="C1608" s="241"/>
      <c r="D1608" s="241"/>
      <c r="E1608" s="241"/>
      <c r="F1608" s="257" t="s">
        <v>216</v>
      </c>
      <c r="G1608" s="240"/>
      <c r="H1608" s="241"/>
      <c r="I1608" s="447">
        <f>TRUNC(I1606/I1607,2)</f>
        <v>182.3</v>
      </c>
    </row>
    <row r="1609" spans="1:17" x14ac:dyDescent="0.2">
      <c r="A1609" s="636"/>
      <c r="B1609" s="229"/>
      <c r="C1609" s="199"/>
      <c r="D1609" s="199"/>
      <c r="E1609" s="199"/>
      <c r="F1609" s="258"/>
      <c r="G1609" s="199"/>
      <c r="H1609" s="199"/>
      <c r="I1609" s="450"/>
    </row>
    <row r="1610" spans="1:17" x14ac:dyDescent="0.2">
      <c r="A1610" s="242" t="s">
        <v>195</v>
      </c>
      <c r="B1610" s="243" t="s">
        <v>59</v>
      </c>
      <c r="C1610" s="243" t="s">
        <v>196</v>
      </c>
      <c r="D1610" s="243" t="s">
        <v>217</v>
      </c>
      <c r="E1610" s="1121" t="s">
        <v>89</v>
      </c>
      <c r="F1610" s="1114"/>
      <c r="G1610" s="1115"/>
      <c r="H1610" s="1121" t="s">
        <v>183</v>
      </c>
      <c r="I1610" s="1115"/>
    </row>
    <row r="1611" spans="1:17" ht="22.5" x14ac:dyDescent="0.2">
      <c r="A1611" s="259" t="str">
        <f>VLOOKUP(B1611,mat.!$A:$D,2,FALSE)</f>
        <v>Tubo de concreto armado D=1,00m CA-1 PB</v>
      </c>
      <c r="B1611" s="234">
        <v>10226</v>
      </c>
      <c r="C1611" s="260" t="str">
        <f>VLOOKUP(B1611,mat.!$A:$D,3,FALSE)</f>
        <v>M</v>
      </c>
      <c r="D1611" s="261">
        <f>VLOOKUP(B1611,mat.!$A:$D,4,FALSE)</f>
        <v>186.23</v>
      </c>
      <c r="E1611" s="255"/>
      <c r="F1611" s="253"/>
      <c r="G1611" s="293">
        <v>1</v>
      </c>
      <c r="H1611" s="255"/>
      <c r="I1611" s="423">
        <f>TRUNC(D1611*G1611,2)</f>
        <v>186.23</v>
      </c>
    </row>
    <row r="1612" spans="1:17" x14ac:dyDescent="0.2">
      <c r="A1612" s="199"/>
      <c r="B1612" s="229"/>
      <c r="C1612" s="199"/>
      <c r="D1612" s="199"/>
      <c r="E1612" s="199"/>
      <c r="F1612" s="230" t="s">
        <v>197</v>
      </c>
      <c r="G1612" s="240"/>
      <c r="H1612" s="241"/>
      <c r="I1612" s="438">
        <f>SUM(I1611:I1611)</f>
        <v>186.23</v>
      </c>
    </row>
    <row r="1613" spans="1:17" x14ac:dyDescent="0.2">
      <c r="A1613" s="199"/>
      <c r="B1613" s="229"/>
      <c r="C1613" s="199"/>
      <c r="D1613" s="199"/>
      <c r="E1613" s="199"/>
      <c r="F1613" s="199"/>
      <c r="G1613" s="262"/>
      <c r="H1613" s="199"/>
      <c r="I1613" s="439"/>
    </row>
    <row r="1614" spans="1:17" x14ac:dyDescent="0.2">
      <c r="A1614" s="263" t="s">
        <v>198</v>
      </c>
      <c r="B1614" s="243" t="s">
        <v>59</v>
      </c>
      <c r="C1614" s="243" t="s">
        <v>196</v>
      </c>
      <c r="D1614" s="635" t="s">
        <v>217</v>
      </c>
      <c r="E1614" s="1111" t="s">
        <v>89</v>
      </c>
      <c r="F1614" s="1112"/>
      <c r="G1614" s="1113"/>
      <c r="H1614" s="1114" t="s">
        <v>183</v>
      </c>
      <c r="I1614" s="1115"/>
    </row>
    <row r="1615" spans="1:17" ht="22.5" x14ac:dyDescent="0.2">
      <c r="A1615" s="416" t="str">
        <f>VLOOKUP(B1615,'DER 11-20'!$A:$E,2,FALSE)</f>
        <v>Argamassa cimento e areia traço 1:4, tudo incluído</v>
      </c>
      <c r="B1615" s="417">
        <v>40348</v>
      </c>
      <c r="C1615" s="417" t="str">
        <f>VLOOKUP(B1615,'DER 11-20'!$A:$E,3,FALSE)</f>
        <v>M3</v>
      </c>
      <c r="D1615" s="418">
        <f>TRUNC(VLOOKUP(B1615,'DER 11-20'!$A:$F,6,FALSE)/(1+$I$4),2)</f>
        <v>449.06</v>
      </c>
      <c r="E1615" s="419"/>
      <c r="F1615" s="420"/>
      <c r="G1615" s="421">
        <v>3.2000000000000001E-2</v>
      </c>
      <c r="H1615" s="422"/>
      <c r="I1615" s="423">
        <f>TRUNC(D1615*G1615,2)</f>
        <v>14.36</v>
      </c>
      <c r="J1615" s="415"/>
      <c r="K1615" s="415"/>
      <c r="L1615" s="198"/>
      <c r="M1615" s="198"/>
      <c r="N1615" s="198"/>
      <c r="O1615" s="198"/>
      <c r="P1615" s="198"/>
      <c r="Q1615" s="198"/>
    </row>
    <row r="1616" spans="1:17" ht="23.25" customHeight="1" x14ac:dyDescent="0.2">
      <c r="A1616" s="200"/>
      <c r="B1616" s="264"/>
      <c r="C1616" s="200"/>
      <c r="D1616" s="200"/>
      <c r="E1616" s="200"/>
      <c r="F1616" s="265" t="s">
        <v>199</v>
      </c>
      <c r="G1616" s="255"/>
      <c r="H1616" s="266"/>
      <c r="I1616" s="441">
        <f>SUM(I1615:I1615)</f>
        <v>14.36</v>
      </c>
    </row>
    <row r="1617" spans="1:13" x14ac:dyDescent="0.2">
      <c r="A1617" s="200"/>
      <c r="B1617" s="264"/>
      <c r="C1617" s="200"/>
      <c r="D1617" s="200"/>
      <c r="E1617" s="200"/>
      <c r="F1617" s="200"/>
      <c r="G1617" s="200"/>
      <c r="H1617" s="200"/>
      <c r="I1617" s="440"/>
    </row>
    <row r="1618" spans="1:13" x14ac:dyDescent="0.2">
      <c r="A1618" s="267" t="s">
        <v>200</v>
      </c>
      <c r="B1618" s="268" t="s">
        <v>59</v>
      </c>
      <c r="C1618" s="268" t="s">
        <v>196</v>
      </c>
      <c r="D1618" s="268" t="s">
        <v>201</v>
      </c>
      <c r="E1618" s="268" t="s">
        <v>202</v>
      </c>
      <c r="F1618" s="268" t="s">
        <v>203</v>
      </c>
      <c r="G1618" s="268" t="s">
        <v>94</v>
      </c>
      <c r="H1618" s="268" t="s">
        <v>89</v>
      </c>
      <c r="I1618" s="442" t="s">
        <v>204</v>
      </c>
    </row>
    <row r="1619" spans="1:13" ht="22.5" x14ac:dyDescent="0.2">
      <c r="A1619" s="244" t="str">
        <f>VLOOKUP(B1619,transp.!$A:$J,2,FALSE)</f>
        <v>Transp. de Tubo de concreto armado D=1,00m CA-1 PB</v>
      </c>
      <c r="B1619" s="234">
        <v>1269</v>
      </c>
      <c r="C1619" s="234" t="str">
        <f>VLOOKUP(B1619,transp.!$A:$J,3,FALSE)</f>
        <v xml:space="preserve"> t  </v>
      </c>
      <c r="D1619" s="269" t="str">
        <f>VLOOKUP(B1619,transp.!$A:$J,4,FALSE)</f>
        <v>0,716XP + 0,745XR</v>
      </c>
      <c r="E1619" s="270">
        <f>VLOOKUP(J1619,Dis!$B:$F,4,FALSE)</f>
        <v>27</v>
      </c>
      <c r="F1619" s="270">
        <f>VLOOKUP(J1619,Dis!$B:$F,5,FALSE)</f>
        <v>2.34</v>
      </c>
      <c r="G1619" s="239">
        <f>TRUNC(VLOOKUP(B1619,transp.!$A:$J,5,FALSE)*E1619+VLOOKUP(B1619,transp.!$A:$J,6,FALSE)*F1619+VLOOKUP(B1619,transp.!$A:$J,7,FALSE),2)</f>
        <v>21.07</v>
      </c>
      <c r="H1619" s="271">
        <v>0.92</v>
      </c>
      <c r="I1619" s="418">
        <f>TRUNC(G1619*H1619,2)</f>
        <v>19.38</v>
      </c>
      <c r="J1619" s="400" t="s">
        <v>114</v>
      </c>
    </row>
    <row r="1620" spans="1:13" x14ac:dyDescent="0.2">
      <c r="A1620" s="200"/>
      <c r="B1620" s="264"/>
      <c r="C1620" s="200"/>
      <c r="D1620" s="200"/>
      <c r="E1620" s="200"/>
      <c r="F1620" s="265" t="s">
        <v>205</v>
      </c>
      <c r="G1620" s="240"/>
      <c r="H1620" s="272"/>
      <c r="I1620" s="443">
        <f>SUM(I1619:I1619)</f>
        <v>19.38</v>
      </c>
    </row>
    <row r="1621" spans="1:13" x14ac:dyDescent="0.2">
      <c r="A1621" s="200"/>
      <c r="B1621" s="264"/>
      <c r="C1621" s="200"/>
      <c r="D1621" s="200"/>
      <c r="E1621" s="200"/>
      <c r="F1621" s="200"/>
      <c r="G1621" s="200"/>
      <c r="H1621" s="200"/>
      <c r="I1621" s="444"/>
    </row>
    <row r="1622" spans="1:13" x14ac:dyDescent="0.2">
      <c r="A1622" s="273"/>
      <c r="B1622" s="274"/>
      <c r="C1622" s="275"/>
      <c r="D1622" s="275"/>
      <c r="E1622" s="275"/>
      <c r="F1622" s="276" t="s">
        <v>206</v>
      </c>
      <c r="G1622" s="273"/>
      <c r="H1622" s="249"/>
      <c r="I1622" s="445">
        <f>+I1608+I1612+I1616+I1620</f>
        <v>402.27</v>
      </c>
      <c r="J1622" s="410"/>
    </row>
    <row r="1623" spans="1:13" x14ac:dyDescent="0.2">
      <c r="A1623" s="255"/>
      <c r="B1623" s="277"/>
      <c r="C1623" s="266"/>
      <c r="D1623" s="266"/>
      <c r="E1623" s="266"/>
      <c r="F1623" s="278" t="str">
        <f>CONCATENATE($H$3," ",$I$3)</f>
        <v>BDI: 23,32</v>
      </c>
      <c r="G1623" s="403"/>
      <c r="H1623" s="253"/>
      <c r="I1623" s="446">
        <f>+ROUND(I1622*$I$4,2)</f>
        <v>93.81</v>
      </c>
    </row>
    <row r="1624" spans="1:13" x14ac:dyDescent="0.2">
      <c r="A1624" s="240"/>
      <c r="B1624" s="279"/>
      <c r="C1624" s="272"/>
      <c r="D1624" s="272"/>
      <c r="E1624" s="272"/>
      <c r="F1624" s="280" t="s">
        <v>207</v>
      </c>
      <c r="G1624" s="404"/>
      <c r="H1624" s="241"/>
      <c r="I1624" s="720">
        <f>+I1622+I1623</f>
        <v>496.08</v>
      </c>
      <c r="J1624" s="410"/>
    </row>
    <row r="1625" spans="1:13" x14ac:dyDescent="0.2">
      <c r="A1625" s="1116" t="str">
        <f>$A$1</f>
        <v>COMPOSIÇÃO DE CUSTOS UNITÁRIOS</v>
      </c>
      <c r="B1625" s="1116"/>
      <c r="C1625" s="1116"/>
      <c r="D1625" s="1116"/>
      <c r="E1625" s="1116"/>
      <c r="F1625" s="1116"/>
      <c r="G1625" s="1116"/>
      <c r="H1625" s="1116"/>
      <c r="I1625" s="1116"/>
    </row>
    <row r="1626" spans="1:13" x14ac:dyDescent="0.2">
      <c r="A1626" s="228" t="str">
        <f>$A$2</f>
        <v>Tabela Referencial de Preços - DER-ES</v>
      </c>
      <c r="B1626" s="229"/>
      <c r="C1626" s="199"/>
      <c r="D1626" s="199"/>
      <c r="E1626" s="199"/>
      <c r="F1626" s="199"/>
      <c r="G1626" s="199"/>
      <c r="H1626" s="199"/>
      <c r="I1626" s="414" t="str">
        <f>$I$2</f>
        <v>Data Base: novembro/2020</v>
      </c>
    </row>
    <row r="1627" spans="1:13" x14ac:dyDescent="0.2">
      <c r="A1627" s="1117" t="str">
        <f>+CONCATENATE("Serviço: ",J1627," ",VLOOKUP(J1627,'DER 11-20'!$A:$D,2,FALSE))</f>
        <v>Serviço: 40458 Corpo BSTC (grota) diâmetro 1,20 m CA-1 PB exclusive escavação e reaterro, inclusive transporte do tubo</v>
      </c>
      <c r="B1627" s="1117"/>
      <c r="C1627" s="1117"/>
      <c r="D1627" s="1117"/>
      <c r="E1627" s="1117"/>
      <c r="F1627" s="1117"/>
      <c r="G1627" s="1117"/>
      <c r="H1627" s="1117"/>
      <c r="I1627" s="1119" t="str">
        <f>CONCATENATE("Unidade: ", VLOOKUP(J1627,'DER 11-20'!$A:$E,3,FALSE))</f>
        <v>Unidade: M</v>
      </c>
      <c r="J1627" s="400">
        <v>40458</v>
      </c>
      <c r="K1627" s="400">
        <f>VLOOKUP("Preço Unitário Total",F1628:I3385,4,FALSE)</f>
        <v>678.28</v>
      </c>
      <c r="L1627" s="295" t="str">
        <f>VLOOKUP(J1627,'DER 11-20'!A:E,5,FALSE)</f>
        <v>A incluir</v>
      </c>
      <c r="M1627" s="295" t="str">
        <f>VLOOKUP(J1627,'DER 11-20'!$A:$D,2,FALSE)</f>
        <v>Corpo BSTC (grota) diâmetro 1,20 m CA-1 PB exclusive escavação e reaterro, inclusive transporte do tubo</v>
      </c>
    </row>
    <row r="1628" spans="1:13" x14ac:dyDescent="0.2">
      <c r="A1628" s="1118"/>
      <c r="B1628" s="1118"/>
      <c r="C1628" s="1118"/>
      <c r="D1628" s="1118"/>
      <c r="E1628" s="1118"/>
      <c r="F1628" s="1118"/>
      <c r="G1628" s="1118"/>
      <c r="H1628" s="1118"/>
      <c r="I1628" s="1120"/>
    </row>
    <row r="1629" spans="1:13" ht="22.5" x14ac:dyDescent="0.2">
      <c r="A1629" s="231" t="s">
        <v>177</v>
      </c>
      <c r="B1629" s="232" t="s">
        <v>59</v>
      </c>
      <c r="C1629" s="232" t="s">
        <v>178</v>
      </c>
      <c r="D1629" s="232" t="s">
        <v>179</v>
      </c>
      <c r="E1629" s="232" t="s">
        <v>180</v>
      </c>
      <c r="F1629" s="232" t="s">
        <v>181</v>
      </c>
      <c r="G1629" s="232" t="s">
        <v>182</v>
      </c>
      <c r="H1629" s="232" t="s">
        <v>89</v>
      </c>
      <c r="I1629" s="434" t="s">
        <v>183</v>
      </c>
    </row>
    <row r="1630" spans="1:13" ht="33.75" x14ac:dyDescent="0.2">
      <c r="A1630" s="233" t="str">
        <f>VLOOKUP(B1630,equip.!$A:$G,2,FALSE)</f>
        <v>Carregadeira de rodas ref. Caterpillar modelo 924H (1,9 m3) ( cab + ar ) ou equivalente</v>
      </c>
      <c r="B1630" s="234">
        <v>30023</v>
      </c>
      <c r="C1630" s="235" t="str">
        <f>VLOOKUP(B1630,equip.!$A$1:$G$240,3,FALSE)</f>
        <v>M</v>
      </c>
      <c r="D1630" s="236">
        <v>0.15</v>
      </c>
      <c r="E1630" s="203">
        <v>0.85</v>
      </c>
      <c r="F1630" s="237">
        <f>VLOOKUP(B1630,equip.!$A:$G,6,FALSE)</f>
        <v>201.89</v>
      </c>
      <c r="G1630" s="237">
        <f>VLOOKUP(B1630,equip.!$A:$G,7,FALSE)</f>
        <v>68.959999999999994</v>
      </c>
      <c r="H1630" s="238">
        <v>1</v>
      </c>
      <c r="I1630" s="418">
        <f>TRUNC(D1630*F1630*H1630+E1630*G1630*H1630,2)</f>
        <v>88.89</v>
      </c>
    </row>
    <row r="1631" spans="1:13" x14ac:dyDescent="0.2">
      <c r="A1631" s="199"/>
      <c r="B1631" s="229"/>
      <c r="C1631" s="229"/>
      <c r="D1631" s="199"/>
      <c r="E1631" s="199"/>
      <c r="F1631" s="230" t="s">
        <v>184</v>
      </c>
      <c r="G1631" s="240"/>
      <c r="H1631" s="241"/>
      <c r="I1631" s="438">
        <f>SUM(I1630:I1630)</f>
        <v>88.89</v>
      </c>
    </row>
    <row r="1632" spans="1:13" x14ac:dyDescent="0.2">
      <c r="A1632" s="199"/>
      <c r="B1632" s="229"/>
      <c r="C1632" s="229"/>
      <c r="D1632" s="199"/>
      <c r="E1632" s="199"/>
      <c r="F1632" s="199"/>
      <c r="G1632" s="199"/>
      <c r="H1632" s="199"/>
      <c r="I1632" s="439"/>
    </row>
    <row r="1633" spans="1:9" x14ac:dyDescent="0.2">
      <c r="A1633" s="242" t="s">
        <v>185</v>
      </c>
      <c r="B1633" s="243" t="s">
        <v>59</v>
      </c>
      <c r="C1633" s="232" t="s">
        <v>357</v>
      </c>
      <c r="D1633" s="243" t="s">
        <v>187</v>
      </c>
      <c r="E1633" s="1111" t="s">
        <v>89</v>
      </c>
      <c r="F1633" s="1112"/>
      <c r="G1633" s="1113"/>
      <c r="H1633" s="1121" t="s">
        <v>183</v>
      </c>
      <c r="I1633" s="1115"/>
    </row>
    <row r="1634" spans="1:9" x14ac:dyDescent="0.2">
      <c r="A1634" s="244" t="str">
        <f>VLOOKUP(B1634,m.o.!$A:$H,2,FALSE)</f>
        <v>Encarregado de O.A.C.</v>
      </c>
      <c r="B1634" s="234">
        <v>20060</v>
      </c>
      <c r="C1634" s="239">
        <f>VLOOKUP(B1634,m.o.!$A:$F,4,FALSE)</f>
        <v>2.2599999999999998</v>
      </c>
      <c r="D1634" s="239">
        <f>VLOOKUP(B1634,m.o.!$A:$G,7,FALSE)</f>
        <v>28.31</v>
      </c>
      <c r="E1634" s="255"/>
      <c r="F1634" s="253"/>
      <c r="G1634" s="293">
        <v>0.6</v>
      </c>
      <c r="H1634" s="240"/>
      <c r="I1634" s="427">
        <f>TRUNC(D1634*G1634,2)</f>
        <v>16.98</v>
      </c>
    </row>
    <row r="1635" spans="1:9" x14ac:dyDescent="0.2">
      <c r="A1635" s="244" t="str">
        <f>VLOOKUP(B1635,m.o.!$A:$H,2,FALSE)</f>
        <v>Pedreiro de O.A.C.</v>
      </c>
      <c r="B1635" s="234">
        <v>20109</v>
      </c>
      <c r="C1635" s="239">
        <f>VLOOKUP(B1635,m.o.!$A:$F,4,FALSE)</f>
        <v>1.24</v>
      </c>
      <c r="D1635" s="239">
        <f>VLOOKUP(B1635,m.o.!$A:$G,7,FALSE)</f>
        <v>15.53</v>
      </c>
      <c r="E1635" s="255"/>
      <c r="F1635" s="253"/>
      <c r="G1635" s="293">
        <v>3</v>
      </c>
      <c r="H1635" s="240"/>
      <c r="I1635" s="427">
        <f>TRUNC(D1635*G1635,2)</f>
        <v>46.59</v>
      </c>
    </row>
    <row r="1636" spans="1:9" x14ac:dyDescent="0.2">
      <c r="A1636" s="244" t="str">
        <f>VLOOKUP(B1636,m.o.!$A:$H,2,FALSE)</f>
        <v>Servente</v>
      </c>
      <c r="B1636" s="234">
        <v>20002</v>
      </c>
      <c r="C1636" s="239">
        <f>VLOOKUP(B1636,m.o.!$A:$F,4,FALSE)</f>
        <v>1</v>
      </c>
      <c r="D1636" s="239">
        <f>VLOOKUP(B1636,m.o.!$A:$G,7,FALSE)</f>
        <v>12.52</v>
      </c>
      <c r="E1636" s="255"/>
      <c r="F1636" s="253"/>
      <c r="G1636" s="293">
        <v>5</v>
      </c>
      <c r="H1636" s="240"/>
      <c r="I1636" s="427">
        <f>TRUNC(D1636*G1636,2)</f>
        <v>62.6</v>
      </c>
    </row>
    <row r="1637" spans="1:9" x14ac:dyDescent="0.2">
      <c r="A1637" s="199"/>
      <c r="B1637" s="229"/>
      <c r="C1637" s="229"/>
      <c r="D1637" s="199"/>
      <c r="E1637" s="199"/>
      <c r="F1637" s="230" t="s">
        <v>188</v>
      </c>
      <c r="G1637" s="240"/>
      <c r="H1637" s="241"/>
      <c r="I1637" s="438">
        <f>SUM(I1634:I1636)</f>
        <v>126.17</v>
      </c>
    </row>
    <row r="1638" spans="1:9" x14ac:dyDescent="0.2">
      <c r="A1638" s="199"/>
      <c r="B1638" s="229"/>
      <c r="C1638" s="229"/>
      <c r="D1638" s="199"/>
      <c r="E1638" s="199"/>
      <c r="F1638" s="199"/>
      <c r="G1638" s="199"/>
      <c r="H1638" s="199"/>
      <c r="I1638" s="439"/>
    </row>
    <row r="1639" spans="1:9" x14ac:dyDescent="0.2">
      <c r="A1639" s="245" t="s">
        <v>189</v>
      </c>
      <c r="B1639" s="243" t="s">
        <v>59</v>
      </c>
      <c r="C1639" s="821" t="s">
        <v>17</v>
      </c>
      <c r="D1639" s="243" t="s">
        <v>190</v>
      </c>
      <c r="E1639" s="243" t="s">
        <v>191</v>
      </c>
      <c r="F1639" s="243" t="s">
        <v>192</v>
      </c>
      <c r="G1639" s="1121" t="s">
        <v>94</v>
      </c>
      <c r="H1639" s="1114"/>
      <c r="I1639" s="1115"/>
    </row>
    <row r="1640" spans="1:9" x14ac:dyDescent="0.2">
      <c r="A1640" s="244" t="s">
        <v>127</v>
      </c>
      <c r="B1640" s="234">
        <v>2000</v>
      </c>
      <c r="C1640" s="239">
        <v>5</v>
      </c>
      <c r="D1640" s="235" t="s">
        <v>208</v>
      </c>
      <c r="E1640" s="246"/>
      <c r="F1640" s="246"/>
      <c r="G1640" s="240"/>
      <c r="H1640" s="241"/>
      <c r="I1640" s="427">
        <f>TRUNC(C1640/100*I1637,2)</f>
        <v>6.3</v>
      </c>
    </row>
    <row r="1641" spans="1:9" x14ac:dyDescent="0.2">
      <c r="A1641" s="199"/>
      <c r="B1641" s="229"/>
      <c r="C1641" s="199"/>
      <c r="D1641" s="199"/>
      <c r="E1641" s="199"/>
      <c r="F1641" s="230" t="s">
        <v>327</v>
      </c>
      <c r="G1641" s="240"/>
      <c r="H1641" s="241"/>
      <c r="I1641" s="438">
        <f>SUM(I1640)</f>
        <v>6.3</v>
      </c>
    </row>
    <row r="1642" spans="1:9" x14ac:dyDescent="0.2">
      <c r="A1642" s="199"/>
      <c r="B1642" s="229"/>
      <c r="C1642" s="199"/>
      <c r="D1642" s="199"/>
      <c r="E1642" s="199"/>
      <c r="F1642" s="199"/>
      <c r="G1642" s="199"/>
      <c r="H1642" s="199"/>
      <c r="I1642" s="439"/>
    </row>
    <row r="1643" spans="1:9" x14ac:dyDescent="0.2">
      <c r="A1643" s="247"/>
      <c r="B1643" s="248"/>
      <c r="C1643" s="249"/>
      <c r="D1643" s="249"/>
      <c r="E1643" s="249"/>
      <c r="F1643" s="250" t="s">
        <v>193</v>
      </c>
      <c r="G1643" s="401"/>
      <c r="H1643" s="249"/>
      <c r="I1643" s="445">
        <f>+I1631+I1637+I1641</f>
        <v>221.36</v>
      </c>
    </row>
    <row r="1644" spans="1:9" x14ac:dyDescent="0.2">
      <c r="A1644" s="251"/>
      <c r="B1644" s="252"/>
      <c r="C1644" s="253"/>
      <c r="D1644" s="253"/>
      <c r="E1644" s="253"/>
      <c r="F1644" s="254" t="s">
        <v>194</v>
      </c>
      <c r="G1644" s="255"/>
      <c r="H1644" s="253"/>
      <c r="I1644" s="446">
        <v>1</v>
      </c>
    </row>
    <row r="1645" spans="1:9" x14ac:dyDescent="0.2">
      <c r="A1645" s="233"/>
      <c r="B1645" s="256"/>
      <c r="C1645" s="241"/>
      <c r="D1645" s="241"/>
      <c r="E1645" s="241"/>
      <c r="F1645" s="257" t="s">
        <v>216</v>
      </c>
      <c r="G1645" s="240"/>
      <c r="H1645" s="241"/>
      <c r="I1645" s="447">
        <f>TRUNC(I1643/I1644,2)</f>
        <v>221.36</v>
      </c>
    </row>
    <row r="1646" spans="1:9" x14ac:dyDescent="0.2">
      <c r="A1646" s="822"/>
      <c r="B1646" s="229"/>
      <c r="C1646" s="199"/>
      <c r="D1646" s="199"/>
      <c r="E1646" s="199"/>
      <c r="F1646" s="258"/>
      <c r="G1646" s="199"/>
      <c r="H1646" s="199"/>
      <c r="I1646" s="450"/>
    </row>
    <row r="1647" spans="1:9" x14ac:dyDescent="0.2">
      <c r="A1647" s="242" t="s">
        <v>195</v>
      </c>
      <c r="B1647" s="243" t="s">
        <v>59</v>
      </c>
      <c r="C1647" s="243" t="s">
        <v>196</v>
      </c>
      <c r="D1647" s="243" t="s">
        <v>217</v>
      </c>
      <c r="E1647" s="1121" t="s">
        <v>89</v>
      </c>
      <c r="F1647" s="1114"/>
      <c r="G1647" s="1115"/>
      <c r="H1647" s="1121" t="s">
        <v>183</v>
      </c>
      <c r="I1647" s="1115"/>
    </row>
    <row r="1648" spans="1:9" ht="22.5" x14ac:dyDescent="0.2">
      <c r="A1648" s="259" t="str">
        <f>VLOOKUP(B1648,mat.!$A:$D,2,FALSE)</f>
        <v>Tubo de concreto armado D=1,20m CA-1 PB</v>
      </c>
      <c r="B1648" s="234">
        <v>10227</v>
      </c>
      <c r="C1648" s="260" t="str">
        <f>VLOOKUP(B1648,mat.!$A:$D,3,FALSE)</f>
        <v>M</v>
      </c>
      <c r="D1648" s="261">
        <f>VLOOKUP(B1648,mat.!$A:$D,4,FALSE)</f>
        <v>273.7</v>
      </c>
      <c r="E1648" s="255"/>
      <c r="F1648" s="253"/>
      <c r="G1648" s="293">
        <v>1</v>
      </c>
      <c r="H1648" s="255"/>
      <c r="I1648" s="423">
        <f>TRUNC(D1648*G1648,2)</f>
        <v>273.7</v>
      </c>
    </row>
    <row r="1649" spans="1:17" x14ac:dyDescent="0.2">
      <c r="A1649" s="199"/>
      <c r="B1649" s="229"/>
      <c r="C1649" s="199"/>
      <c r="D1649" s="199"/>
      <c r="E1649" s="199"/>
      <c r="F1649" s="230" t="s">
        <v>197</v>
      </c>
      <c r="G1649" s="240"/>
      <c r="H1649" s="241"/>
      <c r="I1649" s="438">
        <f>SUM(I1648:I1648)</f>
        <v>273.7</v>
      </c>
    </row>
    <row r="1650" spans="1:17" x14ac:dyDescent="0.2">
      <c r="A1650" s="199"/>
      <c r="B1650" s="229"/>
      <c r="C1650" s="199"/>
      <c r="D1650" s="199"/>
      <c r="E1650" s="199"/>
      <c r="F1650" s="199"/>
      <c r="G1650" s="262"/>
      <c r="H1650" s="199"/>
      <c r="I1650" s="439"/>
    </row>
    <row r="1651" spans="1:17" x14ac:dyDescent="0.2">
      <c r="A1651" s="263" t="s">
        <v>198</v>
      </c>
      <c r="B1651" s="243" t="s">
        <v>59</v>
      </c>
      <c r="C1651" s="243" t="s">
        <v>196</v>
      </c>
      <c r="D1651" s="821" t="s">
        <v>217</v>
      </c>
      <c r="E1651" s="1111" t="s">
        <v>89</v>
      </c>
      <c r="F1651" s="1112"/>
      <c r="G1651" s="1113"/>
      <c r="H1651" s="1114" t="s">
        <v>183</v>
      </c>
      <c r="I1651" s="1115"/>
    </row>
    <row r="1652" spans="1:17" ht="22.5" x14ac:dyDescent="0.2">
      <c r="A1652" s="416" t="str">
        <f>VLOOKUP(B1652,'DER 11-20'!$A:$E,2,FALSE)</f>
        <v>Argamassa cimento e areia traço 1:4, tudo incluído</v>
      </c>
      <c r="B1652" s="417">
        <v>40348</v>
      </c>
      <c r="C1652" s="417" t="str">
        <f>VLOOKUP(B1652,'DER 11-20'!$A:$E,3,FALSE)</f>
        <v>M3</v>
      </c>
      <c r="D1652" s="418">
        <f>TRUNC(VLOOKUP(B1652,'DER 11-20'!$A:$F,6,FALSE)/(1+$I$4),2)</f>
        <v>449.06</v>
      </c>
      <c r="E1652" s="419"/>
      <c r="F1652" s="420"/>
      <c r="G1652" s="421">
        <v>4.4999999999999998E-2</v>
      </c>
      <c r="H1652" s="422"/>
      <c r="I1652" s="423">
        <f>TRUNC(D1652*G1652,2)</f>
        <v>20.2</v>
      </c>
      <c r="J1652" s="415"/>
      <c r="K1652" s="415"/>
      <c r="L1652" s="198"/>
      <c r="M1652" s="198"/>
      <c r="N1652" s="198"/>
      <c r="O1652" s="198"/>
      <c r="P1652" s="198"/>
      <c r="Q1652" s="198"/>
    </row>
    <row r="1653" spans="1:17" ht="23.25" customHeight="1" x14ac:dyDescent="0.2">
      <c r="A1653" s="200"/>
      <c r="B1653" s="264"/>
      <c r="C1653" s="200"/>
      <c r="D1653" s="200"/>
      <c r="E1653" s="200"/>
      <c r="F1653" s="265" t="s">
        <v>199</v>
      </c>
      <c r="G1653" s="255"/>
      <c r="H1653" s="266"/>
      <c r="I1653" s="441">
        <f>SUM(I1652:I1652)</f>
        <v>20.2</v>
      </c>
    </row>
    <row r="1654" spans="1:17" x14ac:dyDescent="0.2">
      <c r="A1654" s="200"/>
      <c r="B1654" s="264"/>
      <c r="C1654" s="200"/>
      <c r="D1654" s="200"/>
      <c r="E1654" s="200"/>
      <c r="F1654" s="200"/>
      <c r="G1654" s="200"/>
      <c r="H1654" s="200"/>
      <c r="I1654" s="440"/>
    </row>
    <row r="1655" spans="1:17" x14ac:dyDescent="0.2">
      <c r="A1655" s="267" t="s">
        <v>200</v>
      </c>
      <c r="B1655" s="268" t="s">
        <v>59</v>
      </c>
      <c r="C1655" s="268" t="s">
        <v>196</v>
      </c>
      <c r="D1655" s="268" t="s">
        <v>201</v>
      </c>
      <c r="E1655" s="268" t="s">
        <v>202</v>
      </c>
      <c r="F1655" s="268" t="s">
        <v>203</v>
      </c>
      <c r="G1655" s="268" t="s">
        <v>94</v>
      </c>
      <c r="H1655" s="268" t="s">
        <v>89</v>
      </c>
      <c r="I1655" s="442" t="s">
        <v>204</v>
      </c>
    </row>
    <row r="1656" spans="1:17" ht="22.5" x14ac:dyDescent="0.2">
      <c r="A1656" s="244" t="str">
        <f>VLOOKUP(B1656,transp.!$A:$J,2,FALSE)</f>
        <v>Transp. de Tubo de concreto armado D=1,20m CA-1 PB</v>
      </c>
      <c r="B1656" s="234">
        <v>1273</v>
      </c>
      <c r="C1656" s="234" t="str">
        <f>VLOOKUP(B1656,transp.!$A:$J,3,FALSE)</f>
        <v xml:space="preserve"> t  </v>
      </c>
      <c r="D1656" s="269" t="str">
        <f>VLOOKUP(B1656,transp.!$A:$J,4,FALSE)</f>
        <v>0,716XP + 0,745XR</v>
      </c>
      <c r="E1656" s="270">
        <f>VLOOKUP(J1656,Dis!$B:$F,4,FALSE)</f>
        <v>27</v>
      </c>
      <c r="F1656" s="270">
        <f>VLOOKUP(J1656,Dis!$B:$F,5,FALSE)</f>
        <v>2.34</v>
      </c>
      <c r="G1656" s="239">
        <f>TRUNC(VLOOKUP(B1656,transp.!$A:$J,5,FALSE)*E1656+VLOOKUP(B1656,transp.!$A:$J,6,FALSE)*F1656+VLOOKUP(B1656,transp.!$A:$J,7,FALSE),2)</f>
        <v>21.07</v>
      </c>
      <c r="H1656" s="271">
        <v>1.65</v>
      </c>
      <c r="I1656" s="418">
        <f>TRUNC(G1656*H1656,2)</f>
        <v>34.76</v>
      </c>
      <c r="J1656" s="400" t="s">
        <v>114</v>
      </c>
    </row>
    <row r="1657" spans="1:17" x14ac:dyDescent="0.2">
      <c r="A1657" s="200"/>
      <c r="B1657" s="264"/>
      <c r="C1657" s="200"/>
      <c r="D1657" s="200"/>
      <c r="E1657" s="200"/>
      <c r="F1657" s="265" t="s">
        <v>205</v>
      </c>
      <c r="G1657" s="240"/>
      <c r="H1657" s="272"/>
      <c r="I1657" s="443">
        <f>SUM(I1656:I1656)</f>
        <v>34.76</v>
      </c>
    </row>
    <row r="1658" spans="1:17" x14ac:dyDescent="0.2">
      <c r="A1658" s="200"/>
      <c r="B1658" s="264"/>
      <c r="C1658" s="200"/>
      <c r="D1658" s="200"/>
      <c r="E1658" s="200"/>
      <c r="F1658" s="200"/>
      <c r="G1658" s="200"/>
      <c r="H1658" s="200"/>
      <c r="I1658" s="444"/>
    </row>
    <row r="1659" spans="1:17" x14ac:dyDescent="0.2">
      <c r="A1659" s="273"/>
      <c r="B1659" s="274"/>
      <c r="C1659" s="275"/>
      <c r="D1659" s="275"/>
      <c r="E1659" s="275"/>
      <c r="F1659" s="276" t="s">
        <v>206</v>
      </c>
      <c r="G1659" s="273"/>
      <c r="H1659" s="249"/>
      <c r="I1659" s="445">
        <f>+I1645+I1649+I1653+I1657</f>
        <v>550.02</v>
      </c>
      <c r="J1659" s="410"/>
    </row>
    <row r="1660" spans="1:17" x14ac:dyDescent="0.2">
      <c r="A1660" s="255"/>
      <c r="B1660" s="277"/>
      <c r="C1660" s="266"/>
      <c r="D1660" s="266"/>
      <c r="E1660" s="266"/>
      <c r="F1660" s="278" t="str">
        <f>CONCATENATE($H$3," ",$I$3)</f>
        <v>BDI: 23,32</v>
      </c>
      <c r="G1660" s="403"/>
      <c r="H1660" s="253"/>
      <c r="I1660" s="446">
        <f>+ROUND(I1659*$I$4,2)</f>
        <v>128.26</v>
      </c>
    </row>
    <row r="1661" spans="1:17" x14ac:dyDescent="0.2">
      <c r="A1661" s="240"/>
      <c r="B1661" s="279"/>
      <c r="C1661" s="272"/>
      <c r="D1661" s="272"/>
      <c r="E1661" s="272"/>
      <c r="F1661" s="280" t="s">
        <v>207</v>
      </c>
      <c r="G1661" s="404"/>
      <c r="H1661" s="241"/>
      <c r="I1661" s="720">
        <f>+I1659+I1660</f>
        <v>678.28</v>
      </c>
      <c r="J1661" s="410"/>
    </row>
    <row r="1662" spans="1:17" s="198" customFormat="1" x14ac:dyDescent="0.2">
      <c r="A1662" s="1124" t="str">
        <f>$A$1</f>
        <v>COMPOSIÇÃO DE CUSTOS UNITÁRIOS</v>
      </c>
      <c r="B1662" s="1124"/>
      <c r="C1662" s="1124"/>
      <c r="D1662" s="1124"/>
      <c r="E1662" s="1124"/>
      <c r="F1662" s="1124"/>
      <c r="G1662" s="1124"/>
      <c r="H1662" s="1124"/>
      <c r="I1662" s="1124"/>
      <c r="J1662" s="467"/>
    </row>
    <row r="1663" spans="1:17" s="198" customFormat="1" x14ac:dyDescent="0.2">
      <c r="A1663" s="411" t="str">
        <f>$A$2</f>
        <v>Tabela Referencial de Preços - DER-ES</v>
      </c>
      <c r="B1663" s="412"/>
      <c r="C1663" s="413"/>
      <c r="D1663" s="413"/>
      <c r="E1663" s="413"/>
      <c r="F1663" s="413"/>
      <c r="G1663" s="413"/>
      <c r="H1663" s="413"/>
      <c r="I1663" s="414" t="str">
        <f>$I$2</f>
        <v>Data Base: novembro/2020</v>
      </c>
      <c r="J1663" s="493">
        <v>40476</v>
      </c>
      <c r="K1663" s="494">
        <f>VLOOKUP("Preço Unitário Total",F1664:I4321,4,FALSE)</f>
        <v>907.14</v>
      </c>
      <c r="L1663" s="198" t="str">
        <f>VLOOKUP(J1663,'DER 11-20'!$A:$D,2,FALSE)</f>
        <v>Corpo BDTC (grota) diâmetro 1,00 m CA-1 PB exclusive escavação e reaterro, inclusive transporte do tubo</v>
      </c>
    </row>
    <row r="1664" spans="1:17" s="198" customFormat="1" ht="15" customHeight="1" x14ac:dyDescent="0.2">
      <c r="A1664" s="1119" t="str">
        <f>+CONCATENATE("Serviço: ",J1663," ",VLOOKUP(J1663,'DER 11-20'!$A:$D,2,FALSE))</f>
        <v>Serviço: 40476 Corpo BDTC (grota) diâmetro 1,00 m CA-1 PB exclusive escavação e reaterro, inclusive transporte do tubo</v>
      </c>
      <c r="B1664" s="1119"/>
      <c r="C1664" s="1119"/>
      <c r="D1664" s="1119"/>
      <c r="E1664" s="1119"/>
      <c r="F1664" s="1119"/>
      <c r="G1664" s="1119"/>
      <c r="H1664" s="1119"/>
      <c r="I1664" s="1119" t="str">
        <f>CONCATENATE("Unidade: ", VLOOKUP(J1663,'DER 11-20'!$A:$E,3,FALSE))</f>
        <v>Unidade: M</v>
      </c>
      <c r="J1664" s="467"/>
    </row>
    <row r="1665" spans="1:11" s="198" customFormat="1" x14ac:dyDescent="0.2">
      <c r="A1665" s="1120"/>
      <c r="B1665" s="1120"/>
      <c r="C1665" s="1120"/>
      <c r="D1665" s="1120"/>
      <c r="E1665" s="1120"/>
      <c r="F1665" s="1120"/>
      <c r="G1665" s="1120"/>
      <c r="H1665" s="1120"/>
      <c r="I1665" s="1120"/>
      <c r="J1665" s="467"/>
    </row>
    <row r="1666" spans="1:11" s="198" customFormat="1" ht="22.5" x14ac:dyDescent="0.2">
      <c r="A1666" s="433" t="s">
        <v>177</v>
      </c>
      <c r="B1666" s="434" t="s">
        <v>59</v>
      </c>
      <c r="C1666" s="434" t="s">
        <v>178</v>
      </c>
      <c r="D1666" s="434" t="s">
        <v>179</v>
      </c>
      <c r="E1666" s="434" t="s">
        <v>180</v>
      </c>
      <c r="F1666" s="434" t="s">
        <v>181</v>
      </c>
      <c r="G1666" s="434" t="s">
        <v>182</v>
      </c>
      <c r="H1666" s="434" t="s">
        <v>89</v>
      </c>
      <c r="I1666" s="434" t="s">
        <v>183</v>
      </c>
    </row>
    <row r="1667" spans="1:11" s="198" customFormat="1" ht="33.75" x14ac:dyDescent="0.2">
      <c r="A1667" s="449" t="str">
        <f>VLOOKUP(B1667,equip.!$A:$G,2,FALSE)</f>
        <v>Carregadeira de rodas ref. Caterpillar modelo 924H (1,9 m3) ( cab + ar ) ou equivalente</v>
      </c>
      <c r="B1667" s="417">
        <v>30023</v>
      </c>
      <c r="C1667" s="424" t="str">
        <f>VLOOKUP(B1667,equip.!$A$1:$G$239,3,FALSE)</f>
        <v>M</v>
      </c>
      <c r="D1667" s="451">
        <v>0.2</v>
      </c>
      <c r="E1667" s="452">
        <v>0.8</v>
      </c>
      <c r="F1667" s="453">
        <f>VLOOKUP(B1667,equip.!$A:$G,6,FALSE)</f>
        <v>201.89</v>
      </c>
      <c r="G1667" s="453">
        <f>VLOOKUP(B1667,equip.!$A:$G,7,FALSE)</f>
        <v>68.959999999999994</v>
      </c>
      <c r="H1667" s="454">
        <v>1</v>
      </c>
      <c r="I1667" s="418">
        <f>TRUNC(D1667*F1667*H1667+E1667*G1667*H1667,2)</f>
        <v>95.54</v>
      </c>
      <c r="J1667" s="467"/>
    </row>
    <row r="1668" spans="1:11" s="198" customFormat="1" x14ac:dyDescent="0.2">
      <c r="A1668" s="413"/>
      <c r="B1668" s="412"/>
      <c r="C1668" s="412"/>
      <c r="D1668" s="413"/>
      <c r="E1668" s="413"/>
      <c r="F1668" s="414" t="s">
        <v>184</v>
      </c>
      <c r="G1668" s="422"/>
      <c r="H1668" s="426"/>
      <c r="I1668" s="438">
        <f>I1667</f>
        <v>95.54</v>
      </c>
      <c r="J1668" s="467"/>
    </row>
    <row r="1669" spans="1:11" s="198" customFormat="1" ht="24" customHeight="1" x14ac:dyDescent="0.2">
      <c r="A1669" s="413"/>
      <c r="B1669" s="412"/>
      <c r="C1669" s="412"/>
      <c r="D1669" s="413"/>
      <c r="E1669" s="413"/>
      <c r="F1669" s="413"/>
      <c r="G1669" s="413"/>
      <c r="H1669" s="413"/>
      <c r="I1669" s="439"/>
      <c r="J1669" s="415"/>
      <c r="K1669" s="415"/>
    </row>
    <row r="1670" spans="1:11" s="198" customFormat="1" x14ac:dyDescent="0.2">
      <c r="A1670" s="448" t="s">
        <v>185</v>
      </c>
      <c r="B1670" s="432" t="s">
        <v>59</v>
      </c>
      <c r="C1670" s="434" t="s">
        <v>357</v>
      </c>
      <c r="D1670" s="432" t="s">
        <v>187</v>
      </c>
      <c r="E1670" s="1125" t="s">
        <v>89</v>
      </c>
      <c r="F1670" s="1126"/>
      <c r="G1670" s="1127"/>
      <c r="H1670" s="1130" t="s">
        <v>183</v>
      </c>
      <c r="I1670" s="1129"/>
    </row>
    <row r="1671" spans="1:11" s="198" customFormat="1" x14ac:dyDescent="0.2">
      <c r="A1671" s="416" t="str">
        <f>VLOOKUP(B1671,m.o.!$A:$H,2,FALSE)</f>
        <v>Encarregado de O.A.C.</v>
      </c>
      <c r="B1671" s="417">
        <v>20060</v>
      </c>
      <c r="C1671" s="418">
        <f>VLOOKUP(B1671,m.o.!$A:$F,4,FALSE)</f>
        <v>2.2599999999999998</v>
      </c>
      <c r="D1671" s="418">
        <f>VLOOKUP(B1671,m.o.!$A:$G,7,FALSE)</f>
        <v>28.31</v>
      </c>
      <c r="E1671" s="419"/>
      <c r="F1671" s="420"/>
      <c r="G1671" s="421">
        <v>1</v>
      </c>
      <c r="H1671" s="422"/>
      <c r="I1671" s="427">
        <f>TRUNC(D1671*G1671,2)</f>
        <v>28.31</v>
      </c>
    </row>
    <row r="1672" spans="1:11" x14ac:dyDescent="0.2">
      <c r="A1672" s="416" t="str">
        <f>VLOOKUP(B1672,m.o.!$A:$H,2,FALSE)</f>
        <v>Pedreiro de O.A.C.</v>
      </c>
      <c r="B1672" s="417">
        <v>20109</v>
      </c>
      <c r="C1672" s="418">
        <f>VLOOKUP(B1672,m.o.!$A:$F,4,FALSE)</f>
        <v>1.24</v>
      </c>
      <c r="D1672" s="418">
        <f>VLOOKUP(B1672,m.o.!$A:$G,7,FALSE)</f>
        <v>15.53</v>
      </c>
      <c r="E1672" s="419"/>
      <c r="F1672" s="420"/>
      <c r="G1672" s="421">
        <v>4</v>
      </c>
      <c r="H1672" s="422"/>
      <c r="I1672" s="427">
        <f>TRUNC(D1672*G1672,2)</f>
        <v>62.12</v>
      </c>
      <c r="J1672" s="295"/>
      <c r="K1672" s="295"/>
    </row>
    <row r="1673" spans="1:11" x14ac:dyDescent="0.2">
      <c r="A1673" s="244" t="str">
        <f>VLOOKUP(B1673,m.o.!$A:$H,2,FALSE)</f>
        <v>Servente</v>
      </c>
      <c r="B1673" s="234">
        <v>20002</v>
      </c>
      <c r="C1673" s="239">
        <f>VLOOKUP(B1673,m.o.!$A:$F,4,FALSE)</f>
        <v>1</v>
      </c>
      <c r="D1673" s="239">
        <f>VLOOKUP(B1673,m.o.!$A:$G,7,FALSE)</f>
        <v>12.52</v>
      </c>
      <c r="E1673" s="255"/>
      <c r="F1673" s="253"/>
      <c r="G1673" s="293">
        <v>8</v>
      </c>
      <c r="H1673" s="240"/>
      <c r="I1673" s="427">
        <f>TRUNC(D1673*G1673,2)</f>
        <v>100.16</v>
      </c>
    </row>
    <row r="1674" spans="1:11" x14ac:dyDescent="0.2">
      <c r="A1674" s="199"/>
      <c r="B1674" s="229"/>
      <c r="C1674" s="229"/>
      <c r="D1674" s="199"/>
      <c r="E1674" s="199"/>
      <c r="F1674" s="230" t="s">
        <v>188</v>
      </c>
      <c r="G1674" s="240"/>
      <c r="H1674" s="241"/>
      <c r="I1674" s="438">
        <f>SUM(I1671:I1673)</f>
        <v>190.59</v>
      </c>
    </row>
    <row r="1675" spans="1:11" x14ac:dyDescent="0.2">
      <c r="A1675" s="199"/>
      <c r="B1675" s="229"/>
      <c r="C1675" s="229"/>
      <c r="D1675" s="199"/>
      <c r="E1675" s="199"/>
      <c r="F1675" s="199"/>
      <c r="G1675" s="199"/>
      <c r="H1675" s="199"/>
      <c r="I1675" s="439"/>
    </row>
    <row r="1676" spans="1:11" x14ac:dyDescent="0.2">
      <c r="A1676" s="245" t="s">
        <v>189</v>
      </c>
      <c r="B1676" s="243" t="s">
        <v>59</v>
      </c>
      <c r="C1676" s="635" t="s">
        <v>17</v>
      </c>
      <c r="D1676" s="243" t="s">
        <v>190</v>
      </c>
      <c r="E1676" s="243" t="s">
        <v>191</v>
      </c>
      <c r="F1676" s="243" t="s">
        <v>192</v>
      </c>
      <c r="G1676" s="1121" t="s">
        <v>94</v>
      </c>
      <c r="H1676" s="1114"/>
      <c r="I1676" s="1115"/>
      <c r="J1676" s="295"/>
      <c r="K1676" s="295"/>
    </row>
    <row r="1677" spans="1:11" x14ac:dyDescent="0.2">
      <c r="A1677" s="244" t="s">
        <v>127</v>
      </c>
      <c r="B1677" s="234">
        <v>2000</v>
      </c>
      <c r="C1677" s="239">
        <v>5</v>
      </c>
      <c r="D1677" s="235" t="s">
        <v>208</v>
      </c>
      <c r="E1677" s="246"/>
      <c r="F1677" s="246"/>
      <c r="G1677" s="240"/>
      <c r="H1677" s="241"/>
      <c r="I1677" s="427">
        <f>TRUNC(C1677/100*I1674,2)</f>
        <v>9.52</v>
      </c>
    </row>
    <row r="1678" spans="1:11" x14ac:dyDescent="0.2">
      <c r="A1678" s="199"/>
      <c r="B1678" s="229"/>
      <c r="C1678" s="199"/>
      <c r="D1678" s="199"/>
      <c r="E1678" s="199"/>
      <c r="F1678" s="230" t="s">
        <v>327</v>
      </c>
      <c r="G1678" s="240"/>
      <c r="H1678" s="241"/>
      <c r="I1678" s="438">
        <f>SUM(I1677)</f>
        <v>9.52</v>
      </c>
    </row>
    <row r="1679" spans="1:11" x14ac:dyDescent="0.2">
      <c r="A1679" s="199"/>
      <c r="B1679" s="229"/>
      <c r="C1679" s="199"/>
      <c r="D1679" s="199"/>
      <c r="E1679" s="199"/>
      <c r="F1679" s="199"/>
      <c r="G1679" s="199"/>
      <c r="H1679" s="199"/>
      <c r="I1679" s="439"/>
    </row>
    <row r="1680" spans="1:11" x14ac:dyDescent="0.2">
      <c r="A1680" s="247"/>
      <c r="B1680" s="248"/>
      <c r="C1680" s="249"/>
      <c r="D1680" s="249"/>
      <c r="E1680" s="249"/>
      <c r="F1680" s="250" t="s">
        <v>193</v>
      </c>
      <c r="G1680" s="401"/>
      <c r="H1680" s="249"/>
      <c r="I1680" s="445">
        <f>+I1668+I1674+I1678</f>
        <v>295.64999999999998</v>
      </c>
    </row>
    <row r="1681" spans="1:11" x14ac:dyDescent="0.2">
      <c r="A1681" s="251"/>
      <c r="B1681" s="252"/>
      <c r="C1681" s="253"/>
      <c r="D1681" s="253"/>
      <c r="E1681" s="253"/>
      <c r="F1681" s="254" t="s">
        <v>194</v>
      </c>
      <c r="G1681" s="255"/>
      <c r="H1681" s="253"/>
      <c r="I1681" s="446">
        <v>1</v>
      </c>
    </row>
    <row r="1682" spans="1:11" x14ac:dyDescent="0.2">
      <c r="A1682" s="233"/>
      <c r="B1682" s="256"/>
      <c r="C1682" s="241"/>
      <c r="D1682" s="241"/>
      <c r="E1682" s="241"/>
      <c r="F1682" s="257" t="s">
        <v>216</v>
      </c>
      <c r="G1682" s="240"/>
      <c r="H1682" s="241"/>
      <c r="I1682" s="447">
        <f>TRUNC(I1680/I1681,2)</f>
        <v>295.64999999999998</v>
      </c>
    </row>
    <row r="1683" spans="1:11" x14ac:dyDescent="0.2">
      <c r="A1683" s="636"/>
      <c r="B1683" s="229"/>
      <c r="C1683" s="199"/>
      <c r="D1683" s="199"/>
      <c r="E1683" s="199"/>
      <c r="F1683" s="258"/>
      <c r="G1683" s="199"/>
      <c r="H1683" s="199"/>
      <c r="I1683" s="450"/>
    </row>
    <row r="1684" spans="1:11" x14ac:dyDescent="0.2">
      <c r="A1684" s="242" t="s">
        <v>195</v>
      </c>
      <c r="B1684" s="243" t="s">
        <v>59</v>
      </c>
      <c r="C1684" s="243" t="s">
        <v>196</v>
      </c>
      <c r="D1684" s="243" t="s">
        <v>217</v>
      </c>
      <c r="E1684" s="1121" t="s">
        <v>89</v>
      </c>
      <c r="F1684" s="1114"/>
      <c r="G1684" s="1115"/>
      <c r="H1684" s="1121" t="s">
        <v>183</v>
      </c>
      <c r="I1684" s="1115"/>
    </row>
    <row r="1685" spans="1:11" ht="22.5" x14ac:dyDescent="0.2">
      <c r="A1685" s="259" t="str">
        <f>VLOOKUP(B1685,mat.!$A:$D,2,FALSE)</f>
        <v>Tubo de concreto armado D=1,00m CA-1 PB</v>
      </c>
      <c r="B1685" s="234">
        <v>10226</v>
      </c>
      <c r="C1685" s="260" t="str">
        <f>VLOOKUP(B1685,mat.!$A:$D,3,FALSE)</f>
        <v>M</v>
      </c>
      <c r="D1685" s="261">
        <f>VLOOKUP(B1685,mat.!$A:$D,4,FALSE)</f>
        <v>186.23</v>
      </c>
      <c r="E1685" s="255"/>
      <c r="F1685" s="253"/>
      <c r="G1685" s="293">
        <v>2</v>
      </c>
      <c r="H1685" s="255"/>
      <c r="I1685" s="423">
        <f>TRUNC(D1685*G1685,2)</f>
        <v>372.46</v>
      </c>
    </row>
    <row r="1686" spans="1:11" x14ac:dyDescent="0.2">
      <c r="A1686" s="199"/>
      <c r="B1686" s="229"/>
      <c r="C1686" s="199"/>
      <c r="D1686" s="199"/>
      <c r="E1686" s="199"/>
      <c r="F1686" s="230" t="s">
        <v>197</v>
      </c>
      <c r="G1686" s="240"/>
      <c r="H1686" s="241"/>
      <c r="I1686" s="438">
        <f>SUM(I1685:I1685)</f>
        <v>372.46</v>
      </c>
    </row>
    <row r="1687" spans="1:11" x14ac:dyDescent="0.2">
      <c r="A1687" s="199"/>
      <c r="B1687" s="229"/>
      <c r="C1687" s="199"/>
      <c r="D1687" s="199"/>
      <c r="E1687" s="199"/>
      <c r="F1687" s="199"/>
      <c r="G1687" s="262"/>
      <c r="H1687" s="199"/>
      <c r="I1687" s="439"/>
    </row>
    <row r="1688" spans="1:11" x14ac:dyDescent="0.2">
      <c r="A1688" s="263" t="s">
        <v>198</v>
      </c>
      <c r="B1688" s="243" t="s">
        <v>59</v>
      </c>
      <c r="C1688" s="243" t="s">
        <v>196</v>
      </c>
      <c r="D1688" s="635" t="s">
        <v>217</v>
      </c>
      <c r="E1688" s="1111" t="s">
        <v>89</v>
      </c>
      <c r="F1688" s="1112"/>
      <c r="G1688" s="1113"/>
      <c r="H1688" s="1114" t="s">
        <v>183</v>
      </c>
      <c r="I1688" s="1115"/>
    </row>
    <row r="1689" spans="1:11" ht="22.5" x14ac:dyDescent="0.2">
      <c r="A1689" s="416" t="str">
        <f>VLOOKUP(B1689,'DER 11-20'!$A:$E,2,FALSE)</f>
        <v>Argamassa cimento e areia traço 1:4, tudo incluído</v>
      </c>
      <c r="B1689" s="417">
        <v>40348</v>
      </c>
      <c r="C1689" s="417" t="str">
        <f>VLOOKUP(B1689,'DER 11-20'!$A:$E,3,FALSE)</f>
        <v>M3</v>
      </c>
      <c r="D1689" s="418">
        <f>TRUNC(VLOOKUP(B1689,'DER 11-20'!$A:$F,6,FALSE)/(1+$I$4),2)</f>
        <v>449.06</v>
      </c>
      <c r="E1689" s="419"/>
      <c r="F1689" s="420"/>
      <c r="G1689" s="421">
        <v>6.4000000000000001E-2</v>
      </c>
      <c r="H1689" s="422"/>
      <c r="I1689" s="423">
        <f>TRUNC(D1689*G1689,2)</f>
        <v>28.73</v>
      </c>
    </row>
    <row r="1690" spans="1:11" x14ac:dyDescent="0.2">
      <c r="A1690" s="200"/>
      <c r="B1690" s="264"/>
      <c r="C1690" s="200"/>
      <c r="D1690" s="200"/>
      <c r="E1690" s="200"/>
      <c r="F1690" s="265" t="s">
        <v>199</v>
      </c>
      <c r="G1690" s="255"/>
      <c r="H1690" s="266"/>
      <c r="I1690" s="441">
        <f>SUM(I1689:I1689)</f>
        <v>28.73</v>
      </c>
    </row>
    <row r="1691" spans="1:11" x14ac:dyDescent="0.2">
      <c r="A1691" s="200"/>
      <c r="B1691" s="264"/>
      <c r="C1691" s="200"/>
      <c r="D1691" s="200"/>
      <c r="E1691" s="200"/>
      <c r="F1691" s="200"/>
      <c r="G1691" s="200"/>
      <c r="H1691" s="200"/>
      <c r="I1691" s="440"/>
    </row>
    <row r="1692" spans="1:11" s="198" customFormat="1" x14ac:dyDescent="0.2">
      <c r="A1692" s="267" t="s">
        <v>200</v>
      </c>
      <c r="B1692" s="268" t="s">
        <v>59</v>
      </c>
      <c r="C1692" s="268" t="s">
        <v>196</v>
      </c>
      <c r="D1692" s="268" t="s">
        <v>201</v>
      </c>
      <c r="E1692" s="268" t="s">
        <v>202</v>
      </c>
      <c r="F1692" s="268" t="s">
        <v>203</v>
      </c>
      <c r="G1692" s="268" t="s">
        <v>94</v>
      </c>
      <c r="H1692" s="268" t="s">
        <v>89</v>
      </c>
      <c r="I1692" s="442" t="s">
        <v>204</v>
      </c>
      <c r="J1692" s="400" t="s">
        <v>114</v>
      </c>
      <c r="K1692" s="415"/>
    </row>
    <row r="1693" spans="1:11" ht="22.5" x14ac:dyDescent="0.2">
      <c r="A1693" s="259" t="str">
        <f>VLOOKUP(B1693,transp.!A:D,2,FALSE)</f>
        <v>Transp. de Tubo de concreto armado D=1,00m CA-1 PB</v>
      </c>
      <c r="B1693" s="417">
        <v>1269</v>
      </c>
      <c r="C1693" s="417" t="str">
        <f>VLOOKUP(B1693,transp.!$A:$J,3,FALSE)</f>
        <v xml:space="preserve"> t  </v>
      </c>
      <c r="D1693" s="823" t="str">
        <f>VLOOKUP(B1693,transp.!$A:$J,4,FALSE)</f>
        <v>0,716XP + 0,745XR</v>
      </c>
      <c r="E1693" s="455">
        <f>VLOOKUP(J1692,Dis!$B:$F,4,FALSE)</f>
        <v>27</v>
      </c>
      <c r="F1693" s="455">
        <f>VLOOKUP(J1692,Dis!$B:$F,5,FALSE)</f>
        <v>2.34</v>
      </c>
      <c r="G1693" s="418">
        <f>TRUNC(VLOOKUP(B1693,transp.!$A:$J,5,FALSE)*E1693+VLOOKUP(B1693,transp.!$A:$J,6,FALSE)*F1693+VLOOKUP(B1693,transp.!$A:$J,7,FALSE),2)</f>
        <v>21.07</v>
      </c>
      <c r="H1693" s="456">
        <v>1.84</v>
      </c>
      <c r="I1693" s="418">
        <f>TRUNC(G1693*H1693,2)</f>
        <v>38.76</v>
      </c>
    </row>
    <row r="1694" spans="1:11" x14ac:dyDescent="0.2">
      <c r="A1694" s="200"/>
      <c r="B1694" s="264"/>
      <c r="C1694" s="200"/>
      <c r="D1694" s="200"/>
      <c r="E1694" s="200"/>
      <c r="F1694" s="265" t="s">
        <v>205</v>
      </c>
      <c r="G1694" s="240"/>
      <c r="H1694" s="272"/>
      <c r="I1694" s="443">
        <f>I1693</f>
        <v>38.76</v>
      </c>
    </row>
    <row r="1695" spans="1:11" x14ac:dyDescent="0.2">
      <c r="A1695" s="200"/>
      <c r="B1695" s="264"/>
      <c r="C1695" s="200"/>
      <c r="D1695" s="200"/>
      <c r="E1695" s="200"/>
      <c r="F1695" s="200"/>
      <c r="G1695" s="200"/>
      <c r="H1695" s="200"/>
      <c r="I1695" s="444"/>
      <c r="J1695" s="410"/>
    </row>
    <row r="1696" spans="1:11" x14ac:dyDescent="0.2">
      <c r="A1696" s="273"/>
      <c r="B1696" s="274"/>
      <c r="C1696" s="275"/>
      <c r="D1696" s="275"/>
      <c r="E1696" s="275"/>
      <c r="F1696" s="276" t="s">
        <v>206</v>
      </c>
      <c r="G1696" s="273"/>
      <c r="H1696" s="249"/>
      <c r="I1696" s="445">
        <f>+I1682+I1686+I1690+I1694</f>
        <v>735.6</v>
      </c>
    </row>
    <row r="1697" spans="1:12" x14ac:dyDescent="0.2">
      <c r="A1697" s="255"/>
      <c r="B1697" s="277"/>
      <c r="C1697" s="266"/>
      <c r="D1697" s="266"/>
      <c r="E1697" s="266"/>
      <c r="F1697" s="278" t="str">
        <f>CONCATENATE($H$3," ",$I$3)</f>
        <v>BDI: 23,32</v>
      </c>
      <c r="G1697" s="403"/>
      <c r="H1697" s="253"/>
      <c r="I1697" s="446">
        <f>+ROUND(I1696*$I$4,2)</f>
        <v>171.54</v>
      </c>
      <c r="J1697" s="410"/>
      <c r="K1697" s="295"/>
    </row>
    <row r="1698" spans="1:12" s="198" customFormat="1" x14ac:dyDescent="0.2">
      <c r="A1698" s="240"/>
      <c r="B1698" s="279"/>
      <c r="C1698" s="272"/>
      <c r="D1698" s="272"/>
      <c r="E1698" s="272"/>
      <c r="F1698" s="280" t="s">
        <v>207</v>
      </c>
      <c r="G1698" s="404"/>
      <c r="H1698" s="241"/>
      <c r="I1698" s="720">
        <f>+I1696+I1697</f>
        <v>907.14</v>
      </c>
      <c r="J1698" s="467"/>
    </row>
    <row r="1699" spans="1:12" s="198" customFormat="1" x14ac:dyDescent="0.2">
      <c r="A1699" s="1124" t="str">
        <f>$A$1</f>
        <v>COMPOSIÇÃO DE CUSTOS UNITÁRIOS</v>
      </c>
      <c r="B1699" s="1124"/>
      <c r="C1699" s="1124"/>
      <c r="D1699" s="1124"/>
      <c r="E1699" s="1124"/>
      <c r="F1699" s="1124"/>
      <c r="G1699" s="1124"/>
      <c r="H1699" s="1124"/>
      <c r="I1699" s="1124"/>
      <c r="J1699" s="467"/>
    </row>
    <row r="1700" spans="1:12" s="198" customFormat="1" x14ac:dyDescent="0.2">
      <c r="A1700" s="411" t="str">
        <f>$A$2</f>
        <v>Tabela Referencial de Preços - DER-ES</v>
      </c>
      <c r="B1700" s="412"/>
      <c r="C1700" s="413"/>
      <c r="D1700" s="413"/>
      <c r="E1700" s="413"/>
      <c r="F1700" s="413"/>
      <c r="G1700" s="413"/>
      <c r="H1700" s="413"/>
      <c r="I1700" s="414" t="str">
        <f>$I$2</f>
        <v>Data Base: novembro/2020</v>
      </c>
      <c r="J1700" s="493">
        <v>40499</v>
      </c>
      <c r="K1700" s="494">
        <f>VLOOKUP("Preço Unitário Total",F1701:I4358,4,FALSE)</f>
        <v>1318.22</v>
      </c>
      <c r="L1700" s="198" t="str">
        <f>VLOOKUP(J1700,'DER 11-20'!$A:$D,2,FALSE)</f>
        <v>Corpo BTTC (grota) diâmetro 1,00 m CA-1 PB exclusive escavação e reaterro, inclusive transporte do tubo</v>
      </c>
    </row>
    <row r="1701" spans="1:12" s="198" customFormat="1" ht="15" customHeight="1" x14ac:dyDescent="0.2">
      <c r="A1701" s="1119" t="str">
        <f>+CONCATENATE("Serviço: ",J1700," ",VLOOKUP(J1700,'DER 11-20'!$A:$D,2,FALSE))</f>
        <v>Serviço: 40499 Corpo BTTC (grota) diâmetro 1,00 m CA-1 PB exclusive escavação e reaterro, inclusive transporte do tubo</v>
      </c>
      <c r="B1701" s="1119"/>
      <c r="C1701" s="1119"/>
      <c r="D1701" s="1119"/>
      <c r="E1701" s="1119"/>
      <c r="F1701" s="1119"/>
      <c r="G1701" s="1119"/>
      <c r="H1701" s="1119"/>
      <c r="I1701" s="1119" t="str">
        <f>CONCATENATE("Unidade: ", VLOOKUP(J1700,'DER 11-20'!$A:$E,3,FALSE))</f>
        <v>Unidade: M</v>
      </c>
      <c r="J1701" s="467"/>
    </row>
    <row r="1702" spans="1:12" s="198" customFormat="1" x14ac:dyDescent="0.2">
      <c r="A1702" s="1120"/>
      <c r="B1702" s="1120"/>
      <c r="C1702" s="1120"/>
      <c r="D1702" s="1120"/>
      <c r="E1702" s="1120"/>
      <c r="F1702" s="1120"/>
      <c r="G1702" s="1120"/>
      <c r="H1702" s="1120"/>
      <c r="I1702" s="1120"/>
      <c r="J1702" s="467"/>
    </row>
    <row r="1703" spans="1:12" s="198" customFormat="1" ht="22.5" x14ac:dyDescent="0.2">
      <c r="A1703" s="433" t="s">
        <v>177</v>
      </c>
      <c r="B1703" s="434" t="s">
        <v>59</v>
      </c>
      <c r="C1703" s="434" t="s">
        <v>178</v>
      </c>
      <c r="D1703" s="434" t="s">
        <v>179</v>
      </c>
      <c r="E1703" s="434" t="s">
        <v>180</v>
      </c>
      <c r="F1703" s="434" t="s">
        <v>181</v>
      </c>
      <c r="G1703" s="434" t="s">
        <v>182</v>
      </c>
      <c r="H1703" s="434" t="s">
        <v>89</v>
      </c>
      <c r="I1703" s="434" t="s">
        <v>183</v>
      </c>
    </row>
    <row r="1704" spans="1:12" s="198" customFormat="1" ht="33.75" x14ac:dyDescent="0.2">
      <c r="A1704" s="449" t="str">
        <f>VLOOKUP(B1704,equip.!$A:$G,2,FALSE)</f>
        <v>Carregadeira de rodas ref. Caterpillar modelo 924H (1,9 m3) ( cab + ar ) ou equivalente</v>
      </c>
      <c r="B1704" s="417">
        <v>30023</v>
      </c>
      <c r="C1704" s="424" t="str">
        <f>VLOOKUP(B1704,equip.!$A$1:$G$239,3,FALSE)</f>
        <v>M</v>
      </c>
      <c r="D1704" s="451">
        <v>0.3</v>
      </c>
      <c r="E1704" s="452">
        <v>0.7</v>
      </c>
      <c r="F1704" s="453">
        <f>VLOOKUP(B1704,equip.!$A:$G,6,FALSE)</f>
        <v>201.89</v>
      </c>
      <c r="G1704" s="453">
        <f>VLOOKUP(B1704,equip.!$A:$G,7,FALSE)</f>
        <v>68.959999999999994</v>
      </c>
      <c r="H1704" s="454">
        <v>1</v>
      </c>
      <c r="I1704" s="418">
        <f>TRUNC(D1704*F1704*H1704+E1704*G1704*H1704,2)</f>
        <v>108.83</v>
      </c>
      <c r="J1704" s="467"/>
    </row>
    <row r="1705" spans="1:12" s="198" customFormat="1" x14ac:dyDescent="0.2">
      <c r="A1705" s="413"/>
      <c r="B1705" s="412"/>
      <c r="C1705" s="412"/>
      <c r="D1705" s="413"/>
      <c r="E1705" s="413"/>
      <c r="F1705" s="414" t="s">
        <v>184</v>
      </c>
      <c r="G1705" s="422"/>
      <c r="H1705" s="426"/>
      <c r="I1705" s="438">
        <f>I1704</f>
        <v>108.83</v>
      </c>
      <c r="J1705" s="467"/>
    </row>
    <row r="1706" spans="1:12" s="198" customFormat="1" ht="24" customHeight="1" x14ac:dyDescent="0.2">
      <c r="A1706" s="413"/>
      <c r="B1706" s="412"/>
      <c r="C1706" s="412"/>
      <c r="D1706" s="413"/>
      <c r="E1706" s="413"/>
      <c r="F1706" s="413"/>
      <c r="G1706" s="413"/>
      <c r="H1706" s="413"/>
      <c r="I1706" s="439"/>
      <c r="J1706" s="415"/>
      <c r="K1706" s="415"/>
    </row>
    <row r="1707" spans="1:12" s="198" customFormat="1" x14ac:dyDescent="0.2">
      <c r="A1707" s="448" t="s">
        <v>185</v>
      </c>
      <c r="B1707" s="432" t="s">
        <v>59</v>
      </c>
      <c r="C1707" s="434" t="s">
        <v>357</v>
      </c>
      <c r="D1707" s="432" t="s">
        <v>187</v>
      </c>
      <c r="E1707" s="1125" t="s">
        <v>89</v>
      </c>
      <c r="F1707" s="1126"/>
      <c r="G1707" s="1127"/>
      <c r="H1707" s="1130" t="s">
        <v>183</v>
      </c>
      <c r="I1707" s="1129"/>
    </row>
    <row r="1708" spans="1:12" s="198" customFormat="1" x14ac:dyDescent="0.2">
      <c r="A1708" s="416" t="str">
        <f>VLOOKUP(B1708,m.o.!$A:$H,2,FALSE)</f>
        <v>Encarregado de O.A.C.</v>
      </c>
      <c r="B1708" s="417">
        <v>20060</v>
      </c>
      <c r="C1708" s="418">
        <f>VLOOKUP(B1708,m.o.!$A:$F,4,FALSE)</f>
        <v>2.2599999999999998</v>
      </c>
      <c r="D1708" s="418">
        <f>VLOOKUP(B1708,m.o.!$A:$G,7,FALSE)</f>
        <v>28.31</v>
      </c>
      <c r="E1708" s="419"/>
      <c r="F1708" s="420"/>
      <c r="G1708" s="421">
        <v>1.5</v>
      </c>
      <c r="H1708" s="422"/>
      <c r="I1708" s="427">
        <f>TRUNC(D1708*G1708,2)</f>
        <v>42.46</v>
      </c>
    </row>
    <row r="1709" spans="1:12" x14ac:dyDescent="0.2">
      <c r="A1709" s="416" t="str">
        <f>VLOOKUP(B1709,m.o.!$A:$H,2,FALSE)</f>
        <v>Pedreiro de O.A.C.</v>
      </c>
      <c r="B1709" s="417">
        <v>20109</v>
      </c>
      <c r="C1709" s="418">
        <f>VLOOKUP(B1709,m.o.!$A:$F,4,FALSE)</f>
        <v>1.24</v>
      </c>
      <c r="D1709" s="418">
        <f>VLOOKUP(B1709,m.o.!$A:$G,7,FALSE)</f>
        <v>15.53</v>
      </c>
      <c r="E1709" s="419"/>
      <c r="F1709" s="420"/>
      <c r="G1709" s="421">
        <v>6</v>
      </c>
      <c r="H1709" s="422"/>
      <c r="I1709" s="427">
        <f>TRUNC(D1709*G1709,2)</f>
        <v>93.18</v>
      </c>
      <c r="J1709" s="295"/>
      <c r="K1709" s="295"/>
    </row>
    <row r="1710" spans="1:12" x14ac:dyDescent="0.2">
      <c r="A1710" s="244" t="str">
        <f>VLOOKUP(B1710,m.o.!$A:$H,2,FALSE)</f>
        <v>Servente</v>
      </c>
      <c r="B1710" s="234">
        <v>20002</v>
      </c>
      <c r="C1710" s="239">
        <f>VLOOKUP(B1710,m.o.!$A:$F,4,FALSE)</f>
        <v>1</v>
      </c>
      <c r="D1710" s="239">
        <f>VLOOKUP(B1710,m.o.!$A:$G,7,FALSE)</f>
        <v>12.52</v>
      </c>
      <c r="E1710" s="255"/>
      <c r="F1710" s="253"/>
      <c r="G1710" s="293">
        <v>12</v>
      </c>
      <c r="H1710" s="240"/>
      <c r="I1710" s="427">
        <f>TRUNC(D1710*G1710,2)</f>
        <v>150.24</v>
      </c>
    </row>
    <row r="1711" spans="1:12" x14ac:dyDescent="0.2">
      <c r="A1711" s="199"/>
      <c r="B1711" s="229"/>
      <c r="C1711" s="229"/>
      <c r="D1711" s="199"/>
      <c r="E1711" s="199"/>
      <c r="F1711" s="230" t="s">
        <v>188</v>
      </c>
      <c r="G1711" s="240"/>
      <c r="H1711" s="241"/>
      <c r="I1711" s="438">
        <f>SUM(I1708:I1710)</f>
        <v>285.88</v>
      </c>
    </row>
    <row r="1712" spans="1:12" x14ac:dyDescent="0.2">
      <c r="A1712" s="199"/>
      <c r="B1712" s="229"/>
      <c r="C1712" s="229"/>
      <c r="D1712" s="199"/>
      <c r="E1712" s="199"/>
      <c r="F1712" s="199"/>
      <c r="G1712" s="199"/>
      <c r="H1712" s="199"/>
      <c r="I1712" s="439"/>
    </row>
    <row r="1713" spans="1:11" x14ac:dyDescent="0.2">
      <c r="A1713" s="245" t="s">
        <v>189</v>
      </c>
      <c r="B1713" s="243" t="s">
        <v>59</v>
      </c>
      <c r="C1713" s="821" t="s">
        <v>17</v>
      </c>
      <c r="D1713" s="243" t="s">
        <v>190</v>
      </c>
      <c r="E1713" s="243" t="s">
        <v>191</v>
      </c>
      <c r="F1713" s="243" t="s">
        <v>192</v>
      </c>
      <c r="G1713" s="1121" t="s">
        <v>94</v>
      </c>
      <c r="H1713" s="1114"/>
      <c r="I1713" s="1115"/>
      <c r="J1713" s="295"/>
      <c r="K1713" s="295"/>
    </row>
    <row r="1714" spans="1:11" x14ac:dyDescent="0.2">
      <c r="A1714" s="244" t="s">
        <v>127</v>
      </c>
      <c r="B1714" s="234">
        <v>2000</v>
      </c>
      <c r="C1714" s="239">
        <v>5</v>
      </c>
      <c r="D1714" s="235" t="s">
        <v>208</v>
      </c>
      <c r="E1714" s="246"/>
      <c r="F1714" s="246"/>
      <c r="G1714" s="240"/>
      <c r="H1714" s="241"/>
      <c r="I1714" s="427">
        <f>TRUNC(C1714/100*I1711,2)</f>
        <v>14.29</v>
      </c>
    </row>
    <row r="1715" spans="1:11" x14ac:dyDescent="0.2">
      <c r="A1715" s="199"/>
      <c r="B1715" s="229"/>
      <c r="C1715" s="199"/>
      <c r="D1715" s="199"/>
      <c r="E1715" s="199"/>
      <c r="F1715" s="230" t="s">
        <v>327</v>
      </c>
      <c r="G1715" s="240"/>
      <c r="H1715" s="241"/>
      <c r="I1715" s="438">
        <f>SUM(I1714)</f>
        <v>14.29</v>
      </c>
    </row>
    <row r="1716" spans="1:11" x14ac:dyDescent="0.2">
      <c r="A1716" s="199"/>
      <c r="B1716" s="229"/>
      <c r="C1716" s="199"/>
      <c r="D1716" s="199"/>
      <c r="E1716" s="199"/>
      <c r="F1716" s="199"/>
      <c r="G1716" s="199"/>
      <c r="H1716" s="199"/>
      <c r="I1716" s="439"/>
    </row>
    <row r="1717" spans="1:11" x14ac:dyDescent="0.2">
      <c r="A1717" s="247"/>
      <c r="B1717" s="248"/>
      <c r="C1717" s="249"/>
      <c r="D1717" s="249"/>
      <c r="E1717" s="249"/>
      <c r="F1717" s="250" t="s">
        <v>193</v>
      </c>
      <c r="G1717" s="401"/>
      <c r="H1717" s="249"/>
      <c r="I1717" s="445">
        <f>+I1705+I1711+I1715</f>
        <v>409</v>
      </c>
    </row>
    <row r="1718" spans="1:11" x14ac:dyDescent="0.2">
      <c r="A1718" s="251"/>
      <c r="B1718" s="252"/>
      <c r="C1718" s="253"/>
      <c r="D1718" s="253"/>
      <c r="E1718" s="253"/>
      <c r="F1718" s="254" t="s">
        <v>194</v>
      </c>
      <c r="G1718" s="255"/>
      <c r="H1718" s="253"/>
      <c r="I1718" s="446">
        <v>1</v>
      </c>
    </row>
    <row r="1719" spans="1:11" x14ac:dyDescent="0.2">
      <c r="A1719" s="233"/>
      <c r="B1719" s="256"/>
      <c r="C1719" s="241"/>
      <c r="D1719" s="241"/>
      <c r="E1719" s="241"/>
      <c r="F1719" s="257" t="s">
        <v>216</v>
      </c>
      <c r="G1719" s="240"/>
      <c r="H1719" s="241"/>
      <c r="I1719" s="447">
        <f>TRUNC(I1717/I1718,2)</f>
        <v>409</v>
      </c>
    </row>
    <row r="1720" spans="1:11" x14ac:dyDescent="0.2">
      <c r="A1720" s="822"/>
      <c r="B1720" s="229"/>
      <c r="C1720" s="199"/>
      <c r="D1720" s="199"/>
      <c r="E1720" s="199"/>
      <c r="F1720" s="258"/>
      <c r="G1720" s="199"/>
      <c r="H1720" s="199"/>
      <c r="I1720" s="450"/>
    </row>
    <row r="1721" spans="1:11" x14ac:dyDescent="0.2">
      <c r="A1721" s="242" t="s">
        <v>195</v>
      </c>
      <c r="B1721" s="243" t="s">
        <v>59</v>
      </c>
      <c r="C1721" s="243" t="s">
        <v>196</v>
      </c>
      <c r="D1721" s="243" t="s">
        <v>217</v>
      </c>
      <c r="E1721" s="1121" t="s">
        <v>89</v>
      </c>
      <c r="F1721" s="1114"/>
      <c r="G1721" s="1115"/>
      <c r="H1721" s="1121" t="s">
        <v>183</v>
      </c>
      <c r="I1721" s="1115"/>
    </row>
    <row r="1722" spans="1:11" ht="22.5" x14ac:dyDescent="0.2">
      <c r="A1722" s="259" t="str">
        <f>VLOOKUP(B1722,mat.!$A:$D,2,FALSE)</f>
        <v>Tubo de concreto armado D=1,00m CA-1 PB</v>
      </c>
      <c r="B1722" s="234">
        <v>10226</v>
      </c>
      <c r="C1722" s="260" t="str">
        <f>VLOOKUP(B1722,mat.!$A:$D,3,FALSE)</f>
        <v>M</v>
      </c>
      <c r="D1722" s="261">
        <f>VLOOKUP(B1722,mat.!$A:$D,4,FALSE)</f>
        <v>186.23</v>
      </c>
      <c r="E1722" s="255"/>
      <c r="F1722" s="253"/>
      <c r="G1722" s="293">
        <v>3</v>
      </c>
      <c r="H1722" s="255"/>
      <c r="I1722" s="423">
        <f>TRUNC(D1722*G1722,2)</f>
        <v>558.69000000000005</v>
      </c>
    </row>
    <row r="1723" spans="1:11" x14ac:dyDescent="0.2">
      <c r="A1723" s="199"/>
      <c r="B1723" s="229"/>
      <c r="C1723" s="199"/>
      <c r="D1723" s="199"/>
      <c r="E1723" s="199"/>
      <c r="F1723" s="230" t="s">
        <v>197</v>
      </c>
      <c r="G1723" s="240"/>
      <c r="H1723" s="241"/>
      <c r="I1723" s="438">
        <f>SUM(I1722:I1722)</f>
        <v>558.69000000000005</v>
      </c>
    </row>
    <row r="1724" spans="1:11" x14ac:dyDescent="0.2">
      <c r="A1724" s="199"/>
      <c r="B1724" s="229"/>
      <c r="C1724" s="199"/>
      <c r="D1724" s="199"/>
      <c r="E1724" s="199"/>
      <c r="F1724" s="199"/>
      <c r="G1724" s="262"/>
      <c r="H1724" s="199"/>
      <c r="I1724" s="439"/>
    </row>
    <row r="1725" spans="1:11" x14ac:dyDescent="0.2">
      <c r="A1725" s="263" t="s">
        <v>198</v>
      </c>
      <c r="B1725" s="243" t="s">
        <v>59</v>
      </c>
      <c r="C1725" s="243" t="s">
        <v>196</v>
      </c>
      <c r="D1725" s="821" t="s">
        <v>217</v>
      </c>
      <c r="E1725" s="1111" t="s">
        <v>89</v>
      </c>
      <c r="F1725" s="1112"/>
      <c r="G1725" s="1113"/>
      <c r="H1725" s="1114" t="s">
        <v>183</v>
      </c>
      <c r="I1725" s="1115"/>
    </row>
    <row r="1726" spans="1:11" ht="22.5" x14ac:dyDescent="0.2">
      <c r="A1726" s="416" t="str">
        <f>VLOOKUP(B1726,'DER 11-20'!$A:$E,2,FALSE)</f>
        <v>Argamassa cimento e areia traço 1:4, tudo incluído</v>
      </c>
      <c r="B1726" s="417">
        <v>40348</v>
      </c>
      <c r="C1726" s="417" t="str">
        <f>VLOOKUP(B1726,'DER 11-20'!$A:$E,3,FALSE)</f>
        <v>M3</v>
      </c>
      <c r="D1726" s="418">
        <f>TRUNC(VLOOKUP(B1726,'DER 11-20'!$A:$F,6,FALSE)/(1+$I$4),2)</f>
        <v>449.06</v>
      </c>
      <c r="E1726" s="419"/>
      <c r="F1726" s="420"/>
      <c r="G1726" s="421">
        <v>9.6000000000000002E-2</v>
      </c>
      <c r="H1726" s="422"/>
      <c r="I1726" s="423">
        <f>TRUNC(D1726*G1726,2)</f>
        <v>43.1</v>
      </c>
    </row>
    <row r="1727" spans="1:11" x14ac:dyDescent="0.2">
      <c r="A1727" s="200"/>
      <c r="B1727" s="264"/>
      <c r="C1727" s="200"/>
      <c r="D1727" s="200"/>
      <c r="E1727" s="200"/>
      <c r="F1727" s="265" t="s">
        <v>199</v>
      </c>
      <c r="G1727" s="255"/>
      <c r="H1727" s="266"/>
      <c r="I1727" s="441">
        <f>SUM(I1726:I1726)</f>
        <v>43.1</v>
      </c>
    </row>
    <row r="1728" spans="1:11" x14ac:dyDescent="0.2">
      <c r="A1728" s="200"/>
      <c r="B1728" s="264"/>
      <c r="C1728" s="200"/>
      <c r="D1728" s="200"/>
      <c r="E1728" s="200"/>
      <c r="F1728" s="200"/>
      <c r="G1728" s="200"/>
      <c r="H1728" s="200"/>
      <c r="I1728" s="440"/>
    </row>
    <row r="1729" spans="1:12" s="198" customFormat="1" x14ac:dyDescent="0.2">
      <c r="A1729" s="267" t="s">
        <v>200</v>
      </c>
      <c r="B1729" s="268" t="s">
        <v>59</v>
      </c>
      <c r="C1729" s="268" t="s">
        <v>196</v>
      </c>
      <c r="D1729" s="268" t="s">
        <v>201</v>
      </c>
      <c r="E1729" s="268" t="s">
        <v>202</v>
      </c>
      <c r="F1729" s="268" t="s">
        <v>203</v>
      </c>
      <c r="G1729" s="268" t="s">
        <v>94</v>
      </c>
      <c r="H1729" s="268" t="s">
        <v>89</v>
      </c>
      <c r="I1729" s="442" t="s">
        <v>204</v>
      </c>
      <c r="J1729" s="400" t="s">
        <v>114</v>
      </c>
      <c r="K1729" s="415"/>
    </row>
    <row r="1730" spans="1:12" ht="22.5" x14ac:dyDescent="0.2">
      <c r="A1730" s="259" t="str">
        <f>VLOOKUP(B1730,transp.!A:D,2,FALSE)</f>
        <v>Transp. de Tubo de concreto armado D=1,00m CA-1 PB</v>
      </c>
      <c r="B1730" s="417">
        <v>1269</v>
      </c>
      <c r="C1730" s="417" t="str">
        <f>VLOOKUP(B1730,transp.!$A:$J,3,FALSE)</f>
        <v xml:space="preserve"> t  </v>
      </c>
      <c r="D1730" s="823" t="str">
        <f>VLOOKUP(B1730,transp.!$A:$J,4,FALSE)</f>
        <v>0,716XP + 0,745XR</v>
      </c>
      <c r="E1730" s="455">
        <f>VLOOKUP(J1729,Dis!$B:$F,4,FALSE)</f>
        <v>27</v>
      </c>
      <c r="F1730" s="455">
        <f>VLOOKUP(J1729,Dis!$B:$F,5,FALSE)</f>
        <v>2.34</v>
      </c>
      <c r="G1730" s="418">
        <f>TRUNC(VLOOKUP(B1730,transp.!$A:$J,5,FALSE)*E1730+VLOOKUP(B1730,transp.!$A:$J,6,FALSE)*F1730+VLOOKUP(B1730,transp.!$A:$J,7,FALSE),2)</f>
        <v>21.07</v>
      </c>
      <c r="H1730" s="456">
        <v>2.76</v>
      </c>
      <c r="I1730" s="418">
        <f>TRUNC(G1730*H1730,2)</f>
        <v>58.15</v>
      </c>
    </row>
    <row r="1731" spans="1:12" x14ac:dyDescent="0.2">
      <c r="A1731" s="200"/>
      <c r="B1731" s="264"/>
      <c r="C1731" s="200"/>
      <c r="D1731" s="200"/>
      <c r="E1731" s="200"/>
      <c r="F1731" s="265" t="s">
        <v>205</v>
      </c>
      <c r="G1731" s="240"/>
      <c r="H1731" s="272"/>
      <c r="I1731" s="443">
        <f>I1730</f>
        <v>58.15</v>
      </c>
    </row>
    <row r="1732" spans="1:12" x14ac:dyDescent="0.2">
      <c r="A1732" s="200"/>
      <c r="B1732" s="264"/>
      <c r="C1732" s="200"/>
      <c r="D1732" s="200"/>
      <c r="E1732" s="200"/>
      <c r="F1732" s="200"/>
      <c r="G1732" s="200"/>
      <c r="H1732" s="200"/>
      <c r="I1732" s="444"/>
      <c r="J1732" s="410"/>
    </row>
    <row r="1733" spans="1:12" x14ac:dyDescent="0.2">
      <c r="A1733" s="273"/>
      <c r="B1733" s="274"/>
      <c r="C1733" s="275"/>
      <c r="D1733" s="275"/>
      <c r="E1733" s="275"/>
      <c r="F1733" s="276" t="s">
        <v>206</v>
      </c>
      <c r="G1733" s="273"/>
      <c r="H1733" s="249"/>
      <c r="I1733" s="445">
        <f>+I1719+I1723+I1727+I1731</f>
        <v>1068.94</v>
      </c>
    </row>
    <row r="1734" spans="1:12" x14ac:dyDescent="0.2">
      <c r="A1734" s="255"/>
      <c r="B1734" s="277"/>
      <c r="C1734" s="266"/>
      <c r="D1734" s="266"/>
      <c r="E1734" s="266"/>
      <c r="F1734" s="278" t="str">
        <f>CONCATENATE($H$3," ",$I$3)</f>
        <v>BDI: 23,32</v>
      </c>
      <c r="G1734" s="403"/>
      <c r="H1734" s="253"/>
      <c r="I1734" s="446">
        <f>+ROUND(I1733*$I$4,2)</f>
        <v>249.28</v>
      </c>
      <c r="J1734" s="410"/>
      <c r="K1734" s="295"/>
    </row>
    <row r="1735" spans="1:12" s="198" customFormat="1" x14ac:dyDescent="0.2">
      <c r="A1735" s="240"/>
      <c r="B1735" s="279"/>
      <c r="C1735" s="272"/>
      <c r="D1735" s="272"/>
      <c r="E1735" s="272"/>
      <c r="F1735" s="280" t="s">
        <v>207</v>
      </c>
      <c r="G1735" s="404"/>
      <c r="H1735" s="241"/>
      <c r="I1735" s="720">
        <f>+I1733+I1734</f>
        <v>1318.22</v>
      </c>
      <c r="J1735" s="467"/>
    </row>
    <row r="1736" spans="1:12" s="198" customFormat="1" x14ac:dyDescent="0.2">
      <c r="A1736" s="1124" t="str">
        <f>$A$1</f>
        <v>COMPOSIÇÃO DE CUSTOS UNITÁRIOS</v>
      </c>
      <c r="B1736" s="1124"/>
      <c r="C1736" s="1124"/>
      <c r="D1736" s="1124"/>
      <c r="E1736" s="1124"/>
      <c r="F1736" s="1124"/>
      <c r="G1736" s="1124"/>
      <c r="H1736" s="1124"/>
      <c r="I1736" s="1124"/>
      <c r="J1736" s="467"/>
    </row>
    <row r="1737" spans="1:12" s="198" customFormat="1" x14ac:dyDescent="0.2">
      <c r="A1737" s="411" t="str">
        <f>$A$2</f>
        <v>Tabela Referencial de Preços - DER-ES</v>
      </c>
      <c r="B1737" s="412"/>
      <c r="C1737" s="413"/>
      <c r="D1737" s="413"/>
      <c r="E1737" s="413"/>
      <c r="F1737" s="413"/>
      <c r="G1737" s="413"/>
      <c r="H1737" s="413"/>
      <c r="I1737" s="414" t="str">
        <f>$I$2</f>
        <v>Data Base: novembro/2020</v>
      </c>
      <c r="J1737" s="493">
        <v>40504</v>
      </c>
      <c r="K1737" s="494">
        <f>VLOOKUP("Preço Unitário Total",F1738:I4626,4,FALSE)</f>
        <v>1864.87</v>
      </c>
      <c r="L1737" s="198" t="str">
        <f>VLOOKUP(J1737,'DER 11-20'!$A:$D,2,FALSE)</f>
        <v>Corpo BTTC (grota) diâmetro 1,20 m CA-1 PB exclusive escavação e reaterro, inclusive transporte do tubo</v>
      </c>
    </row>
    <row r="1738" spans="1:12" s="198" customFormat="1" ht="15" customHeight="1" x14ac:dyDescent="0.2">
      <c r="A1738" s="1119" t="str">
        <f>+CONCATENATE("Serviço: ",J1737," ",VLOOKUP(J1737,'DER 11-20'!$A:$D,2,FALSE))</f>
        <v>Serviço: 40504 Corpo BTTC (grota) diâmetro 1,20 m CA-1 PB exclusive escavação e reaterro, inclusive transporte do tubo</v>
      </c>
      <c r="B1738" s="1119"/>
      <c r="C1738" s="1119"/>
      <c r="D1738" s="1119"/>
      <c r="E1738" s="1119"/>
      <c r="F1738" s="1119"/>
      <c r="G1738" s="1119"/>
      <c r="H1738" s="1119"/>
      <c r="I1738" s="1119" t="str">
        <f>CONCATENATE("Unidade: ", VLOOKUP(J1737,'DER 11-20'!$A:$E,3,FALSE))</f>
        <v>Unidade: M</v>
      </c>
      <c r="J1738" s="467"/>
    </row>
    <row r="1739" spans="1:12" s="198" customFormat="1" x14ac:dyDescent="0.2">
      <c r="A1739" s="1120"/>
      <c r="B1739" s="1120"/>
      <c r="C1739" s="1120"/>
      <c r="D1739" s="1120"/>
      <c r="E1739" s="1120"/>
      <c r="F1739" s="1120"/>
      <c r="G1739" s="1120"/>
      <c r="H1739" s="1120"/>
      <c r="I1739" s="1120"/>
      <c r="J1739" s="467"/>
    </row>
    <row r="1740" spans="1:12" s="198" customFormat="1" ht="22.5" x14ac:dyDescent="0.2">
      <c r="A1740" s="433" t="s">
        <v>177</v>
      </c>
      <c r="B1740" s="434" t="s">
        <v>59</v>
      </c>
      <c r="C1740" s="434" t="s">
        <v>178</v>
      </c>
      <c r="D1740" s="434" t="s">
        <v>179</v>
      </c>
      <c r="E1740" s="434" t="s">
        <v>180</v>
      </c>
      <c r="F1740" s="434" t="s">
        <v>181</v>
      </c>
      <c r="G1740" s="434" t="s">
        <v>182</v>
      </c>
      <c r="H1740" s="434" t="s">
        <v>89</v>
      </c>
      <c r="I1740" s="434" t="s">
        <v>183</v>
      </c>
    </row>
    <row r="1741" spans="1:12" s="198" customFormat="1" ht="33.75" x14ac:dyDescent="0.2">
      <c r="A1741" s="449" t="str">
        <f>VLOOKUP(B1741,equip.!$A:$G,2,FALSE)</f>
        <v>Carregadeira de rodas ref. Caterpillar modelo 924H (1,9 m3) ( cab + ar ) ou equivalente</v>
      </c>
      <c r="B1741" s="417">
        <v>30023</v>
      </c>
      <c r="C1741" s="424" t="str">
        <f>VLOOKUP(B1741,equip.!$A$1:$G$239,3,FALSE)</f>
        <v>M</v>
      </c>
      <c r="D1741" s="451">
        <v>0.45</v>
      </c>
      <c r="E1741" s="452">
        <v>0.55000000000000004</v>
      </c>
      <c r="F1741" s="453">
        <f>VLOOKUP(B1741,equip.!$A:$G,6,FALSE)</f>
        <v>201.89</v>
      </c>
      <c r="G1741" s="453">
        <f>VLOOKUP(B1741,equip.!$A:$G,7,FALSE)</f>
        <v>68.959999999999994</v>
      </c>
      <c r="H1741" s="454">
        <v>1</v>
      </c>
      <c r="I1741" s="418">
        <f>TRUNC(D1741*F1741*H1741+E1741*G1741*H1741,2)</f>
        <v>128.77000000000001</v>
      </c>
      <c r="J1741" s="467"/>
    </row>
    <row r="1742" spans="1:12" s="198" customFormat="1" x14ac:dyDescent="0.2">
      <c r="A1742" s="413"/>
      <c r="B1742" s="412"/>
      <c r="C1742" s="412"/>
      <c r="D1742" s="413"/>
      <c r="E1742" s="413"/>
      <c r="F1742" s="414" t="s">
        <v>184</v>
      </c>
      <c r="G1742" s="422"/>
      <c r="H1742" s="426"/>
      <c r="I1742" s="438">
        <f>I1741</f>
        <v>128.77000000000001</v>
      </c>
      <c r="J1742" s="467"/>
    </row>
    <row r="1743" spans="1:12" s="198" customFormat="1" ht="24" customHeight="1" x14ac:dyDescent="0.2">
      <c r="A1743" s="413"/>
      <c r="B1743" s="412"/>
      <c r="C1743" s="412"/>
      <c r="D1743" s="413"/>
      <c r="E1743" s="413"/>
      <c r="F1743" s="413"/>
      <c r="G1743" s="413"/>
      <c r="H1743" s="413"/>
      <c r="I1743" s="439"/>
      <c r="J1743" s="415"/>
      <c r="K1743" s="415"/>
    </row>
    <row r="1744" spans="1:12" s="198" customFormat="1" x14ac:dyDescent="0.2">
      <c r="A1744" s="448" t="s">
        <v>185</v>
      </c>
      <c r="B1744" s="432" t="s">
        <v>59</v>
      </c>
      <c r="C1744" s="434" t="s">
        <v>357</v>
      </c>
      <c r="D1744" s="432" t="s">
        <v>187</v>
      </c>
      <c r="E1744" s="1125" t="s">
        <v>89</v>
      </c>
      <c r="F1744" s="1126"/>
      <c r="G1744" s="1127"/>
      <c r="H1744" s="1130" t="s">
        <v>183</v>
      </c>
      <c r="I1744" s="1129"/>
    </row>
    <row r="1745" spans="1:11" s="198" customFormat="1" x14ac:dyDescent="0.2">
      <c r="A1745" s="416" t="str">
        <f>VLOOKUP(B1745,m.o.!$A:$H,2,FALSE)</f>
        <v>Encarregado de O.A.C.</v>
      </c>
      <c r="B1745" s="417">
        <v>20060</v>
      </c>
      <c r="C1745" s="418">
        <f>VLOOKUP(B1745,m.o.!$A:$F,4,FALSE)</f>
        <v>2.2599999999999998</v>
      </c>
      <c r="D1745" s="418">
        <f>VLOOKUP(B1745,m.o.!$A:$G,7,FALSE)</f>
        <v>28.31</v>
      </c>
      <c r="E1745" s="419"/>
      <c r="F1745" s="420"/>
      <c r="G1745" s="421">
        <v>1.8</v>
      </c>
      <c r="H1745" s="422"/>
      <c r="I1745" s="427">
        <f>TRUNC(D1745*G1745,2)</f>
        <v>50.95</v>
      </c>
    </row>
    <row r="1746" spans="1:11" x14ac:dyDescent="0.2">
      <c r="A1746" s="416" t="str">
        <f>VLOOKUP(B1746,m.o.!$A:$H,2,FALSE)</f>
        <v>Pedreiro de O.A.C.</v>
      </c>
      <c r="B1746" s="417">
        <v>20109</v>
      </c>
      <c r="C1746" s="418">
        <f>VLOOKUP(B1746,m.o.!$A:$F,4,FALSE)</f>
        <v>1.24</v>
      </c>
      <c r="D1746" s="418">
        <f>VLOOKUP(B1746,m.o.!$A:$G,7,FALSE)</f>
        <v>15.53</v>
      </c>
      <c r="E1746" s="419"/>
      <c r="F1746" s="420"/>
      <c r="G1746" s="421">
        <v>9</v>
      </c>
      <c r="H1746" s="422"/>
      <c r="I1746" s="427">
        <f>TRUNC(D1746*G1746,2)</f>
        <v>139.77000000000001</v>
      </c>
      <c r="J1746" s="295"/>
      <c r="K1746" s="295"/>
    </row>
    <row r="1747" spans="1:11" x14ac:dyDescent="0.2">
      <c r="A1747" s="244" t="str">
        <f>VLOOKUP(B1747,m.o.!$A:$H,2,FALSE)</f>
        <v>Servente</v>
      </c>
      <c r="B1747" s="234">
        <v>20002</v>
      </c>
      <c r="C1747" s="239">
        <f>VLOOKUP(B1747,m.o.!$A:$F,4,FALSE)</f>
        <v>1</v>
      </c>
      <c r="D1747" s="239">
        <f>VLOOKUP(B1747,m.o.!$A:$G,7,FALSE)</f>
        <v>12.52</v>
      </c>
      <c r="E1747" s="255"/>
      <c r="F1747" s="253"/>
      <c r="G1747" s="293">
        <v>15</v>
      </c>
      <c r="H1747" s="240"/>
      <c r="I1747" s="427">
        <f>TRUNC(D1747*G1747,2)</f>
        <v>187.8</v>
      </c>
    </row>
    <row r="1748" spans="1:11" x14ac:dyDescent="0.2">
      <c r="A1748" s="199"/>
      <c r="B1748" s="229"/>
      <c r="C1748" s="229"/>
      <c r="D1748" s="199"/>
      <c r="E1748" s="199"/>
      <c r="F1748" s="230" t="s">
        <v>188</v>
      </c>
      <c r="G1748" s="240"/>
      <c r="H1748" s="241"/>
      <c r="I1748" s="438">
        <f>SUM(I1745:I1747)</f>
        <v>378.52</v>
      </c>
    </row>
    <row r="1749" spans="1:11" x14ac:dyDescent="0.2">
      <c r="A1749" s="199"/>
      <c r="B1749" s="229"/>
      <c r="C1749" s="229"/>
      <c r="D1749" s="199"/>
      <c r="E1749" s="199"/>
      <c r="F1749" s="199"/>
      <c r="G1749" s="199"/>
      <c r="H1749" s="199"/>
      <c r="I1749" s="439"/>
    </row>
    <row r="1750" spans="1:11" x14ac:dyDescent="0.2">
      <c r="A1750" s="245" t="s">
        <v>189</v>
      </c>
      <c r="B1750" s="243" t="s">
        <v>59</v>
      </c>
      <c r="C1750" s="821" t="s">
        <v>17</v>
      </c>
      <c r="D1750" s="243" t="s">
        <v>190</v>
      </c>
      <c r="E1750" s="243" t="s">
        <v>191</v>
      </c>
      <c r="F1750" s="243" t="s">
        <v>192</v>
      </c>
      <c r="G1750" s="1121" t="s">
        <v>94</v>
      </c>
      <c r="H1750" s="1114"/>
      <c r="I1750" s="1115"/>
      <c r="J1750" s="295"/>
      <c r="K1750" s="295"/>
    </row>
    <row r="1751" spans="1:11" x14ac:dyDescent="0.2">
      <c r="A1751" s="244" t="s">
        <v>127</v>
      </c>
      <c r="B1751" s="234">
        <v>2000</v>
      </c>
      <c r="C1751" s="239">
        <v>5</v>
      </c>
      <c r="D1751" s="235" t="s">
        <v>208</v>
      </c>
      <c r="E1751" s="246"/>
      <c r="F1751" s="246"/>
      <c r="G1751" s="240"/>
      <c r="H1751" s="241"/>
      <c r="I1751" s="427">
        <f>TRUNC(C1751/100*I1748,2)</f>
        <v>18.920000000000002</v>
      </c>
    </row>
    <row r="1752" spans="1:11" x14ac:dyDescent="0.2">
      <c r="A1752" s="199"/>
      <c r="B1752" s="229"/>
      <c r="C1752" s="199"/>
      <c r="D1752" s="199"/>
      <c r="E1752" s="199"/>
      <c r="F1752" s="230" t="s">
        <v>327</v>
      </c>
      <c r="G1752" s="240"/>
      <c r="H1752" s="241"/>
      <c r="I1752" s="438">
        <f>SUM(I1751)</f>
        <v>18.920000000000002</v>
      </c>
    </row>
    <row r="1753" spans="1:11" x14ac:dyDescent="0.2">
      <c r="A1753" s="199"/>
      <c r="B1753" s="229"/>
      <c r="C1753" s="199"/>
      <c r="D1753" s="199"/>
      <c r="E1753" s="199"/>
      <c r="F1753" s="199"/>
      <c r="G1753" s="199"/>
      <c r="H1753" s="199"/>
      <c r="I1753" s="439"/>
    </row>
    <row r="1754" spans="1:11" x14ac:dyDescent="0.2">
      <c r="A1754" s="247"/>
      <c r="B1754" s="248"/>
      <c r="C1754" s="249"/>
      <c r="D1754" s="249"/>
      <c r="E1754" s="249"/>
      <c r="F1754" s="250" t="s">
        <v>193</v>
      </c>
      <c r="G1754" s="401"/>
      <c r="H1754" s="249"/>
      <c r="I1754" s="445">
        <f>+I1742+I1748+I1752</f>
        <v>526.21</v>
      </c>
    </row>
    <row r="1755" spans="1:11" x14ac:dyDescent="0.2">
      <c r="A1755" s="251"/>
      <c r="B1755" s="252"/>
      <c r="C1755" s="253"/>
      <c r="D1755" s="253"/>
      <c r="E1755" s="253"/>
      <c r="F1755" s="254" t="s">
        <v>194</v>
      </c>
      <c r="G1755" s="255"/>
      <c r="H1755" s="253"/>
      <c r="I1755" s="446">
        <v>1</v>
      </c>
    </row>
    <row r="1756" spans="1:11" x14ac:dyDescent="0.2">
      <c r="A1756" s="233"/>
      <c r="B1756" s="256"/>
      <c r="C1756" s="241"/>
      <c r="D1756" s="241"/>
      <c r="E1756" s="241"/>
      <c r="F1756" s="257" t="s">
        <v>216</v>
      </c>
      <c r="G1756" s="240"/>
      <c r="H1756" s="241"/>
      <c r="I1756" s="447">
        <f>TRUNC(I1754/I1755,2)</f>
        <v>526.21</v>
      </c>
    </row>
    <row r="1757" spans="1:11" x14ac:dyDescent="0.2">
      <c r="A1757" s="822"/>
      <c r="B1757" s="229"/>
      <c r="C1757" s="199"/>
      <c r="D1757" s="199"/>
      <c r="E1757" s="199"/>
      <c r="F1757" s="258"/>
      <c r="G1757" s="199"/>
      <c r="H1757" s="199"/>
      <c r="I1757" s="450"/>
    </row>
    <row r="1758" spans="1:11" x14ac:dyDescent="0.2">
      <c r="A1758" s="242" t="s">
        <v>195</v>
      </c>
      <c r="B1758" s="243" t="s">
        <v>59</v>
      </c>
      <c r="C1758" s="243" t="s">
        <v>196</v>
      </c>
      <c r="D1758" s="243" t="s">
        <v>217</v>
      </c>
      <c r="E1758" s="1121" t="s">
        <v>89</v>
      </c>
      <c r="F1758" s="1114"/>
      <c r="G1758" s="1115"/>
      <c r="H1758" s="1121" t="s">
        <v>183</v>
      </c>
      <c r="I1758" s="1115"/>
    </row>
    <row r="1759" spans="1:11" ht="22.5" x14ac:dyDescent="0.2">
      <c r="A1759" s="259" t="str">
        <f>VLOOKUP(B1759,mat.!$A:$D,2,FALSE)</f>
        <v>Tubo de concreto armado D=1,20m CA-1 PB</v>
      </c>
      <c r="B1759" s="234">
        <v>10227</v>
      </c>
      <c r="C1759" s="260" t="str">
        <f>VLOOKUP(B1759,mat.!$A:$D,3,FALSE)</f>
        <v>M</v>
      </c>
      <c r="D1759" s="261">
        <f>VLOOKUP(B1759,mat.!$A:$D,4,FALSE)</f>
        <v>273.7</v>
      </c>
      <c r="E1759" s="255"/>
      <c r="F1759" s="253"/>
      <c r="G1759" s="293">
        <v>3</v>
      </c>
      <c r="H1759" s="255"/>
      <c r="I1759" s="423">
        <f>TRUNC(D1759*G1759,2)</f>
        <v>821.1</v>
      </c>
    </row>
    <row r="1760" spans="1:11" x14ac:dyDescent="0.2">
      <c r="A1760" s="199"/>
      <c r="B1760" s="229"/>
      <c r="C1760" s="199"/>
      <c r="D1760" s="199"/>
      <c r="E1760" s="199"/>
      <c r="F1760" s="230" t="s">
        <v>197</v>
      </c>
      <c r="G1760" s="240"/>
      <c r="H1760" s="241"/>
      <c r="I1760" s="438">
        <f>SUM(I1759:I1759)</f>
        <v>821.1</v>
      </c>
    </row>
    <row r="1761" spans="1:12" x14ac:dyDescent="0.2">
      <c r="A1761" s="199"/>
      <c r="B1761" s="229"/>
      <c r="C1761" s="199"/>
      <c r="D1761" s="199"/>
      <c r="E1761" s="199"/>
      <c r="F1761" s="199"/>
      <c r="G1761" s="262"/>
      <c r="H1761" s="199"/>
      <c r="I1761" s="439"/>
    </row>
    <row r="1762" spans="1:12" x14ac:dyDescent="0.2">
      <c r="A1762" s="263" t="s">
        <v>198</v>
      </c>
      <c r="B1762" s="243" t="s">
        <v>59</v>
      </c>
      <c r="C1762" s="243" t="s">
        <v>196</v>
      </c>
      <c r="D1762" s="821" t="s">
        <v>217</v>
      </c>
      <c r="E1762" s="1111" t="s">
        <v>89</v>
      </c>
      <c r="F1762" s="1112"/>
      <c r="G1762" s="1113"/>
      <c r="H1762" s="1114" t="s">
        <v>183</v>
      </c>
      <c r="I1762" s="1115"/>
    </row>
    <row r="1763" spans="1:12" ht="22.5" x14ac:dyDescent="0.2">
      <c r="A1763" s="416" t="str">
        <f>VLOOKUP(B1763,'DER 11-20'!$A:$E,2,FALSE)</f>
        <v>Argamassa cimento e areia traço 1:4, tudo incluído</v>
      </c>
      <c r="B1763" s="417">
        <v>40348</v>
      </c>
      <c r="C1763" s="417" t="str">
        <f>VLOOKUP(B1763,'DER 11-20'!$A:$E,3,FALSE)</f>
        <v>M3</v>
      </c>
      <c r="D1763" s="418">
        <f>TRUNC(VLOOKUP(B1763,'DER 11-20'!$A:$F,6,FALSE)/(1+$I$4),2)</f>
        <v>449.06</v>
      </c>
      <c r="E1763" s="419"/>
      <c r="F1763" s="420"/>
      <c r="G1763" s="421">
        <v>0.13500000000000001</v>
      </c>
      <c r="H1763" s="422"/>
      <c r="I1763" s="423">
        <f>TRUNC(D1763*G1763,2)</f>
        <v>60.62</v>
      </c>
    </row>
    <row r="1764" spans="1:12" x14ac:dyDescent="0.2">
      <c r="A1764" s="200"/>
      <c r="B1764" s="264"/>
      <c r="C1764" s="200"/>
      <c r="D1764" s="200"/>
      <c r="E1764" s="200"/>
      <c r="F1764" s="265" t="s">
        <v>199</v>
      </c>
      <c r="G1764" s="255"/>
      <c r="H1764" s="266"/>
      <c r="I1764" s="441">
        <f>SUM(I1763:I1763)</f>
        <v>60.62</v>
      </c>
    </row>
    <row r="1765" spans="1:12" x14ac:dyDescent="0.2">
      <c r="A1765" s="200"/>
      <c r="B1765" s="264"/>
      <c r="C1765" s="200"/>
      <c r="D1765" s="200"/>
      <c r="E1765" s="200"/>
      <c r="F1765" s="200"/>
      <c r="G1765" s="200"/>
      <c r="H1765" s="200"/>
      <c r="I1765" s="440"/>
    </row>
    <row r="1766" spans="1:12" s="198" customFormat="1" x14ac:dyDescent="0.2">
      <c r="A1766" s="267" t="s">
        <v>200</v>
      </c>
      <c r="B1766" s="268" t="s">
        <v>59</v>
      </c>
      <c r="C1766" s="268" t="s">
        <v>196</v>
      </c>
      <c r="D1766" s="268" t="s">
        <v>201</v>
      </c>
      <c r="E1766" s="268" t="s">
        <v>202</v>
      </c>
      <c r="F1766" s="268" t="s">
        <v>203</v>
      </c>
      <c r="G1766" s="268" t="s">
        <v>94</v>
      </c>
      <c r="H1766" s="268" t="s">
        <v>89</v>
      </c>
      <c r="I1766" s="442" t="s">
        <v>204</v>
      </c>
      <c r="J1766" s="400" t="s">
        <v>114</v>
      </c>
      <c r="K1766" s="415"/>
    </row>
    <row r="1767" spans="1:12" ht="22.5" x14ac:dyDescent="0.2">
      <c r="A1767" s="259" t="str">
        <f>VLOOKUP(B1767,transp.!A:D,2,FALSE)</f>
        <v>Transp. de Tubo de concreto armado D=1,20m CA-1 PB</v>
      </c>
      <c r="B1767" s="417">
        <v>1273</v>
      </c>
      <c r="C1767" s="417" t="str">
        <f>VLOOKUP(B1767,transp.!$A:$J,3,FALSE)</f>
        <v xml:space="preserve"> t  </v>
      </c>
      <c r="D1767" s="823" t="str">
        <f>VLOOKUP(B1767,transp.!$A:$J,4,FALSE)</f>
        <v>0,716XP + 0,745XR</v>
      </c>
      <c r="E1767" s="455">
        <f>VLOOKUP(J1766,Dis!$B:$F,4,FALSE)</f>
        <v>27</v>
      </c>
      <c r="F1767" s="455">
        <f>VLOOKUP(J1766,Dis!$B:$F,5,FALSE)</f>
        <v>2.34</v>
      </c>
      <c r="G1767" s="418">
        <f>TRUNC(VLOOKUP(B1767,transp.!$A:$J,5,FALSE)*E1767+VLOOKUP(B1767,transp.!$A:$J,6,FALSE)*F1767+VLOOKUP(B1767,transp.!$A:$J,7,FALSE),2)</f>
        <v>21.07</v>
      </c>
      <c r="H1767" s="456">
        <v>4.95</v>
      </c>
      <c r="I1767" s="418">
        <f>TRUNC(G1767*H1767,2)</f>
        <v>104.29</v>
      </c>
    </row>
    <row r="1768" spans="1:12" x14ac:dyDescent="0.2">
      <c r="A1768" s="200"/>
      <c r="B1768" s="264"/>
      <c r="C1768" s="200"/>
      <c r="D1768" s="200"/>
      <c r="E1768" s="200"/>
      <c r="F1768" s="265" t="s">
        <v>205</v>
      </c>
      <c r="G1768" s="240"/>
      <c r="H1768" s="272"/>
      <c r="I1768" s="443">
        <f>I1767</f>
        <v>104.29</v>
      </c>
    </row>
    <row r="1769" spans="1:12" x14ac:dyDescent="0.2">
      <c r="A1769" s="200"/>
      <c r="B1769" s="264"/>
      <c r="C1769" s="200"/>
      <c r="D1769" s="200"/>
      <c r="E1769" s="200"/>
      <c r="F1769" s="200"/>
      <c r="G1769" s="200"/>
      <c r="H1769" s="200"/>
      <c r="I1769" s="444"/>
      <c r="J1769" s="410"/>
    </row>
    <row r="1770" spans="1:12" x14ac:dyDescent="0.2">
      <c r="A1770" s="273"/>
      <c r="B1770" s="274"/>
      <c r="C1770" s="275"/>
      <c r="D1770" s="275"/>
      <c r="E1770" s="275"/>
      <c r="F1770" s="276" t="s">
        <v>206</v>
      </c>
      <c r="G1770" s="273"/>
      <c r="H1770" s="249"/>
      <c r="I1770" s="445">
        <f>+I1756+I1760+I1764+I1768</f>
        <v>1512.22</v>
      </c>
    </row>
    <row r="1771" spans="1:12" x14ac:dyDescent="0.2">
      <c r="A1771" s="255"/>
      <c r="B1771" s="277"/>
      <c r="C1771" s="266"/>
      <c r="D1771" s="266"/>
      <c r="E1771" s="266"/>
      <c r="F1771" s="278" t="str">
        <f>CONCATENATE($H$3," ",$I$3)</f>
        <v>BDI: 23,32</v>
      </c>
      <c r="G1771" s="403"/>
      <c r="H1771" s="253"/>
      <c r="I1771" s="446">
        <f>+ROUND(I1770*$I$4,2)</f>
        <v>352.65</v>
      </c>
      <c r="J1771" s="410"/>
      <c r="K1771" s="295"/>
    </row>
    <row r="1772" spans="1:12" s="198" customFormat="1" x14ac:dyDescent="0.2">
      <c r="A1772" s="240"/>
      <c r="B1772" s="279"/>
      <c r="C1772" s="272"/>
      <c r="D1772" s="272"/>
      <c r="E1772" s="272"/>
      <c r="F1772" s="280" t="s">
        <v>207</v>
      </c>
      <c r="G1772" s="404"/>
      <c r="H1772" s="241"/>
      <c r="I1772" s="720">
        <f>+I1770+I1771</f>
        <v>1864.87</v>
      </c>
      <c r="J1772" s="467"/>
    </row>
    <row r="1773" spans="1:12" s="198" customFormat="1" x14ac:dyDescent="0.2">
      <c r="A1773" s="1124" t="str">
        <f>$A$1</f>
        <v>COMPOSIÇÃO DE CUSTOS UNITÁRIOS</v>
      </c>
      <c r="B1773" s="1124"/>
      <c r="C1773" s="1124"/>
      <c r="D1773" s="1124"/>
      <c r="E1773" s="1124"/>
      <c r="F1773" s="1124"/>
      <c r="G1773" s="1124"/>
      <c r="H1773" s="1124"/>
      <c r="I1773" s="1124"/>
      <c r="J1773" s="467"/>
    </row>
    <row r="1774" spans="1:12" s="198" customFormat="1" x14ac:dyDescent="0.2">
      <c r="A1774" s="411" t="str">
        <f>$A$2</f>
        <v>Tabela Referencial de Preços - DER-ES</v>
      </c>
      <c r="B1774" s="412"/>
      <c r="C1774" s="413"/>
      <c r="D1774" s="413"/>
      <c r="E1774" s="413"/>
      <c r="F1774" s="413"/>
      <c r="G1774" s="413"/>
      <c r="H1774" s="413"/>
      <c r="I1774" s="414" t="str">
        <f>$I$2</f>
        <v>Data Base: novembro/2020</v>
      </c>
      <c r="J1774" s="493">
        <v>40509</v>
      </c>
      <c r="K1774" s="494">
        <f>VLOOKUP("Preço Unitário Total",F1775:I4663,4,FALSE)</f>
        <v>2538.75</v>
      </c>
      <c r="L1774" s="198" t="str">
        <f>VLOOKUP(J1774,'DER 11-20'!$A:$D,2,FALSE)</f>
        <v>Corpo BTTC (grota) diâmetro 1,50 m CA-1 PB exclusive escavação e reaterro, inclusive transporte do tubo</v>
      </c>
    </row>
    <row r="1775" spans="1:12" s="198" customFormat="1" ht="15" customHeight="1" x14ac:dyDescent="0.2">
      <c r="A1775" s="1119" t="str">
        <f>+CONCATENATE("Serviço: ",J1774," ",VLOOKUP(J1774,'DER 11-20'!$A:$D,2,FALSE))</f>
        <v>Serviço: 40509 Corpo BTTC (grota) diâmetro 1,50 m CA-1 PB exclusive escavação e reaterro, inclusive transporte do tubo</v>
      </c>
      <c r="B1775" s="1119"/>
      <c r="C1775" s="1119"/>
      <c r="D1775" s="1119"/>
      <c r="E1775" s="1119"/>
      <c r="F1775" s="1119"/>
      <c r="G1775" s="1119"/>
      <c r="H1775" s="1119"/>
      <c r="I1775" s="1119" t="str">
        <f>CONCATENATE("Unidade: ", VLOOKUP(J1774,'DER 11-20'!$A:$E,3,FALSE))</f>
        <v>Unidade: M</v>
      </c>
      <c r="J1775" s="467"/>
    </row>
    <row r="1776" spans="1:12" s="198" customFormat="1" x14ac:dyDescent="0.2">
      <c r="A1776" s="1120"/>
      <c r="B1776" s="1120"/>
      <c r="C1776" s="1120"/>
      <c r="D1776" s="1120"/>
      <c r="E1776" s="1120"/>
      <c r="F1776" s="1120"/>
      <c r="G1776" s="1120"/>
      <c r="H1776" s="1120"/>
      <c r="I1776" s="1120"/>
      <c r="J1776" s="467"/>
    </row>
    <row r="1777" spans="1:11" s="198" customFormat="1" ht="22.5" x14ac:dyDescent="0.2">
      <c r="A1777" s="433" t="s">
        <v>177</v>
      </c>
      <c r="B1777" s="434" t="s">
        <v>59</v>
      </c>
      <c r="C1777" s="434" t="s">
        <v>178</v>
      </c>
      <c r="D1777" s="434" t="s">
        <v>179</v>
      </c>
      <c r="E1777" s="434" t="s">
        <v>180</v>
      </c>
      <c r="F1777" s="434" t="s">
        <v>181</v>
      </c>
      <c r="G1777" s="434" t="s">
        <v>182</v>
      </c>
      <c r="H1777" s="434" t="s">
        <v>89</v>
      </c>
      <c r="I1777" s="434" t="s">
        <v>183</v>
      </c>
    </row>
    <row r="1778" spans="1:11" s="198" customFormat="1" ht="33.75" x14ac:dyDescent="0.2">
      <c r="A1778" s="449" t="str">
        <f>VLOOKUP(B1778,equip.!$A:$G,2,FALSE)</f>
        <v>Carregadeira de rodas ref. Caterpillar modelo 924H (1,9 m3) ( cab + ar ) ou equivalente</v>
      </c>
      <c r="B1778" s="417">
        <v>30023</v>
      </c>
      <c r="C1778" s="424" t="str">
        <f>VLOOKUP(B1778,equip.!$A$1:$G$239,3,FALSE)</f>
        <v>M</v>
      </c>
      <c r="D1778" s="451">
        <v>0.6</v>
      </c>
      <c r="E1778" s="452">
        <v>0.4</v>
      </c>
      <c r="F1778" s="453">
        <f>VLOOKUP(B1778,equip.!$A:$G,6,FALSE)</f>
        <v>201.89</v>
      </c>
      <c r="G1778" s="453">
        <f>VLOOKUP(B1778,equip.!$A:$G,7,FALSE)</f>
        <v>68.959999999999994</v>
      </c>
      <c r="H1778" s="454">
        <v>1</v>
      </c>
      <c r="I1778" s="418">
        <f>TRUNC(D1778*F1778*H1778+E1778*G1778*H1778,2)</f>
        <v>148.71</v>
      </c>
      <c r="J1778" s="467"/>
    </row>
    <row r="1779" spans="1:11" s="198" customFormat="1" x14ac:dyDescent="0.2">
      <c r="A1779" s="413"/>
      <c r="B1779" s="412"/>
      <c r="C1779" s="412"/>
      <c r="D1779" s="413"/>
      <c r="E1779" s="413"/>
      <c r="F1779" s="414" t="s">
        <v>184</v>
      </c>
      <c r="G1779" s="422"/>
      <c r="H1779" s="426"/>
      <c r="I1779" s="438">
        <f>I1778</f>
        <v>148.71</v>
      </c>
      <c r="J1779" s="467"/>
    </row>
    <row r="1780" spans="1:11" s="198" customFormat="1" ht="24" customHeight="1" x14ac:dyDescent="0.2">
      <c r="A1780" s="413"/>
      <c r="B1780" s="412"/>
      <c r="C1780" s="412"/>
      <c r="D1780" s="413"/>
      <c r="E1780" s="413"/>
      <c r="F1780" s="413"/>
      <c r="G1780" s="413"/>
      <c r="H1780" s="413"/>
      <c r="I1780" s="439"/>
      <c r="J1780" s="415"/>
      <c r="K1780" s="415"/>
    </row>
    <row r="1781" spans="1:11" s="198" customFormat="1" x14ac:dyDescent="0.2">
      <c r="A1781" s="448" t="s">
        <v>185</v>
      </c>
      <c r="B1781" s="432" t="s">
        <v>59</v>
      </c>
      <c r="C1781" s="434" t="s">
        <v>357</v>
      </c>
      <c r="D1781" s="432" t="s">
        <v>187</v>
      </c>
      <c r="E1781" s="1125" t="s">
        <v>89</v>
      </c>
      <c r="F1781" s="1126"/>
      <c r="G1781" s="1127"/>
      <c r="H1781" s="1130" t="s">
        <v>183</v>
      </c>
      <c r="I1781" s="1129"/>
    </row>
    <row r="1782" spans="1:11" s="198" customFormat="1" x14ac:dyDescent="0.2">
      <c r="A1782" s="416" t="str">
        <f>VLOOKUP(B1782,m.o.!$A:$H,2,FALSE)</f>
        <v>Encarregado de O.A.C.</v>
      </c>
      <c r="B1782" s="417">
        <v>20060</v>
      </c>
      <c r="C1782" s="418">
        <f>VLOOKUP(B1782,m.o.!$A:$F,4,FALSE)</f>
        <v>2.2599999999999998</v>
      </c>
      <c r="D1782" s="418">
        <f>VLOOKUP(B1782,m.o.!$A:$G,7,FALSE)</f>
        <v>28.31</v>
      </c>
      <c r="E1782" s="419"/>
      <c r="F1782" s="420"/>
      <c r="G1782" s="421">
        <v>2.4</v>
      </c>
      <c r="H1782" s="422"/>
      <c r="I1782" s="427">
        <f>TRUNC(D1782*G1782,2)</f>
        <v>67.94</v>
      </c>
    </row>
    <row r="1783" spans="1:11" x14ac:dyDescent="0.2">
      <c r="A1783" s="416" t="str">
        <f>VLOOKUP(B1783,m.o.!$A:$H,2,FALSE)</f>
        <v>Pedreiro de O.A.C.</v>
      </c>
      <c r="B1783" s="417">
        <v>20109</v>
      </c>
      <c r="C1783" s="418">
        <f>VLOOKUP(B1783,m.o.!$A:$F,4,FALSE)</f>
        <v>1.24</v>
      </c>
      <c r="D1783" s="418">
        <f>VLOOKUP(B1783,m.o.!$A:$G,7,FALSE)</f>
        <v>15.53</v>
      </c>
      <c r="E1783" s="419"/>
      <c r="F1783" s="420"/>
      <c r="G1783" s="421">
        <v>12</v>
      </c>
      <c r="H1783" s="422"/>
      <c r="I1783" s="427">
        <f>TRUNC(D1783*G1783,2)</f>
        <v>186.36</v>
      </c>
      <c r="J1783" s="295"/>
      <c r="K1783" s="295"/>
    </row>
    <row r="1784" spans="1:11" x14ac:dyDescent="0.2">
      <c r="A1784" s="244" t="str">
        <f>VLOOKUP(B1784,m.o.!$A:$H,2,FALSE)</f>
        <v>Servente</v>
      </c>
      <c r="B1784" s="234">
        <v>20002</v>
      </c>
      <c r="C1784" s="239">
        <f>VLOOKUP(B1784,m.o.!$A:$F,4,FALSE)</f>
        <v>1</v>
      </c>
      <c r="D1784" s="239">
        <f>VLOOKUP(B1784,m.o.!$A:$G,7,FALSE)</f>
        <v>12.52</v>
      </c>
      <c r="E1784" s="255"/>
      <c r="F1784" s="253"/>
      <c r="G1784" s="293">
        <v>18</v>
      </c>
      <c r="H1784" s="240"/>
      <c r="I1784" s="427">
        <f>TRUNC(D1784*G1784,2)</f>
        <v>225.36</v>
      </c>
    </row>
    <row r="1785" spans="1:11" x14ac:dyDescent="0.2">
      <c r="A1785" s="199"/>
      <c r="B1785" s="229"/>
      <c r="C1785" s="229"/>
      <c r="D1785" s="199"/>
      <c r="E1785" s="199"/>
      <c r="F1785" s="230" t="s">
        <v>188</v>
      </c>
      <c r="G1785" s="240"/>
      <c r="H1785" s="241"/>
      <c r="I1785" s="438">
        <f>SUM(I1782:I1784)</f>
        <v>479.66</v>
      </c>
    </row>
    <row r="1786" spans="1:11" x14ac:dyDescent="0.2">
      <c r="A1786" s="199"/>
      <c r="B1786" s="229"/>
      <c r="C1786" s="229"/>
      <c r="D1786" s="199"/>
      <c r="E1786" s="199"/>
      <c r="F1786" s="199"/>
      <c r="G1786" s="199"/>
      <c r="H1786" s="199"/>
      <c r="I1786" s="439"/>
    </row>
    <row r="1787" spans="1:11" x14ac:dyDescent="0.2">
      <c r="A1787" s="245" t="s">
        <v>189</v>
      </c>
      <c r="B1787" s="243" t="s">
        <v>59</v>
      </c>
      <c r="C1787" s="821" t="s">
        <v>17</v>
      </c>
      <c r="D1787" s="243" t="s">
        <v>190</v>
      </c>
      <c r="E1787" s="243" t="s">
        <v>191</v>
      </c>
      <c r="F1787" s="243" t="s">
        <v>192</v>
      </c>
      <c r="G1787" s="1121" t="s">
        <v>94</v>
      </c>
      <c r="H1787" s="1114"/>
      <c r="I1787" s="1115"/>
      <c r="J1787" s="295"/>
      <c r="K1787" s="295"/>
    </row>
    <row r="1788" spans="1:11" x14ac:dyDescent="0.2">
      <c r="A1788" s="244" t="s">
        <v>127</v>
      </c>
      <c r="B1788" s="234">
        <v>2000</v>
      </c>
      <c r="C1788" s="239">
        <v>5</v>
      </c>
      <c r="D1788" s="235" t="s">
        <v>208</v>
      </c>
      <c r="E1788" s="246"/>
      <c r="F1788" s="246"/>
      <c r="G1788" s="240"/>
      <c r="H1788" s="241"/>
      <c r="I1788" s="427">
        <f>TRUNC(C1788/100*I1785,2)</f>
        <v>23.98</v>
      </c>
    </row>
    <row r="1789" spans="1:11" x14ac:dyDescent="0.2">
      <c r="A1789" s="199"/>
      <c r="B1789" s="229"/>
      <c r="C1789" s="199"/>
      <c r="D1789" s="199"/>
      <c r="E1789" s="199"/>
      <c r="F1789" s="230" t="s">
        <v>327</v>
      </c>
      <c r="G1789" s="240"/>
      <c r="H1789" s="241"/>
      <c r="I1789" s="438">
        <f>SUM(I1788)</f>
        <v>23.98</v>
      </c>
    </row>
    <row r="1790" spans="1:11" x14ac:dyDescent="0.2">
      <c r="A1790" s="199"/>
      <c r="B1790" s="229"/>
      <c r="C1790" s="199"/>
      <c r="D1790" s="199"/>
      <c r="E1790" s="199"/>
      <c r="F1790" s="199"/>
      <c r="G1790" s="199"/>
      <c r="H1790" s="199"/>
      <c r="I1790" s="439"/>
    </row>
    <row r="1791" spans="1:11" x14ac:dyDescent="0.2">
      <c r="A1791" s="247"/>
      <c r="B1791" s="248"/>
      <c r="C1791" s="249"/>
      <c r="D1791" s="249"/>
      <c r="E1791" s="249"/>
      <c r="F1791" s="250" t="s">
        <v>193</v>
      </c>
      <c r="G1791" s="401"/>
      <c r="H1791" s="249"/>
      <c r="I1791" s="445">
        <f>+I1779+I1785+I1789</f>
        <v>652.35</v>
      </c>
    </row>
    <row r="1792" spans="1:11" x14ac:dyDescent="0.2">
      <c r="A1792" s="251"/>
      <c r="B1792" s="252"/>
      <c r="C1792" s="253"/>
      <c r="D1792" s="253"/>
      <c r="E1792" s="253"/>
      <c r="F1792" s="254" t="s">
        <v>194</v>
      </c>
      <c r="G1792" s="255"/>
      <c r="H1792" s="253"/>
      <c r="I1792" s="446">
        <v>1</v>
      </c>
    </row>
    <row r="1793" spans="1:11" x14ac:dyDescent="0.2">
      <c r="A1793" s="233"/>
      <c r="B1793" s="256"/>
      <c r="C1793" s="241"/>
      <c r="D1793" s="241"/>
      <c r="E1793" s="241"/>
      <c r="F1793" s="257" t="s">
        <v>216</v>
      </c>
      <c r="G1793" s="240"/>
      <c r="H1793" s="241"/>
      <c r="I1793" s="447">
        <f>TRUNC(I1791/I1792,2)</f>
        <v>652.35</v>
      </c>
    </row>
    <row r="1794" spans="1:11" x14ac:dyDescent="0.2">
      <c r="A1794" s="822"/>
      <c r="B1794" s="229"/>
      <c r="C1794" s="199"/>
      <c r="D1794" s="199"/>
      <c r="E1794" s="199"/>
      <c r="F1794" s="258"/>
      <c r="G1794" s="199"/>
      <c r="H1794" s="199"/>
      <c r="I1794" s="450"/>
    </row>
    <row r="1795" spans="1:11" x14ac:dyDescent="0.2">
      <c r="A1795" s="242" t="s">
        <v>195</v>
      </c>
      <c r="B1795" s="243" t="s">
        <v>59</v>
      </c>
      <c r="C1795" s="243" t="s">
        <v>196</v>
      </c>
      <c r="D1795" s="243" t="s">
        <v>217</v>
      </c>
      <c r="E1795" s="1121" t="s">
        <v>89</v>
      </c>
      <c r="F1795" s="1114"/>
      <c r="G1795" s="1115"/>
      <c r="H1795" s="1121" t="s">
        <v>183</v>
      </c>
      <c r="I1795" s="1115"/>
    </row>
    <row r="1796" spans="1:11" ht="22.5" x14ac:dyDescent="0.2">
      <c r="A1796" s="259" t="str">
        <f>VLOOKUP(B1796,mat.!$A:$D,2,FALSE)</f>
        <v>Tubo de concreto armado D=1,50m CA-1 PB</v>
      </c>
      <c r="B1796" s="234">
        <v>10228</v>
      </c>
      <c r="C1796" s="260" t="str">
        <f>VLOOKUP(B1796,mat.!$A:$D,3,FALSE)</f>
        <v>M</v>
      </c>
      <c r="D1796" s="261">
        <f>VLOOKUP(B1796,mat.!$A:$D,4,FALSE)</f>
        <v>396.53</v>
      </c>
      <c r="E1796" s="255"/>
      <c r="F1796" s="253"/>
      <c r="G1796" s="293">
        <v>3</v>
      </c>
      <c r="H1796" s="255"/>
      <c r="I1796" s="423">
        <f>TRUNC(D1796*G1796,2)</f>
        <v>1189.5899999999999</v>
      </c>
    </row>
    <row r="1797" spans="1:11" x14ac:dyDescent="0.2">
      <c r="A1797" s="199"/>
      <c r="B1797" s="229"/>
      <c r="C1797" s="199"/>
      <c r="D1797" s="199"/>
      <c r="E1797" s="199"/>
      <c r="F1797" s="230" t="s">
        <v>197</v>
      </c>
      <c r="G1797" s="240"/>
      <c r="H1797" s="241"/>
      <c r="I1797" s="438">
        <f>SUM(I1796:I1796)</f>
        <v>1189.5899999999999</v>
      </c>
    </row>
    <row r="1798" spans="1:11" x14ac:dyDescent="0.2">
      <c r="A1798" s="199"/>
      <c r="B1798" s="229"/>
      <c r="C1798" s="199"/>
      <c r="D1798" s="199"/>
      <c r="E1798" s="199"/>
      <c r="F1798" s="199"/>
      <c r="G1798" s="262"/>
      <c r="H1798" s="199"/>
      <c r="I1798" s="439"/>
    </row>
    <row r="1799" spans="1:11" x14ac:dyDescent="0.2">
      <c r="A1799" s="263" t="s">
        <v>198</v>
      </c>
      <c r="B1799" s="243" t="s">
        <v>59</v>
      </c>
      <c r="C1799" s="243" t="s">
        <v>196</v>
      </c>
      <c r="D1799" s="821" t="s">
        <v>217</v>
      </c>
      <c r="E1799" s="1111" t="s">
        <v>89</v>
      </c>
      <c r="F1799" s="1112"/>
      <c r="G1799" s="1113"/>
      <c r="H1799" s="1114" t="s">
        <v>183</v>
      </c>
      <c r="I1799" s="1115"/>
    </row>
    <row r="1800" spans="1:11" ht="22.5" x14ac:dyDescent="0.2">
      <c r="A1800" s="416" t="str">
        <f>VLOOKUP(B1800,'DER 11-20'!$A:$E,2,FALSE)</f>
        <v>Argamassa cimento e areia traço 1:4, tudo incluído</v>
      </c>
      <c r="B1800" s="417">
        <v>40348</v>
      </c>
      <c r="C1800" s="417" t="str">
        <f>VLOOKUP(B1800,'DER 11-20'!$A:$E,3,FALSE)</f>
        <v>M3</v>
      </c>
      <c r="D1800" s="418">
        <f>TRUNC(VLOOKUP(B1800,'DER 11-20'!$A:$F,6,FALSE)/(1+$I$4),2)</f>
        <v>449.06</v>
      </c>
      <c r="E1800" s="419"/>
      <c r="F1800" s="420"/>
      <c r="G1800" s="421">
        <v>0.18</v>
      </c>
      <c r="H1800" s="422"/>
      <c r="I1800" s="423">
        <f>TRUNC(D1800*G1800,2)</f>
        <v>80.83</v>
      </c>
    </row>
    <row r="1801" spans="1:11" x14ac:dyDescent="0.2">
      <c r="A1801" s="200"/>
      <c r="B1801" s="264"/>
      <c r="C1801" s="200"/>
      <c r="D1801" s="200"/>
      <c r="E1801" s="200"/>
      <c r="F1801" s="265" t="s">
        <v>199</v>
      </c>
      <c r="G1801" s="255"/>
      <c r="H1801" s="266"/>
      <c r="I1801" s="441">
        <f>SUM(I1800:I1800)</f>
        <v>80.83</v>
      </c>
    </row>
    <row r="1802" spans="1:11" x14ac:dyDescent="0.2">
      <c r="A1802" s="200"/>
      <c r="B1802" s="264"/>
      <c r="C1802" s="200"/>
      <c r="D1802" s="200"/>
      <c r="E1802" s="200"/>
      <c r="F1802" s="200"/>
      <c r="G1802" s="200"/>
      <c r="H1802" s="200"/>
      <c r="I1802" s="440"/>
    </row>
    <row r="1803" spans="1:11" s="198" customFormat="1" x14ac:dyDescent="0.2">
      <c r="A1803" s="267" t="s">
        <v>200</v>
      </c>
      <c r="B1803" s="268" t="s">
        <v>59</v>
      </c>
      <c r="C1803" s="268" t="s">
        <v>196</v>
      </c>
      <c r="D1803" s="268" t="s">
        <v>201</v>
      </c>
      <c r="E1803" s="268" t="s">
        <v>202</v>
      </c>
      <c r="F1803" s="268" t="s">
        <v>203</v>
      </c>
      <c r="G1803" s="268" t="s">
        <v>94</v>
      </c>
      <c r="H1803" s="268" t="s">
        <v>89</v>
      </c>
      <c r="I1803" s="442" t="s">
        <v>204</v>
      </c>
      <c r="K1803" s="415"/>
    </row>
    <row r="1804" spans="1:11" ht="22.5" x14ac:dyDescent="0.2">
      <c r="A1804" s="259" t="str">
        <f>VLOOKUP(B1804,transp.!A:D,2,FALSE)</f>
        <v>Transp. de Tubo de concreto armado D=1,50m CA-1 PB</v>
      </c>
      <c r="B1804" s="417">
        <v>1295</v>
      </c>
      <c r="C1804" s="417" t="str">
        <f>VLOOKUP(B1804,transp.!$A:$J,3,FALSE)</f>
        <v xml:space="preserve"> t  </v>
      </c>
      <c r="D1804" s="823" t="str">
        <f>VLOOKUP(B1804,transp.!$A:$J,4,FALSE)</f>
        <v>0,716XP + 0,745XR</v>
      </c>
      <c r="E1804" s="455">
        <f>VLOOKUP(J1804,Dis!$B:$F,4,FALSE)</f>
        <v>27</v>
      </c>
      <c r="F1804" s="455">
        <f>VLOOKUP(J1804,Dis!$B:$F,5,FALSE)</f>
        <v>2.34</v>
      </c>
      <c r="G1804" s="418">
        <f>TRUNC(VLOOKUP(B1804,transp.!$A:$J,5,FALSE)*E1804+VLOOKUP(B1804,transp.!$A:$J,6,FALSE)*F1804+VLOOKUP(B1804,transp.!$A:$J,7,FALSE),2)</f>
        <v>21.07</v>
      </c>
      <c r="H1804" s="456">
        <v>6.45</v>
      </c>
      <c r="I1804" s="418">
        <f>TRUNC(G1804*H1804,2)</f>
        <v>135.9</v>
      </c>
      <c r="J1804" s="400" t="s">
        <v>114</v>
      </c>
    </row>
    <row r="1805" spans="1:11" x14ac:dyDescent="0.2">
      <c r="A1805" s="200"/>
      <c r="B1805" s="264"/>
      <c r="C1805" s="200"/>
      <c r="D1805" s="200"/>
      <c r="E1805" s="200"/>
      <c r="F1805" s="265" t="s">
        <v>205</v>
      </c>
      <c r="G1805" s="240"/>
      <c r="H1805" s="272"/>
      <c r="I1805" s="443">
        <f>I1804</f>
        <v>135.9</v>
      </c>
    </row>
    <row r="1806" spans="1:11" x14ac:dyDescent="0.2">
      <c r="A1806" s="200"/>
      <c r="B1806" s="264"/>
      <c r="C1806" s="200"/>
      <c r="D1806" s="200"/>
      <c r="E1806" s="200"/>
      <c r="F1806" s="200"/>
      <c r="G1806" s="200"/>
      <c r="H1806" s="200"/>
      <c r="I1806" s="444"/>
      <c r="J1806" s="410"/>
    </row>
    <row r="1807" spans="1:11" x14ac:dyDescent="0.2">
      <c r="A1807" s="273"/>
      <c r="B1807" s="274"/>
      <c r="C1807" s="275"/>
      <c r="D1807" s="275"/>
      <c r="E1807" s="275"/>
      <c r="F1807" s="276" t="s">
        <v>206</v>
      </c>
      <c r="G1807" s="273"/>
      <c r="H1807" s="249"/>
      <c r="I1807" s="445">
        <f>+I1793+I1797+I1801+I1805</f>
        <v>2058.67</v>
      </c>
    </row>
    <row r="1808" spans="1:11" x14ac:dyDescent="0.2">
      <c r="A1808" s="255"/>
      <c r="B1808" s="277"/>
      <c r="C1808" s="266"/>
      <c r="D1808" s="266"/>
      <c r="E1808" s="266"/>
      <c r="F1808" s="278" t="str">
        <f>CONCATENATE($H$3," ",$I$3)</f>
        <v>BDI: 23,32</v>
      </c>
      <c r="G1808" s="403"/>
      <c r="H1808" s="253"/>
      <c r="I1808" s="446">
        <f>+ROUND(I1807*$I$4,2)</f>
        <v>480.08</v>
      </c>
      <c r="J1808" s="410"/>
      <c r="K1808" s="295"/>
    </row>
    <row r="1809" spans="1:12" s="198" customFormat="1" x14ac:dyDescent="0.2">
      <c r="A1809" s="240"/>
      <c r="B1809" s="279"/>
      <c r="C1809" s="272"/>
      <c r="D1809" s="272"/>
      <c r="E1809" s="272"/>
      <c r="F1809" s="280" t="s">
        <v>207</v>
      </c>
      <c r="G1809" s="404"/>
      <c r="H1809" s="241"/>
      <c r="I1809" s="720">
        <f>+I1807+I1808</f>
        <v>2538.75</v>
      </c>
      <c r="J1809" s="467"/>
    </row>
    <row r="1810" spans="1:12" s="198" customFormat="1" x14ac:dyDescent="0.2">
      <c r="A1810" s="1124" t="str">
        <f>$A$1</f>
        <v>COMPOSIÇÃO DE CUSTOS UNITÁRIOS</v>
      </c>
      <c r="B1810" s="1124"/>
      <c r="C1810" s="1124"/>
      <c r="D1810" s="1124"/>
      <c r="E1810" s="1124"/>
      <c r="F1810" s="1124"/>
      <c r="G1810" s="1124"/>
      <c r="H1810" s="1124"/>
      <c r="I1810" s="1124"/>
      <c r="J1810" s="467"/>
    </row>
    <row r="1811" spans="1:12" s="198" customFormat="1" x14ac:dyDescent="0.2">
      <c r="A1811" s="411" t="str">
        <f>$A$2</f>
        <v>Tabela Referencial de Preços - DER-ES</v>
      </c>
      <c r="B1811" s="412"/>
      <c r="C1811" s="413"/>
      <c r="D1811" s="413"/>
      <c r="E1811" s="413"/>
      <c r="F1811" s="413"/>
      <c r="G1811" s="413"/>
      <c r="H1811" s="413"/>
      <c r="I1811" s="414" t="str">
        <f>$I$2</f>
        <v>Data Base: novembro/2020</v>
      </c>
      <c r="J1811" s="493">
        <v>40574</v>
      </c>
      <c r="K1811" s="494">
        <f>VLOOKUP("Preço Unitário Total",F1812:I4700,4,FALSE)</f>
        <v>4341.59</v>
      </c>
      <c r="L1811" s="198" t="str">
        <f>VLOOKUP(J1811,'DER 11-20'!$A:$D,2,FALSE)</f>
        <v>Corpo de BSCC 2,00 x 2,00 m projeto DNIT para H &lt; = 2,50 m</v>
      </c>
    </row>
    <row r="1812" spans="1:12" s="198" customFormat="1" ht="15" customHeight="1" x14ac:dyDescent="0.2">
      <c r="A1812" s="1119" t="str">
        <f>+CONCATENATE("Serviço: ",J1811," ",VLOOKUP(J1811,'DER 11-20'!$A:$D,2,FALSE))</f>
        <v>Serviço: 40574 Corpo de BSCC 2,00 x 2,00 m projeto DNIT para H &lt; = 2,50 m</v>
      </c>
      <c r="B1812" s="1119"/>
      <c r="C1812" s="1119"/>
      <c r="D1812" s="1119"/>
      <c r="E1812" s="1119"/>
      <c r="F1812" s="1119"/>
      <c r="G1812" s="1119"/>
      <c r="H1812" s="1119"/>
      <c r="I1812" s="1119" t="str">
        <f>CONCATENATE("Unidade: ", VLOOKUP(J1811,'DER 11-20'!$A:$E,3,FALSE))</f>
        <v>Unidade: M</v>
      </c>
      <c r="J1812" s="467"/>
    </row>
    <row r="1813" spans="1:12" s="198" customFormat="1" x14ac:dyDescent="0.2">
      <c r="A1813" s="1120"/>
      <c r="B1813" s="1120"/>
      <c r="C1813" s="1120"/>
      <c r="D1813" s="1120"/>
      <c r="E1813" s="1120"/>
      <c r="F1813" s="1120"/>
      <c r="G1813" s="1120"/>
      <c r="H1813" s="1120"/>
      <c r="I1813" s="1120"/>
      <c r="J1813" s="467"/>
    </row>
    <row r="1814" spans="1:12" s="198" customFormat="1" ht="22.5" x14ac:dyDescent="0.2">
      <c r="A1814" s="433" t="s">
        <v>177</v>
      </c>
      <c r="B1814" s="434" t="s">
        <v>59</v>
      </c>
      <c r="C1814" s="434" t="s">
        <v>178</v>
      </c>
      <c r="D1814" s="434" t="s">
        <v>179</v>
      </c>
      <c r="E1814" s="434" t="s">
        <v>180</v>
      </c>
      <c r="F1814" s="434" t="s">
        <v>181</v>
      </c>
      <c r="G1814" s="434" t="s">
        <v>182</v>
      </c>
      <c r="H1814" s="434" t="s">
        <v>89</v>
      </c>
      <c r="I1814" s="434" t="s">
        <v>183</v>
      </c>
    </row>
    <row r="1815" spans="1:12" s="198" customFormat="1" ht="22.5" x14ac:dyDescent="0.2">
      <c r="A1815" s="449" t="str">
        <f>VLOOKUP(B1815,equip.!$A:$G,2,FALSE)</f>
        <v>Caminhão carroceria 815/37 PBT=8,3t (TOCO 4,0t)</v>
      </c>
      <c r="B1815" s="417">
        <v>30004</v>
      </c>
      <c r="C1815" s="424" t="str">
        <f>VLOOKUP(B1815,equip.!$A$1:$G$239,3,FALSE)</f>
        <v>M</v>
      </c>
      <c r="D1815" s="451">
        <v>1</v>
      </c>
      <c r="E1815" s="452">
        <v>0</v>
      </c>
      <c r="F1815" s="453">
        <f>VLOOKUP(B1815,equip.!$A:$G,6,FALSE)</f>
        <v>145.22</v>
      </c>
      <c r="G1815" s="453">
        <f>VLOOKUP(B1815,equip.!$A:$G,7,FALSE)</f>
        <v>43.59</v>
      </c>
      <c r="H1815" s="454">
        <v>1</v>
      </c>
      <c r="I1815" s="418">
        <f>TRUNC(D1815*F1815*H1815+E1815*G1815*H1815,2)</f>
        <v>145.22</v>
      </c>
      <c r="J1815" s="467"/>
    </row>
    <row r="1816" spans="1:12" s="198" customFormat="1" x14ac:dyDescent="0.2">
      <c r="A1816" s="413"/>
      <c r="B1816" s="412"/>
      <c r="C1816" s="412"/>
      <c r="D1816" s="413"/>
      <c r="E1816" s="413"/>
      <c r="F1816" s="414" t="s">
        <v>184</v>
      </c>
      <c r="G1816" s="422"/>
      <c r="H1816" s="426"/>
      <c r="I1816" s="438">
        <f>I1815</f>
        <v>145.22</v>
      </c>
      <c r="J1816" s="467"/>
    </row>
    <row r="1817" spans="1:12" s="198" customFormat="1" ht="24" customHeight="1" x14ac:dyDescent="0.2">
      <c r="A1817" s="413"/>
      <c r="B1817" s="412"/>
      <c r="C1817" s="412"/>
      <c r="D1817" s="413"/>
      <c r="E1817" s="413"/>
      <c r="F1817" s="413"/>
      <c r="G1817" s="413"/>
      <c r="H1817" s="413"/>
      <c r="I1817" s="439"/>
      <c r="J1817" s="415"/>
      <c r="K1817" s="415"/>
    </row>
    <row r="1818" spans="1:12" s="198" customFormat="1" x14ac:dyDescent="0.2">
      <c r="A1818" s="448" t="s">
        <v>185</v>
      </c>
      <c r="B1818" s="432" t="s">
        <v>59</v>
      </c>
      <c r="C1818" s="434" t="s">
        <v>357</v>
      </c>
      <c r="D1818" s="432" t="s">
        <v>187</v>
      </c>
      <c r="E1818" s="1125" t="s">
        <v>89</v>
      </c>
      <c r="F1818" s="1126"/>
      <c r="G1818" s="1127"/>
      <c r="H1818" s="1130" t="s">
        <v>183</v>
      </c>
      <c r="I1818" s="1129"/>
    </row>
    <row r="1819" spans="1:12" x14ac:dyDescent="0.2">
      <c r="A1819" s="199"/>
      <c r="B1819" s="229"/>
      <c r="C1819" s="229"/>
      <c r="D1819" s="199"/>
      <c r="E1819" s="199"/>
      <c r="F1819" s="230" t="s">
        <v>188</v>
      </c>
      <c r="G1819" s="240"/>
      <c r="H1819" s="241"/>
      <c r="I1819" s="438">
        <v>0</v>
      </c>
    </row>
    <row r="1820" spans="1:12" x14ac:dyDescent="0.2">
      <c r="A1820" s="199"/>
      <c r="B1820" s="229"/>
      <c r="C1820" s="229"/>
      <c r="D1820" s="199"/>
      <c r="E1820" s="199"/>
      <c r="F1820" s="199"/>
      <c r="G1820" s="199"/>
      <c r="H1820" s="199"/>
      <c r="I1820" s="439"/>
    </row>
    <row r="1821" spans="1:12" x14ac:dyDescent="0.2">
      <c r="A1821" s="245" t="s">
        <v>189</v>
      </c>
      <c r="B1821" s="243" t="s">
        <v>59</v>
      </c>
      <c r="C1821" s="821" t="s">
        <v>17</v>
      </c>
      <c r="D1821" s="243" t="s">
        <v>190</v>
      </c>
      <c r="E1821" s="243" t="s">
        <v>191</v>
      </c>
      <c r="F1821" s="243" t="s">
        <v>192</v>
      </c>
      <c r="G1821" s="1121" t="s">
        <v>94</v>
      </c>
      <c r="H1821" s="1114"/>
      <c r="I1821" s="1115"/>
      <c r="J1821" s="295"/>
      <c r="K1821" s="295"/>
    </row>
    <row r="1822" spans="1:12" x14ac:dyDescent="0.2">
      <c r="A1822" s="199"/>
      <c r="B1822" s="229"/>
      <c r="C1822" s="199"/>
      <c r="D1822" s="199"/>
      <c r="E1822" s="199"/>
      <c r="F1822" s="230" t="s">
        <v>327</v>
      </c>
      <c r="G1822" s="240"/>
      <c r="H1822" s="241"/>
      <c r="I1822" s="438">
        <v>0</v>
      </c>
    </row>
    <row r="1823" spans="1:12" x14ac:dyDescent="0.2">
      <c r="A1823" s="199"/>
      <c r="B1823" s="229"/>
      <c r="C1823" s="199"/>
      <c r="D1823" s="199"/>
      <c r="E1823" s="199"/>
      <c r="F1823" s="199"/>
      <c r="G1823" s="199"/>
      <c r="H1823" s="199"/>
      <c r="I1823" s="439"/>
    </row>
    <row r="1824" spans="1:12" x14ac:dyDescent="0.2">
      <c r="A1824" s="247"/>
      <c r="B1824" s="248"/>
      <c r="C1824" s="249"/>
      <c r="D1824" s="249"/>
      <c r="E1824" s="249"/>
      <c r="F1824" s="250" t="s">
        <v>193</v>
      </c>
      <c r="G1824" s="401"/>
      <c r="H1824" s="249"/>
      <c r="I1824" s="445">
        <f>+I1816+I1819+I1822</f>
        <v>145.22</v>
      </c>
    </row>
    <row r="1825" spans="1:17" x14ac:dyDescent="0.2">
      <c r="A1825" s="251"/>
      <c r="B1825" s="252"/>
      <c r="C1825" s="253"/>
      <c r="D1825" s="253"/>
      <c r="E1825" s="253"/>
      <c r="F1825" s="254" t="s">
        <v>194</v>
      </c>
      <c r="G1825" s="255"/>
      <c r="H1825" s="253"/>
      <c r="I1825" s="446">
        <v>1</v>
      </c>
    </row>
    <row r="1826" spans="1:17" x14ac:dyDescent="0.2">
      <c r="A1826" s="233"/>
      <c r="B1826" s="256"/>
      <c r="C1826" s="241"/>
      <c r="D1826" s="241"/>
      <c r="E1826" s="241"/>
      <c r="F1826" s="257" t="s">
        <v>216</v>
      </c>
      <c r="G1826" s="240"/>
      <c r="H1826" s="241"/>
      <c r="I1826" s="447">
        <f>TRUNC(I1824/I1825,2)</f>
        <v>145.22</v>
      </c>
    </row>
    <row r="1827" spans="1:17" x14ac:dyDescent="0.2">
      <c r="A1827" s="822"/>
      <c r="B1827" s="229"/>
      <c r="C1827" s="199"/>
      <c r="D1827" s="199"/>
      <c r="E1827" s="199"/>
      <c r="F1827" s="258"/>
      <c r="G1827" s="199"/>
      <c r="H1827" s="199"/>
      <c r="I1827" s="450"/>
    </row>
    <row r="1828" spans="1:17" x14ac:dyDescent="0.2">
      <c r="A1828" s="242" t="s">
        <v>195</v>
      </c>
      <c r="B1828" s="243" t="s">
        <v>59</v>
      </c>
      <c r="C1828" s="243" t="s">
        <v>196</v>
      </c>
      <c r="D1828" s="243" t="s">
        <v>217</v>
      </c>
      <c r="E1828" s="1121" t="s">
        <v>89</v>
      </c>
      <c r="F1828" s="1114"/>
      <c r="G1828" s="1115"/>
      <c r="H1828" s="1121" t="s">
        <v>183</v>
      </c>
      <c r="I1828" s="1115"/>
    </row>
    <row r="1829" spans="1:17" x14ac:dyDescent="0.2">
      <c r="A1829" s="199"/>
      <c r="B1829" s="229"/>
      <c r="C1829" s="199"/>
      <c r="D1829" s="199"/>
      <c r="E1829" s="199"/>
      <c r="F1829" s="230" t="s">
        <v>197</v>
      </c>
      <c r="G1829" s="240"/>
      <c r="H1829" s="241"/>
      <c r="I1829" s="438">
        <v>0</v>
      </c>
    </row>
    <row r="1830" spans="1:17" x14ac:dyDescent="0.2">
      <c r="A1830" s="199"/>
      <c r="B1830" s="229"/>
      <c r="C1830" s="199"/>
      <c r="D1830" s="199"/>
      <c r="E1830" s="199"/>
      <c r="F1830" s="199"/>
      <c r="G1830" s="262"/>
      <c r="H1830" s="199"/>
      <c r="I1830" s="439"/>
    </row>
    <row r="1831" spans="1:17" x14ac:dyDescent="0.2">
      <c r="A1831" s="263" t="s">
        <v>198</v>
      </c>
      <c r="B1831" s="243" t="s">
        <v>59</v>
      </c>
      <c r="C1831" s="243" t="s">
        <v>196</v>
      </c>
      <c r="D1831" s="821" t="s">
        <v>217</v>
      </c>
      <c r="E1831" s="1111" t="s">
        <v>89</v>
      </c>
      <c r="F1831" s="1112"/>
      <c r="G1831" s="1113"/>
      <c r="H1831" s="1114" t="s">
        <v>183</v>
      </c>
      <c r="I1831" s="1115"/>
    </row>
    <row r="1832" spans="1:17" ht="33.75" x14ac:dyDescent="0.2">
      <c r="A1832" s="416" t="str">
        <f>VLOOKUP(B1832,'DER 11-20'!$A:$E,2,FALSE)</f>
        <v>Aço CA-50, fornecimento, dobragem e colocação nas formas (preço médio das bitolas)</v>
      </c>
      <c r="B1832" s="417">
        <v>40376</v>
      </c>
      <c r="C1832" s="417" t="str">
        <f>VLOOKUP(B1832,'DER 11-20'!$A:$E,3,FALSE)</f>
        <v>kg</v>
      </c>
      <c r="D1832" s="418">
        <f>TRUNC(VLOOKUP(B1832,'DER 11-20'!$A:$F,6,FALSE)/(1+$I$4),2)</f>
        <v>10.62</v>
      </c>
      <c r="E1832" s="419"/>
      <c r="F1832" s="420"/>
      <c r="G1832" s="421">
        <v>98</v>
      </c>
      <c r="H1832" s="422"/>
      <c r="I1832" s="423">
        <f>TRUNC(D1832*G1832,2)</f>
        <v>1040.76</v>
      </c>
    </row>
    <row r="1833" spans="1:17" ht="22.5" x14ac:dyDescent="0.2">
      <c r="A1833" s="416" t="str">
        <f>VLOOKUP(B1833,'DER 11-20'!$A:$E,2,FALSE)</f>
        <v>Concreto de regularização, tudo incluído</v>
      </c>
      <c r="B1833" s="417">
        <v>40349</v>
      </c>
      <c r="C1833" s="417" t="str">
        <f>VLOOKUP(B1833,'DER 11-20'!$A:$E,3,FALSE)</f>
        <v>M3</v>
      </c>
      <c r="D1833" s="418">
        <f>TRUNC(VLOOKUP(B1833,'DER 11-20'!$A:$F,6,FALSE)/(1+$I$4),2)</f>
        <v>434.77</v>
      </c>
      <c r="E1833" s="419"/>
      <c r="F1833" s="420"/>
      <c r="G1833" s="421">
        <v>0.26</v>
      </c>
      <c r="H1833" s="422"/>
      <c r="I1833" s="423">
        <f>TRUNC(D1833*G1833,2)</f>
        <v>113.04</v>
      </c>
      <c r="J1833" s="415"/>
      <c r="K1833" s="415"/>
      <c r="L1833" s="198"/>
      <c r="M1833" s="198"/>
      <c r="N1833" s="198"/>
      <c r="O1833" s="198"/>
      <c r="P1833" s="198"/>
      <c r="Q1833" s="198"/>
    </row>
    <row r="1834" spans="1:17" ht="22.5" x14ac:dyDescent="0.2">
      <c r="A1834" s="416" t="str">
        <f>VLOOKUP(B1834,'DER 11-20'!$A:$E,2,FALSE)</f>
        <v>Concreto estrutural fck = 15,0 MPa, tudo incluído</v>
      </c>
      <c r="B1834" s="417">
        <v>40358</v>
      </c>
      <c r="C1834" s="417" t="str">
        <f>VLOOKUP(B1834,'DER 11-20'!$A:$E,3,FALSE)</f>
        <v>M3</v>
      </c>
      <c r="D1834" s="418">
        <f>TRUNC(VLOOKUP(B1834,'DER 11-20'!$A:$F,6,FALSE)/(1+$I$4),2)</f>
        <v>547.26</v>
      </c>
      <c r="E1834" s="419"/>
      <c r="F1834" s="420"/>
      <c r="G1834" s="421">
        <v>1.31</v>
      </c>
      <c r="H1834" s="422"/>
      <c r="I1834" s="423">
        <f>TRUNC(D1834*G1834,2)</f>
        <v>716.91</v>
      </c>
      <c r="J1834" s="415"/>
      <c r="K1834" s="415"/>
      <c r="L1834" s="198"/>
      <c r="M1834" s="198"/>
      <c r="N1834" s="198"/>
      <c r="O1834" s="198"/>
      <c r="P1834" s="198"/>
      <c r="Q1834" s="198"/>
    </row>
    <row r="1835" spans="1:17" ht="33.75" x14ac:dyDescent="0.2">
      <c r="A1835" s="416" t="str">
        <f>VLOOKUP(B1835,'DER 11-20'!$A:$E,2,FALSE)</f>
        <v>Escoramento e cimbramento (bueiro celular), inclusive fornecimento e transportes das madeiras</v>
      </c>
      <c r="B1835" s="417">
        <v>40328</v>
      </c>
      <c r="C1835" s="417" t="str">
        <f>VLOOKUP(B1835,'DER 11-20'!$A:$E,3,FALSE)</f>
        <v>M3</v>
      </c>
      <c r="D1835" s="418">
        <f>TRUNC(VLOOKUP(B1835,'DER 11-20'!$A:$F,6,FALSE)/(1+$I$4),2)</f>
        <v>109.1</v>
      </c>
      <c r="E1835" s="419"/>
      <c r="F1835" s="420"/>
      <c r="G1835" s="421">
        <v>4</v>
      </c>
      <c r="H1835" s="422"/>
      <c r="I1835" s="423">
        <f>TRUNC(D1835*G1835,2)</f>
        <v>436.4</v>
      </c>
      <c r="J1835" s="415"/>
      <c r="K1835" s="415"/>
      <c r="L1835" s="198"/>
      <c r="M1835" s="198"/>
      <c r="N1835" s="198"/>
      <c r="O1835" s="198"/>
      <c r="P1835" s="198"/>
      <c r="Q1835" s="198"/>
    </row>
    <row r="1836" spans="1:17" ht="45" x14ac:dyDescent="0.2">
      <c r="A1836" s="416" t="str">
        <f>VLOOKUP(B1836,'DER 11-20'!$A:$E,2,FALSE)</f>
        <v>Formas planas de madeira com 01 (um) reaproveitamento, inclusive fornecimento e transporte das madeiras</v>
      </c>
      <c r="B1836" s="417">
        <v>40311</v>
      </c>
      <c r="C1836" s="417" t="str">
        <f>VLOOKUP(B1836,'DER 11-20'!$A:$E,3,FALSE)</f>
        <v>M2</v>
      </c>
      <c r="D1836" s="418">
        <f>TRUNC(VLOOKUP(B1836,'DER 11-20'!$A:$F,6,FALSE)/(1+$I$4),2)</f>
        <v>100.78</v>
      </c>
      <c r="E1836" s="419"/>
      <c r="F1836" s="420"/>
      <c r="G1836" s="421">
        <v>10.6</v>
      </c>
      <c r="H1836" s="422"/>
      <c r="I1836" s="423">
        <f>TRUNC(D1836*G1836,2)</f>
        <v>1068.26</v>
      </c>
      <c r="J1836" s="415"/>
      <c r="K1836" s="415"/>
      <c r="L1836" s="198"/>
      <c r="M1836" s="198"/>
      <c r="N1836" s="198"/>
      <c r="O1836" s="198"/>
      <c r="P1836" s="198"/>
      <c r="Q1836" s="198"/>
    </row>
    <row r="1837" spans="1:17" x14ac:dyDescent="0.2">
      <c r="A1837" s="200"/>
      <c r="B1837" s="264"/>
      <c r="C1837" s="200"/>
      <c r="D1837" s="200"/>
      <c r="E1837" s="200"/>
      <c r="F1837" s="265" t="s">
        <v>199</v>
      </c>
      <c r="G1837" s="255"/>
      <c r="H1837" s="266"/>
      <c r="I1837" s="441">
        <f>SUM(I1832:I1836)</f>
        <v>3375.37</v>
      </c>
    </row>
    <row r="1838" spans="1:17" x14ac:dyDescent="0.2">
      <c r="A1838" s="200"/>
      <c r="B1838" s="264"/>
      <c r="C1838" s="200"/>
      <c r="D1838" s="200"/>
      <c r="E1838" s="200"/>
      <c r="F1838" s="200"/>
      <c r="G1838" s="200"/>
      <c r="H1838" s="200"/>
      <c r="I1838" s="440"/>
    </row>
    <row r="1839" spans="1:17" s="198" customFormat="1" x14ac:dyDescent="0.2">
      <c r="A1839" s="267" t="s">
        <v>200</v>
      </c>
      <c r="B1839" s="268" t="s">
        <v>59</v>
      </c>
      <c r="C1839" s="268" t="s">
        <v>196</v>
      </c>
      <c r="D1839" s="268" t="s">
        <v>201</v>
      </c>
      <c r="E1839" s="268" t="s">
        <v>202</v>
      </c>
      <c r="F1839" s="268" t="s">
        <v>203</v>
      </c>
      <c r="G1839" s="268" t="s">
        <v>94</v>
      </c>
      <c r="H1839" s="268" t="s">
        <v>89</v>
      </c>
      <c r="I1839" s="442" t="s">
        <v>204</v>
      </c>
      <c r="J1839" s="400"/>
      <c r="K1839" s="415"/>
    </row>
    <row r="1840" spans="1:17" x14ac:dyDescent="0.2">
      <c r="A1840" s="200"/>
      <c r="B1840" s="264"/>
      <c r="C1840" s="200"/>
      <c r="D1840" s="200"/>
      <c r="E1840" s="200"/>
      <c r="F1840" s="265" t="s">
        <v>205</v>
      </c>
      <c r="G1840" s="240"/>
      <c r="H1840" s="272"/>
      <c r="I1840" s="443">
        <v>0</v>
      </c>
    </row>
    <row r="1841" spans="1:17" x14ac:dyDescent="0.2">
      <c r="A1841" s="200"/>
      <c r="B1841" s="264"/>
      <c r="C1841" s="200"/>
      <c r="D1841" s="200"/>
      <c r="E1841" s="200"/>
      <c r="F1841" s="200"/>
      <c r="G1841" s="200"/>
      <c r="H1841" s="200"/>
      <c r="I1841" s="444"/>
      <c r="J1841" s="410"/>
    </row>
    <row r="1842" spans="1:17" x14ac:dyDescent="0.2">
      <c r="A1842" s="273"/>
      <c r="B1842" s="274"/>
      <c r="C1842" s="275"/>
      <c r="D1842" s="275"/>
      <c r="E1842" s="275"/>
      <c r="F1842" s="276" t="s">
        <v>206</v>
      </c>
      <c r="G1842" s="273"/>
      <c r="H1842" s="249"/>
      <c r="I1842" s="445">
        <f>+I1826+I1829+I1837+I1840</f>
        <v>3520.59</v>
      </c>
    </row>
    <row r="1843" spans="1:17" x14ac:dyDescent="0.2">
      <c r="A1843" s="255"/>
      <c r="B1843" s="277"/>
      <c r="C1843" s="266"/>
      <c r="D1843" s="266"/>
      <c r="E1843" s="266"/>
      <c r="F1843" s="278" t="str">
        <f>CONCATENATE($H$3," ",$I$3)</f>
        <v>BDI: 23,32</v>
      </c>
      <c r="G1843" s="403"/>
      <c r="H1843" s="253"/>
      <c r="I1843" s="446">
        <f>+ROUND(I1842*$I$4,2)</f>
        <v>821</v>
      </c>
      <c r="J1843" s="410"/>
      <c r="K1843" s="295"/>
    </row>
    <row r="1844" spans="1:17" s="198" customFormat="1" x14ac:dyDescent="0.2">
      <c r="A1844" s="240"/>
      <c r="B1844" s="279"/>
      <c r="C1844" s="272"/>
      <c r="D1844" s="272"/>
      <c r="E1844" s="272"/>
      <c r="F1844" s="280" t="s">
        <v>207</v>
      </c>
      <c r="G1844" s="404"/>
      <c r="H1844" s="241"/>
      <c r="I1844" s="720">
        <f>+I1842+I1843</f>
        <v>4341.59</v>
      </c>
      <c r="J1844" s="467"/>
    </row>
    <row r="1845" spans="1:17" x14ac:dyDescent="0.2">
      <c r="A1845" s="1124" t="str">
        <f>$A$1</f>
        <v>COMPOSIÇÃO DE CUSTOS UNITÁRIOS</v>
      </c>
      <c r="B1845" s="1124"/>
      <c r="C1845" s="1124"/>
      <c r="D1845" s="1124"/>
      <c r="E1845" s="1124"/>
      <c r="F1845" s="1124"/>
      <c r="G1845" s="1124"/>
      <c r="H1845" s="1124"/>
      <c r="I1845" s="1124"/>
      <c r="J1845" s="415"/>
      <c r="K1845" s="415"/>
      <c r="L1845" s="198"/>
      <c r="M1845" s="198"/>
      <c r="N1845" s="198"/>
      <c r="O1845" s="198"/>
      <c r="P1845" s="198"/>
      <c r="Q1845" s="198"/>
    </row>
    <row r="1846" spans="1:17" s="198" customFormat="1" x14ac:dyDescent="0.2">
      <c r="A1846" s="411" t="str">
        <f>$A$2</f>
        <v>Tabela Referencial de Preços - DER-ES</v>
      </c>
      <c r="B1846" s="412"/>
      <c r="C1846" s="413"/>
      <c r="D1846" s="413"/>
      <c r="E1846" s="413"/>
      <c r="F1846" s="413"/>
      <c r="G1846" s="413"/>
      <c r="H1846" s="413"/>
      <c r="I1846" s="414" t="str">
        <f>$I$2</f>
        <v>Data Base: novembro/2020</v>
      </c>
      <c r="J1846" s="415">
        <v>40578</v>
      </c>
      <c r="K1846" s="415">
        <f>VLOOKUP("Preço Unitário Total",F1848:I1879,4,FALSE)</f>
        <v>8395.4699999999993</v>
      </c>
      <c r="L1846" s="198">
        <f>VLOOKUP(J1846,'DER 11-20'!A:E,5,FALSE)</f>
        <v>0</v>
      </c>
      <c r="M1846" s="198" t="str">
        <f>VLOOKUP(J1846,'DER 11-20'!$A:$D,2,FALSE)</f>
        <v>Corpo de BSCC 3,00 x 3,00 m projeto DNIT para H &lt; = 2,50 m</v>
      </c>
    </row>
    <row r="1847" spans="1:17" s="198" customFormat="1" x14ac:dyDescent="0.2">
      <c r="A1847" s="1119" t="str">
        <f>+CONCATENATE("Serviço: ",J1846," ",VLOOKUP(J1846,'DER 11-20'!$A:$D,2,FALSE))</f>
        <v>Serviço: 40578 Corpo de BSCC 3,00 x 3,00 m projeto DNIT para H &lt; = 2,50 m</v>
      </c>
      <c r="B1847" s="1119"/>
      <c r="C1847" s="1119"/>
      <c r="D1847" s="1119"/>
      <c r="E1847" s="1119"/>
      <c r="F1847" s="1119"/>
      <c r="G1847" s="1119"/>
      <c r="H1847" s="1119"/>
      <c r="I1847" s="1119" t="str">
        <f>CONCATENATE("Unidade: ", VLOOKUP(J1846,'DER 11-20'!$A:$E,3,FALSE))</f>
        <v>Unidade: M</v>
      </c>
      <c r="J1847" s="415"/>
      <c r="K1847" s="415"/>
    </row>
    <row r="1848" spans="1:17" x14ac:dyDescent="0.2">
      <c r="A1848" s="1120"/>
      <c r="B1848" s="1120"/>
      <c r="C1848" s="1120"/>
      <c r="D1848" s="1120"/>
      <c r="E1848" s="1120"/>
      <c r="F1848" s="1120"/>
      <c r="G1848" s="1120"/>
      <c r="H1848" s="1120"/>
      <c r="I1848" s="1120"/>
    </row>
    <row r="1849" spans="1:17" ht="22.5" x14ac:dyDescent="0.2">
      <c r="A1849" s="231" t="s">
        <v>177</v>
      </c>
      <c r="B1849" s="232" t="s">
        <v>59</v>
      </c>
      <c r="C1849" s="232" t="s">
        <v>178</v>
      </c>
      <c r="D1849" s="232" t="s">
        <v>179</v>
      </c>
      <c r="E1849" s="232" t="s">
        <v>180</v>
      </c>
      <c r="F1849" s="232" t="s">
        <v>181</v>
      </c>
      <c r="G1849" s="232" t="s">
        <v>182</v>
      </c>
      <c r="H1849" s="232" t="s">
        <v>89</v>
      </c>
      <c r="I1849" s="434" t="s">
        <v>183</v>
      </c>
      <c r="J1849" s="295"/>
      <c r="K1849" s="295"/>
    </row>
    <row r="1850" spans="1:17" ht="22.5" x14ac:dyDescent="0.2">
      <c r="A1850" s="233" t="str">
        <f>VLOOKUP(B1850,equip.!$A:$G,2,FALSE)</f>
        <v>Caminhão carroceria 815/37 PBT=8,3t (TOCO 4,0t)</v>
      </c>
      <c r="B1850" s="234">
        <v>30004</v>
      </c>
      <c r="C1850" s="235" t="str">
        <f>VLOOKUP(B1850,equip.!$A$1:$G$239,3,FALSE)</f>
        <v>M</v>
      </c>
      <c r="D1850" s="236">
        <v>1</v>
      </c>
      <c r="E1850" s="203">
        <v>0</v>
      </c>
      <c r="F1850" s="237">
        <f>VLOOKUP(B1850,equip.!$A:$G,6,FALSE)</f>
        <v>145.22</v>
      </c>
      <c r="G1850" s="237">
        <f>VLOOKUP(B1850,equip.!$A:$G,7,FALSE)</f>
        <v>43.59</v>
      </c>
      <c r="H1850" s="238">
        <v>2</v>
      </c>
      <c r="I1850" s="418">
        <f>TRUNC(D1850*F1850*H1850+E1850*G1850*H1850,2)</f>
        <v>290.44</v>
      </c>
      <c r="J1850" s="295"/>
      <c r="K1850" s="295"/>
    </row>
    <row r="1851" spans="1:17" x14ac:dyDescent="0.2">
      <c r="A1851" s="199"/>
      <c r="B1851" s="229"/>
      <c r="C1851" s="229"/>
      <c r="D1851" s="199"/>
      <c r="E1851" s="199"/>
      <c r="F1851" s="230" t="s">
        <v>184</v>
      </c>
      <c r="G1851" s="240"/>
      <c r="H1851" s="241"/>
      <c r="I1851" s="438">
        <f>SUM(I1850:I1850)</f>
        <v>290.44</v>
      </c>
      <c r="J1851" s="295"/>
      <c r="K1851" s="295"/>
    </row>
    <row r="1852" spans="1:17" x14ac:dyDescent="0.2">
      <c r="A1852" s="199"/>
      <c r="B1852" s="229"/>
      <c r="C1852" s="229"/>
      <c r="D1852" s="199"/>
      <c r="E1852" s="199"/>
      <c r="F1852" s="199"/>
      <c r="G1852" s="199"/>
      <c r="H1852" s="199"/>
      <c r="I1852" s="439"/>
      <c r="J1852" s="295"/>
      <c r="K1852" s="295"/>
    </row>
    <row r="1853" spans="1:17" x14ac:dyDescent="0.2">
      <c r="A1853" s="242" t="s">
        <v>185</v>
      </c>
      <c r="B1853" s="243" t="s">
        <v>59</v>
      </c>
      <c r="C1853" s="232" t="s">
        <v>357</v>
      </c>
      <c r="D1853" s="243" t="s">
        <v>187</v>
      </c>
      <c r="E1853" s="1111" t="s">
        <v>89</v>
      </c>
      <c r="F1853" s="1112"/>
      <c r="G1853" s="1113"/>
      <c r="H1853" s="1121" t="s">
        <v>183</v>
      </c>
      <c r="I1853" s="1115"/>
      <c r="J1853" s="295"/>
      <c r="K1853" s="295"/>
    </row>
    <row r="1854" spans="1:17" x14ac:dyDescent="0.2">
      <c r="A1854" s="199"/>
      <c r="B1854" s="229"/>
      <c r="C1854" s="229"/>
      <c r="D1854" s="199"/>
      <c r="E1854" s="199"/>
      <c r="F1854" s="230" t="s">
        <v>188</v>
      </c>
      <c r="G1854" s="240"/>
      <c r="H1854" s="241"/>
      <c r="I1854" s="438">
        <v>0</v>
      </c>
      <c r="J1854" s="295"/>
      <c r="K1854" s="295"/>
      <c r="O1854" s="198"/>
    </row>
    <row r="1855" spans="1:17" x14ac:dyDescent="0.2">
      <c r="A1855" s="199"/>
      <c r="B1855" s="229"/>
      <c r="C1855" s="229"/>
      <c r="D1855" s="199"/>
      <c r="E1855" s="199"/>
      <c r="F1855" s="199"/>
      <c r="G1855" s="199"/>
      <c r="H1855" s="199"/>
      <c r="I1855" s="439"/>
      <c r="J1855" s="295"/>
      <c r="K1855" s="295"/>
      <c r="O1855" s="198"/>
    </row>
    <row r="1856" spans="1:17" x14ac:dyDescent="0.2">
      <c r="A1856" s="245" t="s">
        <v>189</v>
      </c>
      <c r="B1856" s="243" t="s">
        <v>59</v>
      </c>
      <c r="C1856" s="821" t="s">
        <v>17</v>
      </c>
      <c r="D1856" s="243" t="s">
        <v>190</v>
      </c>
      <c r="E1856" s="243" t="s">
        <v>191</v>
      </c>
      <c r="F1856" s="243" t="s">
        <v>192</v>
      </c>
      <c r="G1856" s="1121" t="s">
        <v>94</v>
      </c>
      <c r="H1856" s="1114"/>
      <c r="I1856" s="1115"/>
      <c r="J1856" s="295"/>
      <c r="K1856" s="295"/>
    </row>
    <row r="1857" spans="1:17" x14ac:dyDescent="0.2">
      <c r="A1857" s="199"/>
      <c r="B1857" s="229"/>
      <c r="C1857" s="199"/>
      <c r="D1857" s="199"/>
      <c r="E1857" s="199"/>
      <c r="F1857" s="230" t="s">
        <v>327</v>
      </c>
      <c r="G1857" s="240"/>
      <c r="H1857" s="241"/>
      <c r="I1857" s="438">
        <v>0</v>
      </c>
      <c r="J1857" s="295"/>
      <c r="K1857" s="295"/>
    </row>
    <row r="1858" spans="1:17" x14ac:dyDescent="0.2">
      <c r="A1858" s="199"/>
      <c r="B1858" s="229"/>
      <c r="C1858" s="199"/>
      <c r="D1858" s="199"/>
      <c r="E1858" s="199"/>
      <c r="F1858" s="199"/>
      <c r="G1858" s="199"/>
      <c r="H1858" s="199"/>
      <c r="I1858" s="439"/>
      <c r="J1858" s="295"/>
      <c r="K1858" s="295"/>
    </row>
    <row r="1859" spans="1:17" x14ac:dyDescent="0.2">
      <c r="A1859" s="247"/>
      <c r="B1859" s="248"/>
      <c r="C1859" s="249"/>
      <c r="D1859" s="249"/>
      <c r="E1859" s="249"/>
      <c r="F1859" s="250" t="s">
        <v>193</v>
      </c>
      <c r="G1859" s="401"/>
      <c r="H1859" s="249"/>
      <c r="I1859" s="445">
        <f>+I1851+I1854+I1857</f>
        <v>290.44</v>
      </c>
    </row>
    <row r="1860" spans="1:17" x14ac:dyDescent="0.2">
      <c r="A1860" s="251"/>
      <c r="B1860" s="252"/>
      <c r="C1860" s="253"/>
      <c r="D1860" s="253"/>
      <c r="E1860" s="253"/>
      <c r="F1860" s="254" t="s">
        <v>194</v>
      </c>
      <c r="G1860" s="255"/>
      <c r="H1860" s="253"/>
      <c r="I1860" s="446">
        <v>1</v>
      </c>
    </row>
    <row r="1861" spans="1:17" x14ac:dyDescent="0.2">
      <c r="A1861" s="233"/>
      <c r="B1861" s="256"/>
      <c r="C1861" s="241"/>
      <c r="D1861" s="241"/>
      <c r="E1861" s="241"/>
      <c r="F1861" s="257" t="s">
        <v>216</v>
      </c>
      <c r="G1861" s="240"/>
      <c r="H1861" s="241"/>
      <c r="I1861" s="447">
        <f>TRUNC(I1859/I1860,2)</f>
        <v>290.44</v>
      </c>
    </row>
    <row r="1862" spans="1:17" x14ac:dyDescent="0.2">
      <c r="A1862" s="822"/>
      <c r="B1862" s="229"/>
      <c r="C1862" s="199"/>
      <c r="D1862" s="199"/>
      <c r="E1862" s="199"/>
      <c r="F1862" s="258"/>
      <c r="G1862" s="199"/>
      <c r="H1862" s="199"/>
      <c r="I1862" s="450"/>
    </row>
    <row r="1863" spans="1:17" x14ac:dyDescent="0.2">
      <c r="A1863" s="242" t="s">
        <v>195</v>
      </c>
      <c r="B1863" s="243" t="s">
        <v>59</v>
      </c>
      <c r="C1863" s="243" t="s">
        <v>196</v>
      </c>
      <c r="D1863" s="243" t="s">
        <v>217</v>
      </c>
      <c r="E1863" s="1121" t="s">
        <v>89</v>
      </c>
      <c r="F1863" s="1114"/>
      <c r="G1863" s="1115"/>
      <c r="H1863" s="1121" t="s">
        <v>183</v>
      </c>
      <c r="I1863" s="1115"/>
    </row>
    <row r="1864" spans="1:17" x14ac:dyDescent="0.2">
      <c r="A1864" s="199"/>
      <c r="B1864" s="229"/>
      <c r="C1864" s="199"/>
      <c r="D1864" s="199"/>
      <c r="E1864" s="199"/>
      <c r="F1864" s="230" t="s">
        <v>197</v>
      </c>
      <c r="G1864" s="240"/>
      <c r="H1864" s="241"/>
      <c r="I1864" s="438">
        <v>0</v>
      </c>
    </row>
    <row r="1865" spans="1:17" x14ac:dyDescent="0.2">
      <c r="A1865" s="199"/>
      <c r="B1865" s="229"/>
      <c r="C1865" s="199"/>
      <c r="D1865" s="199"/>
      <c r="E1865" s="199"/>
      <c r="F1865" s="199"/>
      <c r="G1865" s="262"/>
      <c r="H1865" s="199"/>
      <c r="I1865" s="439"/>
    </row>
    <row r="1866" spans="1:17" x14ac:dyDescent="0.2">
      <c r="A1866" s="263" t="s">
        <v>198</v>
      </c>
      <c r="B1866" s="243" t="s">
        <v>59</v>
      </c>
      <c r="C1866" s="243" t="s">
        <v>196</v>
      </c>
      <c r="D1866" s="821" t="s">
        <v>217</v>
      </c>
      <c r="E1866" s="1111" t="s">
        <v>89</v>
      </c>
      <c r="F1866" s="1112"/>
      <c r="G1866" s="1113"/>
      <c r="H1866" s="1114" t="s">
        <v>183</v>
      </c>
      <c r="I1866" s="1115"/>
      <c r="J1866" s="415"/>
      <c r="K1866" s="415"/>
      <c r="L1866" s="198"/>
      <c r="M1866" s="198"/>
    </row>
    <row r="1867" spans="1:17" ht="33.75" x14ac:dyDescent="0.2">
      <c r="A1867" s="416" t="str">
        <f>VLOOKUP(B1867,'DER 11-20'!$A:$E,2,FALSE)</f>
        <v>Aço CA-50, fornecimento, dobragem e colocação nas formas (preço médio das bitolas)</v>
      </c>
      <c r="B1867" s="417">
        <v>40376</v>
      </c>
      <c r="C1867" s="417" t="str">
        <f>VLOOKUP(B1867,'DER 11-20'!$A:$E,3,FALSE)</f>
        <v>kg</v>
      </c>
      <c r="D1867" s="418">
        <f>TRUNC(VLOOKUP(B1867,'DER 11-20'!$A:$F,6,FALSE)/(1+$I$4),2)</f>
        <v>10.62</v>
      </c>
      <c r="E1867" s="419"/>
      <c r="F1867" s="420"/>
      <c r="G1867" s="421">
        <v>185</v>
      </c>
      <c r="H1867" s="422"/>
      <c r="I1867" s="423">
        <f>TRUNC(D1867*G1867,2)</f>
        <v>1964.7</v>
      </c>
    </row>
    <row r="1868" spans="1:17" ht="22.5" x14ac:dyDescent="0.2">
      <c r="A1868" s="416" t="str">
        <f>VLOOKUP(B1868,'DER 11-20'!$A:$E,2,FALSE)</f>
        <v>Concreto de regularização, tudo incluído</v>
      </c>
      <c r="B1868" s="417">
        <v>40349</v>
      </c>
      <c r="C1868" s="417" t="str">
        <f>VLOOKUP(B1868,'DER 11-20'!$A:$E,3,FALSE)</f>
        <v>M3</v>
      </c>
      <c r="D1868" s="418">
        <f>TRUNC(VLOOKUP(B1868,'DER 11-20'!$A:$F,6,FALSE)/(1+$I$4),2)</f>
        <v>434.77</v>
      </c>
      <c r="E1868" s="419"/>
      <c r="F1868" s="420"/>
      <c r="G1868" s="421">
        <v>0.38</v>
      </c>
      <c r="H1868" s="422"/>
      <c r="I1868" s="423">
        <f>TRUNC(D1868*G1868,2)</f>
        <v>165.21</v>
      </c>
      <c r="J1868" s="415"/>
      <c r="K1868" s="415"/>
      <c r="L1868" s="198"/>
      <c r="M1868" s="198"/>
      <c r="N1868" s="198"/>
      <c r="O1868" s="198"/>
      <c r="P1868" s="198"/>
      <c r="Q1868" s="198"/>
    </row>
    <row r="1869" spans="1:17" ht="22.5" x14ac:dyDescent="0.2">
      <c r="A1869" s="416" t="str">
        <f>VLOOKUP(B1869,'DER 11-20'!$A:$E,2,FALSE)</f>
        <v>Concreto estrutural fck = 15,0 MPa, tudo incluído</v>
      </c>
      <c r="B1869" s="417">
        <v>40358</v>
      </c>
      <c r="C1869" s="417" t="str">
        <f>VLOOKUP(B1869,'DER 11-20'!$A:$E,3,FALSE)</f>
        <v>M3</v>
      </c>
      <c r="D1869" s="418">
        <f>TRUNC(VLOOKUP(B1869,'DER 11-20'!$A:$F,6,FALSE)/(1+$I$4),2)</f>
        <v>547.26</v>
      </c>
      <c r="E1869" s="419"/>
      <c r="F1869" s="420"/>
      <c r="G1869" s="421">
        <v>3.2949999999999999</v>
      </c>
      <c r="H1869" s="422"/>
      <c r="I1869" s="423">
        <f>TRUNC(D1869*G1869,2)</f>
        <v>1803.22</v>
      </c>
      <c r="J1869" s="415"/>
      <c r="K1869" s="415"/>
      <c r="L1869" s="198"/>
      <c r="M1869" s="198"/>
      <c r="N1869" s="198"/>
      <c r="O1869" s="198"/>
      <c r="P1869" s="198"/>
      <c r="Q1869" s="198"/>
    </row>
    <row r="1870" spans="1:17" ht="33.75" x14ac:dyDescent="0.2">
      <c r="A1870" s="416" t="str">
        <f>VLOOKUP(B1870,'DER 11-20'!$A:$E,2,FALSE)</f>
        <v>Escoramento e cimbramento (bueiro celular), inclusive fornecimento e transportes das madeiras</v>
      </c>
      <c r="B1870" s="417">
        <v>40328</v>
      </c>
      <c r="C1870" s="417" t="str">
        <f>VLOOKUP(B1870,'DER 11-20'!$A:$E,3,FALSE)</f>
        <v>M3</v>
      </c>
      <c r="D1870" s="418">
        <f>TRUNC(VLOOKUP(B1870,'DER 11-20'!$A:$F,6,FALSE)/(1+$I$4),2)</f>
        <v>109.1</v>
      </c>
      <c r="E1870" s="419"/>
      <c r="F1870" s="420"/>
      <c r="G1870" s="421">
        <v>9</v>
      </c>
      <c r="H1870" s="422"/>
      <c r="I1870" s="423">
        <f>TRUNC(D1870*G1870,2)</f>
        <v>981.9</v>
      </c>
      <c r="J1870" s="415"/>
      <c r="K1870" s="415"/>
      <c r="L1870" s="198"/>
      <c r="M1870" s="198"/>
      <c r="N1870" s="198"/>
      <c r="O1870" s="198"/>
      <c r="P1870" s="198"/>
      <c r="Q1870" s="198"/>
    </row>
    <row r="1871" spans="1:17" ht="45" x14ac:dyDescent="0.2">
      <c r="A1871" s="416" t="str">
        <f>VLOOKUP(B1871,'DER 11-20'!$A:$E,2,FALSE)</f>
        <v>Formas planas de madeira com 01 (um) reaproveitamento, inclusive fornecimento e transporte das madeiras</v>
      </c>
      <c r="B1871" s="417">
        <v>40311</v>
      </c>
      <c r="C1871" s="417" t="str">
        <f>VLOOKUP(B1871,'DER 11-20'!$A:$E,3,FALSE)</f>
        <v>M2</v>
      </c>
      <c r="D1871" s="418">
        <f>TRUNC(VLOOKUP(B1871,'DER 11-20'!$A:$F,6,FALSE)/(1+$I$4),2)</f>
        <v>100.78</v>
      </c>
      <c r="E1871" s="419"/>
      <c r="F1871" s="420"/>
      <c r="G1871" s="421">
        <v>15.9</v>
      </c>
      <c r="H1871" s="422"/>
      <c r="I1871" s="423">
        <f>TRUNC(D1871*G1871,2)</f>
        <v>1602.4</v>
      </c>
      <c r="J1871" s="415"/>
      <c r="K1871" s="415"/>
      <c r="L1871" s="198"/>
      <c r="M1871" s="198"/>
      <c r="N1871" s="198"/>
      <c r="O1871" s="198"/>
      <c r="P1871" s="198"/>
      <c r="Q1871" s="198"/>
    </row>
    <row r="1872" spans="1:17" x14ac:dyDescent="0.2">
      <c r="A1872" s="200"/>
      <c r="B1872" s="264"/>
      <c r="C1872" s="200"/>
      <c r="D1872" s="200"/>
      <c r="E1872" s="200"/>
      <c r="F1872" s="265" t="s">
        <v>199</v>
      </c>
      <c r="G1872" s="255"/>
      <c r="H1872" s="266"/>
      <c r="I1872" s="441">
        <f>SUM(I1867:I1871)</f>
        <v>6517.43</v>
      </c>
      <c r="J1872" s="295"/>
    </row>
    <row r="1873" spans="1:17" ht="24" customHeight="1" x14ac:dyDescent="0.2">
      <c r="A1873" s="200"/>
      <c r="B1873" s="264"/>
      <c r="C1873" s="200"/>
      <c r="D1873" s="200"/>
      <c r="E1873" s="200"/>
      <c r="F1873" s="200"/>
      <c r="G1873" s="200"/>
      <c r="H1873" s="200"/>
      <c r="I1873" s="440"/>
      <c r="J1873" s="295"/>
    </row>
    <row r="1874" spans="1:17" x14ac:dyDescent="0.2">
      <c r="A1874" s="267" t="s">
        <v>200</v>
      </c>
      <c r="B1874" s="268" t="s">
        <v>59</v>
      </c>
      <c r="C1874" s="268" t="s">
        <v>196</v>
      </c>
      <c r="D1874" s="268" t="s">
        <v>201</v>
      </c>
      <c r="E1874" s="268" t="s">
        <v>202</v>
      </c>
      <c r="F1874" s="268" t="s">
        <v>203</v>
      </c>
      <c r="G1874" s="268" t="s">
        <v>94</v>
      </c>
      <c r="H1874" s="268" t="s">
        <v>89</v>
      </c>
      <c r="I1874" s="442" t="s">
        <v>204</v>
      </c>
      <c r="J1874" s="295"/>
    </row>
    <row r="1875" spans="1:17" x14ac:dyDescent="0.2">
      <c r="A1875" s="200"/>
      <c r="B1875" s="264"/>
      <c r="C1875" s="200"/>
      <c r="D1875" s="200"/>
      <c r="E1875" s="200"/>
      <c r="F1875" s="265" t="s">
        <v>205</v>
      </c>
      <c r="G1875" s="240"/>
      <c r="H1875" s="272"/>
      <c r="I1875" s="443">
        <v>0</v>
      </c>
    </row>
    <row r="1876" spans="1:17" x14ac:dyDescent="0.2">
      <c r="A1876" s="200"/>
      <c r="B1876" s="264"/>
      <c r="C1876" s="200"/>
      <c r="D1876" s="200"/>
      <c r="E1876" s="200"/>
      <c r="F1876" s="200"/>
      <c r="G1876" s="200"/>
      <c r="H1876" s="200"/>
      <c r="I1876" s="444"/>
      <c r="J1876" s="410"/>
    </row>
    <row r="1877" spans="1:17" x14ac:dyDescent="0.2">
      <c r="A1877" s="273"/>
      <c r="B1877" s="274"/>
      <c r="C1877" s="275"/>
      <c r="D1877" s="275"/>
      <c r="E1877" s="275"/>
      <c r="F1877" s="276" t="s">
        <v>206</v>
      </c>
      <c r="G1877" s="273"/>
      <c r="H1877" s="249"/>
      <c r="I1877" s="445">
        <f>+I1861+I1864+I1872+I1875</f>
        <v>6807.87</v>
      </c>
    </row>
    <row r="1878" spans="1:17" x14ac:dyDescent="0.2">
      <c r="A1878" s="255"/>
      <c r="B1878" s="277"/>
      <c r="C1878" s="266"/>
      <c r="D1878" s="266"/>
      <c r="E1878" s="266"/>
      <c r="F1878" s="278" t="str">
        <f>CONCATENATE($H$3," ",$I$3)</f>
        <v>BDI: 23,32</v>
      </c>
      <c r="G1878" s="403"/>
      <c r="H1878" s="253"/>
      <c r="I1878" s="446">
        <f>+ROUND(I1877*$I$4,2)</f>
        <v>1587.6</v>
      </c>
      <c r="J1878" s="410"/>
    </row>
    <row r="1879" spans="1:17" s="198" customFormat="1" x14ac:dyDescent="0.2">
      <c r="A1879" s="240"/>
      <c r="B1879" s="279"/>
      <c r="C1879" s="272"/>
      <c r="D1879" s="272"/>
      <c r="E1879" s="272"/>
      <c r="F1879" s="280" t="s">
        <v>207</v>
      </c>
      <c r="G1879" s="404"/>
      <c r="H1879" s="241"/>
      <c r="I1879" s="720">
        <f>+I1877+I1878</f>
        <v>8395.4699999999993</v>
      </c>
      <c r="J1879" s="400"/>
      <c r="K1879" s="400"/>
      <c r="L1879" s="295"/>
      <c r="M1879" s="295"/>
      <c r="N1879" s="295"/>
      <c r="O1879" s="295"/>
      <c r="P1879" s="295"/>
      <c r="Q1879" s="295"/>
    </row>
    <row r="1880" spans="1:17" x14ac:dyDescent="0.2">
      <c r="A1880" s="1116" t="str">
        <f>$A$1</f>
        <v>COMPOSIÇÃO DE CUSTOS UNITÁRIOS</v>
      </c>
      <c r="B1880" s="1116"/>
      <c r="C1880" s="1116"/>
      <c r="D1880" s="1116"/>
      <c r="E1880" s="1116"/>
      <c r="F1880" s="1116"/>
      <c r="G1880" s="1116"/>
      <c r="H1880" s="1116"/>
      <c r="I1880" s="1116"/>
    </row>
    <row r="1881" spans="1:17" x14ac:dyDescent="0.2">
      <c r="A1881" s="228" t="str">
        <f>$A$2</f>
        <v>Tabela Referencial de Preços - DER-ES</v>
      </c>
      <c r="B1881" s="229"/>
      <c r="C1881" s="199"/>
      <c r="D1881" s="199"/>
      <c r="E1881" s="199"/>
      <c r="F1881" s="199"/>
      <c r="G1881" s="199"/>
      <c r="H1881" s="199"/>
      <c r="I1881" s="414" t="str">
        <f>$I$2</f>
        <v>Data Base: novembro/2020</v>
      </c>
    </row>
    <row r="1882" spans="1:17" x14ac:dyDescent="0.2">
      <c r="A1882" s="1117" t="str">
        <f>+CONCATENATE("Serviço: ",J1882," ",VLOOKUP(J1882,'DER 11-20'!$A:$D,2,FALSE))</f>
        <v>Serviço: 40515 Berço de concreto ciclópico para BSTC diâmetro 0,80 m</v>
      </c>
      <c r="B1882" s="1117"/>
      <c r="C1882" s="1117"/>
      <c r="D1882" s="1117"/>
      <c r="E1882" s="1117"/>
      <c r="F1882" s="1117"/>
      <c r="G1882" s="1117"/>
      <c r="H1882" s="1117"/>
      <c r="I1882" s="1119" t="str">
        <f>CONCATENATE("Unidade: ", VLOOKUP(J1882,'DER 11-20'!$A:$E,3,FALSE))</f>
        <v>Unidade: M</v>
      </c>
      <c r="J1882" s="400">
        <v>40515</v>
      </c>
      <c r="K1882" s="400">
        <f>VLOOKUP("Preço Unitário Total",F1883:I4334,4,FALSE)</f>
        <v>280.89999999999998</v>
      </c>
      <c r="L1882" s="295" t="str">
        <f>VLOOKUP(J1882,'DER 11-20'!A:E,5,FALSE)</f>
        <v>A incluir</v>
      </c>
      <c r="M1882" s="295" t="str">
        <f>VLOOKUP(J1882,'DER 11-20'!$A:$D,2,FALSE)</f>
        <v>Berço de concreto ciclópico para BSTC diâmetro 0,80 m</v>
      </c>
    </row>
    <row r="1883" spans="1:17" x14ac:dyDescent="0.2">
      <c r="A1883" s="1118"/>
      <c r="B1883" s="1118"/>
      <c r="C1883" s="1118"/>
      <c r="D1883" s="1118"/>
      <c r="E1883" s="1118"/>
      <c r="F1883" s="1118"/>
      <c r="G1883" s="1118"/>
      <c r="H1883" s="1118"/>
      <c r="I1883" s="1120"/>
    </row>
    <row r="1884" spans="1:17" ht="22.5" x14ac:dyDescent="0.2">
      <c r="A1884" s="231" t="s">
        <v>177</v>
      </c>
      <c r="B1884" s="232" t="s">
        <v>59</v>
      </c>
      <c r="C1884" s="232" t="s">
        <v>178</v>
      </c>
      <c r="D1884" s="232" t="s">
        <v>179</v>
      </c>
      <c r="E1884" s="232" t="s">
        <v>180</v>
      </c>
      <c r="F1884" s="232" t="s">
        <v>181</v>
      </c>
      <c r="G1884" s="232" t="s">
        <v>182</v>
      </c>
      <c r="H1884" s="232" t="s">
        <v>89</v>
      </c>
      <c r="I1884" s="434" t="s">
        <v>183</v>
      </c>
    </row>
    <row r="1885" spans="1:17" x14ac:dyDescent="0.2">
      <c r="A1885" s="233"/>
      <c r="B1885" s="234"/>
      <c r="C1885" s="235"/>
      <c r="D1885" s="236"/>
      <c r="E1885" s="203"/>
      <c r="F1885" s="237"/>
      <c r="G1885" s="237"/>
      <c r="H1885" s="238"/>
      <c r="I1885" s="418"/>
    </row>
    <row r="1886" spans="1:17" x14ac:dyDescent="0.2">
      <c r="A1886" s="199"/>
      <c r="B1886" s="229"/>
      <c r="C1886" s="229"/>
      <c r="D1886" s="199"/>
      <c r="E1886" s="199"/>
      <c r="F1886" s="230" t="s">
        <v>184</v>
      </c>
      <c r="G1886" s="240"/>
      <c r="H1886" s="241"/>
      <c r="I1886" s="438">
        <f>SUM(I1885:I1885)</f>
        <v>0</v>
      </c>
    </row>
    <row r="1887" spans="1:17" x14ac:dyDescent="0.2">
      <c r="A1887" s="199"/>
      <c r="B1887" s="229"/>
      <c r="C1887" s="229"/>
      <c r="D1887" s="199"/>
      <c r="E1887" s="199"/>
      <c r="F1887" s="199"/>
      <c r="G1887" s="199"/>
      <c r="H1887" s="199"/>
      <c r="I1887" s="439"/>
    </row>
    <row r="1888" spans="1:17" x14ac:dyDescent="0.2">
      <c r="A1888" s="242" t="s">
        <v>185</v>
      </c>
      <c r="B1888" s="243" t="s">
        <v>59</v>
      </c>
      <c r="C1888" s="232" t="s">
        <v>357</v>
      </c>
      <c r="D1888" s="243" t="s">
        <v>187</v>
      </c>
      <c r="E1888" s="1121" t="s">
        <v>89</v>
      </c>
      <c r="F1888" s="1114"/>
      <c r="G1888" s="1115"/>
      <c r="H1888" s="1121" t="s">
        <v>183</v>
      </c>
      <c r="I1888" s="1115"/>
    </row>
    <row r="1889" spans="1:11" x14ac:dyDescent="0.2">
      <c r="A1889" s="244"/>
      <c r="B1889" s="234"/>
      <c r="C1889" s="239"/>
      <c r="D1889" s="239"/>
      <c r="E1889" s="255"/>
      <c r="F1889" s="253"/>
      <c r="G1889" s="293"/>
      <c r="H1889" s="240"/>
      <c r="I1889" s="427"/>
      <c r="J1889" s="295"/>
      <c r="K1889" s="295"/>
    </row>
    <row r="1890" spans="1:11" x14ac:dyDescent="0.2">
      <c r="A1890" s="199"/>
      <c r="B1890" s="229"/>
      <c r="C1890" s="229"/>
      <c r="D1890" s="199"/>
      <c r="E1890" s="199"/>
      <c r="F1890" s="230" t="s">
        <v>188</v>
      </c>
      <c r="G1890" s="240"/>
      <c r="H1890" s="241"/>
      <c r="I1890" s="438">
        <f>SUM(I1889:I1889)</f>
        <v>0</v>
      </c>
      <c r="J1890" s="295"/>
      <c r="K1890" s="295"/>
    </row>
    <row r="1891" spans="1:11" x14ac:dyDescent="0.2">
      <c r="A1891" s="199"/>
      <c r="B1891" s="229"/>
      <c r="C1891" s="229"/>
      <c r="D1891" s="199"/>
      <c r="E1891" s="199"/>
      <c r="F1891" s="199"/>
      <c r="G1891" s="199"/>
      <c r="H1891" s="199"/>
      <c r="I1891" s="439"/>
      <c r="J1891" s="295"/>
      <c r="K1891" s="295"/>
    </row>
    <row r="1892" spans="1:11" x14ac:dyDescent="0.2">
      <c r="A1892" s="263" t="s">
        <v>189</v>
      </c>
      <c r="B1892" s="243" t="s">
        <v>59</v>
      </c>
      <c r="C1892" s="635" t="s">
        <v>17</v>
      </c>
      <c r="D1892" s="243" t="s">
        <v>190</v>
      </c>
      <c r="E1892" s="243" t="s">
        <v>191</v>
      </c>
      <c r="F1892" s="243" t="s">
        <v>192</v>
      </c>
      <c r="G1892" s="1121" t="s">
        <v>94</v>
      </c>
      <c r="H1892" s="1114"/>
      <c r="I1892" s="1115"/>
      <c r="J1892" s="295"/>
      <c r="K1892" s="295"/>
    </row>
    <row r="1893" spans="1:11" x14ac:dyDescent="0.2">
      <c r="A1893" s="244"/>
      <c r="B1893" s="234"/>
      <c r="C1893" s="239"/>
      <c r="D1893" s="235"/>
      <c r="E1893" s="246"/>
      <c r="F1893" s="246"/>
      <c r="G1893" s="240"/>
      <c r="H1893" s="241"/>
      <c r="I1893" s="427"/>
      <c r="J1893" s="295"/>
      <c r="K1893" s="295"/>
    </row>
    <row r="1894" spans="1:11" x14ac:dyDescent="0.2">
      <c r="A1894" s="199"/>
      <c r="B1894" s="229"/>
      <c r="C1894" s="199"/>
      <c r="D1894" s="199"/>
      <c r="E1894" s="199"/>
      <c r="F1894" s="230" t="s">
        <v>327</v>
      </c>
      <c r="G1894" s="240"/>
      <c r="H1894" s="241"/>
      <c r="I1894" s="438">
        <f>SUM(I1893)</f>
        <v>0</v>
      </c>
      <c r="J1894" s="295"/>
      <c r="K1894" s="295"/>
    </row>
    <row r="1895" spans="1:11" x14ac:dyDescent="0.2">
      <c r="A1895" s="199"/>
      <c r="B1895" s="229"/>
      <c r="C1895" s="199"/>
      <c r="D1895" s="199"/>
      <c r="E1895" s="199"/>
      <c r="F1895" s="199"/>
      <c r="G1895" s="199"/>
      <c r="H1895" s="199"/>
      <c r="I1895" s="439"/>
      <c r="J1895" s="295"/>
      <c r="K1895" s="295"/>
    </row>
    <row r="1896" spans="1:11" x14ac:dyDescent="0.2">
      <c r="A1896" s="247"/>
      <c r="B1896" s="248"/>
      <c r="C1896" s="249"/>
      <c r="D1896" s="249"/>
      <c r="E1896" s="249"/>
      <c r="F1896" s="250" t="s">
        <v>193</v>
      </c>
      <c r="G1896" s="401"/>
      <c r="H1896" s="249"/>
      <c r="I1896" s="445">
        <f>+I1886+I1890+I1894</f>
        <v>0</v>
      </c>
      <c r="J1896" s="295"/>
      <c r="K1896" s="295"/>
    </row>
    <row r="1897" spans="1:11" x14ac:dyDescent="0.2">
      <c r="A1897" s="251"/>
      <c r="B1897" s="252"/>
      <c r="C1897" s="253"/>
      <c r="D1897" s="253"/>
      <c r="E1897" s="253"/>
      <c r="F1897" s="254" t="s">
        <v>194</v>
      </c>
      <c r="G1897" s="255"/>
      <c r="H1897" s="253"/>
      <c r="I1897" s="446">
        <v>1</v>
      </c>
      <c r="J1897" s="295"/>
      <c r="K1897" s="295"/>
    </row>
    <row r="1898" spans="1:11" x14ac:dyDescent="0.2">
      <c r="A1898" s="233"/>
      <c r="B1898" s="256"/>
      <c r="C1898" s="241"/>
      <c r="D1898" s="241"/>
      <c r="E1898" s="241"/>
      <c r="F1898" s="257" t="s">
        <v>216</v>
      </c>
      <c r="G1898" s="240"/>
      <c r="H1898" s="241"/>
      <c r="I1898" s="447">
        <f>TRUNC(I1896/I1897,2)</f>
        <v>0</v>
      </c>
      <c r="J1898" s="295"/>
      <c r="K1898" s="295"/>
    </row>
    <row r="1899" spans="1:11" x14ac:dyDescent="0.2">
      <c r="A1899" s="636"/>
      <c r="B1899" s="229"/>
      <c r="C1899" s="199"/>
      <c r="D1899" s="199"/>
      <c r="E1899" s="199"/>
      <c r="F1899" s="258"/>
      <c r="G1899" s="199"/>
      <c r="H1899" s="199"/>
      <c r="I1899" s="450"/>
      <c r="J1899" s="295"/>
      <c r="K1899" s="295"/>
    </row>
    <row r="1900" spans="1:11" x14ac:dyDescent="0.2">
      <c r="A1900" s="242" t="s">
        <v>195</v>
      </c>
      <c r="B1900" s="243" t="s">
        <v>59</v>
      </c>
      <c r="C1900" s="243" t="s">
        <v>196</v>
      </c>
      <c r="D1900" s="243" t="s">
        <v>217</v>
      </c>
      <c r="E1900" s="1121" t="s">
        <v>89</v>
      </c>
      <c r="F1900" s="1114"/>
      <c r="G1900" s="1115"/>
      <c r="H1900" s="1121" t="s">
        <v>183</v>
      </c>
      <c r="I1900" s="1115"/>
      <c r="J1900" s="295"/>
      <c r="K1900" s="295"/>
    </row>
    <row r="1901" spans="1:11" x14ac:dyDescent="0.2">
      <c r="A1901" s="259"/>
      <c r="B1901" s="234"/>
      <c r="C1901" s="260"/>
      <c r="D1901" s="261"/>
      <c r="E1901" s="255"/>
      <c r="F1901" s="253"/>
      <c r="G1901" s="293"/>
      <c r="H1901" s="255"/>
      <c r="I1901" s="423"/>
      <c r="J1901" s="295"/>
      <c r="K1901" s="295"/>
    </row>
    <row r="1902" spans="1:11" x14ac:dyDescent="0.2">
      <c r="A1902" s="199"/>
      <c r="B1902" s="229"/>
      <c r="C1902" s="199"/>
      <c r="D1902" s="199"/>
      <c r="E1902" s="199"/>
      <c r="F1902" s="230" t="s">
        <v>197</v>
      </c>
      <c r="G1902" s="240"/>
      <c r="H1902" s="241"/>
      <c r="I1902" s="438">
        <f>SUM(I1901:I1901)</f>
        <v>0</v>
      </c>
      <c r="J1902" s="295"/>
      <c r="K1902" s="295"/>
    </row>
    <row r="1903" spans="1:11" x14ac:dyDescent="0.2">
      <c r="A1903" s="199"/>
      <c r="B1903" s="229"/>
      <c r="C1903" s="199"/>
      <c r="D1903" s="199"/>
      <c r="E1903" s="199"/>
      <c r="F1903" s="199"/>
      <c r="G1903" s="262"/>
      <c r="H1903" s="199"/>
      <c r="I1903" s="439"/>
      <c r="J1903" s="295"/>
      <c r="K1903" s="295"/>
    </row>
    <row r="1904" spans="1:11" x14ac:dyDescent="0.2">
      <c r="A1904" s="263" t="s">
        <v>198</v>
      </c>
      <c r="B1904" s="243" t="s">
        <v>59</v>
      </c>
      <c r="C1904" s="243" t="s">
        <v>196</v>
      </c>
      <c r="D1904" s="635" t="s">
        <v>217</v>
      </c>
      <c r="E1904" s="1121" t="s">
        <v>89</v>
      </c>
      <c r="F1904" s="1114"/>
      <c r="G1904" s="1115"/>
      <c r="H1904" s="1121" t="s">
        <v>183</v>
      </c>
      <c r="I1904" s="1115"/>
      <c r="J1904" s="295"/>
      <c r="K1904" s="295"/>
    </row>
    <row r="1905" spans="1:13" s="198" customFormat="1" ht="33.75" x14ac:dyDescent="0.2">
      <c r="A1905" s="416" t="str">
        <f>VLOOKUP(B1905,'DER 11-20'!$A:$E,2,FALSE)</f>
        <v>Concreto ciclópico com 70% concreto 15,0 MPa e 30% de pedra de mão, tudo incluído</v>
      </c>
      <c r="B1905" s="417">
        <v>40351</v>
      </c>
      <c r="C1905" s="417" t="str">
        <f>VLOOKUP(B1905,'DER 11-20'!$A:$E,3,FALSE)</f>
        <v>M3</v>
      </c>
      <c r="D1905" s="418">
        <f>TRUNC(VLOOKUP(B1905,'DER 11-20'!$A:$F,6,FALSE)/(1+$I$4),2)</f>
        <v>423.27</v>
      </c>
      <c r="E1905" s="419"/>
      <c r="F1905" s="420"/>
      <c r="G1905" s="421">
        <v>0.38600000000000001</v>
      </c>
      <c r="H1905" s="422"/>
      <c r="I1905" s="423">
        <f>TRUNC(D1905*G1905,2)</f>
        <v>163.38</v>
      </c>
      <c r="J1905" s="415"/>
      <c r="K1905" s="415"/>
    </row>
    <row r="1906" spans="1:13" s="198" customFormat="1" ht="45" x14ac:dyDescent="0.2">
      <c r="A1906" s="416" t="str">
        <f>VLOOKUP(B1906,'DER 11-20'!$A:$E,2,FALSE)</f>
        <v>Formas planas de madeira com 04 (quatro) reaproveitamentos, inclusive fornecimento e transporte das madeiras</v>
      </c>
      <c r="B1906" s="417">
        <v>40313</v>
      </c>
      <c r="C1906" s="417" t="str">
        <f>VLOOKUP(B1906,'DER 11-20'!$A:$E,3,FALSE)</f>
        <v>M2</v>
      </c>
      <c r="D1906" s="418">
        <f>TRUNC(VLOOKUP(B1906,'DER 11-20'!$A:$F,6,FALSE)/(1+$I$4),2)</f>
        <v>71.56</v>
      </c>
      <c r="E1906" s="419"/>
      <c r="F1906" s="420"/>
      <c r="G1906" s="421">
        <v>0.9</v>
      </c>
      <c r="H1906" s="422"/>
      <c r="I1906" s="423">
        <f>TRUNC(D1906*G1906,2)</f>
        <v>64.400000000000006</v>
      </c>
      <c r="J1906" s="415"/>
      <c r="K1906" s="415"/>
    </row>
    <row r="1907" spans="1:13" x14ac:dyDescent="0.2">
      <c r="A1907" s="200"/>
      <c r="B1907" s="264"/>
      <c r="C1907" s="200"/>
      <c r="D1907" s="200"/>
      <c r="E1907" s="200"/>
      <c r="F1907" s="265" t="s">
        <v>199</v>
      </c>
      <c r="G1907" s="255"/>
      <c r="H1907" s="266"/>
      <c r="I1907" s="441">
        <f>SUM(I1905:I1906)</f>
        <v>227.78</v>
      </c>
    </row>
    <row r="1908" spans="1:13" x14ac:dyDescent="0.2">
      <c r="A1908" s="200"/>
      <c r="B1908" s="264"/>
      <c r="C1908" s="200"/>
      <c r="D1908" s="200"/>
      <c r="E1908" s="200"/>
      <c r="F1908" s="200"/>
      <c r="G1908" s="200"/>
      <c r="H1908" s="200"/>
      <c r="I1908" s="440"/>
    </row>
    <row r="1909" spans="1:13" x14ac:dyDescent="0.2">
      <c r="A1909" s="406" t="s">
        <v>200</v>
      </c>
      <c r="B1909" s="268" t="s">
        <v>59</v>
      </c>
      <c r="C1909" s="268" t="s">
        <v>196</v>
      </c>
      <c r="D1909" s="268" t="s">
        <v>201</v>
      </c>
      <c r="E1909" s="268" t="s">
        <v>202</v>
      </c>
      <c r="F1909" s="268" t="s">
        <v>203</v>
      </c>
      <c r="G1909" s="268" t="s">
        <v>94</v>
      </c>
      <c r="H1909" s="268" t="s">
        <v>89</v>
      </c>
      <c r="I1909" s="442" t="s">
        <v>204</v>
      </c>
    </row>
    <row r="1910" spans="1:13" x14ac:dyDescent="0.2">
      <c r="A1910" s="244"/>
      <c r="B1910" s="234"/>
      <c r="C1910" s="234"/>
      <c r="D1910" s="269"/>
      <c r="E1910" s="270"/>
      <c r="F1910" s="270"/>
      <c r="G1910" s="239"/>
      <c r="H1910" s="271"/>
      <c r="I1910" s="418"/>
    </row>
    <row r="1911" spans="1:13" x14ac:dyDescent="0.2">
      <c r="A1911" s="200"/>
      <c r="B1911" s="264"/>
      <c r="C1911" s="200"/>
      <c r="D1911" s="200"/>
      <c r="E1911" s="200"/>
      <c r="F1911" s="265" t="s">
        <v>205</v>
      </c>
      <c r="G1911" s="240"/>
      <c r="H1911" s="272"/>
      <c r="I1911" s="443">
        <f>SUM(I1910:I1910)</f>
        <v>0</v>
      </c>
    </row>
    <row r="1912" spans="1:13" x14ac:dyDescent="0.2">
      <c r="A1912" s="200"/>
      <c r="B1912" s="264"/>
      <c r="C1912" s="200"/>
      <c r="D1912" s="200"/>
      <c r="E1912" s="200"/>
      <c r="F1912" s="200"/>
      <c r="G1912" s="200"/>
      <c r="H1912" s="200"/>
      <c r="I1912" s="444"/>
    </row>
    <row r="1913" spans="1:13" x14ac:dyDescent="0.2">
      <c r="A1913" s="273"/>
      <c r="B1913" s="274"/>
      <c r="C1913" s="275"/>
      <c r="D1913" s="275"/>
      <c r="E1913" s="275"/>
      <c r="F1913" s="276" t="s">
        <v>206</v>
      </c>
      <c r="G1913" s="273"/>
      <c r="H1913" s="249"/>
      <c r="I1913" s="445">
        <f>+I1898+I1902+I1907+I1911</f>
        <v>227.78</v>
      </c>
    </row>
    <row r="1914" spans="1:13" x14ac:dyDescent="0.2">
      <c r="A1914" s="255"/>
      <c r="B1914" s="277"/>
      <c r="C1914" s="266"/>
      <c r="D1914" s="266"/>
      <c r="E1914" s="266"/>
      <c r="F1914" s="278" t="str">
        <f>CONCATENATE($H$3," ",$I$3)</f>
        <v>BDI: 23,32</v>
      </c>
      <c r="G1914" s="403"/>
      <c r="H1914" s="253"/>
      <c r="I1914" s="446">
        <f>+ROUND(I1913*$I$4,2)</f>
        <v>53.12</v>
      </c>
    </row>
    <row r="1915" spans="1:13" x14ac:dyDescent="0.2">
      <c r="A1915" s="240"/>
      <c r="B1915" s="279"/>
      <c r="C1915" s="272"/>
      <c r="D1915" s="272"/>
      <c r="E1915" s="272"/>
      <c r="F1915" s="280" t="s">
        <v>207</v>
      </c>
      <c r="G1915" s="404"/>
      <c r="H1915" s="241"/>
      <c r="I1915" s="720">
        <f>+I1913+I1914</f>
        <v>280.89999999999998</v>
      </c>
    </row>
    <row r="1916" spans="1:13" x14ac:dyDescent="0.2">
      <c r="A1916" s="1116" t="str">
        <f>$A$1</f>
        <v>COMPOSIÇÃO DE CUSTOS UNITÁRIOS</v>
      </c>
      <c r="B1916" s="1116"/>
      <c r="C1916" s="1116"/>
      <c r="D1916" s="1116"/>
      <c r="E1916" s="1116"/>
      <c r="F1916" s="1116"/>
      <c r="G1916" s="1116"/>
      <c r="H1916" s="1116"/>
      <c r="I1916" s="1116"/>
    </row>
    <row r="1917" spans="1:13" x14ac:dyDescent="0.2">
      <c r="A1917" s="228" t="str">
        <f>$A$2</f>
        <v>Tabela Referencial de Preços - DER-ES</v>
      </c>
      <c r="B1917" s="229"/>
      <c r="C1917" s="199"/>
      <c r="D1917" s="199"/>
      <c r="E1917" s="199"/>
      <c r="F1917" s="199"/>
      <c r="G1917" s="199"/>
      <c r="H1917" s="199"/>
      <c r="I1917" s="414" t="str">
        <f>$I$2</f>
        <v>Data Base: novembro/2020</v>
      </c>
    </row>
    <row r="1918" spans="1:13" x14ac:dyDescent="0.2">
      <c r="A1918" s="1117" t="str">
        <f>+CONCATENATE("Serviço: ",J1918," ",VLOOKUP(J1918,'DER 11-20'!$A:$D,2,FALSE))</f>
        <v>Serviço: 40516 Berço de concreto ciclópico para BSTC diâmetro 1,00 m</v>
      </c>
      <c r="B1918" s="1117"/>
      <c r="C1918" s="1117"/>
      <c r="D1918" s="1117"/>
      <c r="E1918" s="1117"/>
      <c r="F1918" s="1117"/>
      <c r="G1918" s="1117"/>
      <c r="H1918" s="1117"/>
      <c r="I1918" s="1119" t="str">
        <f>CONCATENATE("Unidade: ", VLOOKUP(J1918,'DER 11-20'!$A:$E,3,FALSE))</f>
        <v>Unidade: M</v>
      </c>
      <c r="J1918" s="400">
        <v>40516</v>
      </c>
      <c r="K1918" s="400">
        <f>VLOOKUP("Preço Unitário Total",F1919:I3821,4,FALSE)</f>
        <v>396.35</v>
      </c>
      <c r="L1918" s="295" t="str">
        <f>VLOOKUP(J1918,'DER 11-20'!A:E,5,FALSE)</f>
        <v>A incluir</v>
      </c>
      <c r="M1918" s="295" t="str">
        <f>VLOOKUP(J1918,'DER 11-20'!$A:$D,2,FALSE)</f>
        <v>Berço de concreto ciclópico para BSTC diâmetro 1,00 m</v>
      </c>
    </row>
    <row r="1919" spans="1:13" x14ac:dyDescent="0.2">
      <c r="A1919" s="1118"/>
      <c r="B1919" s="1118"/>
      <c r="C1919" s="1118"/>
      <c r="D1919" s="1118"/>
      <c r="E1919" s="1118"/>
      <c r="F1919" s="1118"/>
      <c r="G1919" s="1118"/>
      <c r="H1919" s="1118"/>
      <c r="I1919" s="1120"/>
    </row>
    <row r="1920" spans="1:13" ht="22.5" x14ac:dyDescent="0.2">
      <c r="A1920" s="231" t="s">
        <v>177</v>
      </c>
      <c r="B1920" s="232" t="s">
        <v>59</v>
      </c>
      <c r="C1920" s="232" t="s">
        <v>178</v>
      </c>
      <c r="D1920" s="232" t="s">
        <v>179</v>
      </c>
      <c r="E1920" s="232" t="s">
        <v>180</v>
      </c>
      <c r="F1920" s="232" t="s">
        <v>181</v>
      </c>
      <c r="G1920" s="232" t="s">
        <v>182</v>
      </c>
      <c r="H1920" s="232" t="s">
        <v>89</v>
      </c>
      <c r="I1920" s="434" t="s">
        <v>183</v>
      </c>
    </row>
    <row r="1921" spans="1:9" x14ac:dyDescent="0.2">
      <c r="A1921" s="233"/>
      <c r="B1921" s="234"/>
      <c r="C1921" s="235"/>
      <c r="D1921" s="236"/>
      <c r="E1921" s="203"/>
      <c r="F1921" s="237"/>
      <c r="G1921" s="237"/>
      <c r="H1921" s="238"/>
      <c r="I1921" s="418"/>
    </row>
    <row r="1922" spans="1:9" x14ac:dyDescent="0.2">
      <c r="A1922" s="199"/>
      <c r="B1922" s="229"/>
      <c r="C1922" s="229"/>
      <c r="D1922" s="199"/>
      <c r="E1922" s="199"/>
      <c r="F1922" s="230" t="s">
        <v>184</v>
      </c>
      <c r="G1922" s="240"/>
      <c r="H1922" s="241"/>
      <c r="I1922" s="438">
        <f>SUM(I1921:I1921)</f>
        <v>0</v>
      </c>
    </row>
    <row r="1923" spans="1:9" x14ac:dyDescent="0.2">
      <c r="A1923" s="199"/>
      <c r="B1923" s="229"/>
      <c r="C1923" s="229"/>
      <c r="D1923" s="199"/>
      <c r="E1923" s="199"/>
      <c r="F1923" s="199"/>
      <c r="G1923" s="199"/>
      <c r="H1923" s="199"/>
      <c r="I1923" s="439"/>
    </row>
    <row r="1924" spans="1:9" x14ac:dyDescent="0.2">
      <c r="A1924" s="242" t="s">
        <v>185</v>
      </c>
      <c r="B1924" s="243" t="s">
        <v>59</v>
      </c>
      <c r="C1924" s="232" t="s">
        <v>357</v>
      </c>
      <c r="D1924" s="243" t="s">
        <v>187</v>
      </c>
      <c r="E1924" s="1121" t="s">
        <v>89</v>
      </c>
      <c r="F1924" s="1114"/>
      <c r="G1924" s="1115"/>
      <c r="H1924" s="1121" t="s">
        <v>183</v>
      </c>
      <c r="I1924" s="1115"/>
    </row>
    <row r="1925" spans="1:9" x14ac:dyDescent="0.2">
      <c r="A1925" s="244"/>
      <c r="B1925" s="234"/>
      <c r="C1925" s="239"/>
      <c r="D1925" s="239"/>
      <c r="E1925" s="255"/>
      <c r="F1925" s="253"/>
      <c r="G1925" s="293"/>
      <c r="H1925" s="240"/>
      <c r="I1925" s="427"/>
    </row>
    <row r="1926" spans="1:9" x14ac:dyDescent="0.2">
      <c r="A1926" s="199"/>
      <c r="B1926" s="229"/>
      <c r="C1926" s="229"/>
      <c r="D1926" s="199"/>
      <c r="E1926" s="199"/>
      <c r="F1926" s="230" t="s">
        <v>188</v>
      </c>
      <c r="G1926" s="240"/>
      <c r="H1926" s="241"/>
      <c r="I1926" s="438">
        <f>SUM(I1925:I1925)</f>
        <v>0</v>
      </c>
    </row>
    <row r="1927" spans="1:9" x14ac:dyDescent="0.2">
      <c r="A1927" s="199"/>
      <c r="B1927" s="229"/>
      <c r="C1927" s="229"/>
      <c r="D1927" s="199"/>
      <c r="E1927" s="199"/>
      <c r="F1927" s="199"/>
      <c r="G1927" s="199"/>
      <c r="H1927" s="199"/>
      <c r="I1927" s="439"/>
    </row>
    <row r="1928" spans="1:9" x14ac:dyDescent="0.2">
      <c r="A1928" s="263" t="s">
        <v>189</v>
      </c>
      <c r="B1928" s="243" t="s">
        <v>59</v>
      </c>
      <c r="C1928" s="635" t="s">
        <v>17</v>
      </c>
      <c r="D1928" s="243" t="s">
        <v>190</v>
      </c>
      <c r="E1928" s="243" t="s">
        <v>191</v>
      </c>
      <c r="F1928" s="243" t="s">
        <v>192</v>
      </c>
      <c r="G1928" s="1121" t="s">
        <v>94</v>
      </c>
      <c r="H1928" s="1114"/>
      <c r="I1928" s="1115"/>
    </row>
    <row r="1929" spans="1:9" x14ac:dyDescent="0.2">
      <c r="A1929" s="244"/>
      <c r="B1929" s="234"/>
      <c r="C1929" s="239"/>
      <c r="D1929" s="235"/>
      <c r="E1929" s="246"/>
      <c r="F1929" s="246"/>
      <c r="G1929" s="240"/>
      <c r="H1929" s="241"/>
      <c r="I1929" s="427"/>
    </row>
    <row r="1930" spans="1:9" x14ac:dyDescent="0.2">
      <c r="A1930" s="199"/>
      <c r="B1930" s="229"/>
      <c r="C1930" s="199"/>
      <c r="D1930" s="199"/>
      <c r="E1930" s="199"/>
      <c r="F1930" s="230" t="s">
        <v>327</v>
      </c>
      <c r="G1930" s="240"/>
      <c r="H1930" s="241"/>
      <c r="I1930" s="438">
        <f>SUM(I1929)</f>
        <v>0</v>
      </c>
    </row>
    <row r="1931" spans="1:9" x14ac:dyDescent="0.2">
      <c r="A1931" s="199"/>
      <c r="B1931" s="229"/>
      <c r="C1931" s="199"/>
      <c r="D1931" s="199"/>
      <c r="E1931" s="199"/>
      <c r="F1931" s="199"/>
      <c r="G1931" s="199"/>
      <c r="H1931" s="199"/>
      <c r="I1931" s="439"/>
    </row>
    <row r="1932" spans="1:9" x14ac:dyDescent="0.2">
      <c r="A1932" s="247"/>
      <c r="B1932" s="248"/>
      <c r="C1932" s="249"/>
      <c r="D1932" s="249"/>
      <c r="E1932" s="249"/>
      <c r="F1932" s="250" t="s">
        <v>193</v>
      </c>
      <c r="G1932" s="401"/>
      <c r="H1932" s="249"/>
      <c r="I1932" s="445">
        <f>+I1922+I1926+I1930</f>
        <v>0</v>
      </c>
    </row>
    <row r="1933" spans="1:9" x14ac:dyDescent="0.2">
      <c r="A1933" s="251"/>
      <c r="B1933" s="252"/>
      <c r="C1933" s="253"/>
      <c r="D1933" s="253"/>
      <c r="E1933" s="253"/>
      <c r="F1933" s="254" t="s">
        <v>194</v>
      </c>
      <c r="G1933" s="255"/>
      <c r="H1933" s="253"/>
      <c r="I1933" s="446">
        <v>1</v>
      </c>
    </row>
    <row r="1934" spans="1:9" x14ac:dyDescent="0.2">
      <c r="A1934" s="233"/>
      <c r="B1934" s="256"/>
      <c r="C1934" s="241"/>
      <c r="D1934" s="241"/>
      <c r="E1934" s="241"/>
      <c r="F1934" s="257" t="s">
        <v>216</v>
      </c>
      <c r="G1934" s="240"/>
      <c r="H1934" s="241"/>
      <c r="I1934" s="447">
        <f>TRUNC(I1932/I1933,2)</f>
        <v>0</v>
      </c>
    </row>
    <row r="1935" spans="1:9" x14ac:dyDescent="0.2">
      <c r="A1935" s="636"/>
      <c r="B1935" s="229"/>
      <c r="C1935" s="199"/>
      <c r="D1935" s="199"/>
      <c r="E1935" s="199"/>
      <c r="F1935" s="258"/>
      <c r="G1935" s="199"/>
      <c r="H1935" s="199"/>
      <c r="I1935" s="450"/>
    </row>
    <row r="1936" spans="1:9" x14ac:dyDescent="0.2">
      <c r="A1936" s="242" t="s">
        <v>195</v>
      </c>
      <c r="B1936" s="243" t="s">
        <v>59</v>
      </c>
      <c r="C1936" s="243" t="s">
        <v>196</v>
      </c>
      <c r="D1936" s="243" t="s">
        <v>217</v>
      </c>
      <c r="E1936" s="1121" t="s">
        <v>89</v>
      </c>
      <c r="F1936" s="1114"/>
      <c r="G1936" s="1115"/>
      <c r="H1936" s="1121" t="s">
        <v>183</v>
      </c>
      <c r="I1936" s="1115"/>
    </row>
    <row r="1937" spans="1:11" x14ac:dyDescent="0.2">
      <c r="A1937" s="259"/>
      <c r="B1937" s="234"/>
      <c r="C1937" s="260"/>
      <c r="D1937" s="261"/>
      <c r="E1937" s="255"/>
      <c r="F1937" s="253"/>
      <c r="G1937" s="293"/>
      <c r="H1937" s="255"/>
      <c r="I1937" s="423"/>
    </row>
    <row r="1938" spans="1:11" x14ac:dyDescent="0.2">
      <c r="A1938" s="199"/>
      <c r="B1938" s="229"/>
      <c r="C1938" s="199"/>
      <c r="D1938" s="199"/>
      <c r="E1938" s="199"/>
      <c r="F1938" s="230" t="s">
        <v>197</v>
      </c>
      <c r="G1938" s="240"/>
      <c r="H1938" s="241"/>
      <c r="I1938" s="438">
        <f>SUM(I1937:I1937)</f>
        <v>0</v>
      </c>
    </row>
    <row r="1939" spans="1:11" x14ac:dyDescent="0.2">
      <c r="A1939" s="199"/>
      <c r="B1939" s="229"/>
      <c r="C1939" s="199"/>
      <c r="D1939" s="199"/>
      <c r="E1939" s="199"/>
      <c r="F1939" s="199"/>
      <c r="G1939" s="262"/>
      <c r="H1939" s="199"/>
      <c r="I1939" s="439"/>
    </row>
    <row r="1940" spans="1:11" x14ac:dyDescent="0.2">
      <c r="A1940" s="263" t="s">
        <v>198</v>
      </c>
      <c r="B1940" s="243" t="s">
        <v>59</v>
      </c>
      <c r="C1940" s="243" t="s">
        <v>196</v>
      </c>
      <c r="D1940" s="635" t="s">
        <v>217</v>
      </c>
      <c r="E1940" s="1121" t="s">
        <v>89</v>
      </c>
      <c r="F1940" s="1114"/>
      <c r="G1940" s="1115"/>
      <c r="H1940" s="1121" t="s">
        <v>183</v>
      </c>
      <c r="I1940" s="1115"/>
    </row>
    <row r="1941" spans="1:11" s="198" customFormat="1" ht="33.75" x14ac:dyDescent="0.2">
      <c r="A1941" s="416" t="str">
        <f>VLOOKUP(B1941,'DER 11-20'!$A:$E,2,FALSE)</f>
        <v>Concreto ciclópico com 70% concreto 15,0 MPa e 30% de pedra de mão, tudo incluído</v>
      </c>
      <c r="B1941" s="417">
        <v>40351</v>
      </c>
      <c r="C1941" s="417" t="str">
        <f>VLOOKUP(B1941,'DER 11-20'!$A:$E,3,FALSE)</f>
        <v>M3</v>
      </c>
      <c r="D1941" s="418">
        <f>TRUNC(VLOOKUP(B1941,'DER 11-20'!$A:$F,6,FALSE)/(1+$I$4),2)</f>
        <v>423.27</v>
      </c>
      <c r="E1941" s="419"/>
      <c r="F1941" s="420"/>
      <c r="G1941" s="421">
        <v>0.56999999999999995</v>
      </c>
      <c r="H1941" s="422"/>
      <c r="I1941" s="423">
        <f>TRUNC(D1941*G1941,2)</f>
        <v>241.26</v>
      </c>
      <c r="J1941" s="415"/>
      <c r="K1941" s="415"/>
    </row>
    <row r="1942" spans="1:11" s="198" customFormat="1" ht="45" x14ac:dyDescent="0.2">
      <c r="A1942" s="416" t="str">
        <f>VLOOKUP(B1942,'DER 11-20'!$A:$E,2,FALSE)</f>
        <v>Formas planas de madeira com 04 (quatro) reaproveitamentos, inclusive fornecimento e transporte das madeiras</v>
      </c>
      <c r="B1942" s="417">
        <v>40313</v>
      </c>
      <c r="C1942" s="417" t="str">
        <f>VLOOKUP(B1942,'DER 11-20'!$A:$E,3,FALSE)</f>
        <v>M2</v>
      </c>
      <c r="D1942" s="418">
        <f>TRUNC(VLOOKUP(B1942,'DER 11-20'!$A:$F,6,FALSE)/(1+$I$4),2)</f>
        <v>71.56</v>
      </c>
      <c r="E1942" s="419"/>
      <c r="F1942" s="420"/>
      <c r="G1942" s="421">
        <v>1.1200000000000001</v>
      </c>
      <c r="H1942" s="422"/>
      <c r="I1942" s="423">
        <f>TRUNC(D1942*G1942,2)</f>
        <v>80.14</v>
      </c>
      <c r="J1942" s="415"/>
      <c r="K1942" s="415"/>
    </row>
    <row r="1943" spans="1:11" x14ac:dyDescent="0.2">
      <c r="A1943" s="200"/>
      <c r="B1943" s="264"/>
      <c r="C1943" s="200"/>
      <c r="D1943" s="200"/>
      <c r="E1943" s="200"/>
      <c r="F1943" s="265" t="s">
        <v>199</v>
      </c>
      <c r="G1943" s="255"/>
      <c r="H1943" s="266"/>
      <c r="I1943" s="441">
        <f>SUM(I1941:I1942)</f>
        <v>321.39999999999998</v>
      </c>
    </row>
    <row r="1944" spans="1:11" x14ac:dyDescent="0.2">
      <c r="A1944" s="200"/>
      <c r="B1944" s="264"/>
      <c r="C1944" s="200"/>
      <c r="D1944" s="200"/>
      <c r="E1944" s="200"/>
      <c r="F1944" s="200"/>
      <c r="G1944" s="200"/>
      <c r="H1944" s="200"/>
      <c r="I1944" s="440"/>
    </row>
    <row r="1945" spans="1:11" x14ac:dyDescent="0.2">
      <c r="A1945" s="406" t="s">
        <v>200</v>
      </c>
      <c r="B1945" s="268" t="s">
        <v>59</v>
      </c>
      <c r="C1945" s="268" t="s">
        <v>196</v>
      </c>
      <c r="D1945" s="268" t="s">
        <v>201</v>
      </c>
      <c r="E1945" s="268" t="s">
        <v>202</v>
      </c>
      <c r="F1945" s="268" t="s">
        <v>203</v>
      </c>
      <c r="G1945" s="268" t="s">
        <v>94</v>
      </c>
      <c r="H1945" s="268" t="s">
        <v>89</v>
      </c>
      <c r="I1945" s="442" t="s">
        <v>204</v>
      </c>
    </row>
    <row r="1946" spans="1:11" x14ac:dyDescent="0.2">
      <c r="A1946" s="244"/>
      <c r="B1946" s="234"/>
      <c r="C1946" s="234"/>
      <c r="D1946" s="269"/>
      <c r="E1946" s="270"/>
      <c r="F1946" s="270"/>
      <c r="G1946" s="239"/>
      <c r="H1946" s="271"/>
      <c r="I1946" s="418"/>
    </row>
    <row r="1947" spans="1:11" x14ac:dyDescent="0.2">
      <c r="A1947" s="200"/>
      <c r="B1947" s="264"/>
      <c r="C1947" s="200"/>
      <c r="D1947" s="200"/>
      <c r="E1947" s="200"/>
      <c r="F1947" s="265" t="s">
        <v>205</v>
      </c>
      <c r="G1947" s="240"/>
      <c r="H1947" s="272"/>
      <c r="I1947" s="443">
        <f>SUM(I1946:I1946)</f>
        <v>0</v>
      </c>
    </row>
    <row r="1948" spans="1:11" x14ac:dyDescent="0.2">
      <c r="A1948" s="200"/>
      <c r="B1948" s="264"/>
      <c r="C1948" s="200"/>
      <c r="D1948" s="200"/>
      <c r="E1948" s="200"/>
      <c r="F1948" s="200"/>
      <c r="G1948" s="200"/>
      <c r="H1948" s="200"/>
      <c r="I1948" s="444"/>
    </row>
    <row r="1949" spans="1:11" x14ac:dyDescent="0.2">
      <c r="A1949" s="273"/>
      <c r="B1949" s="274"/>
      <c r="C1949" s="275"/>
      <c r="D1949" s="275"/>
      <c r="E1949" s="275"/>
      <c r="F1949" s="276" t="s">
        <v>206</v>
      </c>
      <c r="G1949" s="273"/>
      <c r="H1949" s="249"/>
      <c r="I1949" s="445">
        <f>+I1934+I1938+I1943+I1947</f>
        <v>321.39999999999998</v>
      </c>
    </row>
    <row r="1950" spans="1:11" x14ac:dyDescent="0.2">
      <c r="A1950" s="255"/>
      <c r="B1950" s="277"/>
      <c r="C1950" s="266"/>
      <c r="D1950" s="266"/>
      <c r="E1950" s="266"/>
      <c r="F1950" s="278" t="str">
        <f>CONCATENATE($H$3," ",$I$3)</f>
        <v>BDI: 23,32</v>
      </c>
      <c r="G1950" s="403"/>
      <c r="H1950" s="253"/>
      <c r="I1950" s="446">
        <f>+ROUND(I1949*$I$4,2)</f>
        <v>74.95</v>
      </c>
    </row>
    <row r="1951" spans="1:11" x14ac:dyDescent="0.2">
      <c r="A1951" s="240"/>
      <c r="B1951" s="279"/>
      <c r="C1951" s="272"/>
      <c r="D1951" s="272"/>
      <c r="E1951" s="272"/>
      <c r="F1951" s="280" t="s">
        <v>207</v>
      </c>
      <c r="G1951" s="404"/>
      <c r="H1951" s="241"/>
      <c r="I1951" s="720">
        <f>+I1949+I1950</f>
        <v>396.35</v>
      </c>
    </row>
    <row r="1952" spans="1:11" x14ac:dyDescent="0.2">
      <c r="A1952" s="1116" t="str">
        <f>$A$1</f>
        <v>COMPOSIÇÃO DE CUSTOS UNITÁRIOS</v>
      </c>
      <c r="B1952" s="1116"/>
      <c r="C1952" s="1116"/>
      <c r="D1952" s="1116"/>
      <c r="E1952" s="1116"/>
      <c r="F1952" s="1116"/>
      <c r="G1952" s="1116"/>
      <c r="H1952" s="1116"/>
      <c r="I1952" s="1116"/>
    </row>
    <row r="1953" spans="1:13" x14ac:dyDescent="0.2">
      <c r="A1953" s="228" t="str">
        <f>$A$2</f>
        <v>Tabela Referencial de Preços - DER-ES</v>
      </c>
      <c r="B1953" s="229"/>
      <c r="C1953" s="199"/>
      <c r="D1953" s="199"/>
      <c r="E1953" s="199"/>
      <c r="F1953" s="199"/>
      <c r="G1953" s="199"/>
      <c r="H1953" s="199"/>
      <c r="I1953" s="414" t="str">
        <f>$I$2</f>
        <v>Data Base: novembro/2020</v>
      </c>
    </row>
    <row r="1954" spans="1:13" x14ac:dyDescent="0.2">
      <c r="A1954" s="1117" t="str">
        <f>+CONCATENATE("Serviço: ",J1954," ",VLOOKUP(J1954,'DER 11-20'!$A:$D,2,FALSE))</f>
        <v>Serviço: 40517 Berço de concreto ciclópico para BSTC diâmetro 1,20 m</v>
      </c>
      <c r="B1954" s="1117"/>
      <c r="C1954" s="1117"/>
      <c r="D1954" s="1117"/>
      <c r="E1954" s="1117"/>
      <c r="F1954" s="1117"/>
      <c r="G1954" s="1117"/>
      <c r="H1954" s="1117"/>
      <c r="I1954" s="1119" t="str">
        <f>CONCATENATE("Unidade: ", VLOOKUP(J1954,'DER 11-20'!$A:$E,3,FALSE))</f>
        <v>Unidade: M</v>
      </c>
      <c r="J1954" s="400">
        <v>40517</v>
      </c>
      <c r="K1954" s="400">
        <f>VLOOKUP("Preço Unitário Total",F1955:I3857,4,FALSE)</f>
        <v>527.99</v>
      </c>
      <c r="L1954" s="295" t="str">
        <f>VLOOKUP(J1954,'DER 11-20'!A:E,5,FALSE)</f>
        <v>A incluir</v>
      </c>
      <c r="M1954" s="295" t="str">
        <f>VLOOKUP(J1954,'DER 11-20'!$A:$D,2,FALSE)</f>
        <v>Berço de concreto ciclópico para BSTC diâmetro 1,20 m</v>
      </c>
    </row>
    <row r="1955" spans="1:13" x14ac:dyDescent="0.2">
      <c r="A1955" s="1118"/>
      <c r="B1955" s="1118"/>
      <c r="C1955" s="1118"/>
      <c r="D1955" s="1118"/>
      <c r="E1955" s="1118"/>
      <c r="F1955" s="1118"/>
      <c r="G1955" s="1118"/>
      <c r="H1955" s="1118"/>
      <c r="I1955" s="1120"/>
    </row>
    <row r="1956" spans="1:13" ht="22.5" x14ac:dyDescent="0.2">
      <c r="A1956" s="231" t="s">
        <v>177</v>
      </c>
      <c r="B1956" s="232" t="s">
        <v>59</v>
      </c>
      <c r="C1956" s="232" t="s">
        <v>178</v>
      </c>
      <c r="D1956" s="232" t="s">
        <v>179</v>
      </c>
      <c r="E1956" s="232" t="s">
        <v>180</v>
      </c>
      <c r="F1956" s="232" t="s">
        <v>181</v>
      </c>
      <c r="G1956" s="232" t="s">
        <v>182</v>
      </c>
      <c r="H1956" s="232" t="s">
        <v>89</v>
      </c>
      <c r="I1956" s="434" t="s">
        <v>183</v>
      </c>
    </row>
    <row r="1957" spans="1:13" x14ac:dyDescent="0.2">
      <c r="A1957" s="233"/>
      <c r="B1957" s="234"/>
      <c r="C1957" s="235"/>
      <c r="D1957" s="236"/>
      <c r="E1957" s="203"/>
      <c r="F1957" s="237"/>
      <c r="G1957" s="237"/>
      <c r="H1957" s="238"/>
      <c r="I1957" s="418"/>
    </row>
    <row r="1958" spans="1:13" x14ac:dyDescent="0.2">
      <c r="A1958" s="199"/>
      <c r="B1958" s="229"/>
      <c r="C1958" s="229"/>
      <c r="D1958" s="199"/>
      <c r="E1958" s="199"/>
      <c r="F1958" s="230" t="s">
        <v>184</v>
      </c>
      <c r="G1958" s="240"/>
      <c r="H1958" s="241"/>
      <c r="I1958" s="438">
        <f>SUM(I1957:I1957)</f>
        <v>0</v>
      </c>
    </row>
    <row r="1959" spans="1:13" x14ac:dyDescent="0.2">
      <c r="A1959" s="199"/>
      <c r="B1959" s="229"/>
      <c r="C1959" s="229"/>
      <c r="D1959" s="199"/>
      <c r="E1959" s="199"/>
      <c r="F1959" s="199"/>
      <c r="G1959" s="199"/>
      <c r="H1959" s="199"/>
      <c r="I1959" s="439"/>
    </row>
    <row r="1960" spans="1:13" x14ac:dyDescent="0.2">
      <c r="A1960" s="242" t="s">
        <v>185</v>
      </c>
      <c r="B1960" s="243" t="s">
        <v>59</v>
      </c>
      <c r="C1960" s="232" t="s">
        <v>357</v>
      </c>
      <c r="D1960" s="243" t="s">
        <v>187</v>
      </c>
      <c r="E1960" s="1121" t="s">
        <v>89</v>
      </c>
      <c r="F1960" s="1114"/>
      <c r="G1960" s="1115"/>
      <c r="H1960" s="1121" t="s">
        <v>183</v>
      </c>
      <c r="I1960" s="1115"/>
    </row>
    <row r="1961" spans="1:13" x14ac:dyDescent="0.2">
      <c r="A1961" s="244"/>
      <c r="B1961" s="234"/>
      <c r="C1961" s="239"/>
      <c r="D1961" s="239"/>
      <c r="E1961" s="255"/>
      <c r="F1961" s="253"/>
      <c r="G1961" s="293"/>
      <c r="H1961" s="240"/>
      <c r="I1961" s="427"/>
    </row>
    <row r="1962" spans="1:13" x14ac:dyDescent="0.2">
      <c r="A1962" s="199"/>
      <c r="B1962" s="229"/>
      <c r="C1962" s="229"/>
      <c r="D1962" s="199"/>
      <c r="E1962" s="199"/>
      <c r="F1962" s="230" t="s">
        <v>188</v>
      </c>
      <c r="G1962" s="240"/>
      <c r="H1962" s="241"/>
      <c r="I1962" s="438">
        <f>SUM(I1961:I1961)</f>
        <v>0</v>
      </c>
    </row>
    <row r="1963" spans="1:13" x14ac:dyDescent="0.2">
      <c r="A1963" s="199"/>
      <c r="B1963" s="229"/>
      <c r="C1963" s="229"/>
      <c r="D1963" s="199"/>
      <c r="E1963" s="199"/>
      <c r="F1963" s="199"/>
      <c r="G1963" s="199"/>
      <c r="H1963" s="199"/>
      <c r="I1963" s="439"/>
    </row>
    <row r="1964" spans="1:13" x14ac:dyDescent="0.2">
      <c r="A1964" s="263" t="s">
        <v>189</v>
      </c>
      <c r="B1964" s="243" t="s">
        <v>59</v>
      </c>
      <c r="C1964" s="824" t="s">
        <v>17</v>
      </c>
      <c r="D1964" s="243" t="s">
        <v>190</v>
      </c>
      <c r="E1964" s="243" t="s">
        <v>191</v>
      </c>
      <c r="F1964" s="243" t="s">
        <v>192</v>
      </c>
      <c r="G1964" s="1121" t="s">
        <v>94</v>
      </c>
      <c r="H1964" s="1114"/>
      <c r="I1964" s="1115"/>
    </row>
    <row r="1965" spans="1:13" x14ac:dyDescent="0.2">
      <c r="A1965" s="244"/>
      <c r="B1965" s="234"/>
      <c r="C1965" s="239"/>
      <c r="D1965" s="235"/>
      <c r="E1965" s="246"/>
      <c r="F1965" s="246"/>
      <c r="G1965" s="240"/>
      <c r="H1965" s="241"/>
      <c r="I1965" s="427"/>
    </row>
    <row r="1966" spans="1:13" x14ac:dyDescent="0.2">
      <c r="A1966" s="199"/>
      <c r="B1966" s="229"/>
      <c r="C1966" s="199"/>
      <c r="D1966" s="199"/>
      <c r="E1966" s="199"/>
      <c r="F1966" s="230" t="s">
        <v>327</v>
      </c>
      <c r="G1966" s="240"/>
      <c r="H1966" s="241"/>
      <c r="I1966" s="438">
        <f>SUM(I1965)</f>
        <v>0</v>
      </c>
    </row>
    <row r="1967" spans="1:13" x14ac:dyDescent="0.2">
      <c r="A1967" s="199"/>
      <c r="B1967" s="229"/>
      <c r="C1967" s="199"/>
      <c r="D1967" s="199"/>
      <c r="E1967" s="199"/>
      <c r="F1967" s="199"/>
      <c r="G1967" s="199"/>
      <c r="H1967" s="199"/>
      <c r="I1967" s="439"/>
    </row>
    <row r="1968" spans="1:13" x14ac:dyDescent="0.2">
      <c r="A1968" s="247"/>
      <c r="B1968" s="248"/>
      <c r="C1968" s="249"/>
      <c r="D1968" s="249"/>
      <c r="E1968" s="249"/>
      <c r="F1968" s="250" t="s">
        <v>193</v>
      </c>
      <c r="G1968" s="401"/>
      <c r="H1968" s="249"/>
      <c r="I1968" s="445">
        <f>+I1958+I1962+I1966</f>
        <v>0</v>
      </c>
    </row>
    <row r="1969" spans="1:11" x14ac:dyDescent="0.2">
      <c r="A1969" s="251"/>
      <c r="B1969" s="252"/>
      <c r="C1969" s="253"/>
      <c r="D1969" s="253"/>
      <c r="E1969" s="253"/>
      <c r="F1969" s="254" t="s">
        <v>194</v>
      </c>
      <c r="G1969" s="255"/>
      <c r="H1969" s="253"/>
      <c r="I1969" s="446">
        <v>1</v>
      </c>
    </row>
    <row r="1970" spans="1:11" x14ac:dyDescent="0.2">
      <c r="A1970" s="233"/>
      <c r="B1970" s="256"/>
      <c r="C1970" s="241"/>
      <c r="D1970" s="241"/>
      <c r="E1970" s="241"/>
      <c r="F1970" s="257" t="s">
        <v>216</v>
      </c>
      <c r="G1970" s="240"/>
      <c r="H1970" s="241"/>
      <c r="I1970" s="447">
        <f>TRUNC(I1968/I1969,2)</f>
        <v>0</v>
      </c>
    </row>
    <row r="1971" spans="1:11" x14ac:dyDescent="0.2">
      <c r="A1971" s="825"/>
      <c r="B1971" s="229"/>
      <c r="C1971" s="199"/>
      <c r="D1971" s="199"/>
      <c r="E1971" s="199"/>
      <c r="F1971" s="258"/>
      <c r="G1971" s="199"/>
      <c r="H1971" s="199"/>
      <c r="I1971" s="450"/>
    </row>
    <row r="1972" spans="1:11" x14ac:dyDescent="0.2">
      <c r="A1972" s="242" t="s">
        <v>195</v>
      </c>
      <c r="B1972" s="243" t="s">
        <v>59</v>
      </c>
      <c r="C1972" s="243" t="s">
        <v>196</v>
      </c>
      <c r="D1972" s="243" t="s">
        <v>217</v>
      </c>
      <c r="E1972" s="1121" t="s">
        <v>89</v>
      </c>
      <c r="F1972" s="1114"/>
      <c r="G1972" s="1115"/>
      <c r="H1972" s="1121" t="s">
        <v>183</v>
      </c>
      <c r="I1972" s="1115"/>
    </row>
    <row r="1973" spans="1:11" x14ac:dyDescent="0.2">
      <c r="A1973" s="259"/>
      <c r="B1973" s="234"/>
      <c r="C1973" s="260"/>
      <c r="D1973" s="261"/>
      <c r="E1973" s="255"/>
      <c r="F1973" s="253"/>
      <c r="G1973" s="293"/>
      <c r="H1973" s="255"/>
      <c r="I1973" s="423"/>
    </row>
    <row r="1974" spans="1:11" x14ac:dyDescent="0.2">
      <c r="A1974" s="199"/>
      <c r="B1974" s="229"/>
      <c r="C1974" s="199"/>
      <c r="D1974" s="199"/>
      <c r="E1974" s="199"/>
      <c r="F1974" s="230" t="s">
        <v>197</v>
      </c>
      <c r="G1974" s="240"/>
      <c r="H1974" s="241"/>
      <c r="I1974" s="438">
        <f>SUM(I1973:I1973)</f>
        <v>0</v>
      </c>
    </row>
    <row r="1975" spans="1:11" x14ac:dyDescent="0.2">
      <c r="A1975" s="199"/>
      <c r="B1975" s="229"/>
      <c r="C1975" s="199"/>
      <c r="D1975" s="199"/>
      <c r="E1975" s="199"/>
      <c r="F1975" s="199"/>
      <c r="G1975" s="262"/>
      <c r="H1975" s="199"/>
      <c r="I1975" s="439"/>
    </row>
    <row r="1976" spans="1:11" x14ac:dyDescent="0.2">
      <c r="A1976" s="263" t="s">
        <v>198</v>
      </c>
      <c r="B1976" s="243" t="s">
        <v>59</v>
      </c>
      <c r="C1976" s="243" t="s">
        <v>196</v>
      </c>
      <c r="D1976" s="824" t="s">
        <v>217</v>
      </c>
      <c r="E1976" s="1121" t="s">
        <v>89</v>
      </c>
      <c r="F1976" s="1114"/>
      <c r="G1976" s="1115"/>
      <c r="H1976" s="1121" t="s">
        <v>183</v>
      </c>
      <c r="I1976" s="1115"/>
    </row>
    <row r="1977" spans="1:11" s="198" customFormat="1" ht="33.75" x14ac:dyDescent="0.2">
      <c r="A1977" s="416" t="str">
        <f>VLOOKUP(B1977,'DER 11-20'!$A:$E,2,FALSE)</f>
        <v>Concreto ciclópico com 70% concreto 15,0 MPa e 30% de pedra de mão, tudo incluído</v>
      </c>
      <c r="B1977" s="417">
        <v>40351</v>
      </c>
      <c r="C1977" s="417" t="str">
        <f>VLOOKUP(B1977,'DER 11-20'!$A:$E,3,FALSE)</f>
        <v>M3</v>
      </c>
      <c r="D1977" s="418">
        <f>TRUNC(VLOOKUP(B1977,'DER 11-20'!$A:$F,6,FALSE)/(1+$I$4),2)</f>
        <v>423.27</v>
      </c>
      <c r="E1977" s="419"/>
      <c r="F1977" s="420"/>
      <c r="G1977" s="421">
        <v>0.78500000000000003</v>
      </c>
      <c r="H1977" s="422"/>
      <c r="I1977" s="423">
        <f>TRUNC(D1977*G1977,2)</f>
        <v>332.26</v>
      </c>
      <c r="J1977" s="415"/>
      <c r="K1977" s="415"/>
    </row>
    <row r="1978" spans="1:11" s="198" customFormat="1" ht="45" x14ac:dyDescent="0.2">
      <c r="A1978" s="416" t="str">
        <f>VLOOKUP(B1978,'DER 11-20'!$A:$E,2,FALSE)</f>
        <v>Formas planas de madeira com 04 (quatro) reaproveitamentos, inclusive fornecimento e transporte das madeiras</v>
      </c>
      <c r="B1978" s="417">
        <v>40313</v>
      </c>
      <c r="C1978" s="417" t="str">
        <f>VLOOKUP(B1978,'DER 11-20'!$A:$E,3,FALSE)</f>
        <v>M2</v>
      </c>
      <c r="D1978" s="418">
        <f>TRUNC(VLOOKUP(B1978,'DER 11-20'!$A:$F,6,FALSE)/(1+$I$4),2)</f>
        <v>71.56</v>
      </c>
      <c r="E1978" s="419"/>
      <c r="F1978" s="420"/>
      <c r="G1978" s="421">
        <v>1.34</v>
      </c>
      <c r="H1978" s="422"/>
      <c r="I1978" s="423">
        <f>TRUNC(D1978*G1978,2)</f>
        <v>95.89</v>
      </c>
      <c r="J1978" s="415"/>
      <c r="K1978" s="415"/>
    </row>
    <row r="1979" spans="1:11" x14ac:dyDescent="0.2">
      <c r="A1979" s="200"/>
      <c r="B1979" s="264"/>
      <c r="C1979" s="200"/>
      <c r="D1979" s="200"/>
      <c r="E1979" s="200"/>
      <c r="F1979" s="265" t="s">
        <v>199</v>
      </c>
      <c r="G1979" s="255"/>
      <c r="H1979" s="266"/>
      <c r="I1979" s="441">
        <f>SUM(I1977:I1978)</f>
        <v>428.15</v>
      </c>
    </row>
    <row r="1980" spans="1:11" x14ac:dyDescent="0.2">
      <c r="A1980" s="200"/>
      <c r="B1980" s="264"/>
      <c r="C1980" s="200"/>
      <c r="D1980" s="200"/>
      <c r="E1980" s="200"/>
      <c r="F1980" s="200"/>
      <c r="G1980" s="200"/>
      <c r="H1980" s="200"/>
      <c r="I1980" s="440"/>
    </row>
    <row r="1981" spans="1:11" x14ac:dyDescent="0.2">
      <c r="A1981" s="406" t="s">
        <v>200</v>
      </c>
      <c r="B1981" s="268" t="s">
        <v>59</v>
      </c>
      <c r="C1981" s="268" t="s">
        <v>196</v>
      </c>
      <c r="D1981" s="268" t="s">
        <v>201</v>
      </c>
      <c r="E1981" s="268" t="s">
        <v>202</v>
      </c>
      <c r="F1981" s="268" t="s">
        <v>203</v>
      </c>
      <c r="G1981" s="268" t="s">
        <v>94</v>
      </c>
      <c r="H1981" s="268" t="s">
        <v>89</v>
      </c>
      <c r="I1981" s="442" t="s">
        <v>204</v>
      </c>
    </row>
    <row r="1982" spans="1:11" x14ac:dyDescent="0.2">
      <c r="A1982" s="244"/>
      <c r="B1982" s="234"/>
      <c r="C1982" s="234"/>
      <c r="D1982" s="269"/>
      <c r="E1982" s="270"/>
      <c r="F1982" s="270"/>
      <c r="G1982" s="239"/>
      <c r="H1982" s="271"/>
      <c r="I1982" s="418"/>
    </row>
    <row r="1983" spans="1:11" x14ac:dyDescent="0.2">
      <c r="A1983" s="200"/>
      <c r="B1983" s="264"/>
      <c r="C1983" s="200"/>
      <c r="D1983" s="200"/>
      <c r="E1983" s="200"/>
      <c r="F1983" s="265" t="s">
        <v>205</v>
      </c>
      <c r="G1983" s="240"/>
      <c r="H1983" s="272"/>
      <c r="I1983" s="443">
        <f>SUM(I1982:I1982)</f>
        <v>0</v>
      </c>
    </row>
    <row r="1984" spans="1:11" x14ac:dyDescent="0.2">
      <c r="A1984" s="200"/>
      <c r="B1984" s="264"/>
      <c r="C1984" s="200"/>
      <c r="D1984" s="200"/>
      <c r="E1984" s="200"/>
      <c r="F1984" s="200"/>
      <c r="G1984" s="200"/>
      <c r="H1984" s="200"/>
      <c r="I1984" s="444"/>
    </row>
    <row r="1985" spans="1:13" x14ac:dyDescent="0.2">
      <c r="A1985" s="273"/>
      <c r="B1985" s="274"/>
      <c r="C1985" s="275"/>
      <c r="D1985" s="275"/>
      <c r="E1985" s="275"/>
      <c r="F1985" s="276" t="s">
        <v>206</v>
      </c>
      <c r="G1985" s="273"/>
      <c r="H1985" s="249"/>
      <c r="I1985" s="445">
        <f>+I1970+I1974+I1979+I1983</f>
        <v>428.15</v>
      </c>
    </row>
    <row r="1986" spans="1:13" x14ac:dyDescent="0.2">
      <c r="A1986" s="255"/>
      <c r="B1986" s="277"/>
      <c r="C1986" s="266"/>
      <c r="D1986" s="266"/>
      <c r="E1986" s="266"/>
      <c r="F1986" s="278" t="str">
        <f>CONCATENATE($H$3," ",$I$3)</f>
        <v>BDI: 23,32</v>
      </c>
      <c r="G1986" s="403"/>
      <c r="H1986" s="253"/>
      <c r="I1986" s="446">
        <f>+ROUND(I1985*$I$4,2)</f>
        <v>99.84</v>
      </c>
    </row>
    <row r="1987" spans="1:13" x14ac:dyDescent="0.2">
      <c r="A1987" s="240"/>
      <c r="B1987" s="279"/>
      <c r="C1987" s="272"/>
      <c r="D1987" s="272"/>
      <c r="E1987" s="272"/>
      <c r="F1987" s="280" t="s">
        <v>207</v>
      </c>
      <c r="G1987" s="404"/>
      <c r="H1987" s="241"/>
      <c r="I1987" s="720">
        <f>+I1985+I1986</f>
        <v>527.99</v>
      </c>
    </row>
    <row r="1988" spans="1:13" x14ac:dyDescent="0.2">
      <c r="A1988" s="1116" t="str">
        <f>$A$1</f>
        <v>COMPOSIÇÃO DE CUSTOS UNITÁRIOS</v>
      </c>
      <c r="B1988" s="1116"/>
      <c r="C1988" s="1116"/>
      <c r="D1988" s="1116"/>
      <c r="E1988" s="1116"/>
      <c r="F1988" s="1116"/>
      <c r="G1988" s="1116"/>
      <c r="H1988" s="1116"/>
      <c r="I1988" s="1116"/>
    </row>
    <row r="1989" spans="1:13" x14ac:dyDescent="0.2">
      <c r="A1989" s="228" t="str">
        <f>$A$2</f>
        <v>Tabela Referencial de Preços - DER-ES</v>
      </c>
      <c r="B1989" s="229"/>
      <c r="C1989" s="199"/>
      <c r="D1989" s="199"/>
      <c r="E1989" s="199"/>
      <c r="F1989" s="199"/>
      <c r="G1989" s="199"/>
      <c r="H1989" s="199"/>
      <c r="I1989" s="414" t="str">
        <f>$I$2</f>
        <v>Data Base: novembro/2020</v>
      </c>
    </row>
    <row r="1990" spans="1:13" x14ac:dyDescent="0.2">
      <c r="A1990" s="1117" t="str">
        <f>+CONCATENATE("Serviço: ",J1990," ",VLOOKUP(J1990,'DER 11-20'!$A:$D,2,FALSE))</f>
        <v>Serviço: 40521 Berço de concreto ciclópico para BDTC diâmetro 1,00 m</v>
      </c>
      <c r="B1990" s="1117"/>
      <c r="C1990" s="1117"/>
      <c r="D1990" s="1117"/>
      <c r="E1990" s="1117"/>
      <c r="F1990" s="1117"/>
      <c r="G1990" s="1117"/>
      <c r="H1990" s="1117"/>
      <c r="I1990" s="1119" t="str">
        <f>CONCATENATE("Unidade: ", VLOOKUP(J1990,'DER 11-20'!$A:$E,3,FALSE))</f>
        <v>Unidade: M</v>
      </c>
      <c r="J1990" s="400">
        <v>40521</v>
      </c>
      <c r="K1990" s="400">
        <f>VLOOKUP("Preço Unitário Total",F1991:I3285,4,FALSE)</f>
        <v>694.4</v>
      </c>
      <c r="L1990" s="295" t="str">
        <f>VLOOKUP(J1990,'DER 11-20'!A:E,5,FALSE)</f>
        <v>A incluir</v>
      </c>
      <c r="M1990" s="295" t="str">
        <f>VLOOKUP(J1990,'DER 11-20'!$A:$D,2,FALSE)</f>
        <v>Berço de concreto ciclópico para BDTC diâmetro 1,00 m</v>
      </c>
    </row>
    <row r="1991" spans="1:13" x14ac:dyDescent="0.2">
      <c r="A1991" s="1118"/>
      <c r="B1991" s="1118"/>
      <c r="C1991" s="1118"/>
      <c r="D1991" s="1118"/>
      <c r="E1991" s="1118"/>
      <c r="F1991" s="1118"/>
      <c r="G1991" s="1118"/>
      <c r="H1991" s="1118"/>
      <c r="I1991" s="1120"/>
    </row>
    <row r="1992" spans="1:13" ht="22.5" x14ac:dyDescent="0.2">
      <c r="A1992" s="231" t="s">
        <v>177</v>
      </c>
      <c r="B1992" s="232" t="s">
        <v>59</v>
      </c>
      <c r="C1992" s="232" t="s">
        <v>178</v>
      </c>
      <c r="D1992" s="232" t="s">
        <v>179</v>
      </c>
      <c r="E1992" s="232" t="s">
        <v>180</v>
      </c>
      <c r="F1992" s="232" t="s">
        <v>181</v>
      </c>
      <c r="G1992" s="232" t="s">
        <v>182</v>
      </c>
      <c r="H1992" s="232" t="s">
        <v>89</v>
      </c>
      <c r="I1992" s="434" t="s">
        <v>183</v>
      </c>
    </row>
    <row r="1993" spans="1:13" x14ac:dyDescent="0.2">
      <c r="A1993" s="233"/>
      <c r="B1993" s="234"/>
      <c r="C1993" s="235"/>
      <c r="D1993" s="236"/>
      <c r="E1993" s="203"/>
      <c r="F1993" s="237"/>
      <c r="G1993" s="237"/>
      <c r="H1993" s="238"/>
      <c r="I1993" s="418"/>
    </row>
    <row r="1994" spans="1:13" x14ac:dyDescent="0.2">
      <c r="A1994" s="199"/>
      <c r="B1994" s="229"/>
      <c r="C1994" s="229"/>
      <c r="D1994" s="199"/>
      <c r="E1994" s="199"/>
      <c r="F1994" s="230" t="s">
        <v>184</v>
      </c>
      <c r="G1994" s="240"/>
      <c r="H1994" s="241"/>
      <c r="I1994" s="438">
        <f>SUM(I1993:I1993)</f>
        <v>0</v>
      </c>
    </row>
    <row r="1995" spans="1:13" x14ac:dyDescent="0.2">
      <c r="A1995" s="199"/>
      <c r="B1995" s="229"/>
      <c r="C1995" s="229"/>
      <c r="D1995" s="199"/>
      <c r="E1995" s="199"/>
      <c r="F1995" s="199"/>
      <c r="G1995" s="199"/>
      <c r="H1995" s="199"/>
      <c r="I1995" s="439"/>
    </row>
    <row r="1996" spans="1:13" x14ac:dyDescent="0.2">
      <c r="A1996" s="242" t="s">
        <v>185</v>
      </c>
      <c r="B1996" s="243" t="s">
        <v>59</v>
      </c>
      <c r="C1996" s="232" t="s">
        <v>357</v>
      </c>
      <c r="D1996" s="243" t="s">
        <v>187</v>
      </c>
      <c r="E1996" s="1121" t="s">
        <v>89</v>
      </c>
      <c r="F1996" s="1114"/>
      <c r="G1996" s="1115"/>
      <c r="H1996" s="1121" t="s">
        <v>183</v>
      </c>
      <c r="I1996" s="1115"/>
    </row>
    <row r="1997" spans="1:13" x14ac:dyDescent="0.2">
      <c r="A1997" s="244"/>
      <c r="B1997" s="234"/>
      <c r="C1997" s="239"/>
      <c r="D1997" s="239"/>
      <c r="E1997" s="255"/>
      <c r="F1997" s="253"/>
      <c r="G1997" s="293"/>
      <c r="H1997" s="240"/>
      <c r="I1997" s="427"/>
    </row>
    <row r="1998" spans="1:13" x14ac:dyDescent="0.2">
      <c r="A1998" s="199"/>
      <c r="B1998" s="229"/>
      <c r="C1998" s="229"/>
      <c r="D1998" s="199"/>
      <c r="E1998" s="199"/>
      <c r="F1998" s="230" t="s">
        <v>188</v>
      </c>
      <c r="G1998" s="240"/>
      <c r="H1998" s="241"/>
      <c r="I1998" s="438">
        <f>SUM(I1997:I1997)</f>
        <v>0</v>
      </c>
    </row>
    <row r="1999" spans="1:13" x14ac:dyDescent="0.2">
      <c r="A1999" s="199"/>
      <c r="B1999" s="229"/>
      <c r="C1999" s="229"/>
      <c r="D1999" s="199"/>
      <c r="E1999" s="199"/>
      <c r="F1999" s="199"/>
      <c r="G1999" s="199"/>
      <c r="H1999" s="199"/>
      <c r="I1999" s="439"/>
    </row>
    <row r="2000" spans="1:13" x14ac:dyDescent="0.2">
      <c r="A2000" s="263" t="s">
        <v>189</v>
      </c>
      <c r="B2000" s="243" t="s">
        <v>59</v>
      </c>
      <c r="C2000" s="635" t="s">
        <v>17</v>
      </c>
      <c r="D2000" s="243" t="s">
        <v>190</v>
      </c>
      <c r="E2000" s="243" t="s">
        <v>191</v>
      </c>
      <c r="F2000" s="243" t="s">
        <v>192</v>
      </c>
      <c r="G2000" s="1121" t="s">
        <v>94</v>
      </c>
      <c r="H2000" s="1114"/>
      <c r="I2000" s="1115"/>
    </row>
    <row r="2001" spans="1:11" x14ac:dyDescent="0.2">
      <c r="A2001" s="244"/>
      <c r="B2001" s="234"/>
      <c r="C2001" s="239"/>
      <c r="D2001" s="235"/>
      <c r="E2001" s="246"/>
      <c r="F2001" s="246"/>
      <c r="G2001" s="240"/>
      <c r="H2001" s="241"/>
      <c r="I2001" s="427"/>
    </row>
    <row r="2002" spans="1:11" x14ac:dyDescent="0.2">
      <c r="A2002" s="199"/>
      <c r="B2002" s="229"/>
      <c r="C2002" s="199"/>
      <c r="D2002" s="199"/>
      <c r="E2002" s="199"/>
      <c r="F2002" s="230" t="s">
        <v>327</v>
      </c>
      <c r="G2002" s="240"/>
      <c r="H2002" s="241"/>
      <c r="I2002" s="438">
        <f>SUM(I2001)</f>
        <v>0</v>
      </c>
    </row>
    <row r="2003" spans="1:11" x14ac:dyDescent="0.2">
      <c r="A2003" s="199"/>
      <c r="B2003" s="229"/>
      <c r="C2003" s="199"/>
      <c r="D2003" s="199"/>
      <c r="E2003" s="199"/>
      <c r="F2003" s="199"/>
      <c r="G2003" s="199"/>
      <c r="H2003" s="199"/>
      <c r="I2003" s="439"/>
    </row>
    <row r="2004" spans="1:11" x14ac:dyDescent="0.2">
      <c r="A2004" s="247"/>
      <c r="B2004" s="248"/>
      <c r="C2004" s="249"/>
      <c r="D2004" s="249"/>
      <c r="E2004" s="249"/>
      <c r="F2004" s="250" t="s">
        <v>193</v>
      </c>
      <c r="G2004" s="401"/>
      <c r="H2004" s="249"/>
      <c r="I2004" s="445">
        <f>+I1994+I1998+I2002</f>
        <v>0</v>
      </c>
    </row>
    <row r="2005" spans="1:11" x14ac:dyDescent="0.2">
      <c r="A2005" s="251"/>
      <c r="B2005" s="252"/>
      <c r="C2005" s="253"/>
      <c r="D2005" s="253"/>
      <c r="E2005" s="253"/>
      <c r="F2005" s="254" t="s">
        <v>194</v>
      </c>
      <c r="G2005" s="255"/>
      <c r="H2005" s="253"/>
      <c r="I2005" s="446">
        <v>1</v>
      </c>
      <c r="K2005" s="295"/>
    </row>
    <row r="2006" spans="1:11" x14ac:dyDescent="0.2">
      <c r="A2006" s="233"/>
      <c r="B2006" s="256"/>
      <c r="C2006" s="241"/>
      <c r="D2006" s="241"/>
      <c r="E2006" s="241"/>
      <c r="F2006" s="257" t="s">
        <v>216</v>
      </c>
      <c r="G2006" s="240"/>
      <c r="H2006" s="241"/>
      <c r="I2006" s="447">
        <f>TRUNC(I2004/I2005,2)</f>
        <v>0</v>
      </c>
      <c r="K2006" s="295"/>
    </row>
    <row r="2007" spans="1:11" x14ac:dyDescent="0.2">
      <c r="A2007" s="636"/>
      <c r="B2007" s="229"/>
      <c r="C2007" s="199"/>
      <c r="D2007" s="199"/>
      <c r="E2007" s="199"/>
      <c r="F2007" s="258"/>
      <c r="G2007" s="199"/>
      <c r="H2007" s="199"/>
      <c r="I2007" s="450"/>
      <c r="K2007" s="295"/>
    </row>
    <row r="2008" spans="1:11" x14ac:dyDescent="0.2">
      <c r="A2008" s="242" t="s">
        <v>195</v>
      </c>
      <c r="B2008" s="243" t="s">
        <v>59</v>
      </c>
      <c r="C2008" s="243" t="s">
        <v>196</v>
      </c>
      <c r="D2008" s="243" t="s">
        <v>217</v>
      </c>
      <c r="E2008" s="1121" t="s">
        <v>89</v>
      </c>
      <c r="F2008" s="1114"/>
      <c r="G2008" s="1115"/>
      <c r="H2008" s="1121" t="s">
        <v>183</v>
      </c>
      <c r="I2008" s="1115"/>
      <c r="K2008" s="295"/>
    </row>
    <row r="2009" spans="1:11" x14ac:dyDescent="0.2">
      <c r="A2009" s="259"/>
      <c r="B2009" s="234"/>
      <c r="C2009" s="260"/>
      <c r="D2009" s="261"/>
      <c r="E2009" s="255"/>
      <c r="F2009" s="253"/>
      <c r="G2009" s="293"/>
      <c r="H2009" s="255"/>
      <c r="I2009" s="423"/>
      <c r="K2009" s="295"/>
    </row>
    <row r="2010" spans="1:11" x14ac:dyDescent="0.2">
      <c r="A2010" s="199"/>
      <c r="B2010" s="229"/>
      <c r="C2010" s="199"/>
      <c r="D2010" s="199"/>
      <c r="E2010" s="199"/>
      <c r="F2010" s="230" t="s">
        <v>197</v>
      </c>
      <c r="G2010" s="240"/>
      <c r="H2010" s="241"/>
      <c r="I2010" s="438">
        <f>SUM(I2009:I2009)</f>
        <v>0</v>
      </c>
      <c r="K2010" s="295"/>
    </row>
    <row r="2011" spans="1:11" x14ac:dyDescent="0.2">
      <c r="A2011" s="199"/>
      <c r="B2011" s="229"/>
      <c r="C2011" s="199"/>
      <c r="D2011" s="199"/>
      <c r="E2011" s="199"/>
      <c r="F2011" s="199"/>
      <c r="G2011" s="262"/>
      <c r="H2011" s="199"/>
      <c r="I2011" s="439"/>
      <c r="K2011" s="295"/>
    </row>
    <row r="2012" spans="1:11" x14ac:dyDescent="0.2">
      <c r="A2012" s="263" t="s">
        <v>198</v>
      </c>
      <c r="B2012" s="243" t="s">
        <v>59</v>
      </c>
      <c r="C2012" s="243" t="s">
        <v>196</v>
      </c>
      <c r="D2012" s="635" t="s">
        <v>217</v>
      </c>
      <c r="E2012" s="1121" t="s">
        <v>89</v>
      </c>
      <c r="F2012" s="1114"/>
      <c r="G2012" s="1115"/>
      <c r="H2012" s="1121" t="s">
        <v>183</v>
      </c>
      <c r="I2012" s="1115"/>
      <c r="K2012" s="295"/>
    </row>
    <row r="2013" spans="1:11" ht="33.75" x14ac:dyDescent="0.2">
      <c r="A2013" s="244" t="str">
        <f>VLOOKUP(B2013,'DER 11-20'!$A:$E,2,FALSE)</f>
        <v>Concreto ciclópico com 70% concreto 15,0 MPa e 30% de pedra de mão, tudo incluído</v>
      </c>
      <c r="B2013" s="234">
        <v>40351</v>
      </c>
      <c r="C2013" s="234" t="str">
        <f>VLOOKUP(B2013,'DER 11-20'!$A:$E,3,FALSE)</f>
        <v>M3</v>
      </c>
      <c r="D2013" s="418">
        <f>TRUNC(VLOOKUP(B2013,'DER 11-20'!$A:$F,6,FALSE)/(1+$I$4),2)</f>
        <v>423.27</v>
      </c>
      <c r="E2013" s="255"/>
      <c r="F2013" s="253"/>
      <c r="G2013" s="293">
        <v>1.141</v>
      </c>
      <c r="H2013" s="240"/>
      <c r="I2013" s="423">
        <f>TRUNC(D2013*G2013,2)</f>
        <v>482.95</v>
      </c>
      <c r="K2013" s="295"/>
    </row>
    <row r="2014" spans="1:11" ht="45" x14ac:dyDescent="0.2">
      <c r="A2014" s="244" t="str">
        <f>VLOOKUP(B2014,'DER 11-20'!$A:$E,2,FALSE)</f>
        <v>Formas planas de madeira com 04 (quatro) reaproveitamentos, inclusive fornecimento e transporte das madeiras</v>
      </c>
      <c r="B2014" s="234">
        <v>40313</v>
      </c>
      <c r="C2014" s="234" t="str">
        <f>VLOOKUP(B2014,'DER 11-20'!$A:$E,3,FALSE)</f>
        <v>M2</v>
      </c>
      <c r="D2014" s="418">
        <f>TRUNC(VLOOKUP(B2014,'DER 11-20'!$A:$F,6,FALSE)/(1+$I$4),2)</f>
        <v>71.56</v>
      </c>
      <c r="E2014" s="255"/>
      <c r="F2014" s="253"/>
      <c r="G2014" s="293">
        <v>1.1200000000000001</v>
      </c>
      <c r="H2014" s="240"/>
      <c r="I2014" s="423">
        <f>TRUNC(D2014*G2014,2)</f>
        <v>80.14</v>
      </c>
      <c r="K2014" s="295"/>
    </row>
    <row r="2015" spans="1:11" x14ac:dyDescent="0.2">
      <c r="A2015" s="200"/>
      <c r="B2015" s="264"/>
      <c r="C2015" s="200"/>
      <c r="D2015" s="200"/>
      <c r="E2015" s="200"/>
      <c r="F2015" s="265" t="s">
        <v>199</v>
      </c>
      <c r="G2015" s="255"/>
      <c r="H2015" s="266"/>
      <c r="I2015" s="441">
        <f>SUM(I2013:I2014)</f>
        <v>563.09</v>
      </c>
      <c r="K2015" s="295"/>
    </row>
    <row r="2016" spans="1:11" x14ac:dyDescent="0.2">
      <c r="A2016" s="200"/>
      <c r="B2016" s="264"/>
      <c r="C2016" s="200"/>
      <c r="D2016" s="200"/>
      <c r="E2016" s="200"/>
      <c r="F2016" s="200"/>
      <c r="G2016" s="200"/>
      <c r="H2016" s="200"/>
      <c r="I2016" s="440"/>
      <c r="K2016" s="295"/>
    </row>
    <row r="2017" spans="1:13" x14ac:dyDescent="0.2">
      <c r="A2017" s="406" t="s">
        <v>200</v>
      </c>
      <c r="B2017" s="268" t="s">
        <v>59</v>
      </c>
      <c r="C2017" s="268" t="s">
        <v>196</v>
      </c>
      <c r="D2017" s="268" t="s">
        <v>201</v>
      </c>
      <c r="E2017" s="268" t="s">
        <v>202</v>
      </c>
      <c r="F2017" s="268" t="s">
        <v>203</v>
      </c>
      <c r="G2017" s="268" t="s">
        <v>94</v>
      </c>
      <c r="H2017" s="268" t="s">
        <v>89</v>
      </c>
      <c r="I2017" s="442" t="s">
        <v>204</v>
      </c>
      <c r="K2017" s="295"/>
    </row>
    <row r="2018" spans="1:13" x14ac:dyDescent="0.2">
      <c r="A2018" s="244"/>
      <c r="B2018" s="234"/>
      <c r="C2018" s="234"/>
      <c r="D2018" s="269"/>
      <c r="E2018" s="270"/>
      <c r="F2018" s="270"/>
      <c r="G2018" s="239"/>
      <c r="H2018" s="271"/>
      <c r="I2018" s="418"/>
      <c r="K2018" s="295"/>
    </row>
    <row r="2019" spans="1:13" x14ac:dyDescent="0.2">
      <c r="A2019" s="200"/>
      <c r="B2019" s="264"/>
      <c r="C2019" s="200"/>
      <c r="D2019" s="200"/>
      <c r="E2019" s="200"/>
      <c r="F2019" s="265" t="s">
        <v>205</v>
      </c>
      <c r="G2019" s="240"/>
      <c r="H2019" s="272"/>
      <c r="I2019" s="443">
        <f>SUM(I2018:I2018)</f>
        <v>0</v>
      </c>
      <c r="K2019" s="295"/>
    </row>
    <row r="2020" spans="1:13" x14ac:dyDescent="0.2">
      <c r="A2020" s="200"/>
      <c r="B2020" s="264"/>
      <c r="C2020" s="200"/>
      <c r="D2020" s="200"/>
      <c r="E2020" s="200"/>
      <c r="F2020" s="200"/>
      <c r="G2020" s="200"/>
      <c r="H2020" s="200"/>
      <c r="I2020" s="444"/>
      <c r="K2020" s="295"/>
    </row>
    <row r="2021" spans="1:13" x14ac:dyDescent="0.2">
      <c r="A2021" s="273"/>
      <c r="B2021" s="274"/>
      <c r="C2021" s="275"/>
      <c r="D2021" s="275"/>
      <c r="E2021" s="275"/>
      <c r="F2021" s="276" t="s">
        <v>206</v>
      </c>
      <c r="G2021" s="273"/>
      <c r="H2021" s="249"/>
      <c r="I2021" s="445">
        <f>+I2006+I2010+I2015+I2019</f>
        <v>563.09</v>
      </c>
    </row>
    <row r="2022" spans="1:13" x14ac:dyDescent="0.2">
      <c r="A2022" s="255"/>
      <c r="B2022" s="277"/>
      <c r="C2022" s="266"/>
      <c r="D2022" s="266"/>
      <c r="E2022" s="266"/>
      <c r="F2022" s="278" t="str">
        <f>CONCATENATE($H$3," ",$I$3)</f>
        <v>BDI: 23,32</v>
      </c>
      <c r="G2022" s="403"/>
      <c r="H2022" s="253"/>
      <c r="I2022" s="446">
        <f>+ROUND(I2021*$I$4,2)</f>
        <v>131.31</v>
      </c>
    </row>
    <row r="2023" spans="1:13" x14ac:dyDescent="0.2">
      <c r="A2023" s="240"/>
      <c r="B2023" s="279"/>
      <c r="C2023" s="272"/>
      <c r="D2023" s="272"/>
      <c r="E2023" s="272"/>
      <c r="F2023" s="280" t="s">
        <v>207</v>
      </c>
      <c r="G2023" s="404"/>
      <c r="H2023" s="241"/>
      <c r="I2023" s="720">
        <f>+I2021+I2022</f>
        <v>694.4</v>
      </c>
    </row>
    <row r="2024" spans="1:13" x14ac:dyDescent="0.2">
      <c r="A2024" s="1116" t="str">
        <f>$A$1</f>
        <v>COMPOSIÇÃO DE CUSTOS UNITÁRIOS</v>
      </c>
      <c r="B2024" s="1116"/>
      <c r="C2024" s="1116"/>
      <c r="D2024" s="1116"/>
      <c r="E2024" s="1116"/>
      <c r="F2024" s="1116"/>
      <c r="G2024" s="1116"/>
      <c r="H2024" s="1116"/>
      <c r="I2024" s="1116"/>
    </row>
    <row r="2025" spans="1:13" x14ac:dyDescent="0.2">
      <c r="A2025" s="228" t="str">
        <f>$A$2</f>
        <v>Tabela Referencial de Preços - DER-ES</v>
      </c>
      <c r="B2025" s="229"/>
      <c r="C2025" s="199"/>
      <c r="D2025" s="199"/>
      <c r="E2025" s="199"/>
      <c r="F2025" s="199"/>
      <c r="G2025" s="199"/>
      <c r="H2025" s="199"/>
      <c r="I2025" s="414" t="str">
        <f>$I$2</f>
        <v>Data Base: novembro/2020</v>
      </c>
    </row>
    <row r="2026" spans="1:13" x14ac:dyDescent="0.2">
      <c r="A2026" s="1117" t="str">
        <f>+CONCATENATE("Serviço: ",J2026," ",VLOOKUP(J2026,'DER 11-20'!$A:$D,2,FALSE))</f>
        <v>Serviço: 40526 Berço de concreto ciclópico para BTTC diâmetro 1,00 m</v>
      </c>
      <c r="B2026" s="1117"/>
      <c r="C2026" s="1117"/>
      <c r="D2026" s="1117"/>
      <c r="E2026" s="1117"/>
      <c r="F2026" s="1117"/>
      <c r="G2026" s="1117"/>
      <c r="H2026" s="1117"/>
      <c r="I2026" s="1119" t="str">
        <f>CONCATENATE("Unidade: ", VLOOKUP(J2026,'DER 11-20'!$A:$E,3,FALSE))</f>
        <v>Unidade: M</v>
      </c>
      <c r="J2026" s="400">
        <v>40526</v>
      </c>
      <c r="K2026" s="400">
        <f>VLOOKUP("Preço Unitário Total",F2027:I3590,4,FALSE)</f>
        <v>991.92</v>
      </c>
      <c r="L2026" s="295" t="str">
        <f>VLOOKUP(J2026,'DER 11-20'!A:E,5,FALSE)</f>
        <v>A incluir</v>
      </c>
      <c r="M2026" s="295" t="str">
        <f>VLOOKUP(J2026,'DER 11-20'!$A:$D,2,FALSE)</f>
        <v>Berço de concreto ciclópico para BTTC diâmetro 1,00 m</v>
      </c>
    </row>
    <row r="2027" spans="1:13" x14ac:dyDescent="0.2">
      <c r="A2027" s="1118"/>
      <c r="B2027" s="1118"/>
      <c r="C2027" s="1118"/>
      <c r="D2027" s="1118"/>
      <c r="E2027" s="1118"/>
      <c r="F2027" s="1118"/>
      <c r="G2027" s="1118"/>
      <c r="H2027" s="1118"/>
      <c r="I2027" s="1120"/>
    </row>
    <row r="2028" spans="1:13" ht="22.5" x14ac:dyDescent="0.2">
      <c r="A2028" s="231" t="s">
        <v>177</v>
      </c>
      <c r="B2028" s="232" t="s">
        <v>59</v>
      </c>
      <c r="C2028" s="232" t="s">
        <v>178</v>
      </c>
      <c r="D2028" s="232" t="s">
        <v>179</v>
      </c>
      <c r="E2028" s="232" t="s">
        <v>180</v>
      </c>
      <c r="F2028" s="232" t="s">
        <v>181</v>
      </c>
      <c r="G2028" s="232" t="s">
        <v>182</v>
      </c>
      <c r="H2028" s="232" t="s">
        <v>89</v>
      </c>
      <c r="I2028" s="434" t="s">
        <v>183</v>
      </c>
    </row>
    <row r="2029" spans="1:13" x14ac:dyDescent="0.2">
      <c r="A2029" s="233"/>
      <c r="B2029" s="234"/>
      <c r="C2029" s="235"/>
      <c r="D2029" s="236"/>
      <c r="E2029" s="203"/>
      <c r="F2029" s="237"/>
      <c r="G2029" s="237"/>
      <c r="H2029" s="238"/>
      <c r="I2029" s="418"/>
    </row>
    <row r="2030" spans="1:13" x14ac:dyDescent="0.2">
      <c r="A2030" s="199"/>
      <c r="B2030" s="229"/>
      <c r="C2030" s="229"/>
      <c r="D2030" s="199"/>
      <c r="E2030" s="199"/>
      <c r="F2030" s="230" t="s">
        <v>184</v>
      </c>
      <c r="G2030" s="240"/>
      <c r="H2030" s="241"/>
      <c r="I2030" s="438">
        <f>SUM(I2029:I2029)</f>
        <v>0</v>
      </c>
    </row>
    <row r="2031" spans="1:13" x14ac:dyDescent="0.2">
      <c r="A2031" s="199"/>
      <c r="B2031" s="229"/>
      <c r="C2031" s="229"/>
      <c r="D2031" s="199"/>
      <c r="E2031" s="199"/>
      <c r="F2031" s="199"/>
      <c r="G2031" s="199"/>
      <c r="H2031" s="199"/>
      <c r="I2031" s="439"/>
    </row>
    <row r="2032" spans="1:13" x14ac:dyDescent="0.2">
      <c r="A2032" s="242" t="s">
        <v>185</v>
      </c>
      <c r="B2032" s="243" t="s">
        <v>59</v>
      </c>
      <c r="C2032" s="232" t="s">
        <v>357</v>
      </c>
      <c r="D2032" s="243" t="s">
        <v>187</v>
      </c>
      <c r="E2032" s="1121" t="s">
        <v>89</v>
      </c>
      <c r="F2032" s="1114"/>
      <c r="G2032" s="1115"/>
      <c r="H2032" s="1121" t="s">
        <v>183</v>
      </c>
      <c r="I2032" s="1115"/>
    </row>
    <row r="2033" spans="1:11" x14ac:dyDescent="0.2">
      <c r="A2033" s="244"/>
      <c r="B2033" s="234"/>
      <c r="C2033" s="239"/>
      <c r="D2033" s="239"/>
      <c r="E2033" s="255"/>
      <c r="F2033" s="253"/>
      <c r="G2033" s="293"/>
      <c r="H2033" s="240"/>
      <c r="I2033" s="427"/>
    </row>
    <row r="2034" spans="1:11" x14ac:dyDescent="0.2">
      <c r="A2034" s="199"/>
      <c r="B2034" s="229"/>
      <c r="C2034" s="229"/>
      <c r="D2034" s="199"/>
      <c r="E2034" s="199"/>
      <c r="F2034" s="230" t="s">
        <v>188</v>
      </c>
      <c r="G2034" s="240"/>
      <c r="H2034" s="241"/>
      <c r="I2034" s="438">
        <f>SUM(I2033:I2033)</f>
        <v>0</v>
      </c>
    </row>
    <row r="2035" spans="1:11" x14ac:dyDescent="0.2">
      <c r="A2035" s="199"/>
      <c r="B2035" s="229"/>
      <c r="C2035" s="229"/>
      <c r="D2035" s="199"/>
      <c r="E2035" s="199"/>
      <c r="F2035" s="199"/>
      <c r="G2035" s="199"/>
      <c r="H2035" s="199"/>
      <c r="I2035" s="439"/>
    </row>
    <row r="2036" spans="1:11" x14ac:dyDescent="0.2">
      <c r="A2036" s="263" t="s">
        <v>189</v>
      </c>
      <c r="B2036" s="243" t="s">
        <v>59</v>
      </c>
      <c r="C2036" s="827" t="s">
        <v>17</v>
      </c>
      <c r="D2036" s="243" t="s">
        <v>190</v>
      </c>
      <c r="E2036" s="243" t="s">
        <v>191</v>
      </c>
      <c r="F2036" s="243" t="s">
        <v>192</v>
      </c>
      <c r="G2036" s="1121" t="s">
        <v>94</v>
      </c>
      <c r="H2036" s="1114"/>
      <c r="I2036" s="1115"/>
    </row>
    <row r="2037" spans="1:11" x14ac:dyDescent="0.2">
      <c r="A2037" s="244"/>
      <c r="B2037" s="234"/>
      <c r="C2037" s="239"/>
      <c r="D2037" s="235"/>
      <c r="E2037" s="246"/>
      <c r="F2037" s="246"/>
      <c r="G2037" s="240"/>
      <c r="H2037" s="241"/>
      <c r="I2037" s="427"/>
    </row>
    <row r="2038" spans="1:11" x14ac:dyDescent="0.2">
      <c r="A2038" s="199"/>
      <c r="B2038" s="229"/>
      <c r="C2038" s="199"/>
      <c r="D2038" s="199"/>
      <c r="E2038" s="199"/>
      <c r="F2038" s="230" t="s">
        <v>327</v>
      </c>
      <c r="G2038" s="240"/>
      <c r="H2038" s="241"/>
      <c r="I2038" s="438">
        <f>SUM(I2037)</f>
        <v>0</v>
      </c>
    </row>
    <row r="2039" spans="1:11" x14ac:dyDescent="0.2">
      <c r="A2039" s="199"/>
      <c r="B2039" s="229"/>
      <c r="C2039" s="199"/>
      <c r="D2039" s="199"/>
      <c r="E2039" s="199"/>
      <c r="F2039" s="199"/>
      <c r="G2039" s="199"/>
      <c r="H2039" s="199"/>
      <c r="I2039" s="439"/>
    </row>
    <row r="2040" spans="1:11" x14ac:dyDescent="0.2">
      <c r="A2040" s="247"/>
      <c r="B2040" s="248"/>
      <c r="C2040" s="249"/>
      <c r="D2040" s="249"/>
      <c r="E2040" s="249"/>
      <c r="F2040" s="250" t="s">
        <v>193</v>
      </c>
      <c r="G2040" s="401"/>
      <c r="H2040" s="249"/>
      <c r="I2040" s="445">
        <f>+I2030+I2034+I2038</f>
        <v>0</v>
      </c>
    </row>
    <row r="2041" spans="1:11" x14ac:dyDescent="0.2">
      <c r="A2041" s="251"/>
      <c r="B2041" s="252"/>
      <c r="C2041" s="253"/>
      <c r="D2041" s="253"/>
      <c r="E2041" s="253"/>
      <c r="F2041" s="254" t="s">
        <v>194</v>
      </c>
      <c r="G2041" s="255"/>
      <c r="H2041" s="253"/>
      <c r="I2041" s="446">
        <v>1</v>
      </c>
      <c r="K2041" s="295"/>
    </row>
    <row r="2042" spans="1:11" x14ac:dyDescent="0.2">
      <c r="A2042" s="233"/>
      <c r="B2042" s="256"/>
      <c r="C2042" s="241"/>
      <c r="D2042" s="241"/>
      <c r="E2042" s="241"/>
      <c r="F2042" s="257" t="s">
        <v>216</v>
      </c>
      <c r="G2042" s="240"/>
      <c r="H2042" s="241"/>
      <c r="I2042" s="447">
        <f>TRUNC(I2040/I2041,2)</f>
        <v>0</v>
      </c>
      <c r="K2042" s="295"/>
    </row>
    <row r="2043" spans="1:11" x14ac:dyDescent="0.2">
      <c r="A2043" s="826"/>
      <c r="B2043" s="229"/>
      <c r="C2043" s="199"/>
      <c r="D2043" s="199"/>
      <c r="E2043" s="199"/>
      <c r="F2043" s="258"/>
      <c r="G2043" s="199"/>
      <c r="H2043" s="199"/>
      <c r="I2043" s="450"/>
      <c r="K2043" s="295"/>
    </row>
    <row r="2044" spans="1:11" x14ac:dyDescent="0.2">
      <c r="A2044" s="242" t="s">
        <v>195</v>
      </c>
      <c r="B2044" s="243" t="s">
        <v>59</v>
      </c>
      <c r="C2044" s="243" t="s">
        <v>196</v>
      </c>
      <c r="D2044" s="243" t="s">
        <v>217</v>
      </c>
      <c r="E2044" s="1121" t="s">
        <v>89</v>
      </c>
      <c r="F2044" s="1114"/>
      <c r="G2044" s="1115"/>
      <c r="H2044" s="1121" t="s">
        <v>183</v>
      </c>
      <c r="I2044" s="1115"/>
      <c r="K2044" s="295"/>
    </row>
    <row r="2045" spans="1:11" x14ac:dyDescent="0.2">
      <c r="A2045" s="259"/>
      <c r="B2045" s="234"/>
      <c r="C2045" s="260"/>
      <c r="D2045" s="261"/>
      <c r="E2045" s="255"/>
      <c r="F2045" s="253"/>
      <c r="G2045" s="293"/>
      <c r="H2045" s="255"/>
      <c r="I2045" s="423"/>
      <c r="K2045" s="295"/>
    </row>
    <row r="2046" spans="1:11" x14ac:dyDescent="0.2">
      <c r="A2046" s="199"/>
      <c r="B2046" s="229"/>
      <c r="C2046" s="199"/>
      <c r="D2046" s="199"/>
      <c r="E2046" s="199"/>
      <c r="F2046" s="230" t="s">
        <v>197</v>
      </c>
      <c r="G2046" s="240"/>
      <c r="H2046" s="241"/>
      <c r="I2046" s="438">
        <f>SUM(I2045:I2045)</f>
        <v>0</v>
      </c>
      <c r="K2046" s="295"/>
    </row>
    <row r="2047" spans="1:11" x14ac:dyDescent="0.2">
      <c r="A2047" s="199"/>
      <c r="B2047" s="229"/>
      <c r="C2047" s="199"/>
      <c r="D2047" s="199"/>
      <c r="E2047" s="199"/>
      <c r="F2047" s="199"/>
      <c r="G2047" s="262"/>
      <c r="H2047" s="199"/>
      <c r="I2047" s="439"/>
      <c r="K2047" s="295"/>
    </row>
    <row r="2048" spans="1:11" x14ac:dyDescent="0.2">
      <c r="A2048" s="263" t="s">
        <v>198</v>
      </c>
      <c r="B2048" s="243" t="s">
        <v>59</v>
      </c>
      <c r="C2048" s="243" t="s">
        <v>196</v>
      </c>
      <c r="D2048" s="827" t="s">
        <v>217</v>
      </c>
      <c r="E2048" s="1121" t="s">
        <v>89</v>
      </c>
      <c r="F2048" s="1114"/>
      <c r="G2048" s="1115"/>
      <c r="H2048" s="1121" t="s">
        <v>183</v>
      </c>
      <c r="I2048" s="1115"/>
      <c r="K2048" s="295"/>
    </row>
    <row r="2049" spans="1:13" ht="33.75" x14ac:dyDescent="0.2">
      <c r="A2049" s="244" t="str">
        <f>VLOOKUP(B2049,'DER 11-20'!$A:$E,2,FALSE)</f>
        <v>Concreto ciclópico com 70% concreto 15,0 MPa e 30% de pedra de mão, tudo incluído</v>
      </c>
      <c r="B2049" s="234">
        <v>40351</v>
      </c>
      <c r="C2049" s="234" t="str">
        <f>VLOOKUP(B2049,'DER 11-20'!$A:$E,3,FALSE)</f>
        <v>M3</v>
      </c>
      <c r="D2049" s="418">
        <f>TRUNC(VLOOKUP(B2049,'DER 11-20'!$A:$F,6,FALSE)/(1+$I$4),2)</f>
        <v>423.27</v>
      </c>
      <c r="E2049" s="255"/>
      <c r="F2049" s="253"/>
      <c r="G2049" s="293">
        <v>1.7110000000000001</v>
      </c>
      <c r="H2049" s="240"/>
      <c r="I2049" s="423">
        <f>TRUNC(D2049*G2049,2)</f>
        <v>724.21</v>
      </c>
      <c r="K2049" s="295"/>
    </row>
    <row r="2050" spans="1:13" ht="45" x14ac:dyDescent="0.2">
      <c r="A2050" s="244" t="str">
        <f>VLOOKUP(B2050,'DER 11-20'!$A:$E,2,FALSE)</f>
        <v>Formas planas de madeira com 04 (quatro) reaproveitamentos, inclusive fornecimento e transporte das madeiras</v>
      </c>
      <c r="B2050" s="234">
        <v>40313</v>
      </c>
      <c r="C2050" s="234" t="str">
        <f>VLOOKUP(B2050,'DER 11-20'!$A:$E,3,FALSE)</f>
        <v>M2</v>
      </c>
      <c r="D2050" s="418">
        <f>TRUNC(VLOOKUP(B2050,'DER 11-20'!$A:$F,6,FALSE)/(1+$I$4),2)</f>
        <v>71.56</v>
      </c>
      <c r="E2050" s="255"/>
      <c r="F2050" s="253"/>
      <c r="G2050" s="293">
        <v>1.1200000000000001</v>
      </c>
      <c r="H2050" s="240"/>
      <c r="I2050" s="423">
        <f>TRUNC(D2050*G2050,2)</f>
        <v>80.14</v>
      </c>
      <c r="K2050" s="295"/>
    </row>
    <row r="2051" spans="1:13" x14ac:dyDescent="0.2">
      <c r="A2051" s="200"/>
      <c r="B2051" s="264"/>
      <c r="C2051" s="200"/>
      <c r="D2051" s="200"/>
      <c r="E2051" s="200"/>
      <c r="F2051" s="265" t="s">
        <v>199</v>
      </c>
      <c r="G2051" s="255"/>
      <c r="H2051" s="266"/>
      <c r="I2051" s="441">
        <f>SUM(I2049:I2050)</f>
        <v>804.35</v>
      </c>
      <c r="K2051" s="295"/>
    </row>
    <row r="2052" spans="1:13" x14ac:dyDescent="0.2">
      <c r="A2052" s="200"/>
      <c r="B2052" s="264"/>
      <c r="C2052" s="200"/>
      <c r="D2052" s="200"/>
      <c r="E2052" s="200"/>
      <c r="F2052" s="200"/>
      <c r="G2052" s="200"/>
      <c r="H2052" s="200"/>
      <c r="I2052" s="440"/>
      <c r="K2052" s="295"/>
    </row>
    <row r="2053" spans="1:13" x14ac:dyDescent="0.2">
      <c r="A2053" s="406" t="s">
        <v>200</v>
      </c>
      <c r="B2053" s="268" t="s">
        <v>59</v>
      </c>
      <c r="C2053" s="268" t="s">
        <v>196</v>
      </c>
      <c r="D2053" s="268" t="s">
        <v>201</v>
      </c>
      <c r="E2053" s="268" t="s">
        <v>202</v>
      </c>
      <c r="F2053" s="268" t="s">
        <v>203</v>
      </c>
      <c r="G2053" s="268" t="s">
        <v>94</v>
      </c>
      <c r="H2053" s="268" t="s">
        <v>89</v>
      </c>
      <c r="I2053" s="442" t="s">
        <v>204</v>
      </c>
      <c r="K2053" s="295"/>
    </row>
    <row r="2054" spans="1:13" x14ac:dyDescent="0.2">
      <c r="A2054" s="244"/>
      <c r="B2054" s="234"/>
      <c r="C2054" s="234"/>
      <c r="D2054" s="269"/>
      <c r="E2054" s="270"/>
      <c r="F2054" s="270"/>
      <c r="G2054" s="239"/>
      <c r="H2054" s="271"/>
      <c r="I2054" s="418"/>
      <c r="K2054" s="295"/>
    </row>
    <row r="2055" spans="1:13" x14ac:dyDescent="0.2">
      <c r="A2055" s="200"/>
      <c r="B2055" s="264"/>
      <c r="C2055" s="200"/>
      <c r="D2055" s="200"/>
      <c r="E2055" s="200"/>
      <c r="F2055" s="265" t="s">
        <v>205</v>
      </c>
      <c r="G2055" s="240"/>
      <c r="H2055" s="272"/>
      <c r="I2055" s="443">
        <f>SUM(I2054:I2054)</f>
        <v>0</v>
      </c>
      <c r="K2055" s="295"/>
    </row>
    <row r="2056" spans="1:13" x14ac:dyDescent="0.2">
      <c r="A2056" s="200"/>
      <c r="B2056" s="264"/>
      <c r="C2056" s="200"/>
      <c r="D2056" s="200"/>
      <c r="E2056" s="200"/>
      <c r="F2056" s="200"/>
      <c r="G2056" s="200"/>
      <c r="H2056" s="200"/>
      <c r="I2056" s="444"/>
      <c r="K2056" s="295"/>
    </row>
    <row r="2057" spans="1:13" x14ac:dyDescent="0.2">
      <c r="A2057" s="273"/>
      <c r="B2057" s="274"/>
      <c r="C2057" s="275"/>
      <c r="D2057" s="275"/>
      <c r="E2057" s="275"/>
      <c r="F2057" s="276" t="s">
        <v>206</v>
      </c>
      <c r="G2057" s="273"/>
      <c r="H2057" s="249"/>
      <c r="I2057" s="445">
        <f>+I2042+I2046+I2051+I2055</f>
        <v>804.35</v>
      </c>
    </row>
    <row r="2058" spans="1:13" x14ac:dyDescent="0.2">
      <c r="A2058" s="255"/>
      <c r="B2058" s="277"/>
      <c r="C2058" s="266"/>
      <c r="D2058" s="266"/>
      <c r="E2058" s="266"/>
      <c r="F2058" s="278" t="str">
        <f>CONCATENATE($H$3," ",$I$3)</f>
        <v>BDI: 23,32</v>
      </c>
      <c r="G2058" s="403"/>
      <c r="H2058" s="253"/>
      <c r="I2058" s="446">
        <f>+ROUND(I2057*$I$4,2)</f>
        <v>187.57</v>
      </c>
    </row>
    <row r="2059" spans="1:13" x14ac:dyDescent="0.2">
      <c r="A2059" s="240"/>
      <c r="B2059" s="279"/>
      <c r="C2059" s="272"/>
      <c r="D2059" s="272"/>
      <c r="E2059" s="272"/>
      <c r="F2059" s="280" t="s">
        <v>207</v>
      </c>
      <c r="G2059" s="404"/>
      <c r="H2059" s="241"/>
      <c r="I2059" s="720">
        <f>+I2057+I2058</f>
        <v>991.92</v>
      </c>
    </row>
    <row r="2060" spans="1:13" x14ac:dyDescent="0.2">
      <c r="A2060" s="1116" t="str">
        <f>$A$1</f>
        <v>COMPOSIÇÃO DE CUSTOS UNITÁRIOS</v>
      </c>
      <c r="B2060" s="1116"/>
      <c r="C2060" s="1116"/>
      <c r="D2060" s="1116"/>
      <c r="E2060" s="1116"/>
      <c r="F2060" s="1116"/>
      <c r="G2060" s="1116"/>
      <c r="H2060" s="1116"/>
      <c r="I2060" s="1116"/>
    </row>
    <row r="2061" spans="1:13" x14ac:dyDescent="0.2">
      <c r="A2061" s="228" t="str">
        <f>$A$2</f>
        <v>Tabela Referencial de Preços - DER-ES</v>
      </c>
      <c r="B2061" s="229"/>
      <c r="C2061" s="199"/>
      <c r="D2061" s="199"/>
      <c r="E2061" s="199"/>
      <c r="F2061" s="199"/>
      <c r="G2061" s="199"/>
      <c r="H2061" s="199"/>
      <c r="I2061" s="414" t="str">
        <f>$I$2</f>
        <v>Data Base: novembro/2020</v>
      </c>
    </row>
    <row r="2062" spans="1:13" x14ac:dyDescent="0.2">
      <c r="A2062" s="1117" t="str">
        <f>+CONCATENATE("Serviço: ",J2062," ",VLOOKUP(J2062,'DER 11-20'!$A:$D,2,FALSE))</f>
        <v>Serviço: 40527 Berço de concreto ciclópico para BTTC diâmetro 1,20 m</v>
      </c>
      <c r="B2062" s="1117"/>
      <c r="C2062" s="1117"/>
      <c r="D2062" s="1117"/>
      <c r="E2062" s="1117"/>
      <c r="F2062" s="1117"/>
      <c r="G2062" s="1117"/>
      <c r="H2062" s="1117"/>
      <c r="I2062" s="1119" t="str">
        <f>CONCATENATE("Unidade: ", VLOOKUP(J2062,'DER 11-20'!$A:$E,3,FALSE))</f>
        <v>Unidade: M</v>
      </c>
      <c r="J2062" s="400">
        <v>40527</v>
      </c>
      <c r="K2062" s="400">
        <f>VLOOKUP("Preço Unitário Total",F2063:I3618,4,FALSE)</f>
        <v>1347.51</v>
      </c>
      <c r="L2062" s="295" t="str">
        <f>VLOOKUP(J2062,'DER 11-20'!A:E,5,FALSE)</f>
        <v>A incluir</v>
      </c>
      <c r="M2062" s="295" t="str">
        <f>VLOOKUP(J2062,'DER 11-20'!$A:$D,2,FALSE)</f>
        <v>Berço de concreto ciclópico para BTTC diâmetro 1,20 m</v>
      </c>
    </row>
    <row r="2063" spans="1:13" x14ac:dyDescent="0.2">
      <c r="A2063" s="1118"/>
      <c r="B2063" s="1118"/>
      <c r="C2063" s="1118"/>
      <c r="D2063" s="1118"/>
      <c r="E2063" s="1118"/>
      <c r="F2063" s="1118"/>
      <c r="G2063" s="1118"/>
      <c r="H2063" s="1118"/>
      <c r="I2063" s="1120"/>
    </row>
    <row r="2064" spans="1:13" ht="22.5" x14ac:dyDescent="0.2">
      <c r="A2064" s="231" t="s">
        <v>177</v>
      </c>
      <c r="B2064" s="232" t="s">
        <v>59</v>
      </c>
      <c r="C2064" s="232" t="s">
        <v>178</v>
      </c>
      <c r="D2064" s="232" t="s">
        <v>179</v>
      </c>
      <c r="E2064" s="232" t="s">
        <v>180</v>
      </c>
      <c r="F2064" s="232" t="s">
        <v>181</v>
      </c>
      <c r="G2064" s="232" t="s">
        <v>182</v>
      </c>
      <c r="H2064" s="232" t="s">
        <v>89</v>
      </c>
      <c r="I2064" s="434" t="s">
        <v>183</v>
      </c>
    </row>
    <row r="2065" spans="1:11" x14ac:dyDescent="0.2">
      <c r="A2065" s="233"/>
      <c r="B2065" s="234"/>
      <c r="C2065" s="235"/>
      <c r="D2065" s="236"/>
      <c r="E2065" s="203"/>
      <c r="F2065" s="237"/>
      <c r="G2065" s="237"/>
      <c r="H2065" s="238"/>
      <c r="I2065" s="418"/>
    </row>
    <row r="2066" spans="1:11" x14ac:dyDescent="0.2">
      <c r="A2066" s="199"/>
      <c r="B2066" s="229"/>
      <c r="C2066" s="229"/>
      <c r="D2066" s="199"/>
      <c r="E2066" s="199"/>
      <c r="F2066" s="230" t="s">
        <v>184</v>
      </c>
      <c r="G2066" s="240"/>
      <c r="H2066" s="241"/>
      <c r="I2066" s="438">
        <f>SUM(I2065:I2065)</f>
        <v>0</v>
      </c>
    </row>
    <row r="2067" spans="1:11" x14ac:dyDescent="0.2">
      <c r="A2067" s="199"/>
      <c r="B2067" s="229"/>
      <c r="C2067" s="229"/>
      <c r="D2067" s="199"/>
      <c r="E2067" s="199"/>
      <c r="F2067" s="199"/>
      <c r="G2067" s="199"/>
      <c r="H2067" s="199"/>
      <c r="I2067" s="439"/>
    </row>
    <row r="2068" spans="1:11" x14ac:dyDescent="0.2">
      <c r="A2068" s="242" t="s">
        <v>185</v>
      </c>
      <c r="B2068" s="243" t="s">
        <v>59</v>
      </c>
      <c r="C2068" s="232" t="s">
        <v>357</v>
      </c>
      <c r="D2068" s="243" t="s">
        <v>187</v>
      </c>
      <c r="E2068" s="1121" t="s">
        <v>89</v>
      </c>
      <c r="F2068" s="1114"/>
      <c r="G2068" s="1115"/>
      <c r="H2068" s="1121" t="s">
        <v>183</v>
      </c>
      <c r="I2068" s="1115"/>
    </row>
    <row r="2069" spans="1:11" x14ac:dyDescent="0.2">
      <c r="A2069" s="244"/>
      <c r="B2069" s="234"/>
      <c r="C2069" s="239"/>
      <c r="D2069" s="239"/>
      <c r="E2069" s="255"/>
      <c r="F2069" s="253"/>
      <c r="G2069" s="293"/>
      <c r="H2069" s="240"/>
      <c r="I2069" s="427"/>
    </row>
    <row r="2070" spans="1:11" x14ac:dyDescent="0.2">
      <c r="A2070" s="199"/>
      <c r="B2070" s="229"/>
      <c r="C2070" s="229"/>
      <c r="D2070" s="199"/>
      <c r="E2070" s="199"/>
      <c r="F2070" s="230" t="s">
        <v>188</v>
      </c>
      <c r="G2070" s="240"/>
      <c r="H2070" s="241"/>
      <c r="I2070" s="438">
        <f>SUM(I2069:I2069)</f>
        <v>0</v>
      </c>
    </row>
    <row r="2071" spans="1:11" x14ac:dyDescent="0.2">
      <c r="A2071" s="199"/>
      <c r="B2071" s="229"/>
      <c r="C2071" s="229"/>
      <c r="D2071" s="199"/>
      <c r="E2071" s="199"/>
      <c r="F2071" s="199"/>
      <c r="G2071" s="199"/>
      <c r="H2071" s="199"/>
      <c r="I2071" s="439"/>
    </row>
    <row r="2072" spans="1:11" x14ac:dyDescent="0.2">
      <c r="A2072" s="263" t="s">
        <v>189</v>
      </c>
      <c r="B2072" s="243" t="s">
        <v>59</v>
      </c>
      <c r="C2072" s="827" t="s">
        <v>17</v>
      </c>
      <c r="D2072" s="243" t="s">
        <v>190</v>
      </c>
      <c r="E2072" s="243" t="s">
        <v>191</v>
      </c>
      <c r="F2072" s="243" t="s">
        <v>192</v>
      </c>
      <c r="G2072" s="1121" t="s">
        <v>94</v>
      </c>
      <c r="H2072" s="1114"/>
      <c r="I2072" s="1115"/>
    </row>
    <row r="2073" spans="1:11" x14ac:dyDescent="0.2">
      <c r="A2073" s="244"/>
      <c r="B2073" s="234"/>
      <c r="C2073" s="239"/>
      <c r="D2073" s="235"/>
      <c r="E2073" s="246"/>
      <c r="F2073" s="246"/>
      <c r="G2073" s="240"/>
      <c r="H2073" s="241"/>
      <c r="I2073" s="427"/>
    </row>
    <row r="2074" spans="1:11" x14ac:dyDescent="0.2">
      <c r="A2074" s="199"/>
      <c r="B2074" s="229"/>
      <c r="C2074" s="199"/>
      <c r="D2074" s="199"/>
      <c r="E2074" s="199"/>
      <c r="F2074" s="230" t="s">
        <v>327</v>
      </c>
      <c r="G2074" s="240"/>
      <c r="H2074" s="241"/>
      <c r="I2074" s="438">
        <f>SUM(I2073)</f>
        <v>0</v>
      </c>
    </row>
    <row r="2075" spans="1:11" x14ac:dyDescent="0.2">
      <c r="A2075" s="199"/>
      <c r="B2075" s="229"/>
      <c r="C2075" s="199"/>
      <c r="D2075" s="199"/>
      <c r="E2075" s="199"/>
      <c r="F2075" s="199"/>
      <c r="G2075" s="199"/>
      <c r="H2075" s="199"/>
      <c r="I2075" s="439"/>
    </row>
    <row r="2076" spans="1:11" x14ac:dyDescent="0.2">
      <c r="A2076" s="247"/>
      <c r="B2076" s="248"/>
      <c r="C2076" s="249"/>
      <c r="D2076" s="249"/>
      <c r="E2076" s="249"/>
      <c r="F2076" s="250" t="s">
        <v>193</v>
      </c>
      <c r="G2076" s="401"/>
      <c r="H2076" s="249"/>
      <c r="I2076" s="445">
        <f>+I2066+I2070+I2074</f>
        <v>0</v>
      </c>
    </row>
    <row r="2077" spans="1:11" x14ac:dyDescent="0.2">
      <c r="A2077" s="251"/>
      <c r="B2077" s="252"/>
      <c r="C2077" s="253"/>
      <c r="D2077" s="253"/>
      <c r="E2077" s="253"/>
      <c r="F2077" s="254" t="s">
        <v>194</v>
      </c>
      <c r="G2077" s="255"/>
      <c r="H2077" s="253"/>
      <c r="I2077" s="446">
        <v>1</v>
      </c>
      <c r="K2077" s="295"/>
    </row>
    <row r="2078" spans="1:11" x14ac:dyDescent="0.2">
      <c r="A2078" s="233"/>
      <c r="B2078" s="256"/>
      <c r="C2078" s="241"/>
      <c r="D2078" s="241"/>
      <c r="E2078" s="241"/>
      <c r="F2078" s="257" t="s">
        <v>216</v>
      </c>
      <c r="G2078" s="240"/>
      <c r="H2078" s="241"/>
      <c r="I2078" s="447">
        <f>TRUNC(I2076/I2077,2)</f>
        <v>0</v>
      </c>
      <c r="K2078" s="295"/>
    </row>
    <row r="2079" spans="1:11" x14ac:dyDescent="0.2">
      <c r="A2079" s="826"/>
      <c r="B2079" s="229"/>
      <c r="C2079" s="199"/>
      <c r="D2079" s="199"/>
      <c r="E2079" s="199"/>
      <c r="F2079" s="258"/>
      <c r="G2079" s="199"/>
      <c r="H2079" s="199"/>
      <c r="I2079" s="450"/>
      <c r="K2079" s="295"/>
    </row>
    <row r="2080" spans="1:11" x14ac:dyDescent="0.2">
      <c r="A2080" s="242" t="s">
        <v>195</v>
      </c>
      <c r="B2080" s="243" t="s">
        <v>59</v>
      </c>
      <c r="C2080" s="243" t="s">
        <v>196</v>
      </c>
      <c r="D2080" s="243" t="s">
        <v>217</v>
      </c>
      <c r="E2080" s="1121" t="s">
        <v>89</v>
      </c>
      <c r="F2080" s="1114"/>
      <c r="G2080" s="1115"/>
      <c r="H2080" s="1121" t="s">
        <v>183</v>
      </c>
      <c r="I2080" s="1115"/>
      <c r="K2080" s="295"/>
    </row>
    <row r="2081" spans="1:11" x14ac:dyDescent="0.2">
      <c r="A2081" s="259"/>
      <c r="B2081" s="234"/>
      <c r="C2081" s="260"/>
      <c r="D2081" s="261"/>
      <c r="E2081" s="255"/>
      <c r="F2081" s="253"/>
      <c r="G2081" s="293"/>
      <c r="H2081" s="255"/>
      <c r="I2081" s="423"/>
      <c r="K2081" s="295"/>
    </row>
    <row r="2082" spans="1:11" x14ac:dyDescent="0.2">
      <c r="A2082" s="199"/>
      <c r="B2082" s="229"/>
      <c r="C2082" s="199"/>
      <c r="D2082" s="199"/>
      <c r="E2082" s="199"/>
      <c r="F2082" s="230" t="s">
        <v>197</v>
      </c>
      <c r="G2082" s="240"/>
      <c r="H2082" s="241"/>
      <c r="I2082" s="438">
        <f>SUM(I2081:I2081)</f>
        <v>0</v>
      </c>
      <c r="K2082" s="295"/>
    </row>
    <row r="2083" spans="1:11" x14ac:dyDescent="0.2">
      <c r="A2083" s="199"/>
      <c r="B2083" s="229"/>
      <c r="C2083" s="199"/>
      <c r="D2083" s="199"/>
      <c r="E2083" s="199"/>
      <c r="F2083" s="199"/>
      <c r="G2083" s="262"/>
      <c r="H2083" s="199"/>
      <c r="I2083" s="439"/>
      <c r="K2083" s="295"/>
    </row>
    <row r="2084" spans="1:11" x14ac:dyDescent="0.2">
      <c r="A2084" s="263" t="s">
        <v>198</v>
      </c>
      <c r="B2084" s="243" t="s">
        <v>59</v>
      </c>
      <c r="C2084" s="243" t="s">
        <v>196</v>
      </c>
      <c r="D2084" s="827" t="s">
        <v>217</v>
      </c>
      <c r="E2084" s="1121" t="s">
        <v>89</v>
      </c>
      <c r="F2084" s="1114"/>
      <c r="G2084" s="1115"/>
      <c r="H2084" s="1121" t="s">
        <v>183</v>
      </c>
      <c r="I2084" s="1115"/>
      <c r="K2084" s="295"/>
    </row>
    <row r="2085" spans="1:11" ht="33.75" x14ac:dyDescent="0.2">
      <c r="A2085" s="244" t="str">
        <f>VLOOKUP(B2085,'DER 11-20'!$A:$E,2,FALSE)</f>
        <v>Concreto ciclópico com 70% concreto 15,0 MPa e 30% de pedra de mão, tudo incluído</v>
      </c>
      <c r="B2085" s="234">
        <v>40351</v>
      </c>
      <c r="C2085" s="234" t="str">
        <f>VLOOKUP(B2085,'DER 11-20'!$A:$E,3,FALSE)</f>
        <v>M3</v>
      </c>
      <c r="D2085" s="418">
        <f>TRUNC(VLOOKUP(B2085,'DER 11-20'!$A:$F,6,FALSE)/(1+$I$4),2)</f>
        <v>423.27</v>
      </c>
      <c r="E2085" s="255"/>
      <c r="F2085" s="253"/>
      <c r="G2085" s="293">
        <v>2.355</v>
      </c>
      <c r="H2085" s="240"/>
      <c r="I2085" s="423">
        <f>TRUNC(D2085*G2085,2)</f>
        <v>996.8</v>
      </c>
      <c r="K2085" s="295"/>
    </row>
    <row r="2086" spans="1:11" ht="45" x14ac:dyDescent="0.2">
      <c r="A2086" s="244" t="str">
        <f>VLOOKUP(B2086,'DER 11-20'!$A:$E,2,FALSE)</f>
        <v>Formas planas de madeira com 04 (quatro) reaproveitamentos, inclusive fornecimento e transporte das madeiras</v>
      </c>
      <c r="B2086" s="234">
        <v>40313</v>
      </c>
      <c r="C2086" s="234" t="str">
        <f>VLOOKUP(B2086,'DER 11-20'!$A:$E,3,FALSE)</f>
        <v>M2</v>
      </c>
      <c r="D2086" s="418">
        <f>TRUNC(VLOOKUP(B2086,'DER 11-20'!$A:$F,6,FALSE)/(1+$I$4),2)</f>
        <v>71.56</v>
      </c>
      <c r="E2086" s="255"/>
      <c r="F2086" s="253"/>
      <c r="G2086" s="293">
        <v>1.34</v>
      </c>
      <c r="H2086" s="240"/>
      <c r="I2086" s="423">
        <f>TRUNC(D2086*G2086,2)</f>
        <v>95.89</v>
      </c>
      <c r="K2086" s="295"/>
    </row>
    <row r="2087" spans="1:11" x14ac:dyDescent="0.2">
      <c r="A2087" s="200"/>
      <c r="B2087" s="264"/>
      <c r="C2087" s="200"/>
      <c r="D2087" s="200"/>
      <c r="E2087" s="200"/>
      <c r="F2087" s="265" t="s">
        <v>199</v>
      </c>
      <c r="G2087" s="255"/>
      <c r="H2087" s="266"/>
      <c r="I2087" s="441">
        <f>SUM(I2085:I2086)</f>
        <v>1092.69</v>
      </c>
      <c r="K2087" s="295"/>
    </row>
    <row r="2088" spans="1:11" x14ac:dyDescent="0.2">
      <c r="A2088" s="200"/>
      <c r="B2088" s="264"/>
      <c r="C2088" s="200"/>
      <c r="D2088" s="200"/>
      <c r="E2088" s="200"/>
      <c r="F2088" s="200"/>
      <c r="G2088" s="200"/>
      <c r="H2088" s="200"/>
      <c r="I2088" s="440"/>
      <c r="K2088" s="295"/>
    </row>
    <row r="2089" spans="1:11" x14ac:dyDescent="0.2">
      <c r="A2089" s="406" t="s">
        <v>200</v>
      </c>
      <c r="B2089" s="268" t="s">
        <v>59</v>
      </c>
      <c r="C2089" s="268" t="s">
        <v>196</v>
      </c>
      <c r="D2089" s="268" t="s">
        <v>201</v>
      </c>
      <c r="E2089" s="268" t="s">
        <v>202</v>
      </c>
      <c r="F2089" s="268" t="s">
        <v>203</v>
      </c>
      <c r="G2089" s="268" t="s">
        <v>94</v>
      </c>
      <c r="H2089" s="268" t="s">
        <v>89</v>
      </c>
      <c r="I2089" s="442" t="s">
        <v>204</v>
      </c>
      <c r="K2089" s="295"/>
    </row>
    <row r="2090" spans="1:11" x14ac:dyDescent="0.2">
      <c r="A2090" s="244"/>
      <c r="B2090" s="234"/>
      <c r="C2090" s="234"/>
      <c r="D2090" s="269"/>
      <c r="E2090" s="270"/>
      <c r="F2090" s="270"/>
      <c r="G2090" s="239"/>
      <c r="H2090" s="271"/>
      <c r="I2090" s="418"/>
      <c r="K2090" s="295"/>
    </row>
    <row r="2091" spans="1:11" x14ac:dyDescent="0.2">
      <c r="A2091" s="200"/>
      <c r="B2091" s="264"/>
      <c r="C2091" s="200"/>
      <c r="D2091" s="200"/>
      <c r="E2091" s="200"/>
      <c r="F2091" s="265" t="s">
        <v>205</v>
      </c>
      <c r="G2091" s="240"/>
      <c r="H2091" s="272"/>
      <c r="I2091" s="443">
        <f>SUM(I2090:I2090)</f>
        <v>0</v>
      </c>
      <c r="K2091" s="295"/>
    </row>
    <row r="2092" spans="1:11" x14ac:dyDescent="0.2">
      <c r="A2092" s="200"/>
      <c r="B2092" s="264"/>
      <c r="C2092" s="200"/>
      <c r="D2092" s="200"/>
      <c r="E2092" s="200"/>
      <c r="F2092" s="200"/>
      <c r="G2092" s="200"/>
      <c r="H2092" s="200"/>
      <c r="I2092" s="444"/>
      <c r="K2092" s="295"/>
    </row>
    <row r="2093" spans="1:11" x14ac:dyDescent="0.2">
      <c r="A2093" s="273"/>
      <c r="B2093" s="274"/>
      <c r="C2093" s="275"/>
      <c r="D2093" s="275"/>
      <c r="E2093" s="275"/>
      <c r="F2093" s="276" t="s">
        <v>206</v>
      </c>
      <c r="G2093" s="273"/>
      <c r="H2093" s="249"/>
      <c r="I2093" s="445">
        <f>+I2078+I2082+I2087+I2091</f>
        <v>1092.69</v>
      </c>
    </row>
    <row r="2094" spans="1:11" x14ac:dyDescent="0.2">
      <c r="A2094" s="255"/>
      <c r="B2094" s="277"/>
      <c r="C2094" s="266"/>
      <c r="D2094" s="266"/>
      <c r="E2094" s="266"/>
      <c r="F2094" s="278" t="str">
        <f>CONCATENATE($H$3," ",$I$3)</f>
        <v>BDI: 23,32</v>
      </c>
      <c r="G2094" s="403"/>
      <c r="H2094" s="253"/>
      <c r="I2094" s="446">
        <f>+ROUND(I2093*$I$4,2)</f>
        <v>254.82</v>
      </c>
    </row>
    <row r="2095" spans="1:11" x14ac:dyDescent="0.2">
      <c r="A2095" s="240"/>
      <c r="B2095" s="279"/>
      <c r="C2095" s="272"/>
      <c r="D2095" s="272"/>
      <c r="E2095" s="272"/>
      <c r="F2095" s="280" t="s">
        <v>207</v>
      </c>
      <c r="G2095" s="404"/>
      <c r="H2095" s="241"/>
      <c r="I2095" s="720">
        <f>+I2093+I2094</f>
        <v>1347.51</v>
      </c>
    </row>
    <row r="2096" spans="1:11" x14ac:dyDescent="0.2">
      <c r="A2096" s="1116" t="str">
        <f>$A$1</f>
        <v>COMPOSIÇÃO DE CUSTOS UNITÁRIOS</v>
      </c>
      <c r="B2096" s="1116"/>
      <c r="C2096" s="1116"/>
      <c r="D2096" s="1116"/>
      <c r="E2096" s="1116"/>
      <c r="F2096" s="1116"/>
      <c r="G2096" s="1116"/>
      <c r="H2096" s="1116"/>
      <c r="I2096" s="1116"/>
    </row>
    <row r="2097" spans="1:13" x14ac:dyDescent="0.2">
      <c r="A2097" s="228" t="str">
        <f>$A$2</f>
        <v>Tabela Referencial de Preços - DER-ES</v>
      </c>
      <c r="B2097" s="229"/>
      <c r="C2097" s="199"/>
      <c r="D2097" s="199"/>
      <c r="E2097" s="199"/>
      <c r="F2097" s="199"/>
      <c r="G2097" s="199"/>
      <c r="H2097" s="199"/>
      <c r="I2097" s="414" t="str">
        <f>$I$2</f>
        <v>Data Base: novembro/2020</v>
      </c>
    </row>
    <row r="2098" spans="1:13" x14ac:dyDescent="0.2">
      <c r="A2098" s="1117" t="str">
        <f>+CONCATENATE("Serviço: ",J2098," ",VLOOKUP(J2098,'DER 11-20'!$A:$D,2,FALSE))</f>
        <v>Serviço: 40528 Berço de concreto ciclópico para BTTC diâmetro 1,50 m</v>
      </c>
      <c r="B2098" s="1117"/>
      <c r="C2098" s="1117"/>
      <c r="D2098" s="1117"/>
      <c r="E2098" s="1117"/>
      <c r="F2098" s="1117"/>
      <c r="G2098" s="1117"/>
      <c r="H2098" s="1117"/>
      <c r="I2098" s="1119" t="str">
        <f>CONCATENATE("Unidade: ", VLOOKUP(J2098,'DER 11-20'!$A:$E,3,FALSE))</f>
        <v>Unidade: M</v>
      </c>
      <c r="J2098" s="400">
        <v>40528</v>
      </c>
      <c r="K2098" s="400">
        <f>VLOOKUP("Preço Unitário Total",F2099:I3625,4,FALSE)</f>
        <v>1958.26</v>
      </c>
      <c r="L2098" s="295" t="str">
        <f>VLOOKUP(J2098,'DER 11-20'!A:E,5,FALSE)</f>
        <v>A incluir</v>
      </c>
      <c r="M2098" s="295" t="str">
        <f>VLOOKUP(J2098,'DER 11-20'!$A:$D,2,FALSE)</f>
        <v>Berço de concreto ciclópico para BTTC diâmetro 1,50 m</v>
      </c>
    </row>
    <row r="2099" spans="1:13" x14ac:dyDescent="0.2">
      <c r="A2099" s="1118"/>
      <c r="B2099" s="1118"/>
      <c r="C2099" s="1118"/>
      <c r="D2099" s="1118"/>
      <c r="E2099" s="1118"/>
      <c r="F2099" s="1118"/>
      <c r="G2099" s="1118"/>
      <c r="H2099" s="1118"/>
      <c r="I2099" s="1120"/>
    </row>
    <row r="2100" spans="1:13" ht="22.5" x14ac:dyDescent="0.2">
      <c r="A2100" s="231" t="s">
        <v>177</v>
      </c>
      <c r="B2100" s="232" t="s">
        <v>59</v>
      </c>
      <c r="C2100" s="232" t="s">
        <v>178</v>
      </c>
      <c r="D2100" s="232" t="s">
        <v>179</v>
      </c>
      <c r="E2100" s="232" t="s">
        <v>180</v>
      </c>
      <c r="F2100" s="232" t="s">
        <v>181</v>
      </c>
      <c r="G2100" s="232" t="s">
        <v>182</v>
      </c>
      <c r="H2100" s="232" t="s">
        <v>89</v>
      </c>
      <c r="I2100" s="434" t="s">
        <v>183</v>
      </c>
    </row>
    <row r="2101" spans="1:13" x14ac:dyDescent="0.2">
      <c r="A2101" s="233"/>
      <c r="B2101" s="234"/>
      <c r="C2101" s="235"/>
      <c r="D2101" s="236"/>
      <c r="E2101" s="203"/>
      <c r="F2101" s="237"/>
      <c r="G2101" s="237"/>
      <c r="H2101" s="238"/>
      <c r="I2101" s="418"/>
    </row>
    <row r="2102" spans="1:13" x14ac:dyDescent="0.2">
      <c r="A2102" s="199"/>
      <c r="B2102" s="229"/>
      <c r="C2102" s="229"/>
      <c r="D2102" s="199"/>
      <c r="E2102" s="199"/>
      <c r="F2102" s="230" t="s">
        <v>184</v>
      </c>
      <c r="G2102" s="240"/>
      <c r="H2102" s="241"/>
      <c r="I2102" s="438">
        <f>SUM(I2101:I2101)</f>
        <v>0</v>
      </c>
    </row>
    <row r="2103" spans="1:13" x14ac:dyDescent="0.2">
      <c r="A2103" s="199"/>
      <c r="B2103" s="229"/>
      <c r="C2103" s="229"/>
      <c r="D2103" s="199"/>
      <c r="E2103" s="199"/>
      <c r="F2103" s="199"/>
      <c r="G2103" s="199"/>
      <c r="H2103" s="199"/>
      <c r="I2103" s="439"/>
    </row>
    <row r="2104" spans="1:13" x14ac:dyDescent="0.2">
      <c r="A2104" s="242" t="s">
        <v>185</v>
      </c>
      <c r="B2104" s="243" t="s">
        <v>59</v>
      </c>
      <c r="C2104" s="232" t="s">
        <v>357</v>
      </c>
      <c r="D2104" s="243" t="s">
        <v>187</v>
      </c>
      <c r="E2104" s="1121" t="s">
        <v>89</v>
      </c>
      <c r="F2104" s="1114"/>
      <c r="G2104" s="1115"/>
      <c r="H2104" s="1121" t="s">
        <v>183</v>
      </c>
      <c r="I2104" s="1115"/>
    </row>
    <row r="2105" spans="1:13" x14ac:dyDescent="0.2">
      <c r="A2105" s="244"/>
      <c r="B2105" s="234"/>
      <c r="C2105" s="239"/>
      <c r="D2105" s="239"/>
      <c r="E2105" s="255"/>
      <c r="F2105" s="253"/>
      <c r="G2105" s="293"/>
      <c r="H2105" s="240"/>
      <c r="I2105" s="427"/>
    </row>
    <row r="2106" spans="1:13" x14ac:dyDescent="0.2">
      <c r="A2106" s="199"/>
      <c r="B2106" s="229"/>
      <c r="C2106" s="229"/>
      <c r="D2106" s="199"/>
      <c r="E2106" s="199"/>
      <c r="F2106" s="230" t="s">
        <v>188</v>
      </c>
      <c r="G2106" s="240"/>
      <c r="H2106" s="241"/>
      <c r="I2106" s="438">
        <f>SUM(I2105:I2105)</f>
        <v>0</v>
      </c>
    </row>
    <row r="2107" spans="1:13" x14ac:dyDescent="0.2">
      <c r="A2107" s="199"/>
      <c r="B2107" s="229"/>
      <c r="C2107" s="229"/>
      <c r="D2107" s="199"/>
      <c r="E2107" s="199"/>
      <c r="F2107" s="199"/>
      <c r="G2107" s="199"/>
      <c r="H2107" s="199"/>
      <c r="I2107" s="439"/>
    </row>
    <row r="2108" spans="1:13" x14ac:dyDescent="0.2">
      <c r="A2108" s="263" t="s">
        <v>189</v>
      </c>
      <c r="B2108" s="243" t="s">
        <v>59</v>
      </c>
      <c r="C2108" s="827" t="s">
        <v>17</v>
      </c>
      <c r="D2108" s="243" t="s">
        <v>190</v>
      </c>
      <c r="E2108" s="243" t="s">
        <v>191</v>
      </c>
      <c r="F2108" s="243" t="s">
        <v>192</v>
      </c>
      <c r="G2108" s="1121" t="s">
        <v>94</v>
      </c>
      <c r="H2108" s="1114"/>
      <c r="I2108" s="1115"/>
    </row>
    <row r="2109" spans="1:13" x14ac:dyDescent="0.2">
      <c r="A2109" s="244"/>
      <c r="B2109" s="234"/>
      <c r="C2109" s="239"/>
      <c r="D2109" s="235"/>
      <c r="E2109" s="246"/>
      <c r="F2109" s="246"/>
      <c r="G2109" s="240"/>
      <c r="H2109" s="241"/>
      <c r="I2109" s="427"/>
    </row>
    <row r="2110" spans="1:13" x14ac:dyDescent="0.2">
      <c r="A2110" s="199"/>
      <c r="B2110" s="229"/>
      <c r="C2110" s="199"/>
      <c r="D2110" s="199"/>
      <c r="E2110" s="199"/>
      <c r="F2110" s="230" t="s">
        <v>327</v>
      </c>
      <c r="G2110" s="240"/>
      <c r="H2110" s="241"/>
      <c r="I2110" s="438">
        <f>SUM(I2109)</f>
        <v>0</v>
      </c>
    </row>
    <row r="2111" spans="1:13" x14ac:dyDescent="0.2">
      <c r="A2111" s="199"/>
      <c r="B2111" s="229"/>
      <c r="C2111" s="199"/>
      <c r="D2111" s="199"/>
      <c r="E2111" s="199"/>
      <c r="F2111" s="199"/>
      <c r="G2111" s="199"/>
      <c r="H2111" s="199"/>
      <c r="I2111" s="439"/>
    </row>
    <row r="2112" spans="1:13" x14ac:dyDescent="0.2">
      <c r="A2112" s="247"/>
      <c r="B2112" s="248"/>
      <c r="C2112" s="249"/>
      <c r="D2112" s="249"/>
      <c r="E2112" s="249"/>
      <c r="F2112" s="250" t="s">
        <v>193</v>
      </c>
      <c r="G2112" s="401"/>
      <c r="H2112" s="249"/>
      <c r="I2112" s="445">
        <f>+I2102+I2106+I2110</f>
        <v>0</v>
      </c>
    </row>
    <row r="2113" spans="1:11" x14ac:dyDescent="0.2">
      <c r="A2113" s="251"/>
      <c r="B2113" s="252"/>
      <c r="C2113" s="253"/>
      <c r="D2113" s="253"/>
      <c r="E2113" s="253"/>
      <c r="F2113" s="254" t="s">
        <v>194</v>
      </c>
      <c r="G2113" s="255"/>
      <c r="H2113" s="253"/>
      <c r="I2113" s="446">
        <v>1</v>
      </c>
      <c r="K2113" s="295"/>
    </row>
    <row r="2114" spans="1:11" x14ac:dyDescent="0.2">
      <c r="A2114" s="233"/>
      <c r="B2114" s="256"/>
      <c r="C2114" s="241"/>
      <c r="D2114" s="241"/>
      <c r="E2114" s="241"/>
      <c r="F2114" s="257" t="s">
        <v>216</v>
      </c>
      <c r="G2114" s="240"/>
      <c r="H2114" s="241"/>
      <c r="I2114" s="447">
        <f>TRUNC(I2112/I2113,2)</f>
        <v>0</v>
      </c>
      <c r="K2114" s="295"/>
    </row>
    <row r="2115" spans="1:11" x14ac:dyDescent="0.2">
      <c r="A2115" s="826"/>
      <c r="B2115" s="229"/>
      <c r="C2115" s="199"/>
      <c r="D2115" s="199"/>
      <c r="E2115" s="199"/>
      <c r="F2115" s="258"/>
      <c r="G2115" s="199"/>
      <c r="H2115" s="199"/>
      <c r="I2115" s="450"/>
      <c r="K2115" s="295"/>
    </row>
    <row r="2116" spans="1:11" x14ac:dyDescent="0.2">
      <c r="A2116" s="242" t="s">
        <v>195</v>
      </c>
      <c r="B2116" s="243" t="s">
        <v>59</v>
      </c>
      <c r="C2116" s="243" t="s">
        <v>196</v>
      </c>
      <c r="D2116" s="243" t="s">
        <v>217</v>
      </c>
      <c r="E2116" s="1121" t="s">
        <v>89</v>
      </c>
      <c r="F2116" s="1114"/>
      <c r="G2116" s="1115"/>
      <c r="H2116" s="1121" t="s">
        <v>183</v>
      </c>
      <c r="I2116" s="1115"/>
      <c r="K2116" s="295"/>
    </row>
    <row r="2117" spans="1:11" x14ac:dyDescent="0.2">
      <c r="A2117" s="259"/>
      <c r="B2117" s="234"/>
      <c r="C2117" s="260"/>
      <c r="D2117" s="261"/>
      <c r="E2117" s="255"/>
      <c r="F2117" s="253"/>
      <c r="G2117" s="293"/>
      <c r="H2117" s="255"/>
      <c r="I2117" s="423"/>
      <c r="K2117" s="295"/>
    </row>
    <row r="2118" spans="1:11" x14ac:dyDescent="0.2">
      <c r="A2118" s="199"/>
      <c r="B2118" s="229"/>
      <c r="C2118" s="199"/>
      <c r="D2118" s="199"/>
      <c r="E2118" s="199"/>
      <c r="F2118" s="230" t="s">
        <v>197</v>
      </c>
      <c r="G2118" s="240"/>
      <c r="H2118" s="241"/>
      <c r="I2118" s="438">
        <f>SUM(I2117:I2117)</f>
        <v>0</v>
      </c>
      <c r="K2118" s="295"/>
    </row>
    <row r="2119" spans="1:11" x14ac:dyDescent="0.2">
      <c r="A2119" s="199"/>
      <c r="B2119" s="229"/>
      <c r="C2119" s="199"/>
      <c r="D2119" s="199"/>
      <c r="E2119" s="199"/>
      <c r="F2119" s="199"/>
      <c r="G2119" s="262"/>
      <c r="H2119" s="199"/>
      <c r="I2119" s="439"/>
      <c r="K2119" s="295"/>
    </row>
    <row r="2120" spans="1:11" x14ac:dyDescent="0.2">
      <c r="A2120" s="263" t="s">
        <v>198</v>
      </c>
      <c r="B2120" s="243" t="s">
        <v>59</v>
      </c>
      <c r="C2120" s="243" t="s">
        <v>196</v>
      </c>
      <c r="D2120" s="827" t="s">
        <v>217</v>
      </c>
      <c r="E2120" s="1121" t="s">
        <v>89</v>
      </c>
      <c r="F2120" s="1114"/>
      <c r="G2120" s="1115"/>
      <c r="H2120" s="1121" t="s">
        <v>183</v>
      </c>
      <c r="I2120" s="1115"/>
      <c r="K2120" s="295"/>
    </row>
    <row r="2121" spans="1:11" ht="33.75" x14ac:dyDescent="0.2">
      <c r="A2121" s="244" t="str">
        <f>VLOOKUP(B2121,'DER 11-20'!$A:$E,2,FALSE)</f>
        <v>Concreto ciclópico com 70% concreto 15,0 MPa e 30% de pedra de mão, tudo incluído</v>
      </c>
      <c r="B2121" s="234">
        <v>40351</v>
      </c>
      <c r="C2121" s="234" t="str">
        <f>VLOOKUP(B2121,'DER 11-20'!$A:$E,3,FALSE)</f>
        <v>M3</v>
      </c>
      <c r="D2121" s="418">
        <f>TRUNC(VLOOKUP(B2121,'DER 11-20'!$A:$F,6,FALSE)/(1+$I$4),2)</f>
        <v>423.27</v>
      </c>
      <c r="E2121" s="255"/>
      <c r="F2121" s="253"/>
      <c r="G2121" s="293">
        <v>3.4710000000000001</v>
      </c>
      <c r="H2121" s="240"/>
      <c r="I2121" s="423">
        <f>TRUNC(D2121*G2121,2)</f>
        <v>1469.17</v>
      </c>
      <c r="K2121" s="295"/>
    </row>
    <row r="2122" spans="1:11" ht="45" x14ac:dyDescent="0.2">
      <c r="A2122" s="244" t="str">
        <f>VLOOKUP(B2122,'DER 11-20'!$A:$E,2,FALSE)</f>
        <v>Formas planas de madeira com 04 (quatro) reaproveitamentos, inclusive fornecimento e transporte das madeiras</v>
      </c>
      <c r="B2122" s="234">
        <v>40313</v>
      </c>
      <c r="C2122" s="234" t="str">
        <f>VLOOKUP(B2122,'DER 11-20'!$A:$E,3,FALSE)</f>
        <v>M2</v>
      </c>
      <c r="D2122" s="418">
        <f>TRUNC(VLOOKUP(B2122,'DER 11-20'!$A:$F,6,FALSE)/(1+$I$4),2)</f>
        <v>71.56</v>
      </c>
      <c r="E2122" s="255"/>
      <c r="F2122" s="253"/>
      <c r="G2122" s="293">
        <v>1.66</v>
      </c>
      <c r="H2122" s="240"/>
      <c r="I2122" s="423">
        <f>TRUNC(D2122*G2122,2)</f>
        <v>118.78</v>
      </c>
      <c r="K2122" s="295"/>
    </row>
    <row r="2123" spans="1:11" x14ac:dyDescent="0.2">
      <c r="A2123" s="200"/>
      <c r="B2123" s="264"/>
      <c r="C2123" s="200"/>
      <c r="D2123" s="200"/>
      <c r="E2123" s="200"/>
      <c r="F2123" s="265" t="s">
        <v>199</v>
      </c>
      <c r="G2123" s="255"/>
      <c r="H2123" s="266"/>
      <c r="I2123" s="441">
        <f>SUM(I2121:I2122)</f>
        <v>1587.95</v>
      </c>
      <c r="K2123" s="295"/>
    </row>
    <row r="2124" spans="1:11" x14ac:dyDescent="0.2">
      <c r="A2124" s="200"/>
      <c r="B2124" s="264"/>
      <c r="C2124" s="200"/>
      <c r="D2124" s="200"/>
      <c r="E2124" s="200"/>
      <c r="F2124" s="200"/>
      <c r="G2124" s="200"/>
      <c r="H2124" s="200"/>
      <c r="I2124" s="440"/>
      <c r="K2124" s="295"/>
    </row>
    <row r="2125" spans="1:11" x14ac:dyDescent="0.2">
      <c r="A2125" s="406" t="s">
        <v>200</v>
      </c>
      <c r="B2125" s="268" t="s">
        <v>59</v>
      </c>
      <c r="C2125" s="268" t="s">
        <v>196</v>
      </c>
      <c r="D2125" s="268" t="s">
        <v>201</v>
      </c>
      <c r="E2125" s="268" t="s">
        <v>202</v>
      </c>
      <c r="F2125" s="268" t="s">
        <v>203</v>
      </c>
      <c r="G2125" s="268" t="s">
        <v>94</v>
      </c>
      <c r="H2125" s="268" t="s">
        <v>89</v>
      </c>
      <c r="I2125" s="442" t="s">
        <v>204</v>
      </c>
      <c r="K2125" s="295"/>
    </row>
    <row r="2126" spans="1:11" x14ac:dyDescent="0.2">
      <c r="A2126" s="244"/>
      <c r="B2126" s="234"/>
      <c r="C2126" s="234"/>
      <c r="D2126" s="269"/>
      <c r="E2126" s="270"/>
      <c r="F2126" s="270"/>
      <c r="G2126" s="239"/>
      <c r="H2126" s="271"/>
      <c r="I2126" s="418"/>
      <c r="K2126" s="295"/>
    </row>
    <row r="2127" spans="1:11" x14ac:dyDescent="0.2">
      <c r="A2127" s="200"/>
      <c r="B2127" s="264"/>
      <c r="C2127" s="200"/>
      <c r="D2127" s="200"/>
      <c r="E2127" s="200"/>
      <c r="F2127" s="265" t="s">
        <v>205</v>
      </c>
      <c r="G2127" s="240"/>
      <c r="H2127" s="272"/>
      <c r="I2127" s="443">
        <f>SUM(I2126:I2126)</f>
        <v>0</v>
      </c>
      <c r="K2127" s="295"/>
    </row>
    <row r="2128" spans="1:11" x14ac:dyDescent="0.2">
      <c r="A2128" s="200"/>
      <c r="B2128" s="264"/>
      <c r="C2128" s="200"/>
      <c r="D2128" s="200"/>
      <c r="E2128" s="200"/>
      <c r="F2128" s="200"/>
      <c r="G2128" s="200"/>
      <c r="H2128" s="200"/>
      <c r="I2128" s="444"/>
      <c r="K2128" s="295"/>
    </row>
    <row r="2129" spans="1:17" x14ac:dyDescent="0.2">
      <c r="A2129" s="273"/>
      <c r="B2129" s="274"/>
      <c r="C2129" s="275"/>
      <c r="D2129" s="275"/>
      <c r="E2129" s="275"/>
      <c r="F2129" s="276" t="s">
        <v>206</v>
      </c>
      <c r="G2129" s="273"/>
      <c r="H2129" s="249"/>
      <c r="I2129" s="445">
        <f>+I2114+I2118+I2123+I2127</f>
        <v>1587.95</v>
      </c>
    </row>
    <row r="2130" spans="1:17" x14ac:dyDescent="0.2">
      <c r="A2130" s="255"/>
      <c r="B2130" s="277"/>
      <c r="C2130" s="266"/>
      <c r="D2130" s="266"/>
      <c r="E2130" s="266"/>
      <c r="F2130" s="278" t="str">
        <f>CONCATENATE($H$3," ",$I$3)</f>
        <v>BDI: 23,32</v>
      </c>
      <c r="G2130" s="403"/>
      <c r="H2130" s="253"/>
      <c r="I2130" s="446">
        <f>+ROUND(I2129*$I$4,2)</f>
        <v>370.31</v>
      </c>
    </row>
    <row r="2131" spans="1:17" x14ac:dyDescent="0.2">
      <c r="A2131" s="240"/>
      <c r="B2131" s="279"/>
      <c r="C2131" s="272"/>
      <c r="D2131" s="272"/>
      <c r="E2131" s="272"/>
      <c r="F2131" s="280" t="s">
        <v>207</v>
      </c>
      <c r="G2131" s="404"/>
      <c r="H2131" s="241"/>
      <c r="I2131" s="720">
        <f>+I2129+I2130</f>
        <v>1958.26</v>
      </c>
    </row>
    <row r="2132" spans="1:17" s="198" customFormat="1" x14ac:dyDescent="0.2">
      <c r="A2132" s="1116" t="str">
        <f>$A$1</f>
        <v>COMPOSIÇÃO DE CUSTOS UNITÁRIOS</v>
      </c>
      <c r="B2132" s="1116"/>
      <c r="C2132" s="1116"/>
      <c r="D2132" s="1116"/>
      <c r="E2132" s="1116"/>
      <c r="F2132" s="1116"/>
      <c r="G2132" s="1116"/>
      <c r="H2132" s="1116"/>
      <c r="I2132" s="1116"/>
      <c r="J2132" s="400"/>
      <c r="K2132" s="400"/>
      <c r="L2132" s="295"/>
      <c r="M2132" s="295"/>
      <c r="N2132" s="295"/>
      <c r="O2132" s="295"/>
      <c r="P2132" s="295"/>
      <c r="Q2132" s="295"/>
    </row>
    <row r="2133" spans="1:17" s="198" customFormat="1" x14ac:dyDescent="0.2">
      <c r="A2133" s="228" t="str">
        <f>$A$2</f>
        <v>Tabela Referencial de Preços - DER-ES</v>
      </c>
      <c r="B2133" s="229"/>
      <c r="C2133" s="199"/>
      <c r="D2133" s="199"/>
      <c r="E2133" s="199"/>
      <c r="F2133" s="199"/>
      <c r="G2133" s="199"/>
      <c r="H2133" s="199"/>
      <c r="I2133" s="414" t="str">
        <f>$I$2</f>
        <v>Data Base: novembro/2020</v>
      </c>
      <c r="J2133" s="400"/>
      <c r="K2133" s="400"/>
      <c r="L2133" s="295"/>
      <c r="M2133" s="295"/>
      <c r="N2133" s="295"/>
      <c r="O2133" s="295"/>
      <c r="P2133" s="295"/>
      <c r="Q2133" s="295"/>
    </row>
    <row r="2134" spans="1:17" s="198" customFormat="1" x14ac:dyDescent="0.2">
      <c r="A2134" s="1117" t="str">
        <f>+CONCATENATE("Serviço: ",J2134," ",VLOOKUP(J2134,'DER 11-20'!$A:$D,2,FALSE))</f>
        <v>Serviço: 40531 Boca de concreto ciclópico para BSTC diâmetro 0,80 m</v>
      </c>
      <c r="B2134" s="1117"/>
      <c r="C2134" s="1117"/>
      <c r="D2134" s="1117"/>
      <c r="E2134" s="1117"/>
      <c r="F2134" s="1117"/>
      <c r="G2134" s="1117"/>
      <c r="H2134" s="1117"/>
      <c r="I2134" s="1119" t="str">
        <f>CONCATENATE("Unidade: ", VLOOKUP(J2134,'DER 11-20'!$A:$E,3,FALSE))</f>
        <v>Unidade: Ud</v>
      </c>
      <c r="J2134" s="400">
        <v>40531</v>
      </c>
      <c r="K2134" s="400">
        <f>VLOOKUP("Preço Unitário Total",F2135:I3972,4,FALSE)</f>
        <v>2278.37</v>
      </c>
      <c r="L2134" s="295" t="str">
        <f>VLOOKUP(J2134,'DER 11-20'!A:E,5,FALSE)</f>
        <v>A incluir</v>
      </c>
      <c r="M2134" s="295" t="str">
        <f>VLOOKUP(J2134,'DER 11-20'!$A:$D,2,FALSE)</f>
        <v>Boca de concreto ciclópico para BSTC diâmetro 0,80 m</v>
      </c>
      <c r="N2134" s="295"/>
      <c r="O2134" s="295"/>
      <c r="P2134" s="295"/>
      <c r="Q2134" s="295"/>
    </row>
    <row r="2135" spans="1:17" s="198" customFormat="1" x14ac:dyDescent="0.2">
      <c r="A2135" s="1118"/>
      <c r="B2135" s="1118"/>
      <c r="C2135" s="1118"/>
      <c r="D2135" s="1118"/>
      <c r="E2135" s="1118"/>
      <c r="F2135" s="1118"/>
      <c r="G2135" s="1118"/>
      <c r="H2135" s="1118"/>
      <c r="I2135" s="1120"/>
      <c r="J2135" s="400"/>
      <c r="K2135" s="400"/>
      <c r="L2135" s="295"/>
      <c r="M2135" s="295"/>
      <c r="N2135" s="295"/>
      <c r="O2135" s="295"/>
      <c r="P2135" s="295"/>
      <c r="Q2135" s="295"/>
    </row>
    <row r="2136" spans="1:17" ht="22.5" x14ac:dyDescent="0.2">
      <c r="A2136" s="231" t="s">
        <v>177</v>
      </c>
      <c r="B2136" s="232" t="s">
        <v>59</v>
      </c>
      <c r="C2136" s="232" t="s">
        <v>178</v>
      </c>
      <c r="D2136" s="232" t="s">
        <v>179</v>
      </c>
      <c r="E2136" s="232" t="s">
        <v>180</v>
      </c>
      <c r="F2136" s="232" t="s">
        <v>181</v>
      </c>
      <c r="G2136" s="232" t="s">
        <v>182</v>
      </c>
      <c r="H2136" s="232" t="s">
        <v>89</v>
      </c>
      <c r="I2136" s="434" t="s">
        <v>183</v>
      </c>
    </row>
    <row r="2137" spans="1:17" s="198" customFormat="1" x14ac:dyDescent="0.2">
      <c r="A2137" s="233"/>
      <c r="B2137" s="234"/>
      <c r="C2137" s="235"/>
      <c r="D2137" s="236"/>
      <c r="E2137" s="203"/>
      <c r="F2137" s="237"/>
      <c r="G2137" s="237"/>
      <c r="H2137" s="238"/>
      <c r="I2137" s="418"/>
      <c r="J2137" s="295"/>
      <c r="K2137" s="295"/>
      <c r="L2137" s="295"/>
      <c r="M2137" s="295"/>
      <c r="N2137" s="295"/>
      <c r="O2137" s="295"/>
      <c r="P2137" s="295"/>
      <c r="Q2137" s="295"/>
    </row>
    <row r="2138" spans="1:17" x14ac:dyDescent="0.2">
      <c r="A2138" s="199"/>
      <c r="B2138" s="229"/>
      <c r="C2138" s="229"/>
      <c r="D2138" s="199"/>
      <c r="E2138" s="199"/>
      <c r="F2138" s="230" t="s">
        <v>184</v>
      </c>
      <c r="G2138" s="240"/>
      <c r="H2138" s="241"/>
      <c r="I2138" s="438">
        <f>SUM(I2137:I2137)</f>
        <v>0</v>
      </c>
      <c r="J2138" s="295"/>
      <c r="K2138" s="295"/>
    </row>
    <row r="2139" spans="1:17" x14ac:dyDescent="0.2">
      <c r="A2139" s="199"/>
      <c r="B2139" s="229"/>
      <c r="C2139" s="229"/>
      <c r="D2139" s="199"/>
      <c r="E2139" s="199"/>
      <c r="F2139" s="199"/>
      <c r="G2139" s="199"/>
      <c r="H2139" s="199"/>
      <c r="I2139" s="439"/>
      <c r="J2139" s="295"/>
      <c r="K2139" s="295"/>
    </row>
    <row r="2140" spans="1:17" x14ac:dyDescent="0.2">
      <c r="A2140" s="242" t="s">
        <v>185</v>
      </c>
      <c r="B2140" s="243" t="s">
        <v>59</v>
      </c>
      <c r="C2140" s="232" t="s">
        <v>357</v>
      </c>
      <c r="D2140" s="243" t="s">
        <v>187</v>
      </c>
      <c r="E2140" s="1121" t="s">
        <v>89</v>
      </c>
      <c r="F2140" s="1114"/>
      <c r="G2140" s="1115"/>
      <c r="H2140" s="1121" t="s">
        <v>183</v>
      </c>
      <c r="I2140" s="1115"/>
      <c r="J2140" s="295"/>
      <c r="K2140" s="295"/>
    </row>
    <row r="2141" spans="1:17" x14ac:dyDescent="0.2">
      <c r="A2141" s="244"/>
      <c r="B2141" s="234"/>
      <c r="C2141" s="239"/>
      <c r="D2141" s="239"/>
      <c r="E2141" s="255"/>
      <c r="F2141" s="253"/>
      <c r="G2141" s="293"/>
      <c r="H2141" s="240"/>
      <c r="I2141" s="427"/>
      <c r="J2141" s="295"/>
      <c r="K2141" s="295"/>
    </row>
    <row r="2142" spans="1:17" x14ac:dyDescent="0.2">
      <c r="A2142" s="199"/>
      <c r="B2142" s="229"/>
      <c r="C2142" s="229"/>
      <c r="D2142" s="199"/>
      <c r="E2142" s="199"/>
      <c r="F2142" s="230" t="s">
        <v>188</v>
      </c>
      <c r="G2142" s="240"/>
      <c r="H2142" s="241"/>
      <c r="I2142" s="438">
        <f>SUM(I2141:I2141)</f>
        <v>0</v>
      </c>
      <c r="J2142" s="295"/>
      <c r="K2142" s="295"/>
    </row>
    <row r="2143" spans="1:17" x14ac:dyDescent="0.2">
      <c r="A2143" s="199"/>
      <c r="B2143" s="229"/>
      <c r="C2143" s="229"/>
      <c r="D2143" s="199"/>
      <c r="E2143" s="199"/>
      <c r="F2143" s="199"/>
      <c r="G2143" s="199"/>
      <c r="H2143" s="199"/>
      <c r="I2143" s="439"/>
      <c r="J2143" s="295"/>
      <c r="K2143" s="295"/>
    </row>
    <row r="2144" spans="1:17" x14ac:dyDescent="0.2">
      <c r="A2144" s="263" t="s">
        <v>189</v>
      </c>
      <c r="B2144" s="243" t="s">
        <v>59</v>
      </c>
      <c r="C2144" s="635" t="s">
        <v>17</v>
      </c>
      <c r="D2144" s="243" t="s">
        <v>190</v>
      </c>
      <c r="E2144" s="243" t="s">
        <v>191</v>
      </c>
      <c r="F2144" s="243" t="s">
        <v>192</v>
      </c>
      <c r="G2144" s="1121" t="s">
        <v>94</v>
      </c>
      <c r="H2144" s="1114"/>
      <c r="I2144" s="1115"/>
      <c r="J2144" s="295"/>
      <c r="K2144" s="295"/>
    </row>
    <row r="2145" spans="1:17" x14ac:dyDescent="0.2">
      <c r="A2145" s="244"/>
      <c r="B2145" s="234"/>
      <c r="C2145" s="239"/>
      <c r="D2145" s="235"/>
      <c r="E2145" s="246"/>
      <c r="F2145" s="246"/>
      <c r="G2145" s="240"/>
      <c r="H2145" s="241"/>
      <c r="I2145" s="427"/>
      <c r="J2145" s="295"/>
      <c r="K2145" s="295"/>
    </row>
    <row r="2146" spans="1:17" x14ac:dyDescent="0.2">
      <c r="A2146" s="199"/>
      <c r="B2146" s="229"/>
      <c r="C2146" s="199"/>
      <c r="D2146" s="199"/>
      <c r="E2146" s="199"/>
      <c r="F2146" s="230" t="s">
        <v>327</v>
      </c>
      <c r="G2146" s="240"/>
      <c r="H2146" s="241"/>
      <c r="I2146" s="438">
        <f>SUM(I2145)</f>
        <v>0</v>
      </c>
      <c r="J2146" s="295"/>
      <c r="K2146" s="295"/>
    </row>
    <row r="2147" spans="1:17" x14ac:dyDescent="0.2">
      <c r="A2147" s="199"/>
      <c r="B2147" s="229"/>
      <c r="C2147" s="199"/>
      <c r="D2147" s="199"/>
      <c r="E2147" s="199"/>
      <c r="F2147" s="199"/>
      <c r="G2147" s="199"/>
      <c r="H2147" s="199"/>
      <c r="I2147" s="439"/>
      <c r="J2147" s="295"/>
      <c r="K2147" s="295"/>
    </row>
    <row r="2148" spans="1:17" x14ac:dyDescent="0.2">
      <c r="A2148" s="247"/>
      <c r="B2148" s="248"/>
      <c r="C2148" s="249"/>
      <c r="D2148" s="249"/>
      <c r="E2148" s="249"/>
      <c r="F2148" s="250" t="s">
        <v>193</v>
      </c>
      <c r="G2148" s="401"/>
      <c r="H2148" s="249"/>
      <c r="I2148" s="445">
        <f>+I2138+I2142+I2146</f>
        <v>0</v>
      </c>
      <c r="J2148" s="295"/>
      <c r="K2148" s="295"/>
    </row>
    <row r="2149" spans="1:17" x14ac:dyDescent="0.2">
      <c r="A2149" s="251"/>
      <c r="B2149" s="252"/>
      <c r="C2149" s="253"/>
      <c r="D2149" s="253"/>
      <c r="E2149" s="253"/>
      <c r="F2149" s="254" t="s">
        <v>194</v>
      </c>
      <c r="G2149" s="255"/>
      <c r="H2149" s="253"/>
      <c r="I2149" s="446">
        <v>1</v>
      </c>
      <c r="J2149" s="295"/>
      <c r="K2149" s="295"/>
    </row>
    <row r="2150" spans="1:17" x14ac:dyDescent="0.2">
      <c r="A2150" s="233"/>
      <c r="B2150" s="256"/>
      <c r="C2150" s="241"/>
      <c r="D2150" s="241"/>
      <c r="E2150" s="241"/>
      <c r="F2150" s="257" t="s">
        <v>216</v>
      </c>
      <c r="G2150" s="240"/>
      <c r="H2150" s="241"/>
      <c r="I2150" s="447">
        <f>TRUNC(I2148/I2149,2)</f>
        <v>0</v>
      </c>
      <c r="J2150" s="295"/>
      <c r="K2150" s="295"/>
    </row>
    <row r="2151" spans="1:17" x14ac:dyDescent="0.2">
      <c r="A2151" s="636"/>
      <c r="B2151" s="229"/>
      <c r="C2151" s="199"/>
      <c r="D2151" s="199"/>
      <c r="E2151" s="199"/>
      <c r="F2151" s="258"/>
      <c r="G2151" s="199"/>
      <c r="H2151" s="199"/>
      <c r="I2151" s="450"/>
      <c r="J2151" s="295"/>
      <c r="K2151" s="295"/>
    </row>
    <row r="2152" spans="1:17" x14ac:dyDescent="0.2">
      <c r="A2152" s="242" t="s">
        <v>195</v>
      </c>
      <c r="B2152" s="243" t="s">
        <v>59</v>
      </c>
      <c r="C2152" s="243" t="s">
        <v>196</v>
      </c>
      <c r="D2152" s="243" t="s">
        <v>217</v>
      </c>
      <c r="E2152" s="1121" t="s">
        <v>89</v>
      </c>
      <c r="F2152" s="1114"/>
      <c r="G2152" s="1115"/>
      <c r="H2152" s="1121" t="s">
        <v>183</v>
      </c>
      <c r="I2152" s="1115"/>
      <c r="J2152" s="295"/>
      <c r="K2152" s="295"/>
    </row>
    <row r="2153" spans="1:17" x14ac:dyDescent="0.2">
      <c r="A2153" s="259"/>
      <c r="B2153" s="234"/>
      <c r="C2153" s="260"/>
      <c r="D2153" s="261"/>
      <c r="E2153" s="255"/>
      <c r="F2153" s="253"/>
      <c r="G2153" s="293"/>
      <c r="H2153" s="255"/>
      <c r="I2153" s="423"/>
    </row>
    <row r="2154" spans="1:17" x14ac:dyDescent="0.2">
      <c r="A2154" s="199"/>
      <c r="B2154" s="229"/>
      <c r="C2154" s="199"/>
      <c r="D2154" s="199"/>
      <c r="E2154" s="199"/>
      <c r="F2154" s="230" t="s">
        <v>197</v>
      </c>
      <c r="G2154" s="240"/>
      <c r="H2154" s="241"/>
      <c r="I2154" s="438">
        <f>SUM(I2153:I2153)</f>
        <v>0</v>
      </c>
    </row>
    <row r="2155" spans="1:17" x14ac:dyDescent="0.2">
      <c r="A2155" s="199"/>
      <c r="B2155" s="229"/>
      <c r="C2155" s="199"/>
      <c r="D2155" s="199"/>
      <c r="E2155" s="199"/>
      <c r="F2155" s="199"/>
      <c r="G2155" s="262"/>
      <c r="H2155" s="199"/>
      <c r="I2155" s="439"/>
    </row>
    <row r="2156" spans="1:17" x14ac:dyDescent="0.2">
      <c r="A2156" s="263" t="s">
        <v>198</v>
      </c>
      <c r="B2156" s="243" t="s">
        <v>59</v>
      </c>
      <c r="C2156" s="243" t="s">
        <v>196</v>
      </c>
      <c r="D2156" s="635" t="s">
        <v>217</v>
      </c>
      <c r="E2156" s="1121" t="s">
        <v>89</v>
      </c>
      <c r="F2156" s="1114"/>
      <c r="G2156" s="1115"/>
      <c r="H2156" s="1121" t="s">
        <v>183</v>
      </c>
      <c r="I2156" s="1115"/>
    </row>
    <row r="2157" spans="1:17" ht="33.75" x14ac:dyDescent="0.2">
      <c r="A2157" s="416" t="str">
        <f>VLOOKUP(B2157,'DER 11-20'!$A:$E,2,FALSE)</f>
        <v>Concreto ciclópico com 70% concreto 15,0 MPa e 30% de pedra de mão, tudo incluído</v>
      </c>
      <c r="B2157" s="417">
        <v>40351</v>
      </c>
      <c r="C2157" s="417" t="str">
        <f>VLOOKUP(B2157,'DER 11-20'!$A:$E,3,FALSE)</f>
        <v>M3</v>
      </c>
      <c r="D2157" s="418">
        <f>TRUNC(VLOOKUP(B2157,'DER 11-20'!$A:$F,6,FALSE)/(1+$I$4),2)</f>
        <v>423.27</v>
      </c>
      <c r="E2157" s="419"/>
      <c r="F2157" s="420"/>
      <c r="G2157" s="421">
        <v>2.14</v>
      </c>
      <c r="H2157" s="422"/>
      <c r="I2157" s="423">
        <f>TRUNC(D2157*G2157,2)</f>
        <v>905.79</v>
      </c>
      <c r="J2157" s="415"/>
      <c r="K2157" s="415"/>
      <c r="L2157" s="198"/>
      <c r="M2157" s="198"/>
      <c r="N2157" s="198"/>
      <c r="O2157" s="198"/>
      <c r="P2157" s="198"/>
      <c r="Q2157" s="198"/>
    </row>
    <row r="2158" spans="1:17" ht="45" x14ac:dyDescent="0.2">
      <c r="A2158" s="416" t="str">
        <f>VLOOKUP(B2158,'DER 11-20'!$A:$E,2,FALSE)</f>
        <v>Formas planas de madeira com 02 (dois) reaproveitamentos, inclusive fornecimento e transporte das madeiras</v>
      </c>
      <c r="B2158" s="417">
        <v>40312</v>
      </c>
      <c r="C2158" s="417" t="str">
        <f>VLOOKUP(B2158,'DER 11-20'!$A:$E,3,FALSE)</f>
        <v>M2</v>
      </c>
      <c r="D2158" s="418">
        <f>TRUNC(VLOOKUP(B2158,'DER 11-20'!$A:$F,6,FALSE)/(1+$I$4),2)</f>
        <v>84.31</v>
      </c>
      <c r="E2158" s="419"/>
      <c r="F2158" s="420"/>
      <c r="G2158" s="421">
        <v>11.17</v>
      </c>
      <c r="H2158" s="422"/>
      <c r="I2158" s="423">
        <f>TRUNC(D2158*G2158,2)</f>
        <v>941.74</v>
      </c>
      <c r="J2158" s="415"/>
      <c r="K2158" s="415"/>
      <c r="L2158" s="198"/>
      <c r="M2158" s="198"/>
      <c r="N2158" s="198"/>
      <c r="O2158" s="198"/>
      <c r="P2158" s="198"/>
      <c r="Q2158" s="198"/>
    </row>
    <row r="2159" spans="1:17" s="198" customFormat="1" x14ac:dyDescent="0.2">
      <c r="A2159" s="200"/>
      <c r="B2159" s="264"/>
      <c r="C2159" s="200"/>
      <c r="D2159" s="200"/>
      <c r="E2159" s="200"/>
      <c r="F2159" s="265" t="s">
        <v>199</v>
      </c>
      <c r="G2159" s="255"/>
      <c r="H2159" s="266"/>
      <c r="I2159" s="441">
        <f>SUM(I2157:I2158)</f>
        <v>1847.53</v>
      </c>
      <c r="J2159" s="400"/>
      <c r="K2159" s="400"/>
      <c r="L2159" s="295"/>
      <c r="M2159" s="295"/>
      <c r="N2159" s="295"/>
      <c r="O2159" s="295"/>
      <c r="P2159" s="295"/>
      <c r="Q2159" s="295"/>
    </row>
    <row r="2160" spans="1:17" s="198" customFormat="1" x14ac:dyDescent="0.2">
      <c r="A2160" s="200"/>
      <c r="B2160" s="264"/>
      <c r="C2160" s="200"/>
      <c r="D2160" s="200"/>
      <c r="E2160" s="200"/>
      <c r="F2160" s="200"/>
      <c r="G2160" s="200"/>
      <c r="H2160" s="200"/>
      <c r="I2160" s="440"/>
      <c r="J2160" s="400"/>
      <c r="K2160" s="400"/>
      <c r="L2160" s="295"/>
      <c r="M2160" s="295"/>
      <c r="N2160" s="295"/>
      <c r="O2160" s="295"/>
      <c r="P2160" s="295"/>
      <c r="Q2160" s="295"/>
    </row>
    <row r="2161" spans="1:17" x14ac:dyDescent="0.2">
      <c r="A2161" s="406" t="s">
        <v>200</v>
      </c>
      <c r="B2161" s="268" t="s">
        <v>59</v>
      </c>
      <c r="C2161" s="268" t="s">
        <v>196</v>
      </c>
      <c r="D2161" s="268" t="s">
        <v>201</v>
      </c>
      <c r="E2161" s="268" t="s">
        <v>202</v>
      </c>
      <c r="F2161" s="268" t="s">
        <v>203</v>
      </c>
      <c r="G2161" s="268" t="s">
        <v>94</v>
      </c>
      <c r="H2161" s="268" t="s">
        <v>89</v>
      </c>
      <c r="I2161" s="442" t="s">
        <v>204</v>
      </c>
    </row>
    <row r="2162" spans="1:17" x14ac:dyDescent="0.2">
      <c r="A2162" s="244"/>
      <c r="B2162" s="234"/>
      <c r="C2162" s="234"/>
      <c r="D2162" s="269"/>
      <c r="E2162" s="270"/>
      <c r="F2162" s="270"/>
      <c r="G2162" s="239"/>
      <c r="H2162" s="271"/>
      <c r="I2162" s="418"/>
    </row>
    <row r="2163" spans="1:17" x14ac:dyDescent="0.2">
      <c r="A2163" s="200"/>
      <c r="B2163" s="264"/>
      <c r="C2163" s="200"/>
      <c r="D2163" s="200"/>
      <c r="E2163" s="200"/>
      <c r="F2163" s="265" t="s">
        <v>205</v>
      </c>
      <c r="G2163" s="240"/>
      <c r="H2163" s="272"/>
      <c r="I2163" s="443">
        <f>SUM(I2162:I2162)</f>
        <v>0</v>
      </c>
    </row>
    <row r="2164" spans="1:17" x14ac:dyDescent="0.2">
      <c r="A2164" s="200"/>
      <c r="B2164" s="264"/>
      <c r="C2164" s="200"/>
      <c r="D2164" s="200"/>
      <c r="E2164" s="200"/>
      <c r="F2164" s="200"/>
      <c r="G2164" s="200"/>
      <c r="H2164" s="200"/>
      <c r="I2164" s="444"/>
    </row>
    <row r="2165" spans="1:17" x14ac:dyDescent="0.2">
      <c r="A2165" s="273"/>
      <c r="B2165" s="274"/>
      <c r="C2165" s="275"/>
      <c r="D2165" s="275"/>
      <c r="E2165" s="275"/>
      <c r="F2165" s="276" t="s">
        <v>206</v>
      </c>
      <c r="G2165" s="273"/>
      <c r="H2165" s="249"/>
      <c r="I2165" s="445">
        <f>+I2150+I2154+I2159+I2163</f>
        <v>1847.53</v>
      </c>
    </row>
    <row r="2166" spans="1:17" x14ac:dyDescent="0.2">
      <c r="A2166" s="255"/>
      <c r="B2166" s="277"/>
      <c r="C2166" s="266"/>
      <c r="D2166" s="266"/>
      <c r="E2166" s="266"/>
      <c r="F2166" s="278" t="str">
        <f>CONCATENATE($H$3," ",$I$3)</f>
        <v>BDI: 23,32</v>
      </c>
      <c r="G2166" s="403"/>
      <c r="H2166" s="253"/>
      <c r="I2166" s="446">
        <f>+ROUND(I2165*$I$4,2)</f>
        <v>430.84</v>
      </c>
    </row>
    <row r="2167" spans="1:17" x14ac:dyDescent="0.2">
      <c r="A2167" s="240"/>
      <c r="B2167" s="279"/>
      <c r="C2167" s="272"/>
      <c r="D2167" s="272"/>
      <c r="E2167" s="272"/>
      <c r="F2167" s="280" t="s">
        <v>207</v>
      </c>
      <c r="G2167" s="404"/>
      <c r="H2167" s="241"/>
      <c r="I2167" s="720">
        <f>+I2165+I2166</f>
        <v>2278.37</v>
      </c>
    </row>
    <row r="2168" spans="1:17" x14ac:dyDescent="0.2">
      <c r="A2168" s="1116" t="str">
        <f>$A$1</f>
        <v>COMPOSIÇÃO DE CUSTOS UNITÁRIOS</v>
      </c>
      <c r="B2168" s="1116"/>
      <c r="C2168" s="1116"/>
      <c r="D2168" s="1116"/>
      <c r="E2168" s="1116"/>
      <c r="F2168" s="1116"/>
      <c r="G2168" s="1116"/>
      <c r="H2168" s="1116"/>
      <c r="I2168" s="1116"/>
    </row>
    <row r="2169" spans="1:17" x14ac:dyDescent="0.2">
      <c r="A2169" s="228" t="str">
        <f>$A$2</f>
        <v>Tabela Referencial de Preços - DER-ES</v>
      </c>
      <c r="B2169" s="229"/>
      <c r="C2169" s="199"/>
      <c r="D2169" s="199"/>
      <c r="E2169" s="199"/>
      <c r="F2169" s="199"/>
      <c r="G2169" s="199"/>
      <c r="H2169" s="199"/>
      <c r="I2169" s="414" t="str">
        <f>$I$2</f>
        <v>Data Base: novembro/2020</v>
      </c>
    </row>
    <row r="2170" spans="1:17" s="198" customFormat="1" x14ac:dyDescent="0.2">
      <c r="A2170" s="1117" t="str">
        <f>+CONCATENATE("Serviço: ",J2170," ",VLOOKUP(J2170,'DER 11-20'!$A:$D,2,FALSE))</f>
        <v>Serviço: 40532 Boca de concreto ciclópico para BSTC diâmetro 1,00 m</v>
      </c>
      <c r="B2170" s="1117"/>
      <c r="C2170" s="1117"/>
      <c r="D2170" s="1117"/>
      <c r="E2170" s="1117"/>
      <c r="F2170" s="1117"/>
      <c r="G2170" s="1117"/>
      <c r="H2170" s="1117"/>
      <c r="I2170" s="1119" t="str">
        <f>CONCATENATE("Unidade: ", VLOOKUP(J2170,'DER 11-20'!$A:$E,3,FALSE))</f>
        <v>Unidade: Ud</v>
      </c>
      <c r="J2170" s="400">
        <v>40532</v>
      </c>
      <c r="K2170" s="400">
        <f>VLOOKUP("Preço Unitário Total",F2171:I3769,4,FALSE)</f>
        <v>3492.15</v>
      </c>
      <c r="L2170" s="295" t="str">
        <f>VLOOKUP(J2170,'DER 11-20'!A:E,5,FALSE)</f>
        <v>A incluir</v>
      </c>
      <c r="M2170" s="295" t="str">
        <f>VLOOKUP(J2170,'DER 11-20'!$A:$D,2,FALSE)</f>
        <v>Boca de concreto ciclópico para BSTC diâmetro 1,00 m</v>
      </c>
      <c r="N2170" s="295"/>
      <c r="O2170" s="295"/>
      <c r="P2170" s="295"/>
      <c r="Q2170" s="295"/>
    </row>
    <row r="2171" spans="1:17" s="198" customFormat="1" x14ac:dyDescent="0.2">
      <c r="A2171" s="1118"/>
      <c r="B2171" s="1118"/>
      <c r="C2171" s="1118"/>
      <c r="D2171" s="1118"/>
      <c r="E2171" s="1118"/>
      <c r="F2171" s="1118"/>
      <c r="G2171" s="1118"/>
      <c r="H2171" s="1118"/>
      <c r="I2171" s="1120"/>
      <c r="J2171" s="400"/>
      <c r="K2171" s="400"/>
      <c r="L2171" s="295"/>
      <c r="M2171" s="295"/>
      <c r="N2171" s="295"/>
      <c r="O2171" s="295"/>
      <c r="P2171" s="295"/>
      <c r="Q2171" s="295"/>
    </row>
    <row r="2172" spans="1:17" s="198" customFormat="1" ht="22.5" x14ac:dyDescent="0.2">
      <c r="A2172" s="231" t="s">
        <v>177</v>
      </c>
      <c r="B2172" s="232" t="s">
        <v>59</v>
      </c>
      <c r="C2172" s="232" t="s">
        <v>178</v>
      </c>
      <c r="D2172" s="232" t="s">
        <v>179</v>
      </c>
      <c r="E2172" s="232" t="s">
        <v>180</v>
      </c>
      <c r="F2172" s="232" t="s">
        <v>181</v>
      </c>
      <c r="G2172" s="232" t="s">
        <v>182</v>
      </c>
      <c r="H2172" s="232" t="s">
        <v>89</v>
      </c>
      <c r="I2172" s="434" t="s">
        <v>183</v>
      </c>
      <c r="J2172" s="400"/>
      <c r="K2172" s="400"/>
      <c r="L2172" s="295"/>
      <c r="M2172" s="295"/>
      <c r="N2172" s="295"/>
      <c r="O2172" s="295"/>
      <c r="P2172" s="295"/>
      <c r="Q2172" s="295"/>
    </row>
    <row r="2173" spans="1:17" s="198" customFormat="1" x14ac:dyDescent="0.2">
      <c r="A2173" s="233"/>
      <c r="B2173" s="234"/>
      <c r="C2173" s="235"/>
      <c r="D2173" s="236"/>
      <c r="E2173" s="203"/>
      <c r="F2173" s="237"/>
      <c r="G2173" s="237"/>
      <c r="H2173" s="238"/>
      <c r="I2173" s="418"/>
      <c r="J2173" s="400"/>
      <c r="K2173" s="400"/>
      <c r="L2173" s="295"/>
      <c r="M2173" s="295"/>
      <c r="N2173" s="295"/>
      <c r="O2173" s="295"/>
      <c r="P2173" s="295"/>
      <c r="Q2173" s="295"/>
    </row>
    <row r="2174" spans="1:17" x14ac:dyDescent="0.2">
      <c r="A2174" s="199"/>
      <c r="B2174" s="229"/>
      <c r="C2174" s="229"/>
      <c r="D2174" s="199"/>
      <c r="E2174" s="199"/>
      <c r="F2174" s="230" t="s">
        <v>184</v>
      </c>
      <c r="G2174" s="240"/>
      <c r="H2174" s="241"/>
      <c r="I2174" s="438">
        <f>SUM(I2173:I2173)</f>
        <v>0</v>
      </c>
    </row>
    <row r="2175" spans="1:17" s="198" customFormat="1" x14ac:dyDescent="0.2">
      <c r="A2175" s="199"/>
      <c r="B2175" s="229"/>
      <c r="C2175" s="229"/>
      <c r="D2175" s="199"/>
      <c r="E2175" s="199"/>
      <c r="F2175" s="199"/>
      <c r="G2175" s="199"/>
      <c r="H2175" s="199"/>
      <c r="I2175" s="439"/>
      <c r="J2175" s="400"/>
      <c r="K2175" s="400"/>
      <c r="L2175" s="295"/>
      <c r="M2175" s="295"/>
      <c r="N2175" s="295"/>
      <c r="O2175" s="295"/>
      <c r="P2175" s="295"/>
      <c r="Q2175" s="295"/>
    </row>
    <row r="2176" spans="1:17" x14ac:dyDescent="0.2">
      <c r="A2176" s="242" t="s">
        <v>185</v>
      </c>
      <c r="B2176" s="243" t="s">
        <v>59</v>
      </c>
      <c r="C2176" s="232" t="s">
        <v>357</v>
      </c>
      <c r="D2176" s="243" t="s">
        <v>187</v>
      </c>
      <c r="E2176" s="1121" t="s">
        <v>89</v>
      </c>
      <c r="F2176" s="1114"/>
      <c r="G2176" s="1115"/>
      <c r="H2176" s="1121" t="s">
        <v>183</v>
      </c>
      <c r="I2176" s="1115"/>
    </row>
    <row r="2177" spans="1:9" x14ac:dyDescent="0.2">
      <c r="A2177" s="244"/>
      <c r="B2177" s="234"/>
      <c r="C2177" s="239"/>
      <c r="D2177" s="239"/>
      <c r="E2177" s="255"/>
      <c r="F2177" s="253"/>
      <c r="G2177" s="293"/>
      <c r="H2177" s="240"/>
      <c r="I2177" s="427"/>
    </row>
    <row r="2178" spans="1:9" x14ac:dyDescent="0.2">
      <c r="A2178" s="199"/>
      <c r="B2178" s="229"/>
      <c r="C2178" s="229"/>
      <c r="D2178" s="199"/>
      <c r="E2178" s="199"/>
      <c r="F2178" s="230" t="s">
        <v>188</v>
      </c>
      <c r="G2178" s="240"/>
      <c r="H2178" s="241"/>
      <c r="I2178" s="438">
        <f>SUM(I2177:I2177)</f>
        <v>0</v>
      </c>
    </row>
    <row r="2179" spans="1:9" x14ac:dyDescent="0.2">
      <c r="A2179" s="199"/>
      <c r="B2179" s="229"/>
      <c r="C2179" s="229"/>
      <c r="D2179" s="199"/>
      <c r="E2179" s="199"/>
      <c r="F2179" s="199"/>
      <c r="G2179" s="199"/>
      <c r="H2179" s="199"/>
      <c r="I2179" s="439"/>
    </row>
    <row r="2180" spans="1:9" x14ac:dyDescent="0.2">
      <c r="A2180" s="263" t="s">
        <v>189</v>
      </c>
      <c r="B2180" s="243" t="s">
        <v>59</v>
      </c>
      <c r="C2180" s="635" t="s">
        <v>17</v>
      </c>
      <c r="D2180" s="243" t="s">
        <v>190</v>
      </c>
      <c r="E2180" s="243" t="s">
        <v>191</v>
      </c>
      <c r="F2180" s="243" t="s">
        <v>192</v>
      </c>
      <c r="G2180" s="1121" t="s">
        <v>94</v>
      </c>
      <c r="H2180" s="1114"/>
      <c r="I2180" s="1115"/>
    </row>
    <row r="2181" spans="1:9" x14ac:dyDescent="0.2">
      <c r="A2181" s="244"/>
      <c r="B2181" s="234"/>
      <c r="C2181" s="239"/>
      <c r="D2181" s="235"/>
      <c r="E2181" s="246"/>
      <c r="F2181" s="246"/>
      <c r="G2181" s="240"/>
      <c r="H2181" s="241"/>
      <c r="I2181" s="427"/>
    </row>
    <row r="2182" spans="1:9" x14ac:dyDescent="0.2">
      <c r="A2182" s="199"/>
      <c r="B2182" s="229"/>
      <c r="C2182" s="199"/>
      <c r="D2182" s="199"/>
      <c r="E2182" s="199"/>
      <c r="F2182" s="230" t="s">
        <v>327</v>
      </c>
      <c r="G2182" s="240"/>
      <c r="H2182" s="241"/>
      <c r="I2182" s="438">
        <f>SUM(I2181)</f>
        <v>0</v>
      </c>
    </row>
    <row r="2183" spans="1:9" x14ac:dyDescent="0.2">
      <c r="A2183" s="199"/>
      <c r="B2183" s="229"/>
      <c r="C2183" s="199"/>
      <c r="D2183" s="199"/>
      <c r="E2183" s="199"/>
      <c r="F2183" s="199"/>
      <c r="G2183" s="199"/>
      <c r="H2183" s="199"/>
      <c r="I2183" s="439"/>
    </row>
    <row r="2184" spans="1:9" x14ac:dyDescent="0.2">
      <c r="A2184" s="247"/>
      <c r="B2184" s="248"/>
      <c r="C2184" s="249"/>
      <c r="D2184" s="249"/>
      <c r="E2184" s="249"/>
      <c r="F2184" s="250" t="s">
        <v>193</v>
      </c>
      <c r="G2184" s="401"/>
      <c r="H2184" s="249"/>
      <c r="I2184" s="445">
        <f>+I2174+I2178+I2182</f>
        <v>0</v>
      </c>
    </row>
    <row r="2185" spans="1:9" x14ac:dyDescent="0.2">
      <c r="A2185" s="251"/>
      <c r="B2185" s="252"/>
      <c r="C2185" s="253"/>
      <c r="D2185" s="253"/>
      <c r="E2185" s="253"/>
      <c r="F2185" s="254" t="s">
        <v>194</v>
      </c>
      <c r="G2185" s="255"/>
      <c r="H2185" s="253"/>
      <c r="I2185" s="446">
        <v>1</v>
      </c>
    </row>
    <row r="2186" spans="1:9" x14ac:dyDescent="0.2">
      <c r="A2186" s="233"/>
      <c r="B2186" s="256"/>
      <c r="C2186" s="241"/>
      <c r="D2186" s="241"/>
      <c r="E2186" s="241"/>
      <c r="F2186" s="257" t="s">
        <v>216</v>
      </c>
      <c r="G2186" s="240"/>
      <c r="H2186" s="241"/>
      <c r="I2186" s="447">
        <f>TRUNC(I2184/I2185,2)</f>
        <v>0</v>
      </c>
    </row>
    <row r="2187" spans="1:9" x14ac:dyDescent="0.2">
      <c r="A2187" s="636"/>
      <c r="B2187" s="229"/>
      <c r="C2187" s="199"/>
      <c r="D2187" s="199"/>
      <c r="E2187" s="199"/>
      <c r="F2187" s="258"/>
      <c r="G2187" s="199"/>
      <c r="H2187" s="199"/>
      <c r="I2187" s="450"/>
    </row>
    <row r="2188" spans="1:9" x14ac:dyDescent="0.2">
      <c r="A2188" s="242" t="s">
        <v>195</v>
      </c>
      <c r="B2188" s="243" t="s">
        <v>59</v>
      </c>
      <c r="C2188" s="243" t="s">
        <v>196</v>
      </c>
      <c r="D2188" s="243" t="s">
        <v>217</v>
      </c>
      <c r="E2188" s="1121" t="s">
        <v>89</v>
      </c>
      <c r="F2188" s="1114"/>
      <c r="G2188" s="1115"/>
      <c r="H2188" s="1121" t="s">
        <v>183</v>
      </c>
      <c r="I2188" s="1115"/>
    </row>
    <row r="2189" spans="1:9" x14ac:dyDescent="0.2">
      <c r="A2189" s="259"/>
      <c r="B2189" s="234"/>
      <c r="C2189" s="260"/>
      <c r="D2189" s="261"/>
      <c r="E2189" s="255"/>
      <c r="F2189" s="253"/>
      <c r="G2189" s="293"/>
      <c r="H2189" s="255"/>
      <c r="I2189" s="423"/>
    </row>
    <row r="2190" spans="1:9" x14ac:dyDescent="0.2">
      <c r="A2190" s="199"/>
      <c r="B2190" s="229"/>
      <c r="C2190" s="199"/>
      <c r="D2190" s="199"/>
      <c r="E2190" s="199"/>
      <c r="F2190" s="230" t="s">
        <v>197</v>
      </c>
      <c r="G2190" s="240"/>
      <c r="H2190" s="241"/>
      <c r="I2190" s="438">
        <f>SUM(I2189:I2189)</f>
        <v>0</v>
      </c>
    </row>
    <row r="2191" spans="1:9" x14ac:dyDescent="0.2">
      <c r="A2191" s="199"/>
      <c r="B2191" s="229"/>
      <c r="C2191" s="199"/>
      <c r="D2191" s="199"/>
      <c r="E2191" s="199"/>
      <c r="F2191" s="199"/>
      <c r="G2191" s="262"/>
      <c r="H2191" s="199"/>
      <c r="I2191" s="439"/>
    </row>
    <row r="2192" spans="1:9" x14ac:dyDescent="0.2">
      <c r="A2192" s="263" t="s">
        <v>198</v>
      </c>
      <c r="B2192" s="243" t="s">
        <v>59</v>
      </c>
      <c r="C2192" s="243" t="s">
        <v>196</v>
      </c>
      <c r="D2192" s="635" t="s">
        <v>217</v>
      </c>
      <c r="E2192" s="1121" t="s">
        <v>89</v>
      </c>
      <c r="F2192" s="1114"/>
      <c r="G2192" s="1115"/>
      <c r="H2192" s="1121" t="s">
        <v>183</v>
      </c>
      <c r="I2192" s="1115"/>
    </row>
    <row r="2193" spans="1:17" ht="33.75" x14ac:dyDescent="0.2">
      <c r="A2193" s="416" t="str">
        <f>VLOOKUP(B2193,'DER 11-20'!$A:$E,2,FALSE)</f>
        <v>Concreto ciclópico com 70% concreto 15,0 MPa e 30% de pedra de mão, tudo incluído</v>
      </c>
      <c r="B2193" s="417">
        <v>40351</v>
      </c>
      <c r="C2193" s="417" t="str">
        <f>VLOOKUP(B2193,'DER 11-20'!$A:$E,3,FALSE)</f>
        <v>M3</v>
      </c>
      <c r="D2193" s="418">
        <f>TRUNC(VLOOKUP(B2193,'DER 11-20'!$A:$F,6,FALSE)/(1+$I$4),2)</f>
        <v>423.27</v>
      </c>
      <c r="E2193" s="419"/>
      <c r="F2193" s="420"/>
      <c r="G2193" s="421">
        <v>3.5670000000000002</v>
      </c>
      <c r="H2193" s="422"/>
      <c r="I2193" s="423">
        <f>TRUNC(D2193*G2193,2)</f>
        <v>1509.8</v>
      </c>
      <c r="J2193" s="415"/>
      <c r="K2193" s="415"/>
      <c r="L2193" s="198"/>
      <c r="M2193" s="198"/>
      <c r="N2193" s="198"/>
      <c r="O2193" s="198"/>
      <c r="P2193" s="198"/>
      <c r="Q2193" s="198"/>
    </row>
    <row r="2194" spans="1:17" ht="45" x14ac:dyDescent="0.2">
      <c r="A2194" s="416" t="str">
        <f>VLOOKUP(B2194,'DER 11-20'!$A:$E,2,FALSE)</f>
        <v>Formas planas de madeira com 02 (dois) reaproveitamentos, inclusive fornecimento e transporte das madeiras</v>
      </c>
      <c r="B2194" s="417">
        <v>40312</v>
      </c>
      <c r="C2194" s="417" t="str">
        <f>VLOOKUP(B2194,'DER 11-20'!$A:$E,3,FALSE)</f>
        <v>M2</v>
      </c>
      <c r="D2194" s="418">
        <f>TRUNC(VLOOKUP(B2194,'DER 11-20'!$A:$F,6,FALSE)/(1+$I$4),2)</f>
        <v>84.31</v>
      </c>
      <c r="E2194" s="419"/>
      <c r="F2194" s="420"/>
      <c r="G2194" s="421">
        <v>15.68</v>
      </c>
      <c r="H2194" s="422"/>
      <c r="I2194" s="423">
        <f>TRUNC(D2194*G2194,2)</f>
        <v>1321.98</v>
      </c>
      <c r="J2194" s="415"/>
      <c r="K2194" s="415"/>
      <c r="L2194" s="198"/>
      <c r="M2194" s="198"/>
      <c r="N2194" s="198"/>
      <c r="O2194" s="198"/>
      <c r="P2194" s="198"/>
      <c r="Q2194" s="198"/>
    </row>
    <row r="2195" spans="1:17" x14ac:dyDescent="0.2">
      <c r="A2195" s="200"/>
      <c r="B2195" s="264"/>
      <c r="C2195" s="200"/>
      <c r="D2195" s="200"/>
      <c r="E2195" s="200"/>
      <c r="F2195" s="265" t="s">
        <v>199</v>
      </c>
      <c r="G2195" s="255"/>
      <c r="H2195" s="266"/>
      <c r="I2195" s="441">
        <f>SUM(I2193:I2194)</f>
        <v>2831.78</v>
      </c>
    </row>
    <row r="2196" spans="1:17" x14ac:dyDescent="0.2">
      <c r="A2196" s="200"/>
      <c r="B2196" s="264"/>
      <c r="C2196" s="200"/>
      <c r="D2196" s="200"/>
      <c r="E2196" s="200"/>
      <c r="F2196" s="200"/>
      <c r="G2196" s="200"/>
      <c r="H2196" s="200"/>
      <c r="I2196" s="440"/>
    </row>
    <row r="2197" spans="1:17" s="198" customFormat="1" x14ac:dyDescent="0.2">
      <c r="A2197" s="406" t="s">
        <v>200</v>
      </c>
      <c r="B2197" s="268" t="s">
        <v>59</v>
      </c>
      <c r="C2197" s="268" t="s">
        <v>196</v>
      </c>
      <c r="D2197" s="268" t="s">
        <v>201</v>
      </c>
      <c r="E2197" s="268" t="s">
        <v>202</v>
      </c>
      <c r="F2197" s="268" t="s">
        <v>203</v>
      </c>
      <c r="G2197" s="268" t="s">
        <v>94</v>
      </c>
      <c r="H2197" s="268" t="s">
        <v>89</v>
      </c>
      <c r="I2197" s="442" t="s">
        <v>204</v>
      </c>
      <c r="J2197" s="400"/>
      <c r="K2197" s="400"/>
      <c r="L2197" s="295"/>
      <c r="M2197" s="295"/>
      <c r="N2197" s="295"/>
      <c r="O2197" s="295"/>
      <c r="P2197" s="295"/>
      <c r="Q2197" s="295"/>
    </row>
    <row r="2198" spans="1:17" s="198" customFormat="1" x14ac:dyDescent="0.2">
      <c r="A2198" s="244"/>
      <c r="B2198" s="234"/>
      <c r="C2198" s="234"/>
      <c r="D2198" s="269"/>
      <c r="E2198" s="270"/>
      <c r="F2198" s="270"/>
      <c r="G2198" s="239"/>
      <c r="H2198" s="271"/>
      <c r="I2198" s="418"/>
      <c r="J2198" s="400"/>
      <c r="K2198" s="400"/>
      <c r="L2198" s="295"/>
      <c r="M2198" s="295"/>
      <c r="N2198" s="295"/>
      <c r="O2198" s="295"/>
      <c r="P2198" s="295"/>
      <c r="Q2198" s="295"/>
    </row>
    <row r="2199" spans="1:17" x14ac:dyDescent="0.2">
      <c r="A2199" s="200"/>
      <c r="B2199" s="264"/>
      <c r="C2199" s="200"/>
      <c r="D2199" s="200"/>
      <c r="E2199" s="200"/>
      <c r="F2199" s="265" t="s">
        <v>205</v>
      </c>
      <c r="G2199" s="240"/>
      <c r="H2199" s="272"/>
      <c r="I2199" s="443">
        <f>SUM(I2198:I2198)</f>
        <v>0</v>
      </c>
    </row>
    <row r="2200" spans="1:17" x14ac:dyDescent="0.2">
      <c r="A2200" s="200"/>
      <c r="B2200" s="264"/>
      <c r="C2200" s="200"/>
      <c r="D2200" s="200"/>
      <c r="E2200" s="200"/>
      <c r="F2200" s="200"/>
      <c r="G2200" s="200"/>
      <c r="H2200" s="200"/>
      <c r="I2200" s="444"/>
    </row>
    <row r="2201" spans="1:17" x14ac:dyDescent="0.2">
      <c r="A2201" s="273"/>
      <c r="B2201" s="274"/>
      <c r="C2201" s="275"/>
      <c r="D2201" s="275"/>
      <c r="E2201" s="275"/>
      <c r="F2201" s="276" t="s">
        <v>206</v>
      </c>
      <c r="G2201" s="273"/>
      <c r="H2201" s="249"/>
      <c r="I2201" s="445">
        <f>+I2186+I2190+I2195+I2199</f>
        <v>2831.78</v>
      </c>
    </row>
    <row r="2202" spans="1:17" x14ac:dyDescent="0.2">
      <c r="A2202" s="255"/>
      <c r="B2202" s="277"/>
      <c r="C2202" s="266"/>
      <c r="D2202" s="266"/>
      <c r="E2202" s="266"/>
      <c r="F2202" s="278" t="str">
        <f>CONCATENATE($H$3," ",$I$3)</f>
        <v>BDI: 23,32</v>
      </c>
      <c r="G2202" s="403"/>
      <c r="H2202" s="253"/>
      <c r="I2202" s="446">
        <f>+ROUND(I2201*$I$4,2)</f>
        <v>660.37</v>
      </c>
    </row>
    <row r="2203" spans="1:17" x14ac:dyDescent="0.2">
      <c r="A2203" s="240"/>
      <c r="B2203" s="279"/>
      <c r="C2203" s="272"/>
      <c r="D2203" s="272"/>
      <c r="E2203" s="272"/>
      <c r="F2203" s="280" t="s">
        <v>207</v>
      </c>
      <c r="G2203" s="404"/>
      <c r="H2203" s="241"/>
      <c r="I2203" s="720">
        <f>+I2201+I2202</f>
        <v>3492.15</v>
      </c>
    </row>
    <row r="2204" spans="1:17" x14ac:dyDescent="0.2">
      <c r="A2204" s="1116" t="str">
        <f>$A$1</f>
        <v>COMPOSIÇÃO DE CUSTOS UNITÁRIOS</v>
      </c>
      <c r="B2204" s="1116"/>
      <c r="C2204" s="1116"/>
      <c r="D2204" s="1116"/>
      <c r="E2204" s="1116"/>
      <c r="F2204" s="1116"/>
      <c r="G2204" s="1116"/>
      <c r="H2204" s="1116"/>
      <c r="I2204" s="1116"/>
    </row>
    <row r="2205" spans="1:17" x14ac:dyDescent="0.2">
      <c r="A2205" s="228" t="str">
        <f>$A$2</f>
        <v>Tabela Referencial de Preços - DER-ES</v>
      </c>
      <c r="B2205" s="229"/>
      <c r="C2205" s="199"/>
      <c r="D2205" s="199"/>
      <c r="E2205" s="199"/>
      <c r="F2205" s="199"/>
      <c r="G2205" s="199"/>
      <c r="H2205" s="199"/>
      <c r="I2205" s="414" t="str">
        <f>$I$2</f>
        <v>Data Base: novembro/2020</v>
      </c>
    </row>
    <row r="2206" spans="1:17" s="198" customFormat="1" x14ac:dyDescent="0.2">
      <c r="A2206" s="1117" t="str">
        <f>+CONCATENATE("Serviço: ",J2206," ",VLOOKUP(J2206,'DER 11-20'!$A:$D,2,FALSE))</f>
        <v>Serviço: 40533 Boca de concreto ciclópico para BSTC diâmetro 1,20 m</v>
      </c>
      <c r="B2206" s="1117"/>
      <c r="C2206" s="1117"/>
      <c r="D2206" s="1117"/>
      <c r="E2206" s="1117"/>
      <c r="F2206" s="1117"/>
      <c r="G2206" s="1117"/>
      <c r="H2206" s="1117"/>
      <c r="I2206" s="1119" t="str">
        <f>CONCATENATE("Unidade: ", VLOOKUP(J2206,'DER 11-20'!$A:$E,3,FALSE))</f>
        <v>Unidade: Ud</v>
      </c>
      <c r="J2206" s="400">
        <v>40533</v>
      </c>
      <c r="K2206" s="400">
        <f>VLOOKUP("Preço Unitário Total",F2207:I3805,4,FALSE)</f>
        <v>5021</v>
      </c>
      <c r="L2206" s="295" t="str">
        <f>VLOOKUP(J2206,'DER 11-20'!A:E,5,FALSE)</f>
        <v>A incluir</v>
      </c>
      <c r="M2206" s="295" t="str">
        <f>VLOOKUP(J2206,'DER 11-20'!$A:$D,2,FALSE)</f>
        <v>Boca de concreto ciclópico para BSTC diâmetro 1,20 m</v>
      </c>
      <c r="N2206" s="295"/>
      <c r="O2206" s="295"/>
      <c r="P2206" s="295"/>
      <c r="Q2206" s="295"/>
    </row>
    <row r="2207" spans="1:17" s="198" customFormat="1" x14ac:dyDescent="0.2">
      <c r="A2207" s="1118"/>
      <c r="B2207" s="1118"/>
      <c r="C2207" s="1118"/>
      <c r="D2207" s="1118"/>
      <c r="E2207" s="1118"/>
      <c r="F2207" s="1118"/>
      <c r="G2207" s="1118"/>
      <c r="H2207" s="1118"/>
      <c r="I2207" s="1120"/>
      <c r="J2207" s="400"/>
      <c r="K2207" s="400"/>
      <c r="L2207" s="295"/>
      <c r="M2207" s="295"/>
      <c r="N2207" s="295"/>
      <c r="O2207" s="295"/>
      <c r="P2207" s="295"/>
      <c r="Q2207" s="295"/>
    </row>
    <row r="2208" spans="1:17" s="198" customFormat="1" ht="22.5" x14ac:dyDescent="0.2">
      <c r="A2208" s="231" t="s">
        <v>177</v>
      </c>
      <c r="B2208" s="232" t="s">
        <v>59</v>
      </c>
      <c r="C2208" s="232" t="s">
        <v>178</v>
      </c>
      <c r="D2208" s="232" t="s">
        <v>179</v>
      </c>
      <c r="E2208" s="232" t="s">
        <v>180</v>
      </c>
      <c r="F2208" s="232" t="s">
        <v>181</v>
      </c>
      <c r="G2208" s="232" t="s">
        <v>182</v>
      </c>
      <c r="H2208" s="232" t="s">
        <v>89</v>
      </c>
      <c r="I2208" s="434" t="s">
        <v>183</v>
      </c>
      <c r="J2208" s="400"/>
      <c r="K2208" s="400"/>
      <c r="L2208" s="295"/>
      <c r="M2208" s="295"/>
      <c r="N2208" s="295"/>
      <c r="O2208" s="295"/>
      <c r="P2208" s="295"/>
      <c r="Q2208" s="295"/>
    </row>
    <row r="2209" spans="1:17" s="198" customFormat="1" x14ac:dyDescent="0.2">
      <c r="A2209" s="233"/>
      <c r="B2209" s="234"/>
      <c r="C2209" s="235"/>
      <c r="D2209" s="236"/>
      <c r="E2209" s="203"/>
      <c r="F2209" s="237"/>
      <c r="G2209" s="237"/>
      <c r="H2209" s="238"/>
      <c r="I2209" s="418"/>
      <c r="J2209" s="400"/>
      <c r="K2209" s="400"/>
      <c r="L2209" s="295"/>
      <c r="M2209" s="295"/>
      <c r="N2209" s="295"/>
      <c r="O2209" s="295"/>
      <c r="P2209" s="295"/>
      <c r="Q2209" s="295"/>
    </row>
    <row r="2210" spans="1:17" x14ac:dyDescent="0.2">
      <c r="A2210" s="199"/>
      <c r="B2210" s="229"/>
      <c r="C2210" s="229"/>
      <c r="D2210" s="199"/>
      <c r="E2210" s="199"/>
      <c r="F2210" s="230" t="s">
        <v>184</v>
      </c>
      <c r="G2210" s="240"/>
      <c r="H2210" s="241"/>
      <c r="I2210" s="438">
        <f>SUM(I2209:I2209)</f>
        <v>0</v>
      </c>
    </row>
    <row r="2211" spans="1:17" s="198" customFormat="1" x14ac:dyDescent="0.2">
      <c r="A2211" s="199"/>
      <c r="B2211" s="229"/>
      <c r="C2211" s="229"/>
      <c r="D2211" s="199"/>
      <c r="E2211" s="199"/>
      <c r="F2211" s="199"/>
      <c r="G2211" s="199"/>
      <c r="H2211" s="199"/>
      <c r="I2211" s="439"/>
      <c r="J2211" s="400"/>
      <c r="K2211" s="400"/>
      <c r="L2211" s="295"/>
      <c r="M2211" s="295"/>
      <c r="N2211" s="295"/>
      <c r="O2211" s="295"/>
      <c r="P2211" s="295"/>
      <c r="Q2211" s="295"/>
    </row>
    <row r="2212" spans="1:17" x14ac:dyDescent="0.2">
      <c r="A2212" s="242" t="s">
        <v>185</v>
      </c>
      <c r="B2212" s="243" t="s">
        <v>59</v>
      </c>
      <c r="C2212" s="232" t="s">
        <v>357</v>
      </c>
      <c r="D2212" s="243" t="s">
        <v>187</v>
      </c>
      <c r="E2212" s="1121" t="s">
        <v>89</v>
      </c>
      <c r="F2212" s="1114"/>
      <c r="G2212" s="1115"/>
      <c r="H2212" s="1121" t="s">
        <v>183</v>
      </c>
      <c r="I2212" s="1115"/>
    </row>
    <row r="2213" spans="1:17" x14ac:dyDescent="0.2">
      <c r="A2213" s="244"/>
      <c r="B2213" s="234"/>
      <c r="C2213" s="239"/>
      <c r="D2213" s="239"/>
      <c r="E2213" s="255"/>
      <c r="F2213" s="253"/>
      <c r="G2213" s="293"/>
      <c r="H2213" s="240"/>
      <c r="I2213" s="427"/>
    </row>
    <row r="2214" spans="1:17" x14ac:dyDescent="0.2">
      <c r="A2214" s="199"/>
      <c r="B2214" s="229"/>
      <c r="C2214" s="229"/>
      <c r="D2214" s="199"/>
      <c r="E2214" s="199"/>
      <c r="F2214" s="230" t="s">
        <v>188</v>
      </c>
      <c r="G2214" s="240"/>
      <c r="H2214" s="241"/>
      <c r="I2214" s="438">
        <f>SUM(I2213:I2213)</f>
        <v>0</v>
      </c>
    </row>
    <row r="2215" spans="1:17" x14ac:dyDescent="0.2">
      <c r="A2215" s="199"/>
      <c r="B2215" s="229"/>
      <c r="C2215" s="229"/>
      <c r="D2215" s="199"/>
      <c r="E2215" s="199"/>
      <c r="F2215" s="199"/>
      <c r="G2215" s="199"/>
      <c r="H2215" s="199"/>
      <c r="I2215" s="439"/>
    </row>
    <row r="2216" spans="1:17" x14ac:dyDescent="0.2">
      <c r="A2216" s="263" t="s">
        <v>189</v>
      </c>
      <c r="B2216" s="243" t="s">
        <v>59</v>
      </c>
      <c r="C2216" s="827" t="s">
        <v>17</v>
      </c>
      <c r="D2216" s="243" t="s">
        <v>190</v>
      </c>
      <c r="E2216" s="243" t="s">
        <v>191</v>
      </c>
      <c r="F2216" s="243" t="s">
        <v>192</v>
      </c>
      <c r="G2216" s="1121" t="s">
        <v>94</v>
      </c>
      <c r="H2216" s="1114"/>
      <c r="I2216" s="1115"/>
    </row>
    <row r="2217" spans="1:17" x14ac:dyDescent="0.2">
      <c r="A2217" s="244"/>
      <c r="B2217" s="234"/>
      <c r="C2217" s="239"/>
      <c r="D2217" s="235"/>
      <c r="E2217" s="246"/>
      <c r="F2217" s="246"/>
      <c r="G2217" s="240"/>
      <c r="H2217" s="241"/>
      <c r="I2217" s="427"/>
    </row>
    <row r="2218" spans="1:17" x14ac:dyDescent="0.2">
      <c r="A2218" s="199"/>
      <c r="B2218" s="229"/>
      <c r="C2218" s="199"/>
      <c r="D2218" s="199"/>
      <c r="E2218" s="199"/>
      <c r="F2218" s="230" t="s">
        <v>327</v>
      </c>
      <c r="G2218" s="240"/>
      <c r="H2218" s="241"/>
      <c r="I2218" s="438">
        <f>SUM(I2217)</f>
        <v>0</v>
      </c>
    </row>
    <row r="2219" spans="1:17" x14ac:dyDescent="0.2">
      <c r="A2219" s="199"/>
      <c r="B2219" s="229"/>
      <c r="C2219" s="199"/>
      <c r="D2219" s="199"/>
      <c r="E2219" s="199"/>
      <c r="F2219" s="199"/>
      <c r="G2219" s="199"/>
      <c r="H2219" s="199"/>
      <c r="I2219" s="439"/>
    </row>
    <row r="2220" spans="1:17" x14ac:dyDescent="0.2">
      <c r="A2220" s="247"/>
      <c r="B2220" s="248"/>
      <c r="C2220" s="249"/>
      <c r="D2220" s="249"/>
      <c r="E2220" s="249"/>
      <c r="F2220" s="250" t="s">
        <v>193</v>
      </c>
      <c r="G2220" s="401"/>
      <c r="H2220" s="249"/>
      <c r="I2220" s="445">
        <f>+I2210+I2214+I2218</f>
        <v>0</v>
      </c>
    </row>
    <row r="2221" spans="1:17" x14ac:dyDescent="0.2">
      <c r="A2221" s="251"/>
      <c r="B2221" s="252"/>
      <c r="C2221" s="253"/>
      <c r="D2221" s="253"/>
      <c r="E2221" s="253"/>
      <c r="F2221" s="254" t="s">
        <v>194</v>
      </c>
      <c r="G2221" s="255"/>
      <c r="H2221" s="253"/>
      <c r="I2221" s="446">
        <v>1</v>
      </c>
    </row>
    <row r="2222" spans="1:17" x14ac:dyDescent="0.2">
      <c r="A2222" s="233"/>
      <c r="B2222" s="256"/>
      <c r="C2222" s="241"/>
      <c r="D2222" s="241"/>
      <c r="E2222" s="241"/>
      <c r="F2222" s="257" t="s">
        <v>216</v>
      </c>
      <c r="G2222" s="240"/>
      <c r="H2222" s="241"/>
      <c r="I2222" s="447">
        <f>TRUNC(I2220/I2221,2)</f>
        <v>0</v>
      </c>
    </row>
    <row r="2223" spans="1:17" x14ac:dyDescent="0.2">
      <c r="A2223" s="826"/>
      <c r="B2223" s="229"/>
      <c r="C2223" s="199"/>
      <c r="D2223" s="199"/>
      <c r="E2223" s="199"/>
      <c r="F2223" s="258"/>
      <c r="G2223" s="199"/>
      <c r="H2223" s="199"/>
      <c r="I2223" s="450"/>
    </row>
    <row r="2224" spans="1:17" x14ac:dyDescent="0.2">
      <c r="A2224" s="242" t="s">
        <v>195</v>
      </c>
      <c r="B2224" s="243" t="s">
        <v>59</v>
      </c>
      <c r="C2224" s="243" t="s">
        <v>196</v>
      </c>
      <c r="D2224" s="243" t="s">
        <v>217</v>
      </c>
      <c r="E2224" s="1121" t="s">
        <v>89</v>
      </c>
      <c r="F2224" s="1114"/>
      <c r="G2224" s="1115"/>
      <c r="H2224" s="1121" t="s">
        <v>183</v>
      </c>
      <c r="I2224" s="1115"/>
    </row>
    <row r="2225" spans="1:17" x14ac:dyDescent="0.2">
      <c r="A2225" s="259"/>
      <c r="B2225" s="234"/>
      <c r="C2225" s="260"/>
      <c r="D2225" s="261"/>
      <c r="E2225" s="255"/>
      <c r="F2225" s="253"/>
      <c r="G2225" s="293"/>
      <c r="H2225" s="255"/>
      <c r="I2225" s="423"/>
    </row>
    <row r="2226" spans="1:17" x14ac:dyDescent="0.2">
      <c r="A2226" s="199"/>
      <c r="B2226" s="229"/>
      <c r="C2226" s="199"/>
      <c r="D2226" s="199"/>
      <c r="E2226" s="199"/>
      <c r="F2226" s="230" t="s">
        <v>197</v>
      </c>
      <c r="G2226" s="240"/>
      <c r="H2226" s="241"/>
      <c r="I2226" s="438">
        <f>SUM(I2225:I2225)</f>
        <v>0</v>
      </c>
    </row>
    <row r="2227" spans="1:17" x14ac:dyDescent="0.2">
      <c r="A2227" s="199"/>
      <c r="B2227" s="229"/>
      <c r="C2227" s="199"/>
      <c r="D2227" s="199"/>
      <c r="E2227" s="199"/>
      <c r="F2227" s="199"/>
      <c r="G2227" s="262"/>
      <c r="H2227" s="199"/>
      <c r="I2227" s="439"/>
    </row>
    <row r="2228" spans="1:17" x14ac:dyDescent="0.2">
      <c r="A2228" s="263" t="s">
        <v>198</v>
      </c>
      <c r="B2228" s="243" t="s">
        <v>59</v>
      </c>
      <c r="C2228" s="243" t="s">
        <v>196</v>
      </c>
      <c r="D2228" s="827" t="s">
        <v>217</v>
      </c>
      <c r="E2228" s="1121" t="s">
        <v>89</v>
      </c>
      <c r="F2228" s="1114"/>
      <c r="G2228" s="1115"/>
      <c r="H2228" s="1121" t="s">
        <v>183</v>
      </c>
      <c r="I2228" s="1115"/>
    </row>
    <row r="2229" spans="1:17" ht="33.75" x14ac:dyDescent="0.2">
      <c r="A2229" s="416" t="str">
        <f>VLOOKUP(B2229,'DER 11-20'!$A:$E,2,FALSE)</f>
        <v>Concreto ciclópico com 70% concreto 15,0 MPa e 30% de pedra de mão, tudo incluído</v>
      </c>
      <c r="B2229" s="417">
        <v>40351</v>
      </c>
      <c r="C2229" s="417" t="str">
        <f>VLOOKUP(B2229,'DER 11-20'!$A:$E,3,FALSE)</f>
        <v>M3</v>
      </c>
      <c r="D2229" s="418">
        <f>TRUNC(VLOOKUP(B2229,'DER 11-20'!$A:$F,6,FALSE)/(1+$I$4),2)</f>
        <v>423.27</v>
      </c>
      <c r="E2229" s="419"/>
      <c r="F2229" s="420"/>
      <c r="G2229" s="421">
        <v>5.5060000000000002</v>
      </c>
      <c r="H2229" s="422"/>
      <c r="I2229" s="423">
        <f>TRUNC(D2229*G2229,2)</f>
        <v>2330.52</v>
      </c>
      <c r="J2229" s="415"/>
      <c r="K2229" s="415"/>
      <c r="L2229" s="198"/>
      <c r="M2229" s="198"/>
      <c r="N2229" s="198"/>
      <c r="O2229" s="198"/>
      <c r="P2229" s="198"/>
      <c r="Q2229" s="198"/>
    </row>
    <row r="2230" spans="1:17" ht="45" x14ac:dyDescent="0.2">
      <c r="A2230" s="416" t="str">
        <f>VLOOKUP(B2230,'DER 11-20'!$A:$E,2,FALSE)</f>
        <v>Formas planas de madeira com 02 (dois) reaproveitamentos, inclusive fornecimento e transporte das madeiras</v>
      </c>
      <c r="B2230" s="417">
        <v>40312</v>
      </c>
      <c r="C2230" s="417" t="str">
        <f>VLOOKUP(B2230,'DER 11-20'!$A:$E,3,FALSE)</f>
        <v>M2</v>
      </c>
      <c r="D2230" s="418">
        <f>TRUNC(VLOOKUP(B2230,'DER 11-20'!$A:$F,6,FALSE)/(1+$I$4),2)</f>
        <v>84.31</v>
      </c>
      <c r="E2230" s="419"/>
      <c r="F2230" s="420"/>
      <c r="G2230" s="421">
        <v>20.65</v>
      </c>
      <c r="H2230" s="422"/>
      <c r="I2230" s="423">
        <f>TRUNC(D2230*G2230,2)</f>
        <v>1741</v>
      </c>
      <c r="J2230" s="415"/>
      <c r="K2230" s="415"/>
      <c r="L2230" s="198"/>
      <c r="M2230" s="198"/>
      <c r="N2230" s="198"/>
      <c r="O2230" s="198"/>
      <c r="P2230" s="198"/>
      <c r="Q2230" s="198"/>
    </row>
    <row r="2231" spans="1:17" x14ac:dyDescent="0.2">
      <c r="A2231" s="200"/>
      <c r="B2231" s="264"/>
      <c r="C2231" s="200"/>
      <c r="D2231" s="200"/>
      <c r="E2231" s="200"/>
      <c r="F2231" s="265" t="s">
        <v>199</v>
      </c>
      <c r="G2231" s="255"/>
      <c r="H2231" s="266"/>
      <c r="I2231" s="441">
        <f>SUM(I2229:I2230)</f>
        <v>4071.52</v>
      </c>
    </row>
    <row r="2232" spans="1:17" x14ac:dyDescent="0.2">
      <c r="A2232" s="200"/>
      <c r="B2232" s="264"/>
      <c r="C2232" s="200"/>
      <c r="D2232" s="200"/>
      <c r="E2232" s="200"/>
      <c r="F2232" s="200"/>
      <c r="G2232" s="200"/>
      <c r="H2232" s="200"/>
      <c r="I2232" s="440"/>
    </row>
    <row r="2233" spans="1:17" s="198" customFormat="1" x14ac:dyDescent="0.2">
      <c r="A2233" s="406" t="s">
        <v>200</v>
      </c>
      <c r="B2233" s="268" t="s">
        <v>59</v>
      </c>
      <c r="C2233" s="268" t="s">
        <v>196</v>
      </c>
      <c r="D2233" s="268" t="s">
        <v>201</v>
      </c>
      <c r="E2233" s="268" t="s">
        <v>202</v>
      </c>
      <c r="F2233" s="268" t="s">
        <v>203</v>
      </c>
      <c r="G2233" s="268" t="s">
        <v>94</v>
      </c>
      <c r="H2233" s="268" t="s">
        <v>89</v>
      </c>
      <c r="I2233" s="442" t="s">
        <v>204</v>
      </c>
      <c r="J2233" s="400"/>
      <c r="K2233" s="400"/>
      <c r="L2233" s="295"/>
      <c r="M2233" s="295"/>
      <c r="N2233" s="295"/>
      <c r="O2233" s="295"/>
      <c r="P2233" s="295"/>
      <c r="Q2233" s="295"/>
    </row>
    <row r="2234" spans="1:17" s="198" customFormat="1" x14ac:dyDescent="0.2">
      <c r="A2234" s="244"/>
      <c r="B2234" s="234"/>
      <c r="C2234" s="234"/>
      <c r="D2234" s="269"/>
      <c r="E2234" s="270"/>
      <c r="F2234" s="270"/>
      <c r="G2234" s="239"/>
      <c r="H2234" s="271"/>
      <c r="I2234" s="418"/>
      <c r="J2234" s="400"/>
      <c r="K2234" s="400"/>
      <c r="L2234" s="295"/>
      <c r="M2234" s="295"/>
      <c r="N2234" s="295"/>
      <c r="O2234" s="295"/>
      <c r="P2234" s="295"/>
      <c r="Q2234" s="295"/>
    </row>
    <row r="2235" spans="1:17" x14ac:dyDescent="0.2">
      <c r="A2235" s="200"/>
      <c r="B2235" s="264"/>
      <c r="C2235" s="200"/>
      <c r="D2235" s="200"/>
      <c r="E2235" s="200"/>
      <c r="F2235" s="265" t="s">
        <v>205</v>
      </c>
      <c r="G2235" s="240"/>
      <c r="H2235" s="272"/>
      <c r="I2235" s="443">
        <f>SUM(I2234:I2234)</f>
        <v>0</v>
      </c>
    </row>
    <row r="2236" spans="1:17" x14ac:dyDescent="0.2">
      <c r="A2236" s="200"/>
      <c r="B2236" s="264"/>
      <c r="C2236" s="200"/>
      <c r="D2236" s="200"/>
      <c r="E2236" s="200"/>
      <c r="F2236" s="200"/>
      <c r="G2236" s="200"/>
      <c r="H2236" s="200"/>
      <c r="I2236" s="444"/>
    </row>
    <row r="2237" spans="1:17" x14ac:dyDescent="0.2">
      <c r="A2237" s="273"/>
      <c r="B2237" s="274"/>
      <c r="C2237" s="275"/>
      <c r="D2237" s="275"/>
      <c r="E2237" s="275"/>
      <c r="F2237" s="276" t="s">
        <v>206</v>
      </c>
      <c r="G2237" s="273"/>
      <c r="H2237" s="249"/>
      <c r="I2237" s="445">
        <f>+I2222+I2226+I2231+I2235</f>
        <v>4071.52</v>
      </c>
    </row>
    <row r="2238" spans="1:17" x14ac:dyDescent="0.2">
      <c r="A2238" s="255"/>
      <c r="B2238" s="277"/>
      <c r="C2238" s="266"/>
      <c r="D2238" s="266"/>
      <c r="E2238" s="266"/>
      <c r="F2238" s="278" t="str">
        <f>CONCATENATE($H$3," ",$I$3)</f>
        <v>BDI: 23,32</v>
      </c>
      <c r="G2238" s="403"/>
      <c r="H2238" s="253"/>
      <c r="I2238" s="446">
        <f>+ROUND(I2237*$I$4,2)</f>
        <v>949.48</v>
      </c>
    </row>
    <row r="2239" spans="1:17" x14ac:dyDescent="0.2">
      <c r="A2239" s="240"/>
      <c r="B2239" s="279"/>
      <c r="C2239" s="272"/>
      <c r="D2239" s="272"/>
      <c r="E2239" s="272"/>
      <c r="F2239" s="280" t="s">
        <v>207</v>
      </c>
      <c r="G2239" s="404"/>
      <c r="H2239" s="241"/>
      <c r="I2239" s="720">
        <f>+I2237+I2238</f>
        <v>5021</v>
      </c>
    </row>
    <row r="2240" spans="1:17" x14ac:dyDescent="0.2">
      <c r="A2240" s="1116" t="str">
        <f>$A$1</f>
        <v>COMPOSIÇÃO DE CUSTOS UNITÁRIOS</v>
      </c>
      <c r="B2240" s="1116"/>
      <c r="C2240" s="1116"/>
      <c r="D2240" s="1116"/>
      <c r="E2240" s="1116"/>
      <c r="F2240" s="1116"/>
      <c r="G2240" s="1116"/>
      <c r="H2240" s="1116"/>
      <c r="I2240" s="1116"/>
    </row>
    <row r="2241" spans="1:13" x14ac:dyDescent="0.2">
      <c r="A2241" s="228" t="str">
        <f>$A$2</f>
        <v>Tabela Referencial de Preços - DER-ES</v>
      </c>
      <c r="B2241" s="229"/>
      <c r="C2241" s="199"/>
      <c r="D2241" s="199"/>
      <c r="E2241" s="199"/>
      <c r="F2241" s="199"/>
      <c r="G2241" s="199"/>
      <c r="H2241" s="199"/>
      <c r="I2241" s="414" t="str">
        <f>$I$2</f>
        <v>Data Base: novembro/2020</v>
      </c>
    </row>
    <row r="2242" spans="1:13" x14ac:dyDescent="0.2">
      <c r="A2242" s="1117" t="str">
        <f>+CONCATENATE("Serviço: ",J2242," ",VLOOKUP(J2242,'DER 11-20'!$A:$D,2,FALSE))</f>
        <v>Serviço: 40537 Boca de concreto ciclópico para BDTC diâmetro 1,00 m</v>
      </c>
      <c r="B2242" s="1117"/>
      <c r="C2242" s="1117"/>
      <c r="D2242" s="1117"/>
      <c r="E2242" s="1117"/>
      <c r="F2242" s="1117"/>
      <c r="G2242" s="1117"/>
      <c r="H2242" s="1117"/>
      <c r="I2242" s="1119" t="str">
        <f>CONCATENATE("Unidade: ", VLOOKUP(J2242,'DER 11-20'!$A:$E,3,FALSE))</f>
        <v>Unidade: Ud</v>
      </c>
      <c r="J2242" s="400">
        <v>40537</v>
      </c>
      <c r="K2242" s="400">
        <f>VLOOKUP("Preço Unitário Total",F2243:I4191,4,FALSE)</f>
        <v>4856.91</v>
      </c>
      <c r="L2242" s="295" t="str">
        <f>VLOOKUP(J2242,'DER 11-20'!A:E,5,FALSE)</f>
        <v>A incluir</v>
      </c>
      <c r="M2242" s="295" t="str">
        <f>VLOOKUP(J2242,'DER 11-20'!$A:$D,2,FALSE)</f>
        <v>Boca de concreto ciclópico para BDTC diâmetro 1,00 m</v>
      </c>
    </row>
    <row r="2243" spans="1:13" x14ac:dyDescent="0.2">
      <c r="A2243" s="1118"/>
      <c r="B2243" s="1118"/>
      <c r="C2243" s="1118"/>
      <c r="D2243" s="1118"/>
      <c r="E2243" s="1118"/>
      <c r="F2243" s="1118"/>
      <c r="G2243" s="1118"/>
      <c r="H2243" s="1118"/>
      <c r="I2243" s="1120"/>
    </row>
    <row r="2244" spans="1:13" ht="22.5" x14ac:dyDescent="0.2">
      <c r="A2244" s="231" t="s">
        <v>177</v>
      </c>
      <c r="B2244" s="232" t="s">
        <v>59</v>
      </c>
      <c r="C2244" s="232" t="s">
        <v>178</v>
      </c>
      <c r="D2244" s="232" t="s">
        <v>179</v>
      </c>
      <c r="E2244" s="232" t="s">
        <v>180</v>
      </c>
      <c r="F2244" s="232" t="s">
        <v>181</v>
      </c>
      <c r="G2244" s="232" t="s">
        <v>182</v>
      </c>
      <c r="H2244" s="232" t="s">
        <v>89</v>
      </c>
      <c r="I2244" s="434" t="s">
        <v>183</v>
      </c>
    </row>
    <row r="2245" spans="1:13" x14ac:dyDescent="0.2">
      <c r="A2245" s="233"/>
      <c r="B2245" s="234"/>
      <c r="C2245" s="235"/>
      <c r="D2245" s="236"/>
      <c r="E2245" s="203"/>
      <c r="F2245" s="237"/>
      <c r="G2245" s="237"/>
      <c r="H2245" s="238"/>
      <c r="I2245" s="418"/>
    </row>
    <row r="2246" spans="1:13" x14ac:dyDescent="0.2">
      <c r="A2246" s="199"/>
      <c r="B2246" s="229"/>
      <c r="C2246" s="229"/>
      <c r="D2246" s="199"/>
      <c r="E2246" s="199"/>
      <c r="F2246" s="230" t="s">
        <v>184</v>
      </c>
      <c r="G2246" s="240"/>
      <c r="H2246" s="241"/>
      <c r="I2246" s="438">
        <f>SUM(I2245:I2245)</f>
        <v>0</v>
      </c>
    </row>
    <row r="2247" spans="1:13" x14ac:dyDescent="0.2">
      <c r="A2247" s="199"/>
      <c r="B2247" s="229"/>
      <c r="C2247" s="229"/>
      <c r="D2247" s="199"/>
      <c r="E2247" s="199"/>
      <c r="F2247" s="199"/>
      <c r="G2247" s="199"/>
      <c r="H2247" s="199"/>
      <c r="I2247" s="439"/>
    </row>
    <row r="2248" spans="1:13" x14ac:dyDescent="0.2">
      <c r="A2248" s="242" t="s">
        <v>185</v>
      </c>
      <c r="B2248" s="243" t="s">
        <v>59</v>
      </c>
      <c r="C2248" s="232" t="s">
        <v>357</v>
      </c>
      <c r="D2248" s="243" t="s">
        <v>187</v>
      </c>
      <c r="E2248" s="1121" t="s">
        <v>89</v>
      </c>
      <c r="F2248" s="1114"/>
      <c r="G2248" s="1115"/>
      <c r="H2248" s="1121" t="s">
        <v>183</v>
      </c>
      <c r="I2248" s="1115"/>
    </row>
    <row r="2249" spans="1:13" x14ac:dyDescent="0.2">
      <c r="A2249" s="244"/>
      <c r="B2249" s="234"/>
      <c r="C2249" s="239"/>
      <c r="D2249" s="239"/>
      <c r="E2249" s="255"/>
      <c r="F2249" s="253"/>
      <c r="G2249" s="293"/>
      <c r="H2249" s="240"/>
      <c r="I2249" s="427"/>
    </row>
    <row r="2250" spans="1:13" x14ac:dyDescent="0.2">
      <c r="A2250" s="199"/>
      <c r="B2250" s="229"/>
      <c r="C2250" s="229"/>
      <c r="D2250" s="199"/>
      <c r="E2250" s="199"/>
      <c r="F2250" s="230" t="s">
        <v>188</v>
      </c>
      <c r="G2250" s="240"/>
      <c r="H2250" s="241"/>
      <c r="I2250" s="438">
        <f>SUM(I2249:I2249)</f>
        <v>0</v>
      </c>
    </row>
    <row r="2251" spans="1:13" x14ac:dyDescent="0.2">
      <c r="A2251" s="199"/>
      <c r="B2251" s="229"/>
      <c r="C2251" s="229"/>
      <c r="D2251" s="199"/>
      <c r="E2251" s="199"/>
      <c r="F2251" s="199"/>
      <c r="G2251" s="199"/>
      <c r="H2251" s="199"/>
      <c r="I2251" s="439"/>
    </row>
    <row r="2252" spans="1:13" x14ac:dyDescent="0.2">
      <c r="A2252" s="263" t="s">
        <v>189</v>
      </c>
      <c r="B2252" s="243" t="s">
        <v>59</v>
      </c>
      <c r="C2252" s="635" t="s">
        <v>17</v>
      </c>
      <c r="D2252" s="243" t="s">
        <v>190</v>
      </c>
      <c r="E2252" s="243" t="s">
        <v>191</v>
      </c>
      <c r="F2252" s="243" t="s">
        <v>192</v>
      </c>
      <c r="G2252" s="1121" t="s">
        <v>94</v>
      </c>
      <c r="H2252" s="1114"/>
      <c r="I2252" s="1115"/>
    </row>
    <row r="2253" spans="1:13" x14ac:dyDescent="0.2">
      <c r="A2253" s="244"/>
      <c r="B2253" s="234"/>
      <c r="C2253" s="239"/>
      <c r="D2253" s="235"/>
      <c r="E2253" s="246"/>
      <c r="F2253" s="246"/>
      <c r="G2253" s="240"/>
      <c r="H2253" s="241"/>
      <c r="I2253" s="427"/>
    </row>
    <row r="2254" spans="1:13" x14ac:dyDescent="0.2">
      <c r="A2254" s="199"/>
      <c r="B2254" s="229"/>
      <c r="C2254" s="199"/>
      <c r="D2254" s="199"/>
      <c r="E2254" s="199"/>
      <c r="F2254" s="230" t="s">
        <v>327</v>
      </c>
      <c r="G2254" s="240"/>
      <c r="H2254" s="241"/>
      <c r="I2254" s="438">
        <f>SUM(I2253)</f>
        <v>0</v>
      </c>
    </row>
    <row r="2255" spans="1:13" x14ac:dyDescent="0.2">
      <c r="A2255" s="199"/>
      <c r="B2255" s="229"/>
      <c r="C2255" s="199"/>
      <c r="D2255" s="199"/>
      <c r="E2255" s="199"/>
      <c r="F2255" s="199"/>
      <c r="G2255" s="199"/>
      <c r="H2255" s="199"/>
      <c r="I2255" s="439"/>
    </row>
    <row r="2256" spans="1:13" x14ac:dyDescent="0.2">
      <c r="A2256" s="247"/>
      <c r="B2256" s="248"/>
      <c r="C2256" s="249"/>
      <c r="D2256" s="249"/>
      <c r="E2256" s="249"/>
      <c r="F2256" s="250" t="s">
        <v>193</v>
      </c>
      <c r="G2256" s="401"/>
      <c r="H2256" s="249"/>
      <c r="I2256" s="445">
        <f>+I2246+I2250+I2254</f>
        <v>0</v>
      </c>
    </row>
    <row r="2257" spans="1:11" x14ac:dyDescent="0.2">
      <c r="A2257" s="251"/>
      <c r="B2257" s="252"/>
      <c r="C2257" s="253"/>
      <c r="D2257" s="253"/>
      <c r="E2257" s="253"/>
      <c r="F2257" s="254" t="s">
        <v>194</v>
      </c>
      <c r="G2257" s="255"/>
      <c r="H2257" s="253"/>
      <c r="I2257" s="446">
        <v>1</v>
      </c>
    </row>
    <row r="2258" spans="1:11" x14ac:dyDescent="0.2">
      <c r="A2258" s="233"/>
      <c r="B2258" s="256"/>
      <c r="C2258" s="241"/>
      <c r="D2258" s="241"/>
      <c r="E2258" s="241"/>
      <c r="F2258" s="257" t="s">
        <v>216</v>
      </c>
      <c r="G2258" s="240"/>
      <c r="H2258" s="241"/>
      <c r="I2258" s="447">
        <f>TRUNC(I2256/I2257,2)</f>
        <v>0</v>
      </c>
    </row>
    <row r="2259" spans="1:11" x14ac:dyDescent="0.2">
      <c r="A2259" s="636"/>
      <c r="B2259" s="229"/>
      <c r="C2259" s="199"/>
      <c r="D2259" s="199"/>
      <c r="E2259" s="199"/>
      <c r="F2259" s="258"/>
      <c r="G2259" s="199"/>
      <c r="H2259" s="199"/>
      <c r="I2259" s="450"/>
    </row>
    <row r="2260" spans="1:11" x14ac:dyDescent="0.2">
      <c r="A2260" s="242" t="s">
        <v>195</v>
      </c>
      <c r="B2260" s="243" t="s">
        <v>59</v>
      </c>
      <c r="C2260" s="243" t="s">
        <v>196</v>
      </c>
      <c r="D2260" s="243" t="s">
        <v>217</v>
      </c>
      <c r="E2260" s="1121" t="s">
        <v>89</v>
      </c>
      <c r="F2260" s="1114"/>
      <c r="G2260" s="1115"/>
      <c r="H2260" s="1121" t="s">
        <v>183</v>
      </c>
      <c r="I2260" s="1115"/>
    </row>
    <row r="2261" spans="1:11" x14ac:dyDescent="0.2">
      <c r="A2261" s="259"/>
      <c r="B2261" s="234"/>
      <c r="C2261" s="260"/>
      <c r="D2261" s="261"/>
      <c r="E2261" s="255"/>
      <c r="F2261" s="253"/>
      <c r="G2261" s="293"/>
      <c r="H2261" s="255"/>
      <c r="I2261" s="423"/>
    </row>
    <row r="2262" spans="1:11" x14ac:dyDescent="0.2">
      <c r="A2262" s="199"/>
      <c r="B2262" s="229"/>
      <c r="C2262" s="199"/>
      <c r="D2262" s="199"/>
      <c r="E2262" s="199"/>
      <c r="F2262" s="230" t="s">
        <v>197</v>
      </c>
      <c r="G2262" s="240"/>
      <c r="H2262" s="241"/>
      <c r="I2262" s="438">
        <f>SUM(I2261:I2261)</f>
        <v>0</v>
      </c>
    </row>
    <row r="2263" spans="1:11" x14ac:dyDescent="0.2">
      <c r="A2263" s="199"/>
      <c r="B2263" s="229"/>
      <c r="C2263" s="199"/>
      <c r="D2263" s="199"/>
      <c r="E2263" s="199"/>
      <c r="F2263" s="199"/>
      <c r="G2263" s="262"/>
      <c r="H2263" s="199"/>
      <c r="I2263" s="439"/>
    </row>
    <row r="2264" spans="1:11" x14ac:dyDescent="0.2">
      <c r="A2264" s="263" t="s">
        <v>198</v>
      </c>
      <c r="B2264" s="243" t="s">
        <v>59</v>
      </c>
      <c r="C2264" s="243" t="s">
        <v>196</v>
      </c>
      <c r="D2264" s="635" t="s">
        <v>217</v>
      </c>
      <c r="E2264" s="1121" t="s">
        <v>89</v>
      </c>
      <c r="F2264" s="1114"/>
      <c r="G2264" s="1115"/>
      <c r="H2264" s="1121" t="s">
        <v>183</v>
      </c>
      <c r="I2264" s="1115"/>
    </row>
    <row r="2265" spans="1:11" s="198" customFormat="1" ht="33.75" x14ac:dyDescent="0.2">
      <c r="A2265" s="416" t="str">
        <f>VLOOKUP(B2265,'DER 11-20'!$A:$E,2,FALSE)</f>
        <v>Concreto ciclópico com 70% concreto 15,0 MPa e 30% de pedra de mão, tudo incluído</v>
      </c>
      <c r="B2265" s="417">
        <v>40351</v>
      </c>
      <c r="C2265" s="417" t="str">
        <f>VLOOKUP(B2265,'DER 11-20'!$A:$E,3,FALSE)</f>
        <v>M3</v>
      </c>
      <c r="D2265" s="418">
        <f>TRUNC(VLOOKUP(B2265,'DER 11-20'!$A:$F,6,FALSE)/(1+$I$4),2)</f>
        <v>423.27</v>
      </c>
      <c r="E2265" s="419"/>
      <c r="F2265" s="420"/>
      <c r="G2265" s="421">
        <v>5.1059999999999999</v>
      </c>
      <c r="H2265" s="422"/>
      <c r="I2265" s="423">
        <f>TRUNC(D2265*G2265,2)</f>
        <v>2161.21</v>
      </c>
      <c r="J2265" s="415"/>
      <c r="K2265" s="415"/>
    </row>
    <row r="2266" spans="1:11" s="198" customFormat="1" ht="45" x14ac:dyDescent="0.2">
      <c r="A2266" s="416" t="str">
        <f>VLOOKUP(B2266,'DER 11-20'!$A:$E,2,FALSE)</f>
        <v>Formas planas de madeira com 02 (dois) reaproveitamentos, inclusive fornecimento e transporte das madeiras</v>
      </c>
      <c r="B2266" s="417">
        <v>40312</v>
      </c>
      <c r="C2266" s="417" t="str">
        <f>VLOOKUP(B2266,'DER 11-20'!$A:$E,3,FALSE)</f>
        <v>M2</v>
      </c>
      <c r="D2266" s="418">
        <f>TRUNC(VLOOKUP(B2266,'DER 11-20'!$A:$F,6,FALSE)/(1+$I$4),2)</f>
        <v>84.31</v>
      </c>
      <c r="E2266" s="419"/>
      <c r="F2266" s="420"/>
      <c r="G2266" s="421">
        <v>21.08</v>
      </c>
      <c r="H2266" s="422"/>
      <c r="I2266" s="423">
        <f>TRUNC(D2266*G2266,2)</f>
        <v>1777.25</v>
      </c>
      <c r="J2266" s="415"/>
      <c r="K2266" s="415"/>
    </row>
    <row r="2267" spans="1:11" x14ac:dyDescent="0.2">
      <c r="A2267" s="200"/>
      <c r="B2267" s="264"/>
      <c r="C2267" s="200"/>
      <c r="D2267" s="200"/>
      <c r="E2267" s="200"/>
      <c r="F2267" s="265" t="s">
        <v>199</v>
      </c>
      <c r="G2267" s="255"/>
      <c r="H2267" s="266"/>
      <c r="I2267" s="441">
        <f>SUM(I2265:I2266)</f>
        <v>3938.46</v>
      </c>
    </row>
    <row r="2268" spans="1:11" x14ac:dyDescent="0.2">
      <c r="A2268" s="200"/>
      <c r="B2268" s="264"/>
      <c r="C2268" s="200"/>
      <c r="D2268" s="200"/>
      <c r="E2268" s="200"/>
      <c r="F2268" s="200"/>
      <c r="G2268" s="200"/>
      <c r="H2268" s="200"/>
      <c r="I2268" s="440"/>
    </row>
    <row r="2269" spans="1:11" x14ac:dyDescent="0.2">
      <c r="A2269" s="406" t="s">
        <v>200</v>
      </c>
      <c r="B2269" s="268" t="s">
        <v>59</v>
      </c>
      <c r="C2269" s="268" t="s">
        <v>196</v>
      </c>
      <c r="D2269" s="268" t="s">
        <v>201</v>
      </c>
      <c r="E2269" s="268" t="s">
        <v>202</v>
      </c>
      <c r="F2269" s="268" t="s">
        <v>203</v>
      </c>
      <c r="G2269" s="268" t="s">
        <v>94</v>
      </c>
      <c r="H2269" s="268" t="s">
        <v>89</v>
      </c>
      <c r="I2269" s="442" t="s">
        <v>204</v>
      </c>
    </row>
    <row r="2270" spans="1:11" x14ac:dyDescent="0.2">
      <c r="A2270" s="244"/>
      <c r="B2270" s="234"/>
      <c r="C2270" s="234"/>
      <c r="D2270" s="269"/>
      <c r="E2270" s="270"/>
      <c r="F2270" s="270"/>
      <c r="G2270" s="239"/>
      <c r="H2270" s="271"/>
      <c r="I2270" s="418"/>
    </row>
    <row r="2271" spans="1:11" x14ac:dyDescent="0.2">
      <c r="A2271" s="200"/>
      <c r="B2271" s="264"/>
      <c r="C2271" s="200"/>
      <c r="D2271" s="200"/>
      <c r="E2271" s="200"/>
      <c r="F2271" s="265" t="s">
        <v>205</v>
      </c>
      <c r="G2271" s="240"/>
      <c r="H2271" s="272"/>
      <c r="I2271" s="443">
        <f>SUM(I2270:I2270)</f>
        <v>0</v>
      </c>
    </row>
    <row r="2272" spans="1:11" x14ac:dyDescent="0.2">
      <c r="A2272" s="200"/>
      <c r="B2272" s="264"/>
      <c r="C2272" s="200"/>
      <c r="D2272" s="200"/>
      <c r="E2272" s="200"/>
      <c r="F2272" s="200"/>
      <c r="G2272" s="200"/>
      <c r="H2272" s="200"/>
      <c r="I2272" s="444"/>
    </row>
    <row r="2273" spans="1:17" x14ac:dyDescent="0.2">
      <c r="A2273" s="273"/>
      <c r="B2273" s="274"/>
      <c r="C2273" s="275"/>
      <c r="D2273" s="275"/>
      <c r="E2273" s="275"/>
      <c r="F2273" s="276" t="s">
        <v>206</v>
      </c>
      <c r="G2273" s="273"/>
      <c r="H2273" s="249"/>
      <c r="I2273" s="445">
        <f>+I2258+I2262+I2267+I2271</f>
        <v>3938.46</v>
      </c>
    </row>
    <row r="2274" spans="1:17" x14ac:dyDescent="0.2">
      <c r="A2274" s="255"/>
      <c r="B2274" s="277"/>
      <c r="C2274" s="266"/>
      <c r="D2274" s="266"/>
      <c r="E2274" s="266"/>
      <c r="F2274" s="278" t="str">
        <f>CONCATENATE($H$3," ",$I$3)</f>
        <v>BDI: 23,32</v>
      </c>
      <c r="G2274" s="403"/>
      <c r="H2274" s="253"/>
      <c r="I2274" s="446">
        <f>+ROUND(I2273*$I$4,2)</f>
        <v>918.45</v>
      </c>
    </row>
    <row r="2275" spans="1:17" x14ac:dyDescent="0.2">
      <c r="A2275" s="240"/>
      <c r="B2275" s="279"/>
      <c r="C2275" s="272"/>
      <c r="D2275" s="272"/>
      <c r="E2275" s="272"/>
      <c r="F2275" s="280" t="s">
        <v>207</v>
      </c>
      <c r="G2275" s="404"/>
      <c r="H2275" s="241"/>
      <c r="I2275" s="720">
        <f>+I2273+I2274</f>
        <v>4856.91</v>
      </c>
    </row>
    <row r="2276" spans="1:17" s="198" customFormat="1" x14ac:dyDescent="0.2">
      <c r="A2276" s="1116" t="str">
        <f>$A$1</f>
        <v>COMPOSIÇÃO DE CUSTOS UNITÁRIOS</v>
      </c>
      <c r="B2276" s="1116"/>
      <c r="C2276" s="1116"/>
      <c r="D2276" s="1116"/>
      <c r="E2276" s="1116"/>
      <c r="F2276" s="1116"/>
      <c r="G2276" s="1116"/>
      <c r="H2276" s="1116"/>
      <c r="I2276" s="1116"/>
      <c r="J2276" s="400"/>
      <c r="K2276" s="400"/>
      <c r="L2276" s="295"/>
      <c r="M2276" s="295"/>
      <c r="N2276" s="295"/>
      <c r="O2276" s="295"/>
      <c r="P2276" s="295"/>
      <c r="Q2276" s="295"/>
    </row>
    <row r="2277" spans="1:17" s="198" customFormat="1" x14ac:dyDescent="0.2">
      <c r="A2277" s="228" t="str">
        <f>$A$2</f>
        <v>Tabela Referencial de Preços - DER-ES</v>
      </c>
      <c r="B2277" s="229"/>
      <c r="C2277" s="199"/>
      <c r="D2277" s="199"/>
      <c r="E2277" s="199"/>
      <c r="F2277" s="199"/>
      <c r="G2277" s="199"/>
      <c r="H2277" s="199"/>
      <c r="I2277" s="414" t="str">
        <f>$I$2</f>
        <v>Data Base: novembro/2020</v>
      </c>
      <c r="J2277" s="400"/>
      <c r="K2277" s="400"/>
      <c r="L2277" s="295"/>
      <c r="M2277" s="295"/>
      <c r="N2277" s="295"/>
      <c r="O2277" s="295"/>
      <c r="P2277" s="295"/>
      <c r="Q2277" s="295"/>
    </row>
    <row r="2278" spans="1:17" s="198" customFormat="1" x14ac:dyDescent="0.2">
      <c r="A2278" s="1117" t="str">
        <f>+CONCATENATE("Serviço: ",J2278," ",VLOOKUP(J2278,'DER 11-20'!$A:$D,2,FALSE))</f>
        <v>Serviço: 40542 Boca de concreto ciclópico para BTTC diâmetro 1,00 m</v>
      </c>
      <c r="B2278" s="1117"/>
      <c r="C2278" s="1117"/>
      <c r="D2278" s="1117"/>
      <c r="E2278" s="1117"/>
      <c r="F2278" s="1117"/>
      <c r="G2278" s="1117"/>
      <c r="H2278" s="1117"/>
      <c r="I2278" s="1119" t="str">
        <f>CONCATENATE("Unidade: ", VLOOKUP(J2278,'DER 11-20'!$A:$E,3,FALSE))</f>
        <v>Unidade: Ud</v>
      </c>
      <c r="J2278" s="400">
        <v>40542</v>
      </c>
      <c r="K2278" s="400">
        <f>VLOOKUP("Preço Unitário Total",F2279:I4015,4,FALSE)</f>
        <v>6221.67</v>
      </c>
      <c r="L2278" s="295" t="str">
        <f>VLOOKUP(J2278,'DER 11-20'!A:E,5,FALSE)</f>
        <v>A incluir</v>
      </c>
      <c r="M2278" s="295" t="str">
        <f>VLOOKUP(J2278,'DER 11-20'!$A:$D,2,FALSE)</f>
        <v>Boca de concreto ciclópico para BTTC diâmetro 1,00 m</v>
      </c>
      <c r="N2278" s="295"/>
      <c r="O2278" s="295"/>
      <c r="P2278" s="295"/>
      <c r="Q2278" s="295"/>
    </row>
    <row r="2279" spans="1:17" x14ac:dyDescent="0.2">
      <c r="A2279" s="1118"/>
      <c r="B2279" s="1118"/>
      <c r="C2279" s="1118"/>
      <c r="D2279" s="1118"/>
      <c r="E2279" s="1118"/>
      <c r="F2279" s="1118"/>
      <c r="G2279" s="1118"/>
      <c r="H2279" s="1118"/>
      <c r="I2279" s="1120"/>
    </row>
    <row r="2280" spans="1:17" ht="22.5" x14ac:dyDescent="0.2">
      <c r="A2280" s="231" t="s">
        <v>177</v>
      </c>
      <c r="B2280" s="232" t="s">
        <v>59</v>
      </c>
      <c r="C2280" s="232" t="s">
        <v>178</v>
      </c>
      <c r="D2280" s="232" t="s">
        <v>179</v>
      </c>
      <c r="E2280" s="232" t="s">
        <v>180</v>
      </c>
      <c r="F2280" s="232" t="s">
        <v>181</v>
      </c>
      <c r="G2280" s="232" t="s">
        <v>182</v>
      </c>
      <c r="H2280" s="232" t="s">
        <v>89</v>
      </c>
      <c r="I2280" s="434" t="s">
        <v>183</v>
      </c>
    </row>
    <row r="2281" spans="1:17" x14ac:dyDescent="0.2">
      <c r="A2281" s="233"/>
      <c r="B2281" s="234"/>
      <c r="C2281" s="235"/>
      <c r="D2281" s="236"/>
      <c r="E2281" s="203"/>
      <c r="F2281" s="237"/>
      <c r="G2281" s="237"/>
      <c r="H2281" s="238"/>
      <c r="I2281" s="418"/>
    </row>
    <row r="2282" spans="1:17" x14ac:dyDescent="0.2">
      <c r="A2282" s="199"/>
      <c r="B2282" s="229"/>
      <c r="C2282" s="229"/>
      <c r="D2282" s="199"/>
      <c r="E2282" s="199"/>
      <c r="F2282" s="230" t="s">
        <v>184</v>
      </c>
      <c r="G2282" s="240"/>
      <c r="H2282" s="241"/>
      <c r="I2282" s="438">
        <f>SUM(I2281:I2281)</f>
        <v>0</v>
      </c>
    </row>
    <row r="2283" spans="1:17" x14ac:dyDescent="0.2">
      <c r="A2283" s="199"/>
      <c r="B2283" s="229"/>
      <c r="C2283" s="229"/>
      <c r="D2283" s="199"/>
      <c r="E2283" s="199"/>
      <c r="F2283" s="199"/>
      <c r="G2283" s="199"/>
      <c r="H2283" s="199"/>
      <c r="I2283" s="439"/>
    </row>
    <row r="2284" spans="1:17" x14ac:dyDescent="0.2">
      <c r="A2284" s="242" t="s">
        <v>185</v>
      </c>
      <c r="B2284" s="243" t="s">
        <v>59</v>
      </c>
      <c r="C2284" s="232" t="s">
        <v>357</v>
      </c>
      <c r="D2284" s="243" t="s">
        <v>187</v>
      </c>
      <c r="E2284" s="1111" t="s">
        <v>89</v>
      </c>
      <c r="F2284" s="1112"/>
      <c r="G2284" s="1113"/>
      <c r="H2284" s="1121" t="s">
        <v>183</v>
      </c>
      <c r="I2284" s="1115"/>
    </row>
    <row r="2285" spans="1:17" x14ac:dyDescent="0.2">
      <c r="A2285" s="199"/>
      <c r="B2285" s="229"/>
      <c r="C2285" s="229"/>
      <c r="D2285" s="199"/>
      <c r="E2285" s="199"/>
      <c r="F2285" s="230" t="s">
        <v>188</v>
      </c>
      <c r="G2285" s="240"/>
      <c r="H2285" s="241"/>
      <c r="I2285" s="438">
        <v>0</v>
      </c>
    </row>
    <row r="2286" spans="1:17" x14ac:dyDescent="0.2">
      <c r="A2286" s="199"/>
      <c r="B2286" s="229"/>
      <c r="C2286" s="229"/>
      <c r="D2286" s="199"/>
      <c r="E2286" s="199"/>
      <c r="F2286" s="199"/>
      <c r="G2286" s="199"/>
      <c r="H2286" s="199"/>
      <c r="I2286" s="439"/>
    </row>
    <row r="2287" spans="1:17" x14ac:dyDescent="0.2">
      <c r="A2287" s="245" t="s">
        <v>189</v>
      </c>
      <c r="B2287" s="243" t="s">
        <v>59</v>
      </c>
      <c r="C2287" s="635" t="s">
        <v>17</v>
      </c>
      <c r="D2287" s="243" t="s">
        <v>190</v>
      </c>
      <c r="E2287" s="243" t="s">
        <v>191</v>
      </c>
      <c r="F2287" s="243" t="s">
        <v>192</v>
      </c>
      <c r="G2287" s="1121" t="s">
        <v>94</v>
      </c>
      <c r="H2287" s="1114"/>
      <c r="I2287" s="1115"/>
    </row>
    <row r="2288" spans="1:17" x14ac:dyDescent="0.2">
      <c r="A2288" s="199"/>
      <c r="B2288" s="229"/>
      <c r="C2288" s="199"/>
      <c r="D2288" s="199"/>
      <c r="E2288" s="199"/>
      <c r="F2288" s="230" t="s">
        <v>327</v>
      </c>
      <c r="G2288" s="240"/>
      <c r="H2288" s="241"/>
      <c r="I2288" s="438">
        <v>0</v>
      </c>
    </row>
    <row r="2289" spans="1:11" x14ac:dyDescent="0.2">
      <c r="A2289" s="199"/>
      <c r="B2289" s="229"/>
      <c r="C2289" s="199"/>
      <c r="D2289" s="199"/>
      <c r="E2289" s="199"/>
      <c r="F2289" s="199"/>
      <c r="G2289" s="199"/>
      <c r="H2289" s="199"/>
      <c r="I2289" s="439"/>
    </row>
    <row r="2290" spans="1:11" x14ac:dyDescent="0.2">
      <c r="A2290" s="247"/>
      <c r="B2290" s="248"/>
      <c r="C2290" s="249"/>
      <c r="D2290" s="249"/>
      <c r="E2290" s="249"/>
      <c r="F2290" s="250" t="s">
        <v>193</v>
      </c>
      <c r="G2290" s="401"/>
      <c r="H2290" s="249"/>
      <c r="I2290" s="445">
        <f>+I2282+I2285+I2288</f>
        <v>0</v>
      </c>
    </row>
    <row r="2291" spans="1:11" x14ac:dyDescent="0.2">
      <c r="A2291" s="251"/>
      <c r="B2291" s="252"/>
      <c r="C2291" s="253"/>
      <c r="D2291" s="253"/>
      <c r="E2291" s="253"/>
      <c r="F2291" s="254" t="s">
        <v>194</v>
      </c>
      <c r="G2291" s="255"/>
      <c r="H2291" s="253"/>
      <c r="I2291" s="446">
        <v>1</v>
      </c>
    </row>
    <row r="2292" spans="1:11" x14ac:dyDescent="0.2">
      <c r="A2292" s="233"/>
      <c r="B2292" s="256"/>
      <c r="C2292" s="241"/>
      <c r="D2292" s="241"/>
      <c r="E2292" s="241"/>
      <c r="F2292" s="257" t="s">
        <v>216</v>
      </c>
      <c r="G2292" s="240"/>
      <c r="H2292" s="241"/>
      <c r="I2292" s="447">
        <f>TRUNC(I2290/I2291,2)</f>
        <v>0</v>
      </c>
    </row>
    <row r="2293" spans="1:11" x14ac:dyDescent="0.2">
      <c r="A2293" s="636"/>
      <c r="B2293" s="229"/>
      <c r="C2293" s="199"/>
      <c r="D2293" s="199"/>
      <c r="E2293" s="199"/>
      <c r="F2293" s="258"/>
      <c r="G2293" s="199"/>
      <c r="H2293" s="199"/>
      <c r="I2293" s="450"/>
    </row>
    <row r="2294" spans="1:11" x14ac:dyDescent="0.2">
      <c r="A2294" s="242" t="s">
        <v>195</v>
      </c>
      <c r="B2294" s="243" t="s">
        <v>59</v>
      </c>
      <c r="C2294" s="243" t="s">
        <v>196</v>
      </c>
      <c r="D2294" s="243" t="s">
        <v>217</v>
      </c>
      <c r="E2294" s="1121" t="s">
        <v>89</v>
      </c>
      <c r="F2294" s="1114"/>
      <c r="G2294" s="1115"/>
      <c r="H2294" s="1121" t="s">
        <v>183</v>
      </c>
      <c r="I2294" s="1115"/>
    </row>
    <row r="2295" spans="1:11" x14ac:dyDescent="0.2">
      <c r="A2295" s="259"/>
      <c r="B2295" s="234"/>
      <c r="C2295" s="260"/>
      <c r="D2295" s="261"/>
      <c r="E2295" s="255"/>
      <c r="F2295" s="253"/>
      <c r="G2295" s="293"/>
      <c r="H2295" s="255"/>
      <c r="I2295" s="423"/>
    </row>
    <row r="2296" spans="1:11" x14ac:dyDescent="0.2">
      <c r="A2296" s="199"/>
      <c r="B2296" s="229"/>
      <c r="C2296" s="199"/>
      <c r="D2296" s="199"/>
      <c r="E2296" s="199"/>
      <c r="F2296" s="230" t="s">
        <v>197</v>
      </c>
      <c r="G2296" s="240"/>
      <c r="H2296" s="241"/>
      <c r="I2296" s="438">
        <f>SUM(I2295:I2295)</f>
        <v>0</v>
      </c>
    </row>
    <row r="2297" spans="1:11" x14ac:dyDescent="0.2">
      <c r="A2297" s="199"/>
      <c r="B2297" s="229"/>
      <c r="C2297" s="199"/>
      <c r="D2297" s="199"/>
      <c r="E2297" s="199"/>
      <c r="F2297" s="199"/>
      <c r="G2297" s="262"/>
      <c r="H2297" s="199"/>
      <c r="I2297" s="439"/>
    </row>
    <row r="2298" spans="1:11" x14ac:dyDescent="0.2">
      <c r="A2298" s="263" t="s">
        <v>198</v>
      </c>
      <c r="B2298" s="243" t="s">
        <v>59</v>
      </c>
      <c r="C2298" s="243" t="s">
        <v>196</v>
      </c>
      <c r="D2298" s="635" t="s">
        <v>217</v>
      </c>
      <c r="E2298" s="1111" t="s">
        <v>89</v>
      </c>
      <c r="F2298" s="1112"/>
      <c r="G2298" s="1113"/>
      <c r="H2298" s="1114" t="s">
        <v>183</v>
      </c>
      <c r="I2298" s="1115"/>
    </row>
    <row r="2299" spans="1:11" s="198" customFormat="1" ht="33.75" x14ac:dyDescent="0.2">
      <c r="A2299" s="416" t="str">
        <f>VLOOKUP(B2299,'DER 11-20'!$A:$E,2,FALSE)</f>
        <v>Concreto ciclópico com 70% concreto 15,0 MPa e 30% de pedra de mão, tudo incluído</v>
      </c>
      <c r="B2299" s="417">
        <v>40351</v>
      </c>
      <c r="C2299" s="417" t="str">
        <f>VLOOKUP(B2299,'DER 11-20'!$A:$E,3,FALSE)</f>
        <v>M3</v>
      </c>
      <c r="D2299" s="418">
        <f>TRUNC(VLOOKUP(B2299,'DER 11-20'!$A:$F,6,FALSE)/(1+$I$4),2)</f>
        <v>423.27</v>
      </c>
      <c r="E2299" s="419"/>
      <c r="F2299" s="420"/>
      <c r="G2299" s="421">
        <v>6.6449999999999996</v>
      </c>
      <c r="H2299" s="422"/>
      <c r="I2299" s="423">
        <f>TRUNC(D2299*G2299,2)</f>
        <v>2812.62</v>
      </c>
      <c r="J2299" s="415"/>
      <c r="K2299" s="415"/>
    </row>
    <row r="2300" spans="1:11" s="198" customFormat="1" ht="45" x14ac:dyDescent="0.2">
      <c r="A2300" s="416" t="str">
        <f>VLOOKUP(B2300,'DER 11-20'!$A:$E,2,FALSE)</f>
        <v>Formas planas de madeira com 02 (dois) reaproveitamentos, inclusive fornecimento e transporte das madeiras</v>
      </c>
      <c r="B2300" s="417">
        <v>40312</v>
      </c>
      <c r="C2300" s="417" t="str">
        <f>VLOOKUP(B2300,'DER 11-20'!$A:$E,3,FALSE)</f>
        <v>M2</v>
      </c>
      <c r="D2300" s="418">
        <f>TRUNC(VLOOKUP(B2300,'DER 11-20'!$A:$F,6,FALSE)/(1+$I$4),2)</f>
        <v>84.31</v>
      </c>
      <c r="E2300" s="419"/>
      <c r="F2300" s="420"/>
      <c r="G2300" s="421">
        <v>26.48</v>
      </c>
      <c r="H2300" s="422"/>
      <c r="I2300" s="423">
        <f>TRUNC(D2300*G2300,2)</f>
        <v>2232.52</v>
      </c>
      <c r="J2300" s="415"/>
      <c r="K2300" s="415"/>
    </row>
    <row r="2301" spans="1:11" x14ac:dyDescent="0.2">
      <c r="A2301" s="200"/>
      <c r="B2301" s="264"/>
      <c r="C2301" s="200"/>
      <c r="D2301" s="200"/>
      <c r="E2301" s="200"/>
      <c r="F2301" s="265" t="s">
        <v>199</v>
      </c>
      <c r="G2301" s="255"/>
      <c r="H2301" s="266"/>
      <c r="I2301" s="441">
        <f>SUM(I2299:I2300)</f>
        <v>5045.1400000000003</v>
      </c>
    </row>
    <row r="2302" spans="1:11" x14ac:dyDescent="0.2">
      <c r="A2302" s="200"/>
      <c r="B2302" s="264"/>
      <c r="C2302" s="200"/>
      <c r="D2302" s="200"/>
      <c r="E2302" s="200"/>
      <c r="F2302" s="200"/>
      <c r="G2302" s="200"/>
      <c r="H2302" s="200"/>
      <c r="I2302" s="440"/>
    </row>
    <row r="2303" spans="1:11" ht="21.75" customHeight="1" x14ac:dyDescent="0.2">
      <c r="A2303" s="267" t="s">
        <v>200</v>
      </c>
      <c r="B2303" s="268" t="s">
        <v>59</v>
      </c>
      <c r="C2303" s="268" t="s">
        <v>196</v>
      </c>
      <c r="D2303" s="268" t="s">
        <v>201</v>
      </c>
      <c r="E2303" s="268" t="s">
        <v>202</v>
      </c>
      <c r="F2303" s="268" t="s">
        <v>203</v>
      </c>
      <c r="G2303" s="268" t="s">
        <v>94</v>
      </c>
      <c r="H2303" s="268" t="s">
        <v>89</v>
      </c>
      <c r="I2303" s="442" t="s">
        <v>204</v>
      </c>
    </row>
    <row r="2304" spans="1:11" x14ac:dyDescent="0.2">
      <c r="A2304" s="244"/>
      <c r="B2304" s="234"/>
      <c r="C2304" s="234"/>
      <c r="D2304" s="269"/>
      <c r="E2304" s="270"/>
      <c r="F2304" s="270"/>
      <c r="G2304" s="239"/>
      <c r="H2304" s="271"/>
      <c r="I2304" s="418"/>
    </row>
    <row r="2305" spans="1:17" x14ac:dyDescent="0.2">
      <c r="A2305" s="200"/>
      <c r="B2305" s="264"/>
      <c r="C2305" s="200"/>
      <c r="D2305" s="200"/>
      <c r="E2305" s="200"/>
      <c r="F2305" s="265" t="s">
        <v>205</v>
      </c>
      <c r="G2305" s="240"/>
      <c r="H2305" s="272"/>
      <c r="I2305" s="443">
        <f>SUM(I2304:I2304)</f>
        <v>0</v>
      </c>
    </row>
    <row r="2306" spans="1:17" x14ac:dyDescent="0.2">
      <c r="A2306" s="200"/>
      <c r="B2306" s="264"/>
      <c r="C2306" s="200"/>
      <c r="D2306" s="200"/>
      <c r="E2306" s="200"/>
      <c r="F2306" s="200"/>
      <c r="G2306" s="200"/>
      <c r="H2306" s="200"/>
      <c r="I2306" s="444"/>
    </row>
    <row r="2307" spans="1:17" x14ac:dyDescent="0.2">
      <c r="A2307" s="273"/>
      <c r="B2307" s="274"/>
      <c r="C2307" s="275"/>
      <c r="D2307" s="275"/>
      <c r="E2307" s="275"/>
      <c r="F2307" s="276" t="s">
        <v>206</v>
      </c>
      <c r="G2307" s="273"/>
      <c r="H2307" s="249"/>
      <c r="I2307" s="445">
        <f>+I2292+I2296+I2301+I2305</f>
        <v>5045.1400000000003</v>
      </c>
    </row>
    <row r="2308" spans="1:17" x14ac:dyDescent="0.2">
      <c r="A2308" s="255"/>
      <c r="B2308" s="277"/>
      <c r="C2308" s="266"/>
      <c r="D2308" s="266"/>
      <c r="E2308" s="266"/>
      <c r="F2308" s="278" t="str">
        <f>CONCATENATE($H$3," ",$I$3)</f>
        <v>BDI: 23,32</v>
      </c>
      <c r="G2308" s="403"/>
      <c r="H2308" s="253"/>
      <c r="I2308" s="446">
        <f>+ROUND(I2307*$I$4,2)</f>
        <v>1176.53</v>
      </c>
    </row>
    <row r="2309" spans="1:17" x14ac:dyDescent="0.2">
      <c r="A2309" s="240"/>
      <c r="B2309" s="279"/>
      <c r="C2309" s="272"/>
      <c r="D2309" s="272"/>
      <c r="E2309" s="272"/>
      <c r="F2309" s="280" t="s">
        <v>207</v>
      </c>
      <c r="G2309" s="404"/>
      <c r="H2309" s="241"/>
      <c r="I2309" s="720">
        <f>+I2307+I2308</f>
        <v>6221.67</v>
      </c>
    </row>
    <row r="2310" spans="1:17" s="198" customFormat="1" x14ac:dyDescent="0.2">
      <c r="A2310" s="1116" t="str">
        <f>$A$1</f>
        <v>COMPOSIÇÃO DE CUSTOS UNITÁRIOS</v>
      </c>
      <c r="B2310" s="1116"/>
      <c r="C2310" s="1116"/>
      <c r="D2310" s="1116"/>
      <c r="E2310" s="1116"/>
      <c r="F2310" s="1116"/>
      <c r="G2310" s="1116"/>
      <c r="H2310" s="1116"/>
      <c r="I2310" s="1116"/>
      <c r="J2310" s="400"/>
      <c r="K2310" s="400"/>
      <c r="L2310" s="295"/>
      <c r="M2310" s="295"/>
      <c r="N2310" s="295"/>
      <c r="O2310" s="295"/>
      <c r="P2310" s="295"/>
      <c r="Q2310" s="295"/>
    </row>
    <row r="2311" spans="1:17" s="198" customFormat="1" x14ac:dyDescent="0.2">
      <c r="A2311" s="228" t="str">
        <f>$A$2</f>
        <v>Tabela Referencial de Preços - DER-ES</v>
      </c>
      <c r="B2311" s="229"/>
      <c r="C2311" s="199"/>
      <c r="D2311" s="199"/>
      <c r="E2311" s="199"/>
      <c r="F2311" s="199"/>
      <c r="G2311" s="199"/>
      <c r="H2311" s="199"/>
      <c r="I2311" s="414" t="str">
        <f>$I$2</f>
        <v>Data Base: novembro/2020</v>
      </c>
      <c r="J2311" s="400"/>
      <c r="K2311" s="400"/>
      <c r="L2311" s="295"/>
      <c r="M2311" s="295"/>
      <c r="N2311" s="295"/>
      <c r="O2311" s="295"/>
      <c r="P2311" s="295"/>
      <c r="Q2311" s="295"/>
    </row>
    <row r="2312" spans="1:17" s="198" customFormat="1" x14ac:dyDescent="0.2">
      <c r="A2312" s="1117" t="str">
        <f>+CONCATENATE("Serviço: ",J2312," ",VLOOKUP(J2312,'DER 11-20'!$A:$D,2,FALSE))</f>
        <v>Serviço: 40543 Boca de concreto ciclópico para BTTC diâmetro 1,20 m</v>
      </c>
      <c r="B2312" s="1117"/>
      <c r="C2312" s="1117"/>
      <c r="D2312" s="1117"/>
      <c r="E2312" s="1117"/>
      <c r="F2312" s="1117"/>
      <c r="G2312" s="1117"/>
      <c r="H2312" s="1117"/>
      <c r="I2312" s="1119" t="str">
        <f>CONCATENATE("Unidade: ", VLOOKUP(J2312,'DER 11-20'!$A:$E,3,FALSE))</f>
        <v>Unidade: Ud</v>
      </c>
      <c r="J2312" s="400">
        <v>40543</v>
      </c>
      <c r="K2312" s="400">
        <f>VLOOKUP("Preço Unitário Total",F2313:I4049,4,FALSE)</f>
        <v>8984.08</v>
      </c>
      <c r="L2312" s="295" t="str">
        <f>VLOOKUP(J2312,'DER 11-20'!A:E,5,FALSE)</f>
        <v>A incluir</v>
      </c>
      <c r="M2312" s="295" t="str">
        <f>VLOOKUP(J2312,'DER 11-20'!$A:$D,2,FALSE)</f>
        <v>Boca de concreto ciclópico para BTTC diâmetro 1,20 m</v>
      </c>
      <c r="N2312" s="295"/>
      <c r="O2312" s="295"/>
      <c r="P2312" s="295"/>
      <c r="Q2312" s="295"/>
    </row>
    <row r="2313" spans="1:17" x14ac:dyDescent="0.2">
      <c r="A2313" s="1118"/>
      <c r="B2313" s="1118"/>
      <c r="C2313" s="1118"/>
      <c r="D2313" s="1118"/>
      <c r="E2313" s="1118"/>
      <c r="F2313" s="1118"/>
      <c r="G2313" s="1118"/>
      <c r="H2313" s="1118"/>
      <c r="I2313" s="1120"/>
    </row>
    <row r="2314" spans="1:17" ht="22.5" x14ac:dyDescent="0.2">
      <c r="A2314" s="231" t="s">
        <v>177</v>
      </c>
      <c r="B2314" s="232" t="s">
        <v>59</v>
      </c>
      <c r="C2314" s="232" t="s">
        <v>178</v>
      </c>
      <c r="D2314" s="232" t="s">
        <v>179</v>
      </c>
      <c r="E2314" s="232" t="s">
        <v>180</v>
      </c>
      <c r="F2314" s="232" t="s">
        <v>181</v>
      </c>
      <c r="G2314" s="232" t="s">
        <v>182</v>
      </c>
      <c r="H2314" s="232" t="s">
        <v>89</v>
      </c>
      <c r="I2314" s="434" t="s">
        <v>183</v>
      </c>
    </row>
    <row r="2315" spans="1:17" x14ac:dyDescent="0.2">
      <c r="A2315" s="233"/>
      <c r="B2315" s="234"/>
      <c r="C2315" s="235"/>
      <c r="D2315" s="236"/>
      <c r="E2315" s="203"/>
      <c r="F2315" s="237"/>
      <c r="G2315" s="237"/>
      <c r="H2315" s="238"/>
      <c r="I2315" s="418"/>
    </row>
    <row r="2316" spans="1:17" x14ac:dyDescent="0.2">
      <c r="A2316" s="199"/>
      <c r="B2316" s="229"/>
      <c r="C2316" s="229"/>
      <c r="D2316" s="199"/>
      <c r="E2316" s="199"/>
      <c r="F2316" s="230" t="s">
        <v>184</v>
      </c>
      <c r="G2316" s="240"/>
      <c r="H2316" s="241"/>
      <c r="I2316" s="438">
        <f>SUM(I2315:I2315)</f>
        <v>0</v>
      </c>
    </row>
    <row r="2317" spans="1:17" x14ac:dyDescent="0.2">
      <c r="A2317" s="199"/>
      <c r="B2317" s="229"/>
      <c r="C2317" s="229"/>
      <c r="D2317" s="199"/>
      <c r="E2317" s="199"/>
      <c r="F2317" s="199"/>
      <c r="G2317" s="199"/>
      <c r="H2317" s="199"/>
      <c r="I2317" s="439"/>
    </row>
    <row r="2318" spans="1:17" x14ac:dyDescent="0.2">
      <c r="A2318" s="242" t="s">
        <v>185</v>
      </c>
      <c r="B2318" s="243" t="s">
        <v>59</v>
      </c>
      <c r="C2318" s="232" t="s">
        <v>357</v>
      </c>
      <c r="D2318" s="243" t="s">
        <v>187</v>
      </c>
      <c r="E2318" s="1111" t="s">
        <v>89</v>
      </c>
      <c r="F2318" s="1112"/>
      <c r="G2318" s="1113"/>
      <c r="H2318" s="1121" t="s">
        <v>183</v>
      </c>
      <c r="I2318" s="1115"/>
    </row>
    <row r="2319" spans="1:17" x14ac:dyDescent="0.2">
      <c r="A2319" s="199"/>
      <c r="B2319" s="229"/>
      <c r="C2319" s="229"/>
      <c r="D2319" s="199"/>
      <c r="E2319" s="199"/>
      <c r="F2319" s="230" t="s">
        <v>188</v>
      </c>
      <c r="G2319" s="240"/>
      <c r="H2319" s="241"/>
      <c r="I2319" s="438">
        <v>0</v>
      </c>
    </row>
    <row r="2320" spans="1:17" x14ac:dyDescent="0.2">
      <c r="A2320" s="199"/>
      <c r="B2320" s="229"/>
      <c r="C2320" s="229"/>
      <c r="D2320" s="199"/>
      <c r="E2320" s="199"/>
      <c r="F2320" s="199"/>
      <c r="G2320" s="199"/>
      <c r="H2320" s="199"/>
      <c r="I2320" s="439"/>
    </row>
    <row r="2321" spans="1:11" x14ac:dyDescent="0.2">
      <c r="A2321" s="245" t="s">
        <v>189</v>
      </c>
      <c r="B2321" s="243" t="s">
        <v>59</v>
      </c>
      <c r="C2321" s="827" t="s">
        <v>17</v>
      </c>
      <c r="D2321" s="243" t="s">
        <v>190</v>
      </c>
      <c r="E2321" s="243" t="s">
        <v>191</v>
      </c>
      <c r="F2321" s="243" t="s">
        <v>192</v>
      </c>
      <c r="G2321" s="1121" t="s">
        <v>94</v>
      </c>
      <c r="H2321" s="1114"/>
      <c r="I2321" s="1115"/>
    </row>
    <row r="2322" spans="1:11" x14ac:dyDescent="0.2">
      <c r="A2322" s="199"/>
      <c r="B2322" s="229"/>
      <c r="C2322" s="199"/>
      <c r="D2322" s="199"/>
      <c r="E2322" s="199"/>
      <c r="F2322" s="230" t="s">
        <v>327</v>
      </c>
      <c r="G2322" s="240"/>
      <c r="H2322" s="241"/>
      <c r="I2322" s="438">
        <v>0</v>
      </c>
    </row>
    <row r="2323" spans="1:11" x14ac:dyDescent="0.2">
      <c r="A2323" s="199"/>
      <c r="B2323" s="229"/>
      <c r="C2323" s="199"/>
      <c r="D2323" s="199"/>
      <c r="E2323" s="199"/>
      <c r="F2323" s="199"/>
      <c r="G2323" s="199"/>
      <c r="H2323" s="199"/>
      <c r="I2323" s="439"/>
    </row>
    <row r="2324" spans="1:11" x14ac:dyDescent="0.2">
      <c r="A2324" s="247"/>
      <c r="B2324" s="248"/>
      <c r="C2324" s="249"/>
      <c r="D2324" s="249"/>
      <c r="E2324" s="249"/>
      <c r="F2324" s="250" t="s">
        <v>193</v>
      </c>
      <c r="G2324" s="401"/>
      <c r="H2324" s="249"/>
      <c r="I2324" s="445">
        <f>+I2316+I2319+I2322</f>
        <v>0</v>
      </c>
    </row>
    <row r="2325" spans="1:11" x14ac:dyDescent="0.2">
      <c r="A2325" s="251"/>
      <c r="B2325" s="252"/>
      <c r="C2325" s="253"/>
      <c r="D2325" s="253"/>
      <c r="E2325" s="253"/>
      <c r="F2325" s="254" t="s">
        <v>194</v>
      </c>
      <c r="G2325" s="255"/>
      <c r="H2325" s="253"/>
      <c r="I2325" s="446">
        <v>1</v>
      </c>
    </row>
    <row r="2326" spans="1:11" x14ac:dyDescent="0.2">
      <c r="A2326" s="233"/>
      <c r="B2326" s="256"/>
      <c r="C2326" s="241"/>
      <c r="D2326" s="241"/>
      <c r="E2326" s="241"/>
      <c r="F2326" s="257" t="s">
        <v>216</v>
      </c>
      <c r="G2326" s="240"/>
      <c r="H2326" s="241"/>
      <c r="I2326" s="447">
        <f>TRUNC(I2324/I2325,2)</f>
        <v>0</v>
      </c>
    </row>
    <row r="2327" spans="1:11" x14ac:dyDescent="0.2">
      <c r="A2327" s="826"/>
      <c r="B2327" s="229"/>
      <c r="C2327" s="199"/>
      <c r="D2327" s="199"/>
      <c r="E2327" s="199"/>
      <c r="F2327" s="258"/>
      <c r="G2327" s="199"/>
      <c r="H2327" s="199"/>
      <c r="I2327" s="450"/>
    </row>
    <row r="2328" spans="1:11" x14ac:dyDescent="0.2">
      <c r="A2328" s="242" t="s">
        <v>195</v>
      </c>
      <c r="B2328" s="243" t="s">
        <v>59</v>
      </c>
      <c r="C2328" s="243" t="s">
        <v>196</v>
      </c>
      <c r="D2328" s="243" t="s">
        <v>217</v>
      </c>
      <c r="E2328" s="1121" t="s">
        <v>89</v>
      </c>
      <c r="F2328" s="1114"/>
      <c r="G2328" s="1115"/>
      <c r="H2328" s="1121" t="s">
        <v>183</v>
      </c>
      <c r="I2328" s="1115"/>
    </row>
    <row r="2329" spans="1:11" x14ac:dyDescent="0.2">
      <c r="A2329" s="259"/>
      <c r="B2329" s="234"/>
      <c r="C2329" s="260"/>
      <c r="D2329" s="261"/>
      <c r="E2329" s="255"/>
      <c r="F2329" s="253"/>
      <c r="G2329" s="293"/>
      <c r="H2329" s="255"/>
      <c r="I2329" s="423"/>
    </row>
    <row r="2330" spans="1:11" x14ac:dyDescent="0.2">
      <c r="A2330" s="199"/>
      <c r="B2330" s="229"/>
      <c r="C2330" s="199"/>
      <c r="D2330" s="199"/>
      <c r="E2330" s="199"/>
      <c r="F2330" s="230" t="s">
        <v>197</v>
      </c>
      <c r="G2330" s="240"/>
      <c r="H2330" s="241"/>
      <c r="I2330" s="438">
        <f>SUM(I2329:I2329)</f>
        <v>0</v>
      </c>
    </row>
    <row r="2331" spans="1:11" x14ac:dyDescent="0.2">
      <c r="A2331" s="199"/>
      <c r="B2331" s="229"/>
      <c r="C2331" s="199"/>
      <c r="D2331" s="199"/>
      <c r="E2331" s="199"/>
      <c r="F2331" s="199"/>
      <c r="G2331" s="262"/>
      <c r="H2331" s="199"/>
      <c r="I2331" s="439"/>
    </row>
    <row r="2332" spans="1:11" x14ac:dyDescent="0.2">
      <c r="A2332" s="263" t="s">
        <v>198</v>
      </c>
      <c r="B2332" s="243" t="s">
        <v>59</v>
      </c>
      <c r="C2332" s="243" t="s">
        <v>196</v>
      </c>
      <c r="D2332" s="827" t="s">
        <v>217</v>
      </c>
      <c r="E2332" s="1111" t="s">
        <v>89</v>
      </c>
      <c r="F2332" s="1112"/>
      <c r="G2332" s="1113"/>
      <c r="H2332" s="1114" t="s">
        <v>183</v>
      </c>
      <c r="I2332" s="1115"/>
    </row>
    <row r="2333" spans="1:11" s="198" customFormat="1" ht="33.75" x14ac:dyDescent="0.2">
      <c r="A2333" s="416" t="str">
        <f>VLOOKUP(B2333,'DER 11-20'!$A:$E,2,FALSE)</f>
        <v>Concreto ciclópico com 70% concreto 15,0 MPa e 30% de pedra de mão, tudo incluído</v>
      </c>
      <c r="B2333" s="417">
        <v>40351</v>
      </c>
      <c r="C2333" s="417" t="str">
        <f>VLOOKUP(B2333,'DER 11-20'!$A:$E,3,FALSE)</f>
        <v>M3</v>
      </c>
      <c r="D2333" s="418">
        <f>TRUNC(VLOOKUP(B2333,'DER 11-20'!$A:$F,6,FALSE)/(1+$I$4),2)</f>
        <v>423.27</v>
      </c>
      <c r="E2333" s="419"/>
      <c r="F2333" s="420"/>
      <c r="G2333" s="421">
        <v>10.272</v>
      </c>
      <c r="H2333" s="422"/>
      <c r="I2333" s="423">
        <f>TRUNC(D2333*G2333,2)</f>
        <v>4347.82</v>
      </c>
      <c r="J2333" s="415"/>
      <c r="K2333" s="415"/>
    </row>
    <row r="2334" spans="1:11" s="198" customFormat="1" ht="45" x14ac:dyDescent="0.2">
      <c r="A2334" s="416" t="str">
        <f>VLOOKUP(B2334,'DER 11-20'!$A:$E,2,FALSE)</f>
        <v>Formas planas de madeira com 02 (dois) reaproveitamentos, inclusive fornecimento e transporte das madeiras</v>
      </c>
      <c r="B2334" s="417">
        <v>40312</v>
      </c>
      <c r="C2334" s="417" t="str">
        <f>VLOOKUP(B2334,'DER 11-20'!$A:$E,3,FALSE)</f>
        <v>M2</v>
      </c>
      <c r="D2334" s="418">
        <f>TRUNC(VLOOKUP(B2334,'DER 11-20'!$A:$F,6,FALSE)/(1+$I$4),2)</f>
        <v>84.31</v>
      </c>
      <c r="E2334" s="419"/>
      <c r="F2334" s="420"/>
      <c r="G2334" s="421">
        <v>34.840000000000003</v>
      </c>
      <c r="H2334" s="422"/>
      <c r="I2334" s="423">
        <f>TRUNC(D2334*G2334,2)</f>
        <v>2937.36</v>
      </c>
      <c r="J2334" s="415"/>
      <c r="K2334" s="415"/>
    </row>
    <row r="2335" spans="1:11" x14ac:dyDescent="0.2">
      <c r="A2335" s="200"/>
      <c r="B2335" s="264"/>
      <c r="C2335" s="200"/>
      <c r="D2335" s="200"/>
      <c r="E2335" s="200"/>
      <c r="F2335" s="265" t="s">
        <v>199</v>
      </c>
      <c r="G2335" s="255"/>
      <c r="H2335" s="266"/>
      <c r="I2335" s="441">
        <f>SUM(I2333:I2334)</f>
        <v>7285.18</v>
      </c>
    </row>
    <row r="2336" spans="1:11" x14ac:dyDescent="0.2">
      <c r="A2336" s="200"/>
      <c r="B2336" s="264"/>
      <c r="C2336" s="200"/>
      <c r="D2336" s="200"/>
      <c r="E2336" s="200"/>
      <c r="F2336" s="200"/>
      <c r="G2336" s="200"/>
      <c r="H2336" s="200"/>
      <c r="I2336" s="440"/>
    </row>
    <row r="2337" spans="1:17" ht="21.75" customHeight="1" x14ac:dyDescent="0.2">
      <c r="A2337" s="267" t="s">
        <v>200</v>
      </c>
      <c r="B2337" s="268" t="s">
        <v>59</v>
      </c>
      <c r="C2337" s="268" t="s">
        <v>196</v>
      </c>
      <c r="D2337" s="268" t="s">
        <v>201</v>
      </c>
      <c r="E2337" s="268" t="s">
        <v>202</v>
      </c>
      <c r="F2337" s="268" t="s">
        <v>203</v>
      </c>
      <c r="G2337" s="268" t="s">
        <v>94</v>
      </c>
      <c r="H2337" s="268" t="s">
        <v>89</v>
      </c>
      <c r="I2337" s="442" t="s">
        <v>204</v>
      </c>
    </row>
    <row r="2338" spans="1:17" x14ac:dyDescent="0.2">
      <c r="A2338" s="244"/>
      <c r="B2338" s="234"/>
      <c r="C2338" s="234"/>
      <c r="D2338" s="269"/>
      <c r="E2338" s="270"/>
      <c r="F2338" s="270"/>
      <c r="G2338" s="239"/>
      <c r="H2338" s="271"/>
      <c r="I2338" s="418"/>
    </row>
    <row r="2339" spans="1:17" x14ac:dyDescent="0.2">
      <c r="A2339" s="200"/>
      <c r="B2339" s="264"/>
      <c r="C2339" s="200"/>
      <c r="D2339" s="200"/>
      <c r="E2339" s="200"/>
      <c r="F2339" s="265" t="s">
        <v>205</v>
      </c>
      <c r="G2339" s="240"/>
      <c r="H2339" s="272"/>
      <c r="I2339" s="443">
        <f>SUM(I2338:I2338)</f>
        <v>0</v>
      </c>
    </row>
    <row r="2340" spans="1:17" x14ac:dyDescent="0.2">
      <c r="A2340" s="200"/>
      <c r="B2340" s="264"/>
      <c r="C2340" s="200"/>
      <c r="D2340" s="200"/>
      <c r="E2340" s="200"/>
      <c r="F2340" s="200"/>
      <c r="G2340" s="200"/>
      <c r="H2340" s="200"/>
      <c r="I2340" s="444"/>
    </row>
    <row r="2341" spans="1:17" x14ac:dyDescent="0.2">
      <c r="A2341" s="273"/>
      <c r="B2341" s="274"/>
      <c r="C2341" s="275"/>
      <c r="D2341" s="275"/>
      <c r="E2341" s="275"/>
      <c r="F2341" s="276" t="s">
        <v>206</v>
      </c>
      <c r="G2341" s="273"/>
      <c r="H2341" s="249"/>
      <c r="I2341" s="445">
        <f>+I2326+I2330+I2335+I2339</f>
        <v>7285.18</v>
      </c>
    </row>
    <row r="2342" spans="1:17" x14ac:dyDescent="0.2">
      <c r="A2342" s="255"/>
      <c r="B2342" s="277"/>
      <c r="C2342" s="266"/>
      <c r="D2342" s="266"/>
      <c r="E2342" s="266"/>
      <c r="F2342" s="278" t="str">
        <f>CONCATENATE($H$3," ",$I$3)</f>
        <v>BDI: 23,32</v>
      </c>
      <c r="G2342" s="403"/>
      <c r="H2342" s="253"/>
      <c r="I2342" s="446">
        <f>+ROUND(I2341*$I$4,2)</f>
        <v>1698.9</v>
      </c>
    </row>
    <row r="2343" spans="1:17" x14ac:dyDescent="0.2">
      <c r="A2343" s="240"/>
      <c r="B2343" s="279"/>
      <c r="C2343" s="272"/>
      <c r="D2343" s="272"/>
      <c r="E2343" s="272"/>
      <c r="F2343" s="280" t="s">
        <v>207</v>
      </c>
      <c r="G2343" s="404"/>
      <c r="H2343" s="241"/>
      <c r="I2343" s="720">
        <f>+I2341+I2342</f>
        <v>8984.08</v>
      </c>
    </row>
    <row r="2344" spans="1:17" s="198" customFormat="1" x14ac:dyDescent="0.2">
      <c r="A2344" s="1116" t="str">
        <f>$A$1</f>
        <v>COMPOSIÇÃO DE CUSTOS UNITÁRIOS</v>
      </c>
      <c r="B2344" s="1116"/>
      <c r="C2344" s="1116"/>
      <c r="D2344" s="1116"/>
      <c r="E2344" s="1116"/>
      <c r="F2344" s="1116"/>
      <c r="G2344" s="1116"/>
      <c r="H2344" s="1116"/>
      <c r="I2344" s="1116"/>
      <c r="J2344" s="400"/>
      <c r="K2344" s="400"/>
      <c r="L2344" s="295"/>
      <c r="M2344" s="295"/>
      <c r="N2344" s="295"/>
      <c r="O2344" s="295"/>
      <c r="P2344" s="295"/>
      <c r="Q2344" s="295"/>
    </row>
    <row r="2345" spans="1:17" s="198" customFormat="1" x14ac:dyDescent="0.2">
      <c r="A2345" s="228" t="str">
        <f>$A$2</f>
        <v>Tabela Referencial de Preços - DER-ES</v>
      </c>
      <c r="B2345" s="229"/>
      <c r="C2345" s="199"/>
      <c r="D2345" s="199"/>
      <c r="E2345" s="199"/>
      <c r="F2345" s="199"/>
      <c r="G2345" s="199"/>
      <c r="H2345" s="199"/>
      <c r="I2345" s="414" t="str">
        <f>$I$2</f>
        <v>Data Base: novembro/2020</v>
      </c>
      <c r="J2345" s="400"/>
      <c r="K2345" s="400"/>
      <c r="L2345" s="295"/>
      <c r="M2345" s="295"/>
      <c r="N2345" s="295"/>
      <c r="O2345" s="295"/>
      <c r="P2345" s="295"/>
      <c r="Q2345" s="295"/>
    </row>
    <row r="2346" spans="1:17" s="198" customFormat="1" x14ac:dyDescent="0.2">
      <c r="A2346" s="1117" t="str">
        <f>+CONCATENATE("Serviço: ",J2346," ",VLOOKUP(J2346,'DER 11-20'!$A:$D,2,FALSE))</f>
        <v>Serviço: 40544 Boca de concreto ciclópico para BTTC diâmetro 1,50 m</v>
      </c>
      <c r="B2346" s="1117"/>
      <c r="C2346" s="1117"/>
      <c r="D2346" s="1117"/>
      <c r="E2346" s="1117"/>
      <c r="F2346" s="1117"/>
      <c r="G2346" s="1117"/>
      <c r="H2346" s="1117"/>
      <c r="I2346" s="1119" t="str">
        <f>CONCATENATE("Unidade: ", VLOOKUP(J2346,'DER 11-20'!$A:$E,3,FALSE))</f>
        <v>Unidade: Ud</v>
      </c>
      <c r="J2346" s="400">
        <v>40544</v>
      </c>
      <c r="K2346" s="400">
        <f>VLOOKUP("Preço Unitário Total",F2347:I4083,4,FALSE)</f>
        <v>15600.66</v>
      </c>
      <c r="L2346" s="295" t="str">
        <f>VLOOKUP(J2346,'DER 11-20'!A:E,5,FALSE)</f>
        <v>A incluir</v>
      </c>
      <c r="M2346" s="295" t="str">
        <f>VLOOKUP(J2346,'DER 11-20'!$A:$D,2,FALSE)</f>
        <v>Boca de concreto ciclópico para BTTC diâmetro 1,50 m</v>
      </c>
      <c r="N2346" s="295"/>
      <c r="O2346" s="295"/>
      <c r="P2346" s="295"/>
      <c r="Q2346" s="295"/>
    </row>
    <row r="2347" spans="1:17" x14ac:dyDescent="0.2">
      <c r="A2347" s="1118"/>
      <c r="B2347" s="1118"/>
      <c r="C2347" s="1118"/>
      <c r="D2347" s="1118"/>
      <c r="E2347" s="1118"/>
      <c r="F2347" s="1118"/>
      <c r="G2347" s="1118"/>
      <c r="H2347" s="1118"/>
      <c r="I2347" s="1120"/>
    </row>
    <row r="2348" spans="1:17" ht="22.5" x14ac:dyDescent="0.2">
      <c r="A2348" s="231" t="s">
        <v>177</v>
      </c>
      <c r="B2348" s="232" t="s">
        <v>59</v>
      </c>
      <c r="C2348" s="232" t="s">
        <v>178</v>
      </c>
      <c r="D2348" s="232" t="s">
        <v>179</v>
      </c>
      <c r="E2348" s="232" t="s">
        <v>180</v>
      </c>
      <c r="F2348" s="232" t="s">
        <v>181</v>
      </c>
      <c r="G2348" s="232" t="s">
        <v>182</v>
      </c>
      <c r="H2348" s="232" t="s">
        <v>89</v>
      </c>
      <c r="I2348" s="434" t="s">
        <v>183</v>
      </c>
    </row>
    <row r="2349" spans="1:17" x14ac:dyDescent="0.2">
      <c r="A2349" s="233"/>
      <c r="B2349" s="234"/>
      <c r="C2349" s="235"/>
      <c r="D2349" s="236"/>
      <c r="E2349" s="203"/>
      <c r="F2349" s="237"/>
      <c r="G2349" s="237"/>
      <c r="H2349" s="238"/>
      <c r="I2349" s="418"/>
    </row>
    <row r="2350" spans="1:17" x14ac:dyDescent="0.2">
      <c r="A2350" s="199"/>
      <c r="B2350" s="229"/>
      <c r="C2350" s="229"/>
      <c r="D2350" s="199"/>
      <c r="E2350" s="199"/>
      <c r="F2350" s="230" t="s">
        <v>184</v>
      </c>
      <c r="G2350" s="240"/>
      <c r="H2350" s="241"/>
      <c r="I2350" s="438">
        <f>SUM(I2349:I2349)</f>
        <v>0</v>
      </c>
    </row>
    <row r="2351" spans="1:17" x14ac:dyDescent="0.2">
      <c r="A2351" s="199"/>
      <c r="B2351" s="229"/>
      <c r="C2351" s="229"/>
      <c r="D2351" s="199"/>
      <c r="E2351" s="199"/>
      <c r="F2351" s="199"/>
      <c r="G2351" s="199"/>
      <c r="H2351" s="199"/>
      <c r="I2351" s="439"/>
    </row>
    <row r="2352" spans="1:17" x14ac:dyDescent="0.2">
      <c r="A2352" s="242" t="s">
        <v>185</v>
      </c>
      <c r="B2352" s="243" t="s">
        <v>59</v>
      </c>
      <c r="C2352" s="232" t="s">
        <v>357</v>
      </c>
      <c r="D2352" s="243" t="s">
        <v>187</v>
      </c>
      <c r="E2352" s="1111" t="s">
        <v>89</v>
      </c>
      <c r="F2352" s="1112"/>
      <c r="G2352" s="1113"/>
      <c r="H2352" s="1121" t="s">
        <v>183</v>
      </c>
      <c r="I2352" s="1115"/>
    </row>
    <row r="2353" spans="1:11" x14ac:dyDescent="0.2">
      <c r="A2353" s="199"/>
      <c r="B2353" s="229"/>
      <c r="C2353" s="229"/>
      <c r="D2353" s="199"/>
      <c r="E2353" s="199"/>
      <c r="F2353" s="230" t="s">
        <v>188</v>
      </c>
      <c r="G2353" s="240"/>
      <c r="H2353" s="241"/>
      <c r="I2353" s="438">
        <v>0</v>
      </c>
    </row>
    <row r="2354" spans="1:11" x14ac:dyDescent="0.2">
      <c r="A2354" s="199"/>
      <c r="B2354" s="229"/>
      <c r="C2354" s="229"/>
      <c r="D2354" s="199"/>
      <c r="E2354" s="199"/>
      <c r="F2354" s="199"/>
      <c r="G2354" s="199"/>
      <c r="H2354" s="199"/>
      <c r="I2354" s="439"/>
    </row>
    <row r="2355" spans="1:11" x14ac:dyDescent="0.2">
      <c r="A2355" s="245" t="s">
        <v>189</v>
      </c>
      <c r="B2355" s="243" t="s">
        <v>59</v>
      </c>
      <c r="C2355" s="827" t="s">
        <v>17</v>
      </c>
      <c r="D2355" s="243" t="s">
        <v>190</v>
      </c>
      <c r="E2355" s="243" t="s">
        <v>191</v>
      </c>
      <c r="F2355" s="243" t="s">
        <v>192</v>
      </c>
      <c r="G2355" s="1121" t="s">
        <v>94</v>
      </c>
      <c r="H2355" s="1114"/>
      <c r="I2355" s="1115"/>
    </row>
    <row r="2356" spans="1:11" x14ac:dyDescent="0.2">
      <c r="A2356" s="199"/>
      <c r="B2356" s="229"/>
      <c r="C2356" s="199"/>
      <c r="D2356" s="199"/>
      <c r="E2356" s="199"/>
      <c r="F2356" s="230" t="s">
        <v>327</v>
      </c>
      <c r="G2356" s="240"/>
      <c r="H2356" s="241"/>
      <c r="I2356" s="438">
        <v>0</v>
      </c>
    </row>
    <row r="2357" spans="1:11" x14ac:dyDescent="0.2">
      <c r="A2357" s="199"/>
      <c r="B2357" s="229"/>
      <c r="C2357" s="199"/>
      <c r="D2357" s="199"/>
      <c r="E2357" s="199"/>
      <c r="F2357" s="199"/>
      <c r="G2357" s="199"/>
      <c r="H2357" s="199"/>
      <c r="I2357" s="439"/>
    </row>
    <row r="2358" spans="1:11" x14ac:dyDescent="0.2">
      <c r="A2358" s="247"/>
      <c r="B2358" s="248"/>
      <c r="C2358" s="249"/>
      <c r="D2358" s="249"/>
      <c r="E2358" s="249"/>
      <c r="F2358" s="250" t="s">
        <v>193</v>
      </c>
      <c r="G2358" s="401"/>
      <c r="H2358" s="249"/>
      <c r="I2358" s="445">
        <f>+I2350+I2353+I2356</f>
        <v>0</v>
      </c>
    </row>
    <row r="2359" spans="1:11" x14ac:dyDescent="0.2">
      <c r="A2359" s="251"/>
      <c r="B2359" s="252"/>
      <c r="C2359" s="253"/>
      <c r="D2359" s="253"/>
      <c r="E2359" s="253"/>
      <c r="F2359" s="254" t="s">
        <v>194</v>
      </c>
      <c r="G2359" s="255"/>
      <c r="H2359" s="253"/>
      <c r="I2359" s="446">
        <v>1</v>
      </c>
    </row>
    <row r="2360" spans="1:11" x14ac:dyDescent="0.2">
      <c r="A2360" s="233"/>
      <c r="B2360" s="256"/>
      <c r="C2360" s="241"/>
      <c r="D2360" s="241"/>
      <c r="E2360" s="241"/>
      <c r="F2360" s="257" t="s">
        <v>216</v>
      </c>
      <c r="G2360" s="240"/>
      <c r="H2360" s="241"/>
      <c r="I2360" s="447">
        <f>TRUNC(I2358/I2359,2)</f>
        <v>0</v>
      </c>
    </row>
    <row r="2361" spans="1:11" x14ac:dyDescent="0.2">
      <c r="A2361" s="826"/>
      <c r="B2361" s="229"/>
      <c r="C2361" s="199"/>
      <c r="D2361" s="199"/>
      <c r="E2361" s="199"/>
      <c r="F2361" s="258"/>
      <c r="G2361" s="199"/>
      <c r="H2361" s="199"/>
      <c r="I2361" s="450"/>
    </row>
    <row r="2362" spans="1:11" x14ac:dyDescent="0.2">
      <c r="A2362" s="242" t="s">
        <v>195</v>
      </c>
      <c r="B2362" s="243" t="s">
        <v>59</v>
      </c>
      <c r="C2362" s="243" t="s">
        <v>196</v>
      </c>
      <c r="D2362" s="243" t="s">
        <v>217</v>
      </c>
      <c r="E2362" s="1121" t="s">
        <v>89</v>
      </c>
      <c r="F2362" s="1114"/>
      <c r="G2362" s="1115"/>
      <c r="H2362" s="1121" t="s">
        <v>183</v>
      </c>
      <c r="I2362" s="1115"/>
    </row>
    <row r="2363" spans="1:11" x14ac:dyDescent="0.2">
      <c r="A2363" s="259"/>
      <c r="B2363" s="234"/>
      <c r="C2363" s="260"/>
      <c r="D2363" s="261"/>
      <c r="E2363" s="255"/>
      <c r="F2363" s="253"/>
      <c r="G2363" s="293"/>
      <c r="H2363" s="255"/>
      <c r="I2363" s="423"/>
    </row>
    <row r="2364" spans="1:11" x14ac:dyDescent="0.2">
      <c r="A2364" s="199"/>
      <c r="B2364" s="229"/>
      <c r="C2364" s="199"/>
      <c r="D2364" s="199"/>
      <c r="E2364" s="199"/>
      <c r="F2364" s="230" t="s">
        <v>197</v>
      </c>
      <c r="G2364" s="240"/>
      <c r="H2364" s="241"/>
      <c r="I2364" s="438">
        <f>SUM(I2363:I2363)</f>
        <v>0</v>
      </c>
    </row>
    <row r="2365" spans="1:11" x14ac:dyDescent="0.2">
      <c r="A2365" s="199"/>
      <c r="B2365" s="229"/>
      <c r="C2365" s="199"/>
      <c r="D2365" s="199"/>
      <c r="E2365" s="199"/>
      <c r="F2365" s="199"/>
      <c r="G2365" s="262"/>
      <c r="H2365" s="199"/>
      <c r="I2365" s="439"/>
    </row>
    <row r="2366" spans="1:11" x14ac:dyDescent="0.2">
      <c r="A2366" s="263" t="s">
        <v>198</v>
      </c>
      <c r="B2366" s="243" t="s">
        <v>59</v>
      </c>
      <c r="C2366" s="243" t="s">
        <v>196</v>
      </c>
      <c r="D2366" s="827" t="s">
        <v>217</v>
      </c>
      <c r="E2366" s="1111" t="s">
        <v>89</v>
      </c>
      <c r="F2366" s="1112"/>
      <c r="G2366" s="1113"/>
      <c r="H2366" s="1114" t="s">
        <v>183</v>
      </c>
      <c r="I2366" s="1115"/>
    </row>
    <row r="2367" spans="1:11" s="198" customFormat="1" ht="33.75" x14ac:dyDescent="0.2">
      <c r="A2367" s="416" t="str">
        <f>VLOOKUP(B2367,'DER 11-20'!$A:$E,2,FALSE)</f>
        <v>Concreto ciclópico com 70% concreto 15,0 MPa e 30% de pedra de mão, tudo incluído</v>
      </c>
      <c r="B2367" s="417">
        <v>40351</v>
      </c>
      <c r="C2367" s="417" t="str">
        <f>VLOOKUP(B2367,'DER 11-20'!$A:$E,3,FALSE)</f>
        <v>M3</v>
      </c>
      <c r="D2367" s="418">
        <f>TRUNC(VLOOKUP(B2367,'DER 11-20'!$A:$F,6,FALSE)/(1+$I$4),2)</f>
        <v>423.27</v>
      </c>
      <c r="E2367" s="419"/>
      <c r="F2367" s="420"/>
      <c r="G2367" s="421">
        <v>19.515999999999998</v>
      </c>
      <c r="H2367" s="422"/>
      <c r="I2367" s="423">
        <f>TRUNC(D2367*G2367,2)</f>
        <v>8260.5300000000007</v>
      </c>
      <c r="J2367" s="415"/>
      <c r="K2367" s="415"/>
    </row>
    <row r="2368" spans="1:11" s="198" customFormat="1" ht="45" x14ac:dyDescent="0.2">
      <c r="A2368" s="416" t="str">
        <f>VLOOKUP(B2368,'DER 11-20'!$A:$E,2,FALSE)</f>
        <v>Formas planas de madeira com 02 (dois) reaproveitamentos, inclusive fornecimento e transporte das madeiras</v>
      </c>
      <c r="B2368" s="417">
        <v>40312</v>
      </c>
      <c r="C2368" s="417" t="str">
        <f>VLOOKUP(B2368,'DER 11-20'!$A:$E,3,FALSE)</f>
        <v>M2</v>
      </c>
      <c r="D2368" s="418">
        <f>TRUNC(VLOOKUP(B2368,'DER 11-20'!$A:$F,6,FALSE)/(1+$I$4),2)</f>
        <v>84.31</v>
      </c>
      <c r="E2368" s="419"/>
      <c r="F2368" s="420"/>
      <c r="G2368" s="421">
        <v>52.07</v>
      </c>
      <c r="H2368" s="422"/>
      <c r="I2368" s="423">
        <f>TRUNC(D2368*G2368,2)</f>
        <v>4390.0200000000004</v>
      </c>
      <c r="J2368" s="415"/>
      <c r="K2368" s="415"/>
    </row>
    <row r="2369" spans="1:17" x14ac:dyDescent="0.2">
      <c r="A2369" s="200"/>
      <c r="B2369" s="264"/>
      <c r="C2369" s="200"/>
      <c r="D2369" s="200"/>
      <c r="E2369" s="200"/>
      <c r="F2369" s="265" t="s">
        <v>199</v>
      </c>
      <c r="G2369" s="255"/>
      <c r="H2369" s="266"/>
      <c r="I2369" s="441">
        <f>SUM(I2367:I2368)</f>
        <v>12650.55</v>
      </c>
    </row>
    <row r="2370" spans="1:17" x14ac:dyDescent="0.2">
      <c r="A2370" s="200"/>
      <c r="B2370" s="264"/>
      <c r="C2370" s="200"/>
      <c r="D2370" s="200"/>
      <c r="E2370" s="200"/>
      <c r="F2370" s="200"/>
      <c r="G2370" s="200"/>
      <c r="H2370" s="200"/>
      <c r="I2370" s="440"/>
    </row>
    <row r="2371" spans="1:17" ht="21.75" customHeight="1" x14ac:dyDescent="0.2">
      <c r="A2371" s="267" t="s">
        <v>200</v>
      </c>
      <c r="B2371" s="268" t="s">
        <v>59</v>
      </c>
      <c r="C2371" s="268" t="s">
        <v>196</v>
      </c>
      <c r="D2371" s="268" t="s">
        <v>201</v>
      </c>
      <c r="E2371" s="268" t="s">
        <v>202</v>
      </c>
      <c r="F2371" s="268" t="s">
        <v>203</v>
      </c>
      <c r="G2371" s="268" t="s">
        <v>94</v>
      </c>
      <c r="H2371" s="268" t="s">
        <v>89</v>
      </c>
      <c r="I2371" s="442" t="s">
        <v>204</v>
      </c>
    </row>
    <row r="2372" spans="1:17" x14ac:dyDescent="0.2">
      <c r="A2372" s="244"/>
      <c r="B2372" s="234"/>
      <c r="C2372" s="234"/>
      <c r="D2372" s="269"/>
      <c r="E2372" s="270"/>
      <c r="F2372" s="270"/>
      <c r="G2372" s="239"/>
      <c r="H2372" s="271"/>
      <c r="I2372" s="418"/>
    </row>
    <row r="2373" spans="1:17" x14ac:dyDescent="0.2">
      <c r="A2373" s="200"/>
      <c r="B2373" s="264"/>
      <c r="C2373" s="200"/>
      <c r="D2373" s="200"/>
      <c r="E2373" s="200"/>
      <c r="F2373" s="265" t="s">
        <v>205</v>
      </c>
      <c r="G2373" s="240"/>
      <c r="H2373" s="272"/>
      <c r="I2373" s="443">
        <f>SUM(I2372:I2372)</f>
        <v>0</v>
      </c>
    </row>
    <row r="2374" spans="1:17" x14ac:dyDescent="0.2">
      <c r="A2374" s="200"/>
      <c r="B2374" s="264"/>
      <c r="C2374" s="200"/>
      <c r="D2374" s="200"/>
      <c r="E2374" s="200"/>
      <c r="F2374" s="200"/>
      <c r="G2374" s="200"/>
      <c r="H2374" s="200"/>
      <c r="I2374" s="444"/>
    </row>
    <row r="2375" spans="1:17" x14ac:dyDescent="0.2">
      <c r="A2375" s="273"/>
      <c r="B2375" s="274"/>
      <c r="C2375" s="275"/>
      <c r="D2375" s="275"/>
      <c r="E2375" s="275"/>
      <c r="F2375" s="276" t="s">
        <v>206</v>
      </c>
      <c r="G2375" s="273"/>
      <c r="H2375" s="249"/>
      <c r="I2375" s="445">
        <f>+I2360+I2364+I2369+I2373</f>
        <v>12650.55</v>
      </c>
    </row>
    <row r="2376" spans="1:17" x14ac:dyDescent="0.2">
      <c r="A2376" s="255"/>
      <c r="B2376" s="277"/>
      <c r="C2376" s="266"/>
      <c r="D2376" s="266"/>
      <c r="E2376" s="266"/>
      <c r="F2376" s="278" t="str">
        <f>CONCATENATE($H$3," ",$I$3)</f>
        <v>BDI: 23,32</v>
      </c>
      <c r="G2376" s="403"/>
      <c r="H2376" s="253"/>
      <c r="I2376" s="446">
        <f>+ROUND(I2375*$I$4,2)</f>
        <v>2950.11</v>
      </c>
    </row>
    <row r="2377" spans="1:17" x14ac:dyDescent="0.2">
      <c r="A2377" s="240"/>
      <c r="B2377" s="279"/>
      <c r="C2377" s="272"/>
      <c r="D2377" s="272"/>
      <c r="E2377" s="272"/>
      <c r="F2377" s="280" t="s">
        <v>207</v>
      </c>
      <c r="G2377" s="404"/>
      <c r="H2377" s="241"/>
      <c r="I2377" s="720">
        <f>+I2375+I2376</f>
        <v>15600.66</v>
      </c>
    </row>
    <row r="2378" spans="1:17" s="198" customFormat="1" x14ac:dyDescent="0.2">
      <c r="A2378" s="1116" t="str">
        <f>$A$1</f>
        <v>COMPOSIÇÃO DE CUSTOS UNITÁRIOS</v>
      </c>
      <c r="B2378" s="1116"/>
      <c r="C2378" s="1116"/>
      <c r="D2378" s="1116"/>
      <c r="E2378" s="1116"/>
      <c r="F2378" s="1116"/>
      <c r="G2378" s="1116"/>
      <c r="H2378" s="1116"/>
      <c r="I2378" s="1116"/>
      <c r="J2378" s="400"/>
      <c r="K2378" s="400"/>
      <c r="L2378" s="295"/>
      <c r="M2378" s="295"/>
      <c r="N2378" s="295"/>
      <c r="O2378" s="295"/>
      <c r="P2378" s="295"/>
      <c r="Q2378" s="295"/>
    </row>
    <row r="2379" spans="1:17" s="198" customFormat="1" x14ac:dyDescent="0.2">
      <c r="A2379" s="228" t="str">
        <f>$A$2</f>
        <v>Tabela Referencial de Preços - DER-ES</v>
      </c>
      <c r="B2379" s="229"/>
      <c r="C2379" s="199"/>
      <c r="D2379" s="199"/>
      <c r="E2379" s="199"/>
      <c r="F2379" s="199"/>
      <c r="G2379" s="199"/>
      <c r="H2379" s="199"/>
      <c r="I2379" s="414" t="str">
        <f>$I$2</f>
        <v>Data Base: novembro/2020</v>
      </c>
      <c r="J2379" s="400"/>
      <c r="K2379" s="400"/>
      <c r="L2379" s="295"/>
      <c r="M2379" s="295"/>
      <c r="N2379" s="295"/>
      <c r="O2379" s="295"/>
      <c r="P2379" s="295"/>
      <c r="Q2379" s="295"/>
    </row>
    <row r="2380" spans="1:17" s="198" customFormat="1" x14ac:dyDescent="0.2">
      <c r="A2380" s="1117" t="str">
        <f>+CONCATENATE("Serviço: ",J2380," ",VLOOKUP(J2380,'DER 11-20'!$A:$D,2,FALSE))</f>
        <v>Serviço: 40614 Boca de BSCC 2,00 x 2,00 m projeto DNIT</v>
      </c>
      <c r="B2380" s="1117"/>
      <c r="C2380" s="1117"/>
      <c r="D2380" s="1117"/>
      <c r="E2380" s="1117"/>
      <c r="F2380" s="1117"/>
      <c r="G2380" s="1117"/>
      <c r="H2380" s="1117"/>
      <c r="I2380" s="1119" t="str">
        <f>CONCATENATE("Unidade: ", VLOOKUP(J2380,'DER 11-20'!$A:$E,3,FALSE))</f>
        <v>Unidade: Ud</v>
      </c>
      <c r="J2380" s="400">
        <v>40614</v>
      </c>
      <c r="K2380" s="400">
        <f>VLOOKUP("Preço Unitário Total",F2381:I4117,4,FALSE)</f>
        <v>23623.83</v>
      </c>
      <c r="L2380" s="295">
        <f>VLOOKUP(J2380,'DER 11-20'!A:E,5,FALSE)</f>
        <v>0</v>
      </c>
      <c r="M2380" s="295" t="str">
        <f>VLOOKUP(J2380,'DER 11-20'!$A:$D,2,FALSE)</f>
        <v>Boca de BSCC 2,00 x 2,00 m projeto DNIT</v>
      </c>
      <c r="N2380" s="295"/>
      <c r="O2380" s="295"/>
      <c r="P2380" s="295"/>
      <c r="Q2380" s="295"/>
    </row>
    <row r="2381" spans="1:17" x14ac:dyDescent="0.2">
      <c r="A2381" s="1118"/>
      <c r="B2381" s="1118"/>
      <c r="C2381" s="1118"/>
      <c r="D2381" s="1118"/>
      <c r="E2381" s="1118"/>
      <c r="F2381" s="1118"/>
      <c r="G2381" s="1118"/>
      <c r="H2381" s="1118"/>
      <c r="I2381" s="1120"/>
    </row>
    <row r="2382" spans="1:17" ht="22.5" x14ac:dyDescent="0.2">
      <c r="A2382" s="231" t="s">
        <v>177</v>
      </c>
      <c r="B2382" s="232" t="s">
        <v>59</v>
      </c>
      <c r="C2382" s="232" t="s">
        <v>178</v>
      </c>
      <c r="D2382" s="232" t="s">
        <v>179</v>
      </c>
      <c r="E2382" s="232" t="s">
        <v>180</v>
      </c>
      <c r="F2382" s="232" t="s">
        <v>181</v>
      </c>
      <c r="G2382" s="232" t="s">
        <v>182</v>
      </c>
      <c r="H2382" s="232" t="s">
        <v>89</v>
      </c>
      <c r="I2382" s="434" t="s">
        <v>183</v>
      </c>
    </row>
    <row r="2383" spans="1:17" s="198" customFormat="1" ht="22.5" x14ac:dyDescent="0.2">
      <c r="A2383" s="449" t="str">
        <f>VLOOKUP(B2383,equip.!$A:$G,2,FALSE)</f>
        <v>Caminhão carroceria 815/37 PBT=8,3t (TOCO 4,0t)</v>
      </c>
      <c r="B2383" s="417">
        <v>30004</v>
      </c>
      <c r="C2383" s="424" t="str">
        <f>VLOOKUP(B2383,equip.!$A$1:$G$239,3,FALSE)</f>
        <v>M</v>
      </c>
      <c r="D2383" s="451">
        <v>1</v>
      </c>
      <c r="E2383" s="452">
        <v>0</v>
      </c>
      <c r="F2383" s="453">
        <f>VLOOKUP(B2383,equip.!$A:$G,6,FALSE)</f>
        <v>145.22</v>
      </c>
      <c r="G2383" s="453">
        <f>VLOOKUP(B2383,equip.!$A:$G,7,FALSE)</f>
        <v>43.59</v>
      </c>
      <c r="H2383" s="454">
        <v>3</v>
      </c>
      <c r="I2383" s="418">
        <f>TRUNC(D2383*F2383*H2383+E2383*G2383*H2383,2)</f>
        <v>435.66</v>
      </c>
      <c r="J2383" s="467"/>
    </row>
    <row r="2384" spans="1:17" x14ac:dyDescent="0.2">
      <c r="A2384" s="199"/>
      <c r="B2384" s="229"/>
      <c r="C2384" s="229"/>
      <c r="D2384" s="199"/>
      <c r="E2384" s="199"/>
      <c r="F2384" s="230" t="s">
        <v>184</v>
      </c>
      <c r="G2384" s="240"/>
      <c r="H2384" s="241"/>
      <c r="I2384" s="438">
        <f>I2383</f>
        <v>435.66</v>
      </c>
    </row>
    <row r="2385" spans="1:9" x14ac:dyDescent="0.2">
      <c r="A2385" s="199"/>
      <c r="B2385" s="229"/>
      <c r="C2385" s="229"/>
      <c r="D2385" s="199"/>
      <c r="E2385" s="199"/>
      <c r="F2385" s="199"/>
      <c r="G2385" s="199"/>
      <c r="H2385" s="199"/>
      <c r="I2385" s="439"/>
    </row>
    <row r="2386" spans="1:9" x14ac:dyDescent="0.2">
      <c r="A2386" s="242" t="s">
        <v>185</v>
      </c>
      <c r="B2386" s="243" t="s">
        <v>59</v>
      </c>
      <c r="C2386" s="232" t="s">
        <v>357</v>
      </c>
      <c r="D2386" s="243" t="s">
        <v>187</v>
      </c>
      <c r="E2386" s="1111" t="s">
        <v>89</v>
      </c>
      <c r="F2386" s="1112"/>
      <c r="G2386" s="1113"/>
      <c r="H2386" s="1121" t="s">
        <v>183</v>
      </c>
      <c r="I2386" s="1115"/>
    </row>
    <row r="2387" spans="1:9" x14ac:dyDescent="0.2">
      <c r="A2387" s="199"/>
      <c r="B2387" s="229"/>
      <c r="C2387" s="229"/>
      <c r="D2387" s="199"/>
      <c r="E2387" s="199"/>
      <c r="F2387" s="230" t="s">
        <v>188</v>
      </c>
      <c r="G2387" s="240"/>
      <c r="H2387" s="241"/>
      <c r="I2387" s="438">
        <v>0</v>
      </c>
    </row>
    <row r="2388" spans="1:9" x14ac:dyDescent="0.2">
      <c r="A2388" s="199"/>
      <c r="B2388" s="229"/>
      <c r="C2388" s="229"/>
      <c r="D2388" s="199"/>
      <c r="E2388" s="199"/>
      <c r="F2388" s="199"/>
      <c r="G2388" s="199"/>
      <c r="H2388" s="199"/>
      <c r="I2388" s="439"/>
    </row>
    <row r="2389" spans="1:9" x14ac:dyDescent="0.2">
      <c r="A2389" s="245" t="s">
        <v>189</v>
      </c>
      <c r="B2389" s="243" t="s">
        <v>59</v>
      </c>
      <c r="C2389" s="827" t="s">
        <v>17</v>
      </c>
      <c r="D2389" s="243" t="s">
        <v>190</v>
      </c>
      <c r="E2389" s="243" t="s">
        <v>191</v>
      </c>
      <c r="F2389" s="243" t="s">
        <v>192</v>
      </c>
      <c r="G2389" s="1121" t="s">
        <v>94</v>
      </c>
      <c r="H2389" s="1114"/>
      <c r="I2389" s="1115"/>
    </row>
    <row r="2390" spans="1:9" x14ac:dyDescent="0.2">
      <c r="A2390" s="199"/>
      <c r="B2390" s="229"/>
      <c r="C2390" s="199"/>
      <c r="D2390" s="199"/>
      <c r="E2390" s="199"/>
      <c r="F2390" s="230" t="s">
        <v>327</v>
      </c>
      <c r="G2390" s="240"/>
      <c r="H2390" s="241"/>
      <c r="I2390" s="438">
        <v>0</v>
      </c>
    </row>
    <row r="2391" spans="1:9" x14ac:dyDescent="0.2">
      <c r="A2391" s="199"/>
      <c r="B2391" s="229"/>
      <c r="C2391" s="199"/>
      <c r="D2391" s="199"/>
      <c r="E2391" s="199"/>
      <c r="F2391" s="199"/>
      <c r="G2391" s="199"/>
      <c r="H2391" s="199"/>
      <c r="I2391" s="439"/>
    </row>
    <row r="2392" spans="1:9" x14ac:dyDescent="0.2">
      <c r="A2392" s="247"/>
      <c r="B2392" s="248"/>
      <c r="C2392" s="249"/>
      <c r="D2392" s="249"/>
      <c r="E2392" s="249"/>
      <c r="F2392" s="250" t="s">
        <v>193</v>
      </c>
      <c r="G2392" s="401"/>
      <c r="H2392" s="249"/>
      <c r="I2392" s="445">
        <f>+I2384+I2387+I2390</f>
        <v>435.66</v>
      </c>
    </row>
    <row r="2393" spans="1:9" x14ac:dyDescent="0.2">
      <c r="A2393" s="251"/>
      <c r="B2393" s="252"/>
      <c r="C2393" s="253"/>
      <c r="D2393" s="253"/>
      <c r="E2393" s="253"/>
      <c r="F2393" s="254" t="s">
        <v>194</v>
      </c>
      <c r="G2393" s="255"/>
      <c r="H2393" s="253"/>
      <c r="I2393" s="446">
        <v>1</v>
      </c>
    </row>
    <row r="2394" spans="1:9" x14ac:dyDescent="0.2">
      <c r="A2394" s="233"/>
      <c r="B2394" s="256"/>
      <c r="C2394" s="241"/>
      <c r="D2394" s="241"/>
      <c r="E2394" s="241"/>
      <c r="F2394" s="257" t="s">
        <v>216</v>
      </c>
      <c r="G2394" s="240"/>
      <c r="H2394" s="241"/>
      <c r="I2394" s="447">
        <f>TRUNC(I2392/I2393,2)</f>
        <v>435.66</v>
      </c>
    </row>
    <row r="2395" spans="1:9" x14ac:dyDescent="0.2">
      <c r="A2395" s="826"/>
      <c r="B2395" s="229"/>
      <c r="C2395" s="199"/>
      <c r="D2395" s="199"/>
      <c r="E2395" s="199"/>
      <c r="F2395" s="258"/>
      <c r="G2395" s="199"/>
      <c r="H2395" s="199"/>
      <c r="I2395" s="450"/>
    </row>
    <row r="2396" spans="1:9" x14ac:dyDescent="0.2">
      <c r="A2396" s="242" t="s">
        <v>195</v>
      </c>
      <c r="B2396" s="243" t="s">
        <v>59</v>
      </c>
      <c r="C2396" s="243" t="s">
        <v>196</v>
      </c>
      <c r="D2396" s="243" t="s">
        <v>217</v>
      </c>
      <c r="E2396" s="1121" t="s">
        <v>89</v>
      </c>
      <c r="F2396" s="1114"/>
      <c r="G2396" s="1115"/>
      <c r="H2396" s="1121" t="s">
        <v>183</v>
      </c>
      <c r="I2396" s="1115"/>
    </row>
    <row r="2397" spans="1:9" x14ac:dyDescent="0.2">
      <c r="A2397" s="259"/>
      <c r="B2397" s="234"/>
      <c r="C2397" s="260"/>
      <c r="D2397" s="261"/>
      <c r="E2397" s="255"/>
      <c r="F2397" s="253"/>
      <c r="G2397" s="293"/>
      <c r="H2397" s="255"/>
      <c r="I2397" s="423"/>
    </row>
    <row r="2398" spans="1:9" x14ac:dyDescent="0.2">
      <c r="A2398" s="199"/>
      <c r="B2398" s="229"/>
      <c r="C2398" s="199"/>
      <c r="D2398" s="199"/>
      <c r="E2398" s="199"/>
      <c r="F2398" s="230" t="s">
        <v>197</v>
      </c>
      <c r="G2398" s="240"/>
      <c r="H2398" s="241"/>
      <c r="I2398" s="438">
        <f>SUM(I2397:I2397)</f>
        <v>0</v>
      </c>
    </row>
    <row r="2399" spans="1:9" x14ac:dyDescent="0.2">
      <c r="A2399" s="199"/>
      <c r="B2399" s="229"/>
      <c r="C2399" s="199"/>
      <c r="D2399" s="199"/>
      <c r="E2399" s="199"/>
      <c r="F2399" s="199"/>
      <c r="G2399" s="262"/>
      <c r="H2399" s="199"/>
      <c r="I2399" s="439"/>
    </row>
    <row r="2400" spans="1:9" x14ac:dyDescent="0.2">
      <c r="A2400" s="263" t="s">
        <v>198</v>
      </c>
      <c r="B2400" s="243" t="s">
        <v>59</v>
      </c>
      <c r="C2400" s="243" t="s">
        <v>196</v>
      </c>
      <c r="D2400" s="827" t="s">
        <v>217</v>
      </c>
      <c r="E2400" s="1111" t="s">
        <v>89</v>
      </c>
      <c r="F2400" s="1112"/>
      <c r="G2400" s="1113"/>
      <c r="H2400" s="1114" t="s">
        <v>183</v>
      </c>
      <c r="I2400" s="1115"/>
    </row>
    <row r="2401" spans="1:17" s="198" customFormat="1" ht="33.75" x14ac:dyDescent="0.2">
      <c r="A2401" s="416" t="str">
        <f>VLOOKUP(B2401,'DER 11-20'!$A:$E,2,FALSE)</f>
        <v>Aço CA-50, fornecimento, dobragem e colocação nas formas (preço médio das bitolas)</v>
      </c>
      <c r="B2401" s="417">
        <v>40376</v>
      </c>
      <c r="C2401" s="417" t="str">
        <f>VLOOKUP(B2401,'DER 11-20'!$A:$E,3,FALSE)</f>
        <v>kg</v>
      </c>
      <c r="D2401" s="418">
        <f>TRUNC(VLOOKUP(B2401,'DER 11-20'!$A:$F,6,FALSE)/(1+$I$4),2)</f>
        <v>10.62</v>
      </c>
      <c r="E2401" s="419"/>
      <c r="F2401" s="420"/>
      <c r="G2401" s="421">
        <v>637.5</v>
      </c>
      <c r="H2401" s="422"/>
      <c r="I2401" s="423">
        <f>TRUNC(D2401*G2401,2)</f>
        <v>6770.25</v>
      </c>
      <c r="J2401" s="415"/>
      <c r="K2401" s="415"/>
    </row>
    <row r="2402" spans="1:17" s="198" customFormat="1" ht="22.5" x14ac:dyDescent="0.2">
      <c r="A2402" s="416" t="str">
        <f>VLOOKUP(B2402,'DER 11-20'!$A:$E,2,FALSE)</f>
        <v>Concreto de regularização, tudo incluído</v>
      </c>
      <c r="B2402" s="417">
        <v>40349</v>
      </c>
      <c r="C2402" s="417" t="str">
        <f>VLOOKUP(B2402,'DER 11-20'!$A:$E,3,FALSE)</f>
        <v>M3</v>
      </c>
      <c r="D2402" s="418">
        <f>TRUNC(VLOOKUP(B2402,'DER 11-20'!$A:$F,6,FALSE)/(1+$I$4),2)</f>
        <v>434.77</v>
      </c>
      <c r="E2402" s="419"/>
      <c r="F2402" s="420"/>
      <c r="G2402" s="421">
        <v>3.15</v>
      </c>
      <c r="H2402" s="422"/>
      <c r="I2402" s="423">
        <f>TRUNC(D2402*G2402,2)</f>
        <v>1369.52</v>
      </c>
      <c r="J2402" s="415"/>
      <c r="K2402" s="415"/>
    </row>
    <row r="2403" spans="1:17" s="198" customFormat="1" ht="22.5" x14ac:dyDescent="0.2">
      <c r="A2403" s="416" t="str">
        <f>VLOOKUP(B2403,'DER 11-20'!$A:$E,2,FALSE)</f>
        <v>Concreto estrutural fck = 15,0 MPa, tudo incluído</v>
      </c>
      <c r="B2403" s="417">
        <v>40358</v>
      </c>
      <c r="C2403" s="417" t="str">
        <f>VLOOKUP(B2403,'DER 11-20'!$A:$E,3,FALSE)</f>
        <v>M3</v>
      </c>
      <c r="D2403" s="418">
        <f>TRUNC(VLOOKUP(B2403,'DER 11-20'!$A:$F,6,FALSE)/(1+$I$4),2)</f>
        <v>547.26</v>
      </c>
      <c r="E2403" s="419"/>
      <c r="F2403" s="420"/>
      <c r="G2403" s="421">
        <v>8.93</v>
      </c>
      <c r="H2403" s="422"/>
      <c r="I2403" s="423">
        <f>TRUNC(D2403*G2403,2)</f>
        <v>4887.03</v>
      </c>
      <c r="J2403" s="415"/>
      <c r="K2403" s="415"/>
    </row>
    <row r="2404" spans="1:17" s="198" customFormat="1" ht="45" x14ac:dyDescent="0.2">
      <c r="A2404" s="416" t="str">
        <f>VLOOKUP(B2404,'DER 11-20'!$A:$E,2,FALSE)</f>
        <v>Formas planas de madeira com 01 (um) reaproveitamento, inclusive fornecimento e transporte das madeiras</v>
      </c>
      <c r="B2404" s="417">
        <v>40311</v>
      </c>
      <c r="C2404" s="417" t="str">
        <f>VLOOKUP(B2404,'DER 11-20'!$A:$E,3,FALSE)</f>
        <v>M2</v>
      </c>
      <c r="D2404" s="418">
        <f>TRUNC(VLOOKUP(B2404,'DER 11-20'!$A:$F,6,FALSE)/(1+$I$4),2)</f>
        <v>100.78</v>
      </c>
      <c r="E2404" s="419"/>
      <c r="F2404" s="420"/>
      <c r="G2404" s="421">
        <v>56.5</v>
      </c>
      <c r="H2404" s="422"/>
      <c r="I2404" s="423">
        <f>TRUNC(D2404*G2404,2)</f>
        <v>5694.07</v>
      </c>
      <c r="J2404" s="415"/>
      <c r="K2404" s="415"/>
    </row>
    <row r="2405" spans="1:17" x14ac:dyDescent="0.2">
      <c r="A2405" s="200"/>
      <c r="B2405" s="264"/>
      <c r="C2405" s="200"/>
      <c r="D2405" s="200"/>
      <c r="E2405" s="200"/>
      <c r="F2405" s="265" t="s">
        <v>199</v>
      </c>
      <c r="G2405" s="255"/>
      <c r="H2405" s="266"/>
      <c r="I2405" s="441">
        <f>SUM(I2401:I2404)</f>
        <v>18720.87</v>
      </c>
    </row>
    <row r="2406" spans="1:17" x14ac:dyDescent="0.2">
      <c r="A2406" s="200"/>
      <c r="B2406" s="264"/>
      <c r="C2406" s="200"/>
      <c r="D2406" s="200"/>
      <c r="E2406" s="200"/>
      <c r="F2406" s="200"/>
      <c r="G2406" s="200"/>
      <c r="H2406" s="200"/>
      <c r="I2406" s="440"/>
    </row>
    <row r="2407" spans="1:17" ht="21.75" customHeight="1" x14ac:dyDescent="0.2">
      <c r="A2407" s="267" t="s">
        <v>200</v>
      </c>
      <c r="B2407" s="268" t="s">
        <v>59</v>
      </c>
      <c r="C2407" s="268" t="s">
        <v>196</v>
      </c>
      <c r="D2407" s="268" t="s">
        <v>201</v>
      </c>
      <c r="E2407" s="268" t="s">
        <v>202</v>
      </c>
      <c r="F2407" s="268" t="s">
        <v>203</v>
      </c>
      <c r="G2407" s="268" t="s">
        <v>94</v>
      </c>
      <c r="H2407" s="268" t="s">
        <v>89</v>
      </c>
      <c r="I2407" s="442" t="s">
        <v>204</v>
      </c>
    </row>
    <row r="2408" spans="1:17" x14ac:dyDescent="0.2">
      <c r="A2408" s="244"/>
      <c r="B2408" s="234"/>
      <c r="C2408" s="234"/>
      <c r="D2408" s="269"/>
      <c r="E2408" s="270"/>
      <c r="F2408" s="270"/>
      <c r="G2408" s="239"/>
      <c r="H2408" s="271"/>
      <c r="I2408" s="418"/>
    </row>
    <row r="2409" spans="1:17" x14ac:dyDescent="0.2">
      <c r="A2409" s="200"/>
      <c r="B2409" s="264"/>
      <c r="C2409" s="200"/>
      <c r="D2409" s="200"/>
      <c r="E2409" s="200"/>
      <c r="F2409" s="265" t="s">
        <v>205</v>
      </c>
      <c r="G2409" s="240"/>
      <c r="H2409" s="272"/>
      <c r="I2409" s="443">
        <f>SUM(I2408:I2408)</f>
        <v>0</v>
      </c>
    </row>
    <row r="2410" spans="1:17" x14ac:dyDescent="0.2">
      <c r="A2410" s="200"/>
      <c r="B2410" s="264"/>
      <c r="C2410" s="200"/>
      <c r="D2410" s="200"/>
      <c r="E2410" s="200"/>
      <c r="F2410" s="200"/>
      <c r="G2410" s="200"/>
      <c r="H2410" s="200"/>
      <c r="I2410" s="444"/>
    </row>
    <row r="2411" spans="1:17" x14ac:dyDescent="0.2">
      <c r="A2411" s="273"/>
      <c r="B2411" s="274"/>
      <c r="C2411" s="275"/>
      <c r="D2411" s="275"/>
      <c r="E2411" s="275"/>
      <c r="F2411" s="276" t="s">
        <v>206</v>
      </c>
      <c r="G2411" s="273"/>
      <c r="H2411" s="249"/>
      <c r="I2411" s="445">
        <f>+I2394+I2398+I2405+I2409</f>
        <v>19156.53</v>
      </c>
    </row>
    <row r="2412" spans="1:17" x14ac:dyDescent="0.2">
      <c r="A2412" s="255"/>
      <c r="B2412" s="277"/>
      <c r="C2412" s="266"/>
      <c r="D2412" s="266"/>
      <c r="E2412" s="266"/>
      <c r="F2412" s="278" t="str">
        <f>CONCATENATE($H$3," ",$I$3)</f>
        <v>BDI: 23,32</v>
      </c>
      <c r="G2412" s="403"/>
      <c r="H2412" s="253"/>
      <c r="I2412" s="446">
        <f>+ROUND(I2411*$I$4,2)</f>
        <v>4467.3</v>
      </c>
    </row>
    <row r="2413" spans="1:17" x14ac:dyDescent="0.2">
      <c r="A2413" s="240"/>
      <c r="B2413" s="279"/>
      <c r="C2413" s="272"/>
      <c r="D2413" s="272"/>
      <c r="E2413" s="272"/>
      <c r="F2413" s="280" t="s">
        <v>207</v>
      </c>
      <c r="G2413" s="404"/>
      <c r="H2413" s="241"/>
      <c r="I2413" s="720">
        <f>+I2411+I2412</f>
        <v>23623.83</v>
      </c>
    </row>
    <row r="2414" spans="1:17" s="198" customFormat="1" x14ac:dyDescent="0.2">
      <c r="A2414" s="1116" t="str">
        <f>$A$1</f>
        <v>COMPOSIÇÃO DE CUSTOS UNITÁRIOS</v>
      </c>
      <c r="B2414" s="1116"/>
      <c r="C2414" s="1116"/>
      <c r="D2414" s="1116"/>
      <c r="E2414" s="1116"/>
      <c r="F2414" s="1116"/>
      <c r="G2414" s="1116"/>
      <c r="H2414" s="1116"/>
      <c r="I2414" s="1116"/>
      <c r="J2414" s="400"/>
      <c r="K2414" s="400"/>
      <c r="L2414" s="295"/>
      <c r="M2414" s="295"/>
      <c r="N2414" s="295"/>
      <c r="O2414" s="295"/>
      <c r="P2414" s="295"/>
      <c r="Q2414" s="295"/>
    </row>
    <row r="2415" spans="1:17" s="198" customFormat="1" x14ac:dyDescent="0.2">
      <c r="A2415" s="228" t="str">
        <f>$A$2</f>
        <v>Tabela Referencial de Preços - DER-ES</v>
      </c>
      <c r="B2415" s="229"/>
      <c r="C2415" s="199"/>
      <c r="D2415" s="199"/>
      <c r="E2415" s="199"/>
      <c r="F2415" s="199"/>
      <c r="G2415" s="199"/>
      <c r="H2415" s="199"/>
      <c r="I2415" s="414" t="str">
        <f>$I$2</f>
        <v>Data Base: novembro/2020</v>
      </c>
      <c r="J2415" s="400"/>
      <c r="K2415" s="400"/>
      <c r="L2415" s="295"/>
      <c r="M2415" s="295"/>
      <c r="N2415" s="295"/>
      <c r="O2415" s="295"/>
      <c r="P2415" s="295"/>
      <c r="Q2415" s="295"/>
    </row>
    <row r="2416" spans="1:17" s="198" customFormat="1" x14ac:dyDescent="0.2">
      <c r="A2416" s="1117" t="str">
        <f>+CONCATENATE("Serviço: ",J2416," ",VLOOKUP(J2416,'DER 11-20'!$A:$D,2,FALSE))</f>
        <v>Serviço: 40618 Boca de BSCC 3,00 x 3,00 m projeto DNIT</v>
      </c>
      <c r="B2416" s="1117"/>
      <c r="C2416" s="1117"/>
      <c r="D2416" s="1117"/>
      <c r="E2416" s="1117"/>
      <c r="F2416" s="1117"/>
      <c r="G2416" s="1117"/>
      <c r="H2416" s="1117"/>
      <c r="I2416" s="1119" t="str">
        <f>CONCATENATE("Unidade: ", VLOOKUP(J2416,'DER 11-20'!$A:$E,3,FALSE))</f>
        <v>Unidade: Ud</v>
      </c>
      <c r="J2416" s="400">
        <v>40618</v>
      </c>
      <c r="K2416" s="400">
        <f>VLOOKUP("Preço Unitário Total",F2417:I4153,4,FALSE)</f>
        <v>44492.23</v>
      </c>
      <c r="L2416" s="295">
        <f>VLOOKUP(J2416,'DER 11-20'!A:E,5,FALSE)</f>
        <v>0</v>
      </c>
      <c r="M2416" s="295" t="str">
        <f>VLOOKUP(J2416,'DER 11-20'!$A:$D,2,FALSE)</f>
        <v>Boca de BSCC 3,00 x 3,00 m projeto DNIT</v>
      </c>
      <c r="N2416" s="295"/>
      <c r="O2416" s="295"/>
      <c r="P2416" s="295"/>
      <c r="Q2416" s="295"/>
    </row>
    <row r="2417" spans="1:10" x14ac:dyDescent="0.2">
      <c r="A2417" s="1118"/>
      <c r="B2417" s="1118"/>
      <c r="C2417" s="1118"/>
      <c r="D2417" s="1118"/>
      <c r="E2417" s="1118"/>
      <c r="F2417" s="1118"/>
      <c r="G2417" s="1118"/>
      <c r="H2417" s="1118"/>
      <c r="I2417" s="1120"/>
    </row>
    <row r="2418" spans="1:10" ht="22.5" x14ac:dyDescent="0.2">
      <c r="A2418" s="231" t="s">
        <v>177</v>
      </c>
      <c r="B2418" s="232" t="s">
        <v>59</v>
      </c>
      <c r="C2418" s="232" t="s">
        <v>178</v>
      </c>
      <c r="D2418" s="232" t="s">
        <v>179</v>
      </c>
      <c r="E2418" s="232" t="s">
        <v>180</v>
      </c>
      <c r="F2418" s="232" t="s">
        <v>181</v>
      </c>
      <c r="G2418" s="232" t="s">
        <v>182</v>
      </c>
      <c r="H2418" s="232" t="s">
        <v>89</v>
      </c>
      <c r="I2418" s="434" t="s">
        <v>183</v>
      </c>
    </row>
    <row r="2419" spans="1:10" s="198" customFormat="1" ht="22.5" x14ac:dyDescent="0.2">
      <c r="A2419" s="449" t="str">
        <f>VLOOKUP(B2419,equip.!$A:$G,2,FALSE)</f>
        <v>Caminhão carroceria 815/37 PBT=8,3t (TOCO 4,0t)</v>
      </c>
      <c r="B2419" s="417">
        <v>30004</v>
      </c>
      <c r="C2419" s="424" t="str">
        <f>VLOOKUP(B2419,equip.!$A$1:$G$239,3,FALSE)</f>
        <v>M</v>
      </c>
      <c r="D2419" s="451">
        <v>1</v>
      </c>
      <c r="E2419" s="452">
        <v>0</v>
      </c>
      <c r="F2419" s="453">
        <f>VLOOKUP(B2419,equip.!$A:$G,6,FALSE)</f>
        <v>145.22</v>
      </c>
      <c r="G2419" s="453">
        <f>VLOOKUP(B2419,equip.!$A:$G,7,FALSE)</f>
        <v>43.59</v>
      </c>
      <c r="H2419" s="454">
        <v>4</v>
      </c>
      <c r="I2419" s="418">
        <f>TRUNC(D2419*F2419*H2419+E2419*G2419*H2419,2)</f>
        <v>580.88</v>
      </c>
      <c r="J2419" s="467"/>
    </row>
    <row r="2420" spans="1:10" x14ac:dyDescent="0.2">
      <c r="A2420" s="199"/>
      <c r="B2420" s="229"/>
      <c r="C2420" s="229"/>
      <c r="D2420" s="199"/>
      <c r="E2420" s="199"/>
      <c r="F2420" s="230" t="s">
        <v>184</v>
      </c>
      <c r="G2420" s="240"/>
      <c r="H2420" s="241"/>
      <c r="I2420" s="438">
        <f>I2419</f>
        <v>580.88</v>
      </c>
    </row>
    <row r="2421" spans="1:10" x14ac:dyDescent="0.2">
      <c r="A2421" s="199"/>
      <c r="B2421" s="229"/>
      <c r="C2421" s="229"/>
      <c r="D2421" s="199"/>
      <c r="E2421" s="199"/>
      <c r="F2421" s="199"/>
      <c r="G2421" s="199"/>
      <c r="H2421" s="199"/>
      <c r="I2421" s="439"/>
    </row>
    <row r="2422" spans="1:10" x14ac:dyDescent="0.2">
      <c r="A2422" s="242" t="s">
        <v>185</v>
      </c>
      <c r="B2422" s="243" t="s">
        <v>59</v>
      </c>
      <c r="C2422" s="232" t="s">
        <v>357</v>
      </c>
      <c r="D2422" s="243" t="s">
        <v>187</v>
      </c>
      <c r="E2422" s="1111" t="s">
        <v>89</v>
      </c>
      <c r="F2422" s="1112"/>
      <c r="G2422" s="1113"/>
      <c r="H2422" s="1121" t="s">
        <v>183</v>
      </c>
      <c r="I2422" s="1115"/>
    </row>
    <row r="2423" spans="1:10" x14ac:dyDescent="0.2">
      <c r="A2423" s="199"/>
      <c r="B2423" s="229"/>
      <c r="C2423" s="229"/>
      <c r="D2423" s="199"/>
      <c r="E2423" s="199"/>
      <c r="F2423" s="230" t="s">
        <v>188</v>
      </c>
      <c r="G2423" s="240"/>
      <c r="H2423" s="241"/>
      <c r="I2423" s="438">
        <v>0</v>
      </c>
    </row>
    <row r="2424" spans="1:10" x14ac:dyDescent="0.2">
      <c r="A2424" s="199"/>
      <c r="B2424" s="229"/>
      <c r="C2424" s="229"/>
      <c r="D2424" s="199"/>
      <c r="E2424" s="199"/>
      <c r="F2424" s="199"/>
      <c r="G2424" s="199"/>
      <c r="H2424" s="199"/>
      <c r="I2424" s="439"/>
    </row>
    <row r="2425" spans="1:10" x14ac:dyDescent="0.2">
      <c r="A2425" s="245" t="s">
        <v>189</v>
      </c>
      <c r="B2425" s="243" t="s">
        <v>59</v>
      </c>
      <c r="C2425" s="827" t="s">
        <v>17</v>
      </c>
      <c r="D2425" s="243" t="s">
        <v>190</v>
      </c>
      <c r="E2425" s="243" t="s">
        <v>191</v>
      </c>
      <c r="F2425" s="243" t="s">
        <v>192</v>
      </c>
      <c r="G2425" s="1121" t="s">
        <v>94</v>
      </c>
      <c r="H2425" s="1114"/>
      <c r="I2425" s="1115"/>
    </row>
    <row r="2426" spans="1:10" x14ac:dyDescent="0.2">
      <c r="A2426" s="199"/>
      <c r="B2426" s="229"/>
      <c r="C2426" s="199"/>
      <c r="D2426" s="199"/>
      <c r="E2426" s="199"/>
      <c r="F2426" s="230" t="s">
        <v>327</v>
      </c>
      <c r="G2426" s="240"/>
      <c r="H2426" s="241"/>
      <c r="I2426" s="438">
        <v>0</v>
      </c>
    </row>
    <row r="2427" spans="1:10" x14ac:dyDescent="0.2">
      <c r="A2427" s="199"/>
      <c r="B2427" s="229"/>
      <c r="C2427" s="199"/>
      <c r="D2427" s="199"/>
      <c r="E2427" s="199"/>
      <c r="F2427" s="199"/>
      <c r="G2427" s="199"/>
      <c r="H2427" s="199"/>
      <c r="I2427" s="439"/>
    </row>
    <row r="2428" spans="1:10" x14ac:dyDescent="0.2">
      <c r="A2428" s="247"/>
      <c r="B2428" s="248"/>
      <c r="C2428" s="249"/>
      <c r="D2428" s="249"/>
      <c r="E2428" s="249"/>
      <c r="F2428" s="250" t="s">
        <v>193</v>
      </c>
      <c r="G2428" s="401"/>
      <c r="H2428" s="249"/>
      <c r="I2428" s="445">
        <f>+I2420+I2423+I2426</f>
        <v>580.88</v>
      </c>
    </row>
    <row r="2429" spans="1:10" x14ac:dyDescent="0.2">
      <c r="A2429" s="251"/>
      <c r="B2429" s="252"/>
      <c r="C2429" s="253"/>
      <c r="D2429" s="253"/>
      <c r="E2429" s="253"/>
      <c r="F2429" s="254" t="s">
        <v>194</v>
      </c>
      <c r="G2429" s="255"/>
      <c r="H2429" s="253"/>
      <c r="I2429" s="446">
        <v>1</v>
      </c>
    </row>
    <row r="2430" spans="1:10" x14ac:dyDescent="0.2">
      <c r="A2430" s="233"/>
      <c r="B2430" s="256"/>
      <c r="C2430" s="241"/>
      <c r="D2430" s="241"/>
      <c r="E2430" s="241"/>
      <c r="F2430" s="257" t="s">
        <v>216</v>
      </c>
      <c r="G2430" s="240"/>
      <c r="H2430" s="241"/>
      <c r="I2430" s="447">
        <f>TRUNC(I2428/I2429,2)</f>
        <v>580.88</v>
      </c>
    </row>
    <row r="2431" spans="1:10" x14ac:dyDescent="0.2">
      <c r="A2431" s="826"/>
      <c r="B2431" s="229"/>
      <c r="C2431" s="199"/>
      <c r="D2431" s="199"/>
      <c r="E2431" s="199"/>
      <c r="F2431" s="258"/>
      <c r="G2431" s="199"/>
      <c r="H2431" s="199"/>
      <c r="I2431" s="450"/>
    </row>
    <row r="2432" spans="1:10" x14ac:dyDescent="0.2">
      <c r="A2432" s="242" t="s">
        <v>195</v>
      </c>
      <c r="B2432" s="243" t="s">
        <v>59</v>
      </c>
      <c r="C2432" s="243" t="s">
        <v>196</v>
      </c>
      <c r="D2432" s="243" t="s">
        <v>217</v>
      </c>
      <c r="E2432" s="1121" t="s">
        <v>89</v>
      </c>
      <c r="F2432" s="1114"/>
      <c r="G2432" s="1115"/>
      <c r="H2432" s="1121" t="s">
        <v>183</v>
      </c>
      <c r="I2432" s="1115"/>
    </row>
    <row r="2433" spans="1:11" x14ac:dyDescent="0.2">
      <c r="A2433" s="259"/>
      <c r="B2433" s="234"/>
      <c r="C2433" s="260"/>
      <c r="D2433" s="261"/>
      <c r="E2433" s="255"/>
      <c r="F2433" s="253"/>
      <c r="G2433" s="293"/>
      <c r="H2433" s="255"/>
      <c r="I2433" s="423"/>
    </row>
    <row r="2434" spans="1:11" x14ac:dyDescent="0.2">
      <c r="A2434" s="199"/>
      <c r="B2434" s="229"/>
      <c r="C2434" s="199"/>
      <c r="D2434" s="199"/>
      <c r="E2434" s="199"/>
      <c r="F2434" s="230" t="s">
        <v>197</v>
      </c>
      <c r="G2434" s="240"/>
      <c r="H2434" s="241"/>
      <c r="I2434" s="438">
        <f>SUM(I2433:I2433)</f>
        <v>0</v>
      </c>
    </row>
    <row r="2435" spans="1:11" x14ac:dyDescent="0.2">
      <c r="A2435" s="199"/>
      <c r="B2435" s="229"/>
      <c r="C2435" s="199"/>
      <c r="D2435" s="199"/>
      <c r="E2435" s="199"/>
      <c r="F2435" s="199"/>
      <c r="G2435" s="262"/>
      <c r="H2435" s="199"/>
      <c r="I2435" s="439"/>
    </row>
    <row r="2436" spans="1:11" x14ac:dyDescent="0.2">
      <c r="A2436" s="263" t="s">
        <v>198</v>
      </c>
      <c r="B2436" s="243" t="s">
        <v>59</v>
      </c>
      <c r="C2436" s="243" t="s">
        <v>196</v>
      </c>
      <c r="D2436" s="827" t="s">
        <v>217</v>
      </c>
      <c r="E2436" s="1111" t="s">
        <v>89</v>
      </c>
      <c r="F2436" s="1112"/>
      <c r="G2436" s="1113"/>
      <c r="H2436" s="1114" t="s">
        <v>183</v>
      </c>
      <c r="I2436" s="1115"/>
    </row>
    <row r="2437" spans="1:11" s="198" customFormat="1" ht="33.75" x14ac:dyDescent="0.2">
      <c r="A2437" s="416" t="str">
        <f>VLOOKUP(B2437,'DER 11-20'!$A:$E,2,FALSE)</f>
        <v>Aço CA-50, fornecimento, dobragem e colocação nas formas (preço médio das bitolas)</v>
      </c>
      <c r="B2437" s="417">
        <v>40376</v>
      </c>
      <c r="C2437" s="417" t="str">
        <f>VLOOKUP(B2437,'DER 11-20'!$A:$E,3,FALSE)</f>
        <v>kg</v>
      </c>
      <c r="D2437" s="418">
        <f>TRUNC(VLOOKUP(B2437,'DER 11-20'!$A:$F,6,FALSE)/(1+$I$4),2)</f>
        <v>10.62</v>
      </c>
      <c r="E2437" s="419"/>
      <c r="F2437" s="420"/>
      <c r="G2437" s="421">
        <v>1302</v>
      </c>
      <c r="H2437" s="422"/>
      <c r="I2437" s="423">
        <f>TRUNC(D2437*G2437,2)</f>
        <v>13827.24</v>
      </c>
      <c r="J2437" s="415"/>
      <c r="K2437" s="415"/>
    </row>
    <row r="2438" spans="1:11" s="198" customFormat="1" ht="22.5" x14ac:dyDescent="0.2">
      <c r="A2438" s="416" t="str">
        <f>VLOOKUP(B2438,'DER 11-20'!$A:$E,2,FALSE)</f>
        <v>Concreto de regularização, tudo incluído</v>
      </c>
      <c r="B2438" s="417">
        <v>40349</v>
      </c>
      <c r="C2438" s="417" t="str">
        <f>VLOOKUP(B2438,'DER 11-20'!$A:$E,3,FALSE)</f>
        <v>M3</v>
      </c>
      <c r="D2438" s="418">
        <f>TRUNC(VLOOKUP(B2438,'DER 11-20'!$A:$F,6,FALSE)/(1+$I$4),2)</f>
        <v>434.77</v>
      </c>
      <c r="E2438" s="419"/>
      <c r="F2438" s="420"/>
      <c r="G2438" s="421">
        <v>5.875</v>
      </c>
      <c r="H2438" s="422"/>
      <c r="I2438" s="423">
        <f>TRUNC(D2438*G2438,2)</f>
        <v>2554.27</v>
      </c>
      <c r="J2438" s="415"/>
      <c r="K2438" s="415"/>
    </row>
    <row r="2439" spans="1:11" s="198" customFormat="1" ht="22.5" x14ac:dyDescent="0.2">
      <c r="A2439" s="416" t="str">
        <f>VLOOKUP(B2439,'DER 11-20'!$A:$E,2,FALSE)</f>
        <v>Concreto estrutural fck = 15,0 MPa, tudo incluído</v>
      </c>
      <c r="B2439" s="417">
        <v>40358</v>
      </c>
      <c r="C2439" s="417" t="str">
        <f>VLOOKUP(B2439,'DER 11-20'!$A:$E,3,FALSE)</f>
        <v>M3</v>
      </c>
      <c r="D2439" s="418">
        <f>TRUNC(VLOOKUP(B2439,'DER 11-20'!$A:$F,6,FALSE)/(1+$I$4),2)</f>
        <v>547.26</v>
      </c>
      <c r="E2439" s="419"/>
      <c r="F2439" s="420"/>
      <c r="G2439" s="421">
        <v>18.265000000000001</v>
      </c>
      <c r="H2439" s="422"/>
      <c r="I2439" s="423">
        <f>TRUNC(D2439*G2439,2)</f>
        <v>9995.7000000000007</v>
      </c>
      <c r="J2439" s="415"/>
      <c r="K2439" s="415"/>
    </row>
    <row r="2440" spans="1:11" s="198" customFormat="1" ht="45" x14ac:dyDescent="0.2">
      <c r="A2440" s="416" t="str">
        <f>VLOOKUP(B2440,'DER 11-20'!$A:$E,2,FALSE)</f>
        <v>Formas planas de madeira com 01 (um) reaproveitamento, inclusive fornecimento e transporte das madeiras</v>
      </c>
      <c r="B2440" s="417">
        <v>40311</v>
      </c>
      <c r="C2440" s="417" t="str">
        <f>VLOOKUP(B2440,'DER 11-20'!$A:$E,3,FALSE)</f>
        <v>M2</v>
      </c>
      <c r="D2440" s="418">
        <f>TRUNC(VLOOKUP(B2440,'DER 11-20'!$A:$F,6,FALSE)/(1+$I$4),2)</f>
        <v>100.78</v>
      </c>
      <c r="E2440" s="419"/>
      <c r="F2440" s="420"/>
      <c r="G2440" s="421">
        <v>90.5</v>
      </c>
      <c r="H2440" s="422"/>
      <c r="I2440" s="423">
        <f>TRUNC(D2440*G2440,2)</f>
        <v>9120.59</v>
      </c>
      <c r="J2440" s="415"/>
      <c r="K2440" s="415"/>
    </row>
    <row r="2441" spans="1:11" x14ac:dyDescent="0.2">
      <c r="A2441" s="200"/>
      <c r="B2441" s="264"/>
      <c r="C2441" s="200"/>
      <c r="D2441" s="200"/>
      <c r="E2441" s="200"/>
      <c r="F2441" s="265" t="s">
        <v>199</v>
      </c>
      <c r="G2441" s="255"/>
      <c r="H2441" s="266"/>
      <c r="I2441" s="441">
        <f>SUM(I2437:I2440)</f>
        <v>35497.800000000003</v>
      </c>
    </row>
    <row r="2442" spans="1:11" x14ac:dyDescent="0.2">
      <c r="A2442" s="200"/>
      <c r="B2442" s="264"/>
      <c r="C2442" s="200"/>
      <c r="D2442" s="200"/>
      <c r="E2442" s="200"/>
      <c r="F2442" s="200"/>
      <c r="G2442" s="200"/>
      <c r="H2442" s="200"/>
      <c r="I2442" s="440"/>
    </row>
    <row r="2443" spans="1:11" ht="21.75" customHeight="1" x14ac:dyDescent="0.2">
      <c r="A2443" s="267" t="s">
        <v>200</v>
      </c>
      <c r="B2443" s="268" t="s">
        <v>59</v>
      </c>
      <c r="C2443" s="268" t="s">
        <v>196</v>
      </c>
      <c r="D2443" s="268" t="s">
        <v>201</v>
      </c>
      <c r="E2443" s="268" t="s">
        <v>202</v>
      </c>
      <c r="F2443" s="268" t="s">
        <v>203</v>
      </c>
      <c r="G2443" s="268" t="s">
        <v>94</v>
      </c>
      <c r="H2443" s="268" t="s">
        <v>89</v>
      </c>
      <c r="I2443" s="442" t="s">
        <v>204</v>
      </c>
    </row>
    <row r="2444" spans="1:11" x14ac:dyDescent="0.2">
      <c r="A2444" s="244"/>
      <c r="B2444" s="234"/>
      <c r="C2444" s="234"/>
      <c r="D2444" s="269"/>
      <c r="E2444" s="270"/>
      <c r="F2444" s="270"/>
      <c r="G2444" s="239"/>
      <c r="H2444" s="271"/>
      <c r="I2444" s="418"/>
    </row>
    <row r="2445" spans="1:11" x14ac:dyDescent="0.2">
      <c r="A2445" s="200"/>
      <c r="B2445" s="264"/>
      <c r="C2445" s="200"/>
      <c r="D2445" s="200"/>
      <c r="E2445" s="200"/>
      <c r="F2445" s="265" t="s">
        <v>205</v>
      </c>
      <c r="G2445" s="240"/>
      <c r="H2445" s="272"/>
      <c r="I2445" s="443">
        <f>SUM(I2444:I2444)</f>
        <v>0</v>
      </c>
    </row>
    <row r="2446" spans="1:11" x14ac:dyDescent="0.2">
      <c r="A2446" s="200"/>
      <c r="B2446" s="264"/>
      <c r="C2446" s="200"/>
      <c r="D2446" s="200"/>
      <c r="E2446" s="200"/>
      <c r="F2446" s="200"/>
      <c r="G2446" s="200"/>
      <c r="H2446" s="200"/>
      <c r="I2446" s="444"/>
    </row>
    <row r="2447" spans="1:11" x14ac:dyDescent="0.2">
      <c r="A2447" s="273"/>
      <c r="B2447" s="274"/>
      <c r="C2447" s="275"/>
      <c r="D2447" s="275"/>
      <c r="E2447" s="275"/>
      <c r="F2447" s="276" t="s">
        <v>206</v>
      </c>
      <c r="G2447" s="273"/>
      <c r="H2447" s="249"/>
      <c r="I2447" s="445">
        <f>+I2430+I2434+I2441+I2445</f>
        <v>36078.68</v>
      </c>
    </row>
    <row r="2448" spans="1:11" x14ac:dyDescent="0.2">
      <c r="A2448" s="255"/>
      <c r="B2448" s="277"/>
      <c r="C2448" s="266"/>
      <c r="D2448" s="266"/>
      <c r="E2448" s="266"/>
      <c r="F2448" s="278" t="str">
        <f>CONCATENATE($H$3," ",$I$3)</f>
        <v>BDI: 23,32</v>
      </c>
      <c r="G2448" s="403"/>
      <c r="H2448" s="253"/>
      <c r="I2448" s="446">
        <f>+ROUND(I2447*$I$4,2)</f>
        <v>8413.5499999999993</v>
      </c>
    </row>
    <row r="2449" spans="1:17" x14ac:dyDescent="0.2">
      <c r="A2449" s="240"/>
      <c r="B2449" s="279"/>
      <c r="C2449" s="272"/>
      <c r="D2449" s="272"/>
      <c r="E2449" s="272"/>
      <c r="F2449" s="280" t="s">
        <v>207</v>
      </c>
      <c r="G2449" s="404"/>
      <c r="H2449" s="241"/>
      <c r="I2449" s="720">
        <f>+I2447+I2448</f>
        <v>44492.23</v>
      </c>
    </row>
    <row r="2450" spans="1:17" s="198" customFormat="1" x14ac:dyDescent="0.2">
      <c r="A2450" s="1116" t="str">
        <f>$A$1</f>
        <v>COMPOSIÇÃO DE CUSTOS UNITÁRIOS</v>
      </c>
      <c r="B2450" s="1116"/>
      <c r="C2450" s="1116"/>
      <c r="D2450" s="1116"/>
      <c r="E2450" s="1116"/>
      <c r="F2450" s="1116"/>
      <c r="G2450" s="1116"/>
      <c r="H2450" s="1116"/>
      <c r="I2450" s="1116"/>
      <c r="J2450" s="400"/>
      <c r="K2450" s="400"/>
      <c r="L2450" s="295"/>
      <c r="M2450" s="295"/>
      <c r="N2450" s="295"/>
      <c r="O2450" s="295"/>
      <c r="P2450" s="295"/>
      <c r="Q2450" s="295"/>
    </row>
    <row r="2451" spans="1:17" s="198" customFormat="1" x14ac:dyDescent="0.2">
      <c r="A2451" s="228" t="str">
        <f>$A$2</f>
        <v>Tabela Referencial de Preços - DER-ES</v>
      </c>
      <c r="B2451" s="229"/>
      <c r="C2451" s="199"/>
      <c r="D2451" s="199"/>
      <c r="E2451" s="199"/>
      <c r="F2451" s="199"/>
      <c r="G2451" s="199"/>
      <c r="H2451" s="199"/>
      <c r="I2451" s="414" t="str">
        <f>$I$2</f>
        <v>Data Base: novembro/2020</v>
      </c>
      <c r="J2451" s="400"/>
      <c r="K2451" s="400"/>
      <c r="L2451" s="295"/>
      <c r="M2451" s="295"/>
      <c r="N2451" s="295"/>
      <c r="O2451" s="295"/>
      <c r="P2451" s="295"/>
      <c r="Q2451" s="295"/>
    </row>
    <row r="2452" spans="1:17" s="198" customFormat="1" x14ac:dyDescent="0.2">
      <c r="A2452" s="1117" t="str">
        <f>+CONCATENATE("Serviço: ",J2452," ",VLOOKUP(J2452,'DER 11-20'!$A:$D,2,FALSE))</f>
        <v>Serviço: 40732 Dissipador de energia aplicado a saída de bueiro/descida d'agua de aterro (DEB-01)</v>
      </c>
      <c r="B2452" s="1117"/>
      <c r="C2452" s="1117"/>
      <c r="D2452" s="1117"/>
      <c r="E2452" s="1117"/>
      <c r="F2452" s="1117"/>
      <c r="G2452" s="1117"/>
      <c r="H2452" s="1117"/>
      <c r="I2452" s="1119" t="str">
        <f>CONCATENATE("Unidade: ", VLOOKUP(J2452,'DER 11-20'!$A:$E,3,FALSE))</f>
        <v>Unidade: Ud</v>
      </c>
      <c r="J2452" s="400">
        <v>40732</v>
      </c>
      <c r="K2452" s="400">
        <f>VLOOKUP("Preço Unitário Total",F2453:I4189,4,FALSE)</f>
        <v>719.84</v>
      </c>
      <c r="L2452" s="295" t="str">
        <f>VLOOKUP(J2452,'DER 11-20'!A:E,5,FALSE)</f>
        <v>A incluir</v>
      </c>
      <c r="M2452" s="295" t="str">
        <f>VLOOKUP(J2452,'DER 11-20'!$A:$D,2,FALSE)</f>
        <v>Dissipador de energia aplicado a saída de bueiro/descida d'agua de aterro (DEB-01)</v>
      </c>
      <c r="N2452" s="295"/>
      <c r="O2452" s="295"/>
      <c r="P2452" s="295"/>
      <c r="Q2452" s="295"/>
    </row>
    <row r="2453" spans="1:17" x14ac:dyDescent="0.2">
      <c r="A2453" s="1118"/>
      <c r="B2453" s="1118"/>
      <c r="C2453" s="1118"/>
      <c r="D2453" s="1118"/>
      <c r="E2453" s="1118"/>
      <c r="F2453" s="1118"/>
      <c r="G2453" s="1118"/>
      <c r="H2453" s="1118"/>
      <c r="I2453" s="1120"/>
    </row>
    <row r="2454" spans="1:17" ht="22.5" x14ac:dyDescent="0.2">
      <c r="A2454" s="231" t="s">
        <v>177</v>
      </c>
      <c r="B2454" s="232" t="s">
        <v>59</v>
      </c>
      <c r="C2454" s="232" t="s">
        <v>178</v>
      </c>
      <c r="D2454" s="232" t="s">
        <v>179</v>
      </c>
      <c r="E2454" s="232" t="s">
        <v>180</v>
      </c>
      <c r="F2454" s="232" t="s">
        <v>181</v>
      </c>
      <c r="G2454" s="232" t="s">
        <v>182</v>
      </c>
      <c r="H2454" s="232" t="s">
        <v>89</v>
      </c>
      <c r="I2454" s="434" t="s">
        <v>183</v>
      </c>
    </row>
    <row r="2455" spans="1:17" x14ac:dyDescent="0.2">
      <c r="A2455" s="199"/>
      <c r="B2455" s="229"/>
      <c r="C2455" s="229"/>
      <c r="D2455" s="199"/>
      <c r="E2455" s="199"/>
      <c r="F2455" s="230" t="s">
        <v>184</v>
      </c>
      <c r="G2455" s="240"/>
      <c r="H2455" s="241"/>
      <c r="I2455" s="438">
        <v>0</v>
      </c>
    </row>
    <row r="2456" spans="1:17" x14ac:dyDescent="0.2">
      <c r="A2456" s="199"/>
      <c r="B2456" s="229"/>
      <c r="C2456" s="229"/>
      <c r="D2456" s="199"/>
      <c r="E2456" s="199"/>
      <c r="F2456" s="199"/>
      <c r="G2456" s="199"/>
      <c r="H2456" s="199"/>
      <c r="I2456" s="439"/>
    </row>
    <row r="2457" spans="1:17" x14ac:dyDescent="0.2">
      <c r="A2457" s="242" t="s">
        <v>185</v>
      </c>
      <c r="B2457" s="243" t="s">
        <v>59</v>
      </c>
      <c r="C2457" s="232" t="s">
        <v>357</v>
      </c>
      <c r="D2457" s="243" t="s">
        <v>187</v>
      </c>
      <c r="E2457" s="1111" t="s">
        <v>89</v>
      </c>
      <c r="F2457" s="1112"/>
      <c r="G2457" s="1113"/>
      <c r="H2457" s="1121" t="s">
        <v>183</v>
      </c>
      <c r="I2457" s="1115"/>
    </row>
    <row r="2458" spans="1:17" x14ac:dyDescent="0.2">
      <c r="A2458" s="199"/>
      <c r="B2458" s="229"/>
      <c r="C2458" s="229"/>
      <c r="D2458" s="199"/>
      <c r="E2458" s="199"/>
      <c r="F2458" s="230" t="s">
        <v>188</v>
      </c>
      <c r="G2458" s="240"/>
      <c r="H2458" s="241"/>
      <c r="I2458" s="438">
        <v>0</v>
      </c>
    </row>
    <row r="2459" spans="1:17" x14ac:dyDescent="0.2">
      <c r="A2459" s="199"/>
      <c r="B2459" s="229"/>
      <c r="C2459" s="229"/>
      <c r="D2459" s="199"/>
      <c r="E2459" s="199"/>
      <c r="F2459" s="199"/>
      <c r="G2459" s="199"/>
      <c r="H2459" s="199"/>
      <c r="I2459" s="439"/>
    </row>
    <row r="2460" spans="1:17" x14ac:dyDescent="0.2">
      <c r="A2460" s="245" t="s">
        <v>189</v>
      </c>
      <c r="B2460" s="243" t="s">
        <v>59</v>
      </c>
      <c r="C2460" s="830" t="s">
        <v>17</v>
      </c>
      <c r="D2460" s="243" t="s">
        <v>190</v>
      </c>
      <c r="E2460" s="243" t="s">
        <v>191</v>
      </c>
      <c r="F2460" s="243" t="s">
        <v>192</v>
      </c>
      <c r="G2460" s="1121" t="s">
        <v>94</v>
      </c>
      <c r="H2460" s="1114"/>
      <c r="I2460" s="1115"/>
    </row>
    <row r="2461" spans="1:17" x14ac:dyDescent="0.2">
      <c r="A2461" s="199"/>
      <c r="B2461" s="229"/>
      <c r="C2461" s="199"/>
      <c r="D2461" s="199"/>
      <c r="E2461" s="199"/>
      <c r="F2461" s="230" t="s">
        <v>327</v>
      </c>
      <c r="G2461" s="240"/>
      <c r="H2461" s="241"/>
      <c r="I2461" s="438">
        <v>0</v>
      </c>
    </row>
    <row r="2462" spans="1:17" x14ac:dyDescent="0.2">
      <c r="A2462" s="199"/>
      <c r="B2462" s="229"/>
      <c r="C2462" s="199"/>
      <c r="D2462" s="199"/>
      <c r="E2462" s="199"/>
      <c r="F2462" s="199"/>
      <c r="G2462" s="199"/>
      <c r="H2462" s="199"/>
      <c r="I2462" s="439"/>
    </row>
    <row r="2463" spans="1:17" x14ac:dyDescent="0.2">
      <c r="A2463" s="247"/>
      <c r="B2463" s="248"/>
      <c r="C2463" s="249"/>
      <c r="D2463" s="249"/>
      <c r="E2463" s="249"/>
      <c r="F2463" s="250" t="s">
        <v>193</v>
      </c>
      <c r="G2463" s="401"/>
      <c r="H2463" s="249"/>
      <c r="I2463" s="445">
        <f>+I2455+I2458+I2461</f>
        <v>0</v>
      </c>
    </row>
    <row r="2464" spans="1:17" x14ac:dyDescent="0.2">
      <c r="A2464" s="251"/>
      <c r="B2464" s="252"/>
      <c r="C2464" s="253"/>
      <c r="D2464" s="253"/>
      <c r="E2464" s="253"/>
      <c r="F2464" s="254" t="s">
        <v>194</v>
      </c>
      <c r="G2464" s="255"/>
      <c r="H2464" s="253"/>
      <c r="I2464" s="446">
        <v>1</v>
      </c>
    </row>
    <row r="2465" spans="1:11" x14ac:dyDescent="0.2">
      <c r="A2465" s="233"/>
      <c r="B2465" s="256"/>
      <c r="C2465" s="241"/>
      <c r="D2465" s="241"/>
      <c r="E2465" s="241"/>
      <c r="F2465" s="257" t="s">
        <v>216</v>
      </c>
      <c r="G2465" s="240"/>
      <c r="H2465" s="241"/>
      <c r="I2465" s="447">
        <f>TRUNC(I2463/I2464,2)</f>
        <v>0</v>
      </c>
    </row>
    <row r="2466" spans="1:11" x14ac:dyDescent="0.2">
      <c r="A2466" s="829"/>
      <c r="B2466" s="229"/>
      <c r="C2466" s="199"/>
      <c r="D2466" s="199"/>
      <c r="E2466" s="199"/>
      <c r="F2466" s="258"/>
      <c r="G2466" s="199"/>
      <c r="H2466" s="199"/>
      <c r="I2466" s="450"/>
    </row>
    <row r="2467" spans="1:11" x14ac:dyDescent="0.2">
      <c r="A2467" s="242" t="s">
        <v>195</v>
      </c>
      <c r="B2467" s="243" t="s">
        <v>59</v>
      </c>
      <c r="C2467" s="243" t="s">
        <v>196</v>
      </c>
      <c r="D2467" s="243" t="s">
        <v>217</v>
      </c>
      <c r="E2467" s="1121" t="s">
        <v>89</v>
      </c>
      <c r="F2467" s="1114"/>
      <c r="G2467" s="1115"/>
      <c r="H2467" s="1121" t="s">
        <v>183</v>
      </c>
      <c r="I2467" s="1115"/>
    </row>
    <row r="2468" spans="1:11" x14ac:dyDescent="0.2">
      <c r="A2468" s="259"/>
      <c r="B2468" s="234"/>
      <c r="C2468" s="260"/>
      <c r="D2468" s="261"/>
      <c r="E2468" s="255"/>
      <c r="F2468" s="253"/>
      <c r="G2468" s="293"/>
      <c r="H2468" s="255"/>
      <c r="I2468" s="423"/>
    </row>
    <row r="2469" spans="1:11" x14ac:dyDescent="0.2">
      <c r="A2469" s="199"/>
      <c r="B2469" s="229"/>
      <c r="C2469" s="199"/>
      <c r="D2469" s="199"/>
      <c r="E2469" s="199"/>
      <c r="F2469" s="230" t="s">
        <v>197</v>
      </c>
      <c r="G2469" s="240"/>
      <c r="H2469" s="241"/>
      <c r="I2469" s="438">
        <f>SUM(I2468:I2468)</f>
        <v>0</v>
      </c>
    </row>
    <row r="2470" spans="1:11" x14ac:dyDescent="0.2">
      <c r="A2470" s="199"/>
      <c r="B2470" s="229"/>
      <c r="C2470" s="199"/>
      <c r="D2470" s="199"/>
      <c r="E2470" s="199"/>
      <c r="F2470" s="199"/>
      <c r="G2470" s="262"/>
      <c r="H2470" s="199"/>
      <c r="I2470" s="439"/>
    </row>
    <row r="2471" spans="1:11" x14ac:dyDescent="0.2">
      <c r="A2471" s="263" t="s">
        <v>198</v>
      </c>
      <c r="B2471" s="243" t="s">
        <v>59</v>
      </c>
      <c r="C2471" s="243" t="s">
        <v>196</v>
      </c>
      <c r="D2471" s="830" t="s">
        <v>217</v>
      </c>
      <c r="E2471" s="1111" t="s">
        <v>89</v>
      </c>
      <c r="F2471" s="1112"/>
      <c r="G2471" s="1113"/>
      <c r="H2471" s="1114" t="s">
        <v>183</v>
      </c>
      <c r="I2471" s="1115"/>
    </row>
    <row r="2472" spans="1:11" s="198" customFormat="1" ht="45" x14ac:dyDescent="0.2">
      <c r="A2472" s="416" t="str">
        <f>VLOOKUP(B2472,'DER 11-20'!$A:$E,2,FALSE)</f>
        <v>Alvenaria de pedra de mão argamassada (argamassa cimento areia 1:4), inclusive transporte da pedra</v>
      </c>
      <c r="B2472" s="417">
        <v>40343</v>
      </c>
      <c r="C2472" s="417" t="str">
        <f>VLOOKUP(B2472,'DER 11-20'!$A:$E,3,FALSE)</f>
        <v>M3</v>
      </c>
      <c r="D2472" s="418">
        <f>TRUNC(VLOOKUP(B2472,'DER 11-20'!$A:$F,6,FALSE)/(1+$I$4),2)</f>
        <v>337.39</v>
      </c>
      <c r="E2472" s="419"/>
      <c r="F2472" s="420"/>
      <c r="G2472" s="421">
        <v>0.28999999999999998</v>
      </c>
      <c r="H2472" s="422"/>
      <c r="I2472" s="423">
        <f>TRUNC(D2472*G2472,2)</f>
        <v>97.84</v>
      </c>
      <c r="J2472" s="415"/>
      <c r="K2472" s="415"/>
    </row>
    <row r="2473" spans="1:11" s="198" customFormat="1" x14ac:dyDescent="0.2">
      <c r="A2473" s="416" t="str">
        <f>VLOOKUP(B2473,'DER 11-20'!$A:$E,2,FALSE)</f>
        <v>Apiloamento manual</v>
      </c>
      <c r="B2473" s="417">
        <v>40300</v>
      </c>
      <c r="C2473" s="417" t="str">
        <f>VLOOKUP(B2473,'DER 11-20'!$A:$E,3,FALSE)</f>
        <v>M3</v>
      </c>
      <c r="D2473" s="418">
        <f>TRUNC(VLOOKUP(B2473,'DER 11-20'!$A:$F,6,FALSE)/(1+$I$4),2)</f>
        <v>46.15</v>
      </c>
      <c r="E2473" s="419"/>
      <c r="F2473" s="420"/>
      <c r="G2473" s="421">
        <v>0.2</v>
      </c>
      <c r="H2473" s="422"/>
      <c r="I2473" s="423">
        <f>TRUNC(D2473*G2473,2)</f>
        <v>9.23</v>
      </c>
      <c r="J2473" s="415"/>
      <c r="K2473" s="415"/>
    </row>
    <row r="2474" spans="1:11" s="198" customFormat="1" ht="22.5" x14ac:dyDescent="0.2">
      <c r="A2474" s="416" t="str">
        <f>VLOOKUP(B2474,'DER 11-20'!$A:$E,2,FALSE)</f>
        <v>Concreto estrutural fck = 15,0 MPa, tudo incluído</v>
      </c>
      <c r="B2474" s="417">
        <v>40358</v>
      </c>
      <c r="C2474" s="417" t="str">
        <f>VLOOKUP(B2474,'DER 11-20'!$A:$E,3,FALSE)</f>
        <v>M3</v>
      </c>
      <c r="D2474" s="418">
        <f>TRUNC(VLOOKUP(B2474,'DER 11-20'!$A:$F,6,FALSE)/(1+$I$4),2)</f>
        <v>547.26</v>
      </c>
      <c r="E2474" s="419"/>
      <c r="F2474" s="420"/>
      <c r="G2474" s="421">
        <v>0.30599999999999999</v>
      </c>
      <c r="H2474" s="422"/>
      <c r="I2474" s="423">
        <f>TRUNC(D2474*G2474,2)</f>
        <v>167.46</v>
      </c>
      <c r="J2474" s="415"/>
      <c r="K2474" s="415"/>
    </row>
    <row r="2475" spans="1:11" s="198" customFormat="1" ht="22.5" x14ac:dyDescent="0.2">
      <c r="A2475" s="416" t="str">
        <f>VLOOKUP(B2475,'DER 11-20'!$A:$E,2,FALSE)</f>
        <v>Escavação manual em mat. 1ª cat. H= 0,00 a 1,50 m</v>
      </c>
      <c r="B2475" s="417">
        <v>40258</v>
      </c>
      <c r="C2475" s="417" t="str">
        <f>VLOOKUP(B2475,'DER 11-20'!$A:$E,3,FALSE)</f>
        <v>M3</v>
      </c>
      <c r="D2475" s="418">
        <f>TRUNC(VLOOKUP(B2475,'DER 11-20'!$A:$F,6,FALSE)/(1+$I$4),2)</f>
        <v>56.6</v>
      </c>
      <c r="E2475" s="419"/>
      <c r="F2475" s="420"/>
      <c r="G2475" s="421">
        <v>0.56999999999999995</v>
      </c>
      <c r="H2475" s="422"/>
      <c r="I2475" s="423">
        <f>TRUNC(D2475*G2475,2)</f>
        <v>32.26</v>
      </c>
      <c r="J2475" s="415"/>
      <c r="K2475" s="415"/>
    </row>
    <row r="2476" spans="1:11" s="198" customFormat="1" ht="45" x14ac:dyDescent="0.2">
      <c r="A2476" s="416" t="str">
        <f>VLOOKUP(B2476,'DER 11-20'!$A:$E,2,FALSE)</f>
        <v>Formas planas de madeira com 04 (quatro) reaproveitamentos, inclusive fornecimento e transporte das madeiras</v>
      </c>
      <c r="B2476" s="417">
        <v>40313</v>
      </c>
      <c r="C2476" s="417" t="str">
        <f>VLOOKUP(B2476,'DER 11-20'!$A:$E,3,FALSE)</f>
        <v>M2</v>
      </c>
      <c r="D2476" s="418">
        <f>TRUNC(VLOOKUP(B2476,'DER 11-20'!$A:$F,6,FALSE)/(1+$I$4),2)</f>
        <v>71.56</v>
      </c>
      <c r="E2476" s="419"/>
      <c r="F2476" s="420"/>
      <c r="G2476" s="421">
        <v>3.87</v>
      </c>
      <c r="H2476" s="422"/>
      <c r="I2476" s="423">
        <f>TRUNC(D2476*G2476,2)</f>
        <v>276.93</v>
      </c>
      <c r="J2476" s="415"/>
      <c r="K2476" s="415"/>
    </row>
    <row r="2477" spans="1:11" x14ac:dyDescent="0.2">
      <c r="A2477" s="200"/>
      <c r="B2477" s="264"/>
      <c r="C2477" s="200"/>
      <c r="D2477" s="200"/>
      <c r="E2477" s="200"/>
      <c r="F2477" s="265" t="s">
        <v>199</v>
      </c>
      <c r="G2477" s="255"/>
      <c r="H2477" s="266"/>
      <c r="I2477" s="441">
        <f>SUM(I2472:I2476)</f>
        <v>583.72</v>
      </c>
    </row>
    <row r="2478" spans="1:11" x14ac:dyDescent="0.2">
      <c r="A2478" s="200"/>
      <c r="B2478" s="264"/>
      <c r="C2478" s="200"/>
      <c r="D2478" s="200"/>
      <c r="E2478" s="200"/>
      <c r="F2478" s="200"/>
      <c r="G2478" s="200"/>
      <c r="H2478" s="200"/>
      <c r="I2478" s="440"/>
    </row>
    <row r="2479" spans="1:11" ht="21.75" customHeight="1" x14ac:dyDescent="0.2">
      <c r="A2479" s="267" t="s">
        <v>200</v>
      </c>
      <c r="B2479" s="268" t="s">
        <v>59</v>
      </c>
      <c r="C2479" s="268" t="s">
        <v>196</v>
      </c>
      <c r="D2479" s="268" t="s">
        <v>201</v>
      </c>
      <c r="E2479" s="268" t="s">
        <v>202</v>
      </c>
      <c r="F2479" s="268" t="s">
        <v>203</v>
      </c>
      <c r="G2479" s="268" t="s">
        <v>94</v>
      </c>
      <c r="H2479" s="268" t="s">
        <v>89</v>
      </c>
      <c r="I2479" s="442" t="s">
        <v>204</v>
      </c>
    </row>
    <row r="2480" spans="1:11" x14ac:dyDescent="0.2">
      <c r="A2480" s="244"/>
      <c r="B2480" s="234"/>
      <c r="C2480" s="234"/>
      <c r="D2480" s="269"/>
      <c r="E2480" s="270"/>
      <c r="F2480" s="270"/>
      <c r="G2480" s="239"/>
      <c r="H2480" s="271"/>
      <c r="I2480" s="418"/>
    </row>
    <row r="2481" spans="1:17" x14ac:dyDescent="0.2">
      <c r="A2481" s="200"/>
      <c r="B2481" s="264"/>
      <c r="C2481" s="200"/>
      <c r="D2481" s="200"/>
      <c r="E2481" s="200"/>
      <c r="F2481" s="265" t="s">
        <v>205</v>
      </c>
      <c r="G2481" s="240"/>
      <c r="H2481" s="272"/>
      <c r="I2481" s="443">
        <f>SUM(I2480:I2480)</f>
        <v>0</v>
      </c>
    </row>
    <row r="2482" spans="1:17" x14ac:dyDescent="0.2">
      <c r="A2482" s="200"/>
      <c r="B2482" s="264"/>
      <c r="C2482" s="200"/>
      <c r="D2482" s="200"/>
      <c r="E2482" s="200"/>
      <c r="F2482" s="200"/>
      <c r="G2482" s="200"/>
      <c r="H2482" s="200"/>
      <c r="I2482" s="444"/>
    </row>
    <row r="2483" spans="1:17" x14ac:dyDescent="0.2">
      <c r="A2483" s="273"/>
      <c r="B2483" s="274"/>
      <c r="C2483" s="275"/>
      <c r="D2483" s="275"/>
      <c r="E2483" s="275"/>
      <c r="F2483" s="276" t="s">
        <v>206</v>
      </c>
      <c r="G2483" s="273"/>
      <c r="H2483" s="249"/>
      <c r="I2483" s="445">
        <f>+I2465+I2469+I2477+I2481</f>
        <v>583.72</v>
      </c>
    </row>
    <row r="2484" spans="1:17" x14ac:dyDescent="0.2">
      <c r="A2484" s="255"/>
      <c r="B2484" s="277"/>
      <c r="C2484" s="266"/>
      <c r="D2484" s="266"/>
      <c r="E2484" s="266"/>
      <c r="F2484" s="278" t="str">
        <f>CONCATENATE($H$3," ",$I$3)</f>
        <v>BDI: 23,32</v>
      </c>
      <c r="G2484" s="403"/>
      <c r="H2484" s="253"/>
      <c r="I2484" s="446">
        <f>+ROUND(I2483*$I$4,2)</f>
        <v>136.12</v>
      </c>
    </row>
    <row r="2485" spans="1:17" x14ac:dyDescent="0.2">
      <c r="A2485" s="240"/>
      <c r="B2485" s="279"/>
      <c r="C2485" s="272"/>
      <c r="D2485" s="272"/>
      <c r="E2485" s="272"/>
      <c r="F2485" s="280" t="s">
        <v>207</v>
      </c>
      <c r="G2485" s="404"/>
      <c r="H2485" s="241"/>
      <c r="I2485" s="720">
        <f>+I2483+I2484</f>
        <v>719.84</v>
      </c>
    </row>
    <row r="2486" spans="1:17" s="198" customFormat="1" x14ac:dyDescent="0.2">
      <c r="A2486" s="1116" t="str">
        <f>$A$1</f>
        <v>COMPOSIÇÃO DE CUSTOS UNITÁRIOS</v>
      </c>
      <c r="B2486" s="1116"/>
      <c r="C2486" s="1116"/>
      <c r="D2486" s="1116"/>
      <c r="E2486" s="1116"/>
      <c r="F2486" s="1116"/>
      <c r="G2486" s="1116"/>
      <c r="H2486" s="1116"/>
      <c r="I2486" s="1116"/>
      <c r="J2486" s="400"/>
      <c r="K2486" s="400"/>
      <c r="L2486" s="295"/>
      <c r="M2486" s="295"/>
      <c r="N2486" s="295"/>
      <c r="O2486" s="295"/>
      <c r="P2486" s="295"/>
      <c r="Q2486" s="295"/>
    </row>
    <row r="2487" spans="1:17" s="198" customFormat="1" x14ac:dyDescent="0.2">
      <c r="A2487" s="228" t="str">
        <f>$A$2</f>
        <v>Tabela Referencial de Preços - DER-ES</v>
      </c>
      <c r="B2487" s="229"/>
      <c r="C2487" s="199"/>
      <c r="D2487" s="199"/>
      <c r="E2487" s="199"/>
      <c r="F2487" s="199"/>
      <c r="G2487" s="199"/>
      <c r="H2487" s="199"/>
      <c r="I2487" s="414" t="str">
        <f>$I$2</f>
        <v>Data Base: novembro/2020</v>
      </c>
      <c r="J2487" s="400"/>
      <c r="K2487" s="400"/>
      <c r="L2487" s="295"/>
      <c r="M2487" s="295"/>
      <c r="N2487" s="295"/>
      <c r="O2487" s="295"/>
      <c r="P2487" s="295"/>
      <c r="Q2487" s="295"/>
    </row>
    <row r="2488" spans="1:17" s="198" customFormat="1" x14ac:dyDescent="0.2">
      <c r="A2488" s="1117" t="str">
        <f>+CONCATENATE("Serviço: ",J2488," ",VLOOKUP(J2488,'DER 11-20'!$A:$D,2,FALSE))</f>
        <v>Serviço: 40734 Dissipador de energia aplicado a saída de bueiro/descida d'água de aterro (DEB-03)</v>
      </c>
      <c r="B2488" s="1117"/>
      <c r="C2488" s="1117"/>
      <c r="D2488" s="1117"/>
      <c r="E2488" s="1117"/>
      <c r="F2488" s="1117"/>
      <c r="G2488" s="1117"/>
      <c r="H2488" s="1117"/>
      <c r="I2488" s="1119" t="str">
        <f>CONCATENATE("Unidade: ", VLOOKUP(J2488,'DER 11-20'!$A:$E,3,FALSE))</f>
        <v>Unidade: Ud</v>
      </c>
      <c r="J2488" s="400">
        <v>40734</v>
      </c>
      <c r="K2488" s="400">
        <f>VLOOKUP("Preço Unitário Total",F2489:I4225,4,FALSE)</f>
        <v>2794.88</v>
      </c>
      <c r="L2488" s="295" t="str">
        <f>VLOOKUP(J2488,'DER 11-20'!A:E,5,FALSE)</f>
        <v>A incluir</v>
      </c>
      <c r="M2488" s="295" t="str">
        <f>VLOOKUP(J2488,'DER 11-20'!$A:$D,2,FALSE)</f>
        <v>Dissipador de energia aplicado a saída de bueiro/descida d'água de aterro (DEB-03)</v>
      </c>
      <c r="N2488" s="295"/>
      <c r="O2488" s="295"/>
      <c r="P2488" s="295"/>
      <c r="Q2488" s="295"/>
    </row>
    <row r="2489" spans="1:17" x14ac:dyDescent="0.2">
      <c r="A2489" s="1118"/>
      <c r="B2489" s="1118"/>
      <c r="C2489" s="1118"/>
      <c r="D2489" s="1118"/>
      <c r="E2489" s="1118"/>
      <c r="F2489" s="1118"/>
      <c r="G2489" s="1118"/>
      <c r="H2489" s="1118"/>
      <c r="I2489" s="1120"/>
    </row>
    <row r="2490" spans="1:17" ht="22.5" x14ac:dyDescent="0.2">
      <c r="A2490" s="231" t="s">
        <v>177</v>
      </c>
      <c r="B2490" s="232" t="s">
        <v>59</v>
      </c>
      <c r="C2490" s="232" t="s">
        <v>178</v>
      </c>
      <c r="D2490" s="232" t="s">
        <v>179</v>
      </c>
      <c r="E2490" s="232" t="s">
        <v>180</v>
      </c>
      <c r="F2490" s="232" t="s">
        <v>181</v>
      </c>
      <c r="G2490" s="232" t="s">
        <v>182</v>
      </c>
      <c r="H2490" s="232" t="s">
        <v>89</v>
      </c>
      <c r="I2490" s="434" t="s">
        <v>183</v>
      </c>
    </row>
    <row r="2491" spans="1:17" x14ac:dyDescent="0.2">
      <c r="A2491" s="199"/>
      <c r="B2491" s="229"/>
      <c r="C2491" s="229"/>
      <c r="D2491" s="199"/>
      <c r="E2491" s="199"/>
      <c r="F2491" s="230" t="s">
        <v>184</v>
      </c>
      <c r="G2491" s="240"/>
      <c r="H2491" s="241"/>
      <c r="I2491" s="438">
        <v>0</v>
      </c>
    </row>
    <row r="2492" spans="1:17" x14ac:dyDescent="0.2">
      <c r="A2492" s="199"/>
      <c r="B2492" s="229"/>
      <c r="C2492" s="229"/>
      <c r="D2492" s="199"/>
      <c r="E2492" s="199"/>
      <c r="F2492" s="199"/>
      <c r="G2492" s="199"/>
      <c r="H2492" s="199"/>
      <c r="I2492" s="439"/>
    </row>
    <row r="2493" spans="1:17" x14ac:dyDescent="0.2">
      <c r="A2493" s="242" t="s">
        <v>185</v>
      </c>
      <c r="B2493" s="243" t="s">
        <v>59</v>
      </c>
      <c r="C2493" s="232" t="s">
        <v>357</v>
      </c>
      <c r="D2493" s="243" t="s">
        <v>187</v>
      </c>
      <c r="E2493" s="1111" t="s">
        <v>89</v>
      </c>
      <c r="F2493" s="1112"/>
      <c r="G2493" s="1113"/>
      <c r="H2493" s="1121" t="s">
        <v>183</v>
      </c>
      <c r="I2493" s="1115"/>
    </row>
    <row r="2494" spans="1:17" x14ac:dyDescent="0.2">
      <c r="A2494" s="199"/>
      <c r="B2494" s="229"/>
      <c r="C2494" s="229"/>
      <c r="D2494" s="199"/>
      <c r="E2494" s="199"/>
      <c r="F2494" s="230" t="s">
        <v>188</v>
      </c>
      <c r="G2494" s="240"/>
      <c r="H2494" s="241"/>
      <c r="I2494" s="438">
        <v>0</v>
      </c>
    </row>
    <row r="2495" spans="1:17" x14ac:dyDescent="0.2">
      <c r="A2495" s="199"/>
      <c r="B2495" s="229"/>
      <c r="C2495" s="229"/>
      <c r="D2495" s="199"/>
      <c r="E2495" s="199"/>
      <c r="F2495" s="199"/>
      <c r="G2495" s="199"/>
      <c r="H2495" s="199"/>
      <c r="I2495" s="439"/>
    </row>
    <row r="2496" spans="1:17" x14ac:dyDescent="0.2">
      <c r="A2496" s="245" t="s">
        <v>189</v>
      </c>
      <c r="B2496" s="243" t="s">
        <v>59</v>
      </c>
      <c r="C2496" s="830" t="s">
        <v>17</v>
      </c>
      <c r="D2496" s="243" t="s">
        <v>190</v>
      </c>
      <c r="E2496" s="243" t="s">
        <v>191</v>
      </c>
      <c r="F2496" s="243" t="s">
        <v>192</v>
      </c>
      <c r="G2496" s="1121" t="s">
        <v>94</v>
      </c>
      <c r="H2496" s="1114"/>
      <c r="I2496" s="1115"/>
    </row>
    <row r="2497" spans="1:11" x14ac:dyDescent="0.2">
      <c r="A2497" s="199"/>
      <c r="B2497" s="229"/>
      <c r="C2497" s="199"/>
      <c r="D2497" s="199"/>
      <c r="E2497" s="199"/>
      <c r="F2497" s="230" t="s">
        <v>327</v>
      </c>
      <c r="G2497" s="240"/>
      <c r="H2497" s="241"/>
      <c r="I2497" s="438">
        <v>0</v>
      </c>
    </row>
    <row r="2498" spans="1:11" x14ac:dyDescent="0.2">
      <c r="A2498" s="199"/>
      <c r="B2498" s="229"/>
      <c r="C2498" s="199"/>
      <c r="D2498" s="199"/>
      <c r="E2498" s="199"/>
      <c r="F2498" s="199"/>
      <c r="G2498" s="199"/>
      <c r="H2498" s="199"/>
      <c r="I2498" s="439"/>
    </row>
    <row r="2499" spans="1:11" x14ac:dyDescent="0.2">
      <c r="A2499" s="247"/>
      <c r="B2499" s="248"/>
      <c r="C2499" s="249"/>
      <c r="D2499" s="249"/>
      <c r="E2499" s="249"/>
      <c r="F2499" s="250" t="s">
        <v>193</v>
      </c>
      <c r="G2499" s="401"/>
      <c r="H2499" s="249"/>
      <c r="I2499" s="445">
        <f>+I2491+I2494+I2497</f>
        <v>0</v>
      </c>
    </row>
    <row r="2500" spans="1:11" x14ac:dyDescent="0.2">
      <c r="A2500" s="251"/>
      <c r="B2500" s="252"/>
      <c r="C2500" s="253"/>
      <c r="D2500" s="253"/>
      <c r="E2500" s="253"/>
      <c r="F2500" s="254" t="s">
        <v>194</v>
      </c>
      <c r="G2500" s="255"/>
      <c r="H2500" s="253"/>
      <c r="I2500" s="446">
        <v>1</v>
      </c>
    </row>
    <row r="2501" spans="1:11" x14ac:dyDescent="0.2">
      <c r="A2501" s="233"/>
      <c r="B2501" s="256"/>
      <c r="C2501" s="241"/>
      <c r="D2501" s="241"/>
      <c r="E2501" s="241"/>
      <c r="F2501" s="257" t="s">
        <v>216</v>
      </c>
      <c r="G2501" s="240"/>
      <c r="H2501" s="241"/>
      <c r="I2501" s="447">
        <f>TRUNC(I2499/I2500,2)</f>
        <v>0</v>
      </c>
    </row>
    <row r="2502" spans="1:11" x14ac:dyDescent="0.2">
      <c r="A2502" s="829"/>
      <c r="B2502" s="229"/>
      <c r="C2502" s="199"/>
      <c r="D2502" s="199"/>
      <c r="E2502" s="199"/>
      <c r="F2502" s="258"/>
      <c r="G2502" s="199"/>
      <c r="H2502" s="199"/>
      <c r="I2502" s="450"/>
    </row>
    <row r="2503" spans="1:11" x14ac:dyDescent="0.2">
      <c r="A2503" s="242" t="s">
        <v>195</v>
      </c>
      <c r="B2503" s="243" t="s">
        <v>59</v>
      </c>
      <c r="C2503" s="243" t="s">
        <v>196</v>
      </c>
      <c r="D2503" s="243" t="s">
        <v>217</v>
      </c>
      <c r="E2503" s="1121" t="s">
        <v>89</v>
      </c>
      <c r="F2503" s="1114"/>
      <c r="G2503" s="1115"/>
      <c r="H2503" s="1121" t="s">
        <v>183</v>
      </c>
      <c r="I2503" s="1115"/>
    </row>
    <row r="2504" spans="1:11" x14ac:dyDescent="0.2">
      <c r="A2504" s="259"/>
      <c r="B2504" s="234"/>
      <c r="C2504" s="260"/>
      <c r="D2504" s="261"/>
      <c r="E2504" s="255"/>
      <c r="F2504" s="253"/>
      <c r="G2504" s="293"/>
      <c r="H2504" s="255"/>
      <c r="I2504" s="423"/>
    </row>
    <row r="2505" spans="1:11" x14ac:dyDescent="0.2">
      <c r="A2505" s="199"/>
      <c r="B2505" s="229"/>
      <c r="C2505" s="199"/>
      <c r="D2505" s="199"/>
      <c r="E2505" s="199"/>
      <c r="F2505" s="230" t="s">
        <v>197</v>
      </c>
      <c r="G2505" s="240"/>
      <c r="H2505" s="241"/>
      <c r="I2505" s="438">
        <f>SUM(I2504:I2504)</f>
        <v>0</v>
      </c>
    </row>
    <row r="2506" spans="1:11" x14ac:dyDescent="0.2">
      <c r="A2506" s="199"/>
      <c r="B2506" s="229"/>
      <c r="C2506" s="199"/>
      <c r="D2506" s="199"/>
      <c r="E2506" s="199"/>
      <c r="F2506" s="199"/>
      <c r="G2506" s="262"/>
      <c r="H2506" s="199"/>
      <c r="I2506" s="439"/>
    </row>
    <row r="2507" spans="1:11" x14ac:dyDescent="0.2">
      <c r="A2507" s="263" t="s">
        <v>198</v>
      </c>
      <c r="B2507" s="243" t="s">
        <v>59</v>
      </c>
      <c r="C2507" s="243" t="s">
        <v>196</v>
      </c>
      <c r="D2507" s="830" t="s">
        <v>217</v>
      </c>
      <c r="E2507" s="1111" t="s">
        <v>89</v>
      </c>
      <c r="F2507" s="1112"/>
      <c r="G2507" s="1113"/>
      <c r="H2507" s="1114" t="s">
        <v>183</v>
      </c>
      <c r="I2507" s="1115"/>
    </row>
    <row r="2508" spans="1:11" s="198" customFormat="1" ht="45" x14ac:dyDescent="0.2">
      <c r="A2508" s="416" t="str">
        <f>VLOOKUP(B2508,'DER 11-20'!$A:$E,2,FALSE)</f>
        <v>Alvenaria de pedra de mão argamassada (argamassa cimento areia 1:4), inclusive transporte da pedra</v>
      </c>
      <c r="B2508" s="417">
        <v>40343</v>
      </c>
      <c r="C2508" s="417" t="str">
        <f>VLOOKUP(B2508,'DER 11-20'!$A:$E,3,FALSE)</f>
        <v>M3</v>
      </c>
      <c r="D2508" s="418">
        <f>TRUNC(VLOOKUP(B2508,'DER 11-20'!$A:$F,6,FALSE)/(1+$I$4),2)</f>
        <v>337.39</v>
      </c>
      <c r="E2508" s="419"/>
      <c r="F2508" s="420"/>
      <c r="G2508" s="421">
        <v>2.5299999999999998</v>
      </c>
      <c r="H2508" s="422"/>
      <c r="I2508" s="423">
        <f>TRUNC(D2508*G2508,2)</f>
        <v>853.59</v>
      </c>
      <c r="J2508" s="415"/>
      <c r="K2508" s="415"/>
    </row>
    <row r="2509" spans="1:11" s="198" customFormat="1" x14ac:dyDescent="0.2">
      <c r="A2509" s="416" t="str">
        <f>VLOOKUP(B2509,'DER 11-20'!$A:$E,2,FALSE)</f>
        <v>Apiloamento manual</v>
      </c>
      <c r="B2509" s="417">
        <v>40300</v>
      </c>
      <c r="C2509" s="417" t="str">
        <f>VLOOKUP(B2509,'DER 11-20'!$A:$E,3,FALSE)</f>
        <v>M3</v>
      </c>
      <c r="D2509" s="418">
        <f>TRUNC(VLOOKUP(B2509,'DER 11-20'!$A:$F,6,FALSE)/(1+$I$4),2)</f>
        <v>46.15</v>
      </c>
      <c r="E2509" s="419"/>
      <c r="F2509" s="420"/>
      <c r="G2509" s="421">
        <v>0.4</v>
      </c>
      <c r="H2509" s="422"/>
      <c r="I2509" s="423">
        <f>TRUNC(D2509*G2509,2)</f>
        <v>18.46</v>
      </c>
      <c r="J2509" s="415"/>
      <c r="K2509" s="415"/>
    </row>
    <row r="2510" spans="1:11" s="198" customFormat="1" ht="22.5" x14ac:dyDescent="0.2">
      <c r="A2510" s="416" t="str">
        <f>VLOOKUP(B2510,'DER 11-20'!$A:$E,2,FALSE)</f>
        <v>Concreto estrutural fck = 15,0 MPa, tudo incluído</v>
      </c>
      <c r="B2510" s="417">
        <v>40358</v>
      </c>
      <c r="C2510" s="417" t="str">
        <f>VLOOKUP(B2510,'DER 11-20'!$A:$E,3,FALSE)</f>
        <v>M3</v>
      </c>
      <c r="D2510" s="418">
        <f>TRUNC(VLOOKUP(B2510,'DER 11-20'!$A:$F,6,FALSE)/(1+$I$4),2)</f>
        <v>547.26</v>
      </c>
      <c r="E2510" s="419"/>
      <c r="F2510" s="420"/>
      <c r="G2510" s="421">
        <v>1.258</v>
      </c>
      <c r="H2510" s="422"/>
      <c r="I2510" s="423">
        <f>TRUNC(D2510*G2510,2)</f>
        <v>688.45</v>
      </c>
      <c r="J2510" s="415"/>
      <c r="K2510" s="415"/>
    </row>
    <row r="2511" spans="1:11" s="198" customFormat="1" ht="22.5" x14ac:dyDescent="0.2">
      <c r="A2511" s="416" t="str">
        <f>VLOOKUP(B2511,'DER 11-20'!$A:$E,2,FALSE)</f>
        <v>Escavação manual em mat. 1ª cat. H= 0,00 a 1,50 m</v>
      </c>
      <c r="B2511" s="417">
        <v>40258</v>
      </c>
      <c r="C2511" s="417" t="str">
        <f>VLOOKUP(B2511,'DER 11-20'!$A:$E,3,FALSE)</f>
        <v>M3</v>
      </c>
      <c r="D2511" s="418">
        <f>TRUNC(VLOOKUP(B2511,'DER 11-20'!$A:$F,6,FALSE)/(1+$I$4),2)</f>
        <v>56.6</v>
      </c>
      <c r="E2511" s="419"/>
      <c r="F2511" s="420"/>
      <c r="G2511" s="421">
        <v>3.09</v>
      </c>
      <c r="H2511" s="422"/>
      <c r="I2511" s="423">
        <f>TRUNC(D2511*G2511,2)</f>
        <v>174.89</v>
      </c>
      <c r="J2511" s="415"/>
      <c r="K2511" s="415"/>
    </row>
    <row r="2512" spans="1:11" s="198" customFormat="1" ht="45" x14ac:dyDescent="0.2">
      <c r="A2512" s="416" t="str">
        <f>VLOOKUP(B2512,'DER 11-20'!$A:$E,2,FALSE)</f>
        <v>Formas planas de madeira com 04 (quatro) reaproveitamentos, inclusive fornecimento e transporte das madeiras</v>
      </c>
      <c r="B2512" s="417">
        <v>40313</v>
      </c>
      <c r="C2512" s="417" t="str">
        <f>VLOOKUP(B2512,'DER 11-20'!$A:$E,3,FALSE)</f>
        <v>M2</v>
      </c>
      <c r="D2512" s="418">
        <f>TRUNC(VLOOKUP(B2512,'DER 11-20'!$A:$F,6,FALSE)/(1+$I$4),2)</f>
        <v>71.56</v>
      </c>
      <c r="E2512" s="419"/>
      <c r="F2512" s="420"/>
      <c r="G2512" s="421">
        <v>7.42</v>
      </c>
      <c r="H2512" s="422"/>
      <c r="I2512" s="423">
        <f>TRUNC(D2512*G2512,2)</f>
        <v>530.97</v>
      </c>
      <c r="J2512" s="415"/>
      <c r="K2512" s="415"/>
    </row>
    <row r="2513" spans="1:17" x14ac:dyDescent="0.2">
      <c r="A2513" s="200"/>
      <c r="B2513" s="264"/>
      <c r="C2513" s="200"/>
      <c r="D2513" s="200"/>
      <c r="E2513" s="200"/>
      <c r="F2513" s="265" t="s">
        <v>199</v>
      </c>
      <c r="G2513" s="255"/>
      <c r="H2513" s="266"/>
      <c r="I2513" s="441">
        <f>SUM(I2508:I2512)</f>
        <v>2266.36</v>
      </c>
    </row>
    <row r="2514" spans="1:17" x14ac:dyDescent="0.2">
      <c r="A2514" s="200"/>
      <c r="B2514" s="264"/>
      <c r="C2514" s="200"/>
      <c r="D2514" s="200"/>
      <c r="E2514" s="200"/>
      <c r="F2514" s="200"/>
      <c r="G2514" s="200"/>
      <c r="H2514" s="200"/>
      <c r="I2514" s="440"/>
    </row>
    <row r="2515" spans="1:17" ht="21.75" customHeight="1" x14ac:dyDescent="0.2">
      <c r="A2515" s="267" t="s">
        <v>200</v>
      </c>
      <c r="B2515" s="268" t="s">
        <v>59</v>
      </c>
      <c r="C2515" s="268" t="s">
        <v>196</v>
      </c>
      <c r="D2515" s="268" t="s">
        <v>201</v>
      </c>
      <c r="E2515" s="268" t="s">
        <v>202</v>
      </c>
      <c r="F2515" s="268" t="s">
        <v>203</v>
      </c>
      <c r="G2515" s="268" t="s">
        <v>94</v>
      </c>
      <c r="H2515" s="268" t="s">
        <v>89</v>
      </c>
      <c r="I2515" s="442" t="s">
        <v>204</v>
      </c>
    </row>
    <row r="2516" spans="1:17" x14ac:dyDescent="0.2">
      <c r="A2516" s="244"/>
      <c r="B2516" s="234"/>
      <c r="C2516" s="234"/>
      <c r="D2516" s="269"/>
      <c r="E2516" s="270"/>
      <c r="F2516" s="270"/>
      <c r="G2516" s="239"/>
      <c r="H2516" s="271"/>
      <c r="I2516" s="418"/>
    </row>
    <row r="2517" spans="1:17" x14ac:dyDescent="0.2">
      <c r="A2517" s="200"/>
      <c r="B2517" s="264"/>
      <c r="C2517" s="200"/>
      <c r="D2517" s="200"/>
      <c r="E2517" s="200"/>
      <c r="F2517" s="265" t="s">
        <v>205</v>
      </c>
      <c r="G2517" s="240"/>
      <c r="H2517" s="272"/>
      <c r="I2517" s="443">
        <f>SUM(I2516:I2516)</f>
        <v>0</v>
      </c>
    </row>
    <row r="2518" spans="1:17" x14ac:dyDescent="0.2">
      <c r="A2518" s="200"/>
      <c r="B2518" s="264"/>
      <c r="C2518" s="200"/>
      <c r="D2518" s="200"/>
      <c r="E2518" s="200"/>
      <c r="F2518" s="200"/>
      <c r="G2518" s="200"/>
      <c r="H2518" s="200"/>
      <c r="I2518" s="444"/>
    </row>
    <row r="2519" spans="1:17" x14ac:dyDescent="0.2">
      <c r="A2519" s="273"/>
      <c r="B2519" s="274"/>
      <c r="C2519" s="275"/>
      <c r="D2519" s="275"/>
      <c r="E2519" s="275"/>
      <c r="F2519" s="276" t="s">
        <v>206</v>
      </c>
      <c r="G2519" s="273"/>
      <c r="H2519" s="249"/>
      <c r="I2519" s="445">
        <f>+I2501+I2505+I2513+I2517</f>
        <v>2266.36</v>
      </c>
    </row>
    <row r="2520" spans="1:17" x14ac:dyDescent="0.2">
      <c r="A2520" s="255"/>
      <c r="B2520" s="277"/>
      <c r="C2520" s="266"/>
      <c r="D2520" s="266"/>
      <c r="E2520" s="266"/>
      <c r="F2520" s="278" t="str">
        <f>CONCATENATE($H$3," ",$I$3)</f>
        <v>BDI: 23,32</v>
      </c>
      <c r="G2520" s="403"/>
      <c r="H2520" s="253"/>
      <c r="I2520" s="446">
        <f>+ROUND(I2519*$I$4,2)</f>
        <v>528.52</v>
      </c>
    </row>
    <row r="2521" spans="1:17" x14ac:dyDescent="0.2">
      <c r="A2521" s="240"/>
      <c r="B2521" s="279"/>
      <c r="C2521" s="272"/>
      <c r="D2521" s="272"/>
      <c r="E2521" s="272"/>
      <c r="F2521" s="280" t="s">
        <v>207</v>
      </c>
      <c r="G2521" s="404"/>
      <c r="H2521" s="241"/>
      <c r="I2521" s="720">
        <f>+I2519+I2520</f>
        <v>2794.88</v>
      </c>
    </row>
    <row r="2522" spans="1:17" s="198" customFormat="1" x14ac:dyDescent="0.2">
      <c r="A2522" s="1116" t="str">
        <f>$A$1</f>
        <v>COMPOSIÇÃO DE CUSTOS UNITÁRIOS</v>
      </c>
      <c r="B2522" s="1116"/>
      <c r="C2522" s="1116"/>
      <c r="D2522" s="1116"/>
      <c r="E2522" s="1116"/>
      <c r="F2522" s="1116"/>
      <c r="G2522" s="1116"/>
      <c r="H2522" s="1116"/>
      <c r="I2522" s="1116"/>
      <c r="J2522" s="400"/>
      <c r="K2522" s="400"/>
      <c r="L2522" s="295"/>
      <c r="M2522" s="295"/>
      <c r="N2522" s="295"/>
      <c r="O2522" s="295"/>
      <c r="P2522" s="295"/>
      <c r="Q2522" s="295"/>
    </row>
    <row r="2523" spans="1:17" s="198" customFormat="1" x14ac:dyDescent="0.2">
      <c r="A2523" s="228" t="str">
        <f>$A$2</f>
        <v>Tabela Referencial de Preços - DER-ES</v>
      </c>
      <c r="B2523" s="229"/>
      <c r="C2523" s="199"/>
      <c r="D2523" s="199"/>
      <c r="E2523" s="199"/>
      <c r="F2523" s="199"/>
      <c r="G2523" s="199"/>
      <c r="H2523" s="199"/>
      <c r="I2523" s="414" t="str">
        <f>$I$2</f>
        <v>Data Base: novembro/2020</v>
      </c>
      <c r="J2523" s="400"/>
      <c r="K2523" s="400"/>
      <c r="L2523" s="295"/>
      <c r="M2523" s="295"/>
      <c r="N2523" s="295"/>
      <c r="O2523" s="295"/>
      <c r="P2523" s="295"/>
      <c r="Q2523" s="295"/>
    </row>
    <row r="2524" spans="1:17" s="198" customFormat="1" x14ac:dyDescent="0.2">
      <c r="A2524" s="1117" t="str">
        <f>+CONCATENATE("Serviço: ",J2524," ",VLOOKUP(J2524,'DER 11-20'!$A:$D,2,FALSE))</f>
        <v>Serviço: 40735 Dissipador de energia aplicado a saída de bueiro/descida d'água de aterro (DEB-04)</v>
      </c>
      <c r="B2524" s="1117"/>
      <c r="C2524" s="1117"/>
      <c r="D2524" s="1117"/>
      <c r="E2524" s="1117"/>
      <c r="F2524" s="1117"/>
      <c r="G2524" s="1117"/>
      <c r="H2524" s="1117"/>
      <c r="I2524" s="1119" t="str">
        <f>CONCATENATE("Unidade: ", VLOOKUP(J2524,'DER 11-20'!$A:$E,3,FALSE))</f>
        <v>Unidade: Ud</v>
      </c>
      <c r="J2524" s="400">
        <v>40735</v>
      </c>
      <c r="K2524" s="400">
        <f>VLOOKUP("Preço Unitário Total",F2525:I4261,4,FALSE)</f>
        <v>4038.06</v>
      </c>
      <c r="L2524" s="295" t="str">
        <f>VLOOKUP(J2524,'DER 11-20'!A:E,5,FALSE)</f>
        <v>A incluir</v>
      </c>
      <c r="M2524" s="295" t="str">
        <f>VLOOKUP(J2524,'DER 11-20'!$A:$D,2,FALSE)</f>
        <v>Dissipador de energia aplicado a saída de bueiro/descida d'água de aterro (DEB-04)</v>
      </c>
      <c r="N2524" s="295"/>
      <c r="O2524" s="295"/>
      <c r="P2524" s="295"/>
      <c r="Q2524" s="295"/>
    </row>
    <row r="2525" spans="1:17" x14ac:dyDescent="0.2">
      <c r="A2525" s="1118"/>
      <c r="B2525" s="1118"/>
      <c r="C2525" s="1118"/>
      <c r="D2525" s="1118"/>
      <c r="E2525" s="1118"/>
      <c r="F2525" s="1118"/>
      <c r="G2525" s="1118"/>
      <c r="H2525" s="1118"/>
      <c r="I2525" s="1120"/>
    </row>
    <row r="2526" spans="1:17" ht="22.5" x14ac:dyDescent="0.2">
      <c r="A2526" s="231" t="s">
        <v>177</v>
      </c>
      <c r="B2526" s="232" t="s">
        <v>59</v>
      </c>
      <c r="C2526" s="232" t="s">
        <v>178</v>
      </c>
      <c r="D2526" s="232" t="s">
        <v>179</v>
      </c>
      <c r="E2526" s="232" t="s">
        <v>180</v>
      </c>
      <c r="F2526" s="232" t="s">
        <v>181</v>
      </c>
      <c r="G2526" s="232" t="s">
        <v>182</v>
      </c>
      <c r="H2526" s="232" t="s">
        <v>89</v>
      </c>
      <c r="I2526" s="434" t="s">
        <v>183</v>
      </c>
    </row>
    <row r="2527" spans="1:17" x14ac:dyDescent="0.2">
      <c r="A2527" s="199"/>
      <c r="B2527" s="229"/>
      <c r="C2527" s="229"/>
      <c r="D2527" s="199"/>
      <c r="E2527" s="199"/>
      <c r="F2527" s="230" t="s">
        <v>184</v>
      </c>
      <c r="G2527" s="240"/>
      <c r="H2527" s="241"/>
      <c r="I2527" s="438">
        <v>0</v>
      </c>
    </row>
    <row r="2528" spans="1:17" x14ac:dyDescent="0.2">
      <c r="A2528" s="199"/>
      <c r="B2528" s="229"/>
      <c r="C2528" s="229"/>
      <c r="D2528" s="199"/>
      <c r="E2528" s="199"/>
      <c r="F2528" s="199"/>
      <c r="G2528" s="199"/>
      <c r="H2528" s="199"/>
      <c r="I2528" s="439"/>
    </row>
    <row r="2529" spans="1:11" x14ac:dyDescent="0.2">
      <c r="A2529" s="242" t="s">
        <v>185</v>
      </c>
      <c r="B2529" s="243" t="s">
        <v>59</v>
      </c>
      <c r="C2529" s="232" t="s">
        <v>357</v>
      </c>
      <c r="D2529" s="243" t="s">
        <v>187</v>
      </c>
      <c r="E2529" s="1111" t="s">
        <v>89</v>
      </c>
      <c r="F2529" s="1112"/>
      <c r="G2529" s="1113"/>
      <c r="H2529" s="1121" t="s">
        <v>183</v>
      </c>
      <c r="I2529" s="1115"/>
    </row>
    <row r="2530" spans="1:11" x14ac:dyDescent="0.2">
      <c r="A2530" s="199"/>
      <c r="B2530" s="229"/>
      <c r="C2530" s="229"/>
      <c r="D2530" s="199"/>
      <c r="E2530" s="199"/>
      <c r="F2530" s="230" t="s">
        <v>188</v>
      </c>
      <c r="G2530" s="240"/>
      <c r="H2530" s="241"/>
      <c r="I2530" s="438">
        <v>0</v>
      </c>
    </row>
    <row r="2531" spans="1:11" x14ac:dyDescent="0.2">
      <c r="A2531" s="199"/>
      <c r="B2531" s="229"/>
      <c r="C2531" s="229"/>
      <c r="D2531" s="199"/>
      <c r="E2531" s="199"/>
      <c r="F2531" s="199"/>
      <c r="G2531" s="199"/>
      <c r="H2531" s="199"/>
      <c r="I2531" s="439"/>
    </row>
    <row r="2532" spans="1:11" x14ac:dyDescent="0.2">
      <c r="A2532" s="245" t="s">
        <v>189</v>
      </c>
      <c r="B2532" s="243" t="s">
        <v>59</v>
      </c>
      <c r="C2532" s="830" t="s">
        <v>17</v>
      </c>
      <c r="D2532" s="243" t="s">
        <v>190</v>
      </c>
      <c r="E2532" s="243" t="s">
        <v>191</v>
      </c>
      <c r="F2532" s="243" t="s">
        <v>192</v>
      </c>
      <c r="G2532" s="1121" t="s">
        <v>94</v>
      </c>
      <c r="H2532" s="1114"/>
      <c r="I2532" s="1115"/>
    </row>
    <row r="2533" spans="1:11" x14ac:dyDescent="0.2">
      <c r="A2533" s="199"/>
      <c r="B2533" s="229"/>
      <c r="C2533" s="199"/>
      <c r="D2533" s="199"/>
      <c r="E2533" s="199"/>
      <c r="F2533" s="230" t="s">
        <v>327</v>
      </c>
      <c r="G2533" s="240"/>
      <c r="H2533" s="241"/>
      <c r="I2533" s="438">
        <v>0</v>
      </c>
    </row>
    <row r="2534" spans="1:11" x14ac:dyDescent="0.2">
      <c r="A2534" s="199"/>
      <c r="B2534" s="229"/>
      <c r="C2534" s="199"/>
      <c r="D2534" s="199"/>
      <c r="E2534" s="199"/>
      <c r="F2534" s="199"/>
      <c r="G2534" s="199"/>
      <c r="H2534" s="199"/>
      <c r="I2534" s="439"/>
    </row>
    <row r="2535" spans="1:11" x14ac:dyDescent="0.2">
      <c r="A2535" s="247"/>
      <c r="B2535" s="248"/>
      <c r="C2535" s="249"/>
      <c r="D2535" s="249"/>
      <c r="E2535" s="249"/>
      <c r="F2535" s="250" t="s">
        <v>193</v>
      </c>
      <c r="G2535" s="401"/>
      <c r="H2535" s="249"/>
      <c r="I2535" s="445">
        <f>+I2527+I2530+I2533</f>
        <v>0</v>
      </c>
    </row>
    <row r="2536" spans="1:11" x14ac:dyDescent="0.2">
      <c r="A2536" s="251"/>
      <c r="B2536" s="252"/>
      <c r="C2536" s="253"/>
      <c r="D2536" s="253"/>
      <c r="E2536" s="253"/>
      <c r="F2536" s="254" t="s">
        <v>194</v>
      </c>
      <c r="G2536" s="255"/>
      <c r="H2536" s="253"/>
      <c r="I2536" s="446">
        <v>1</v>
      </c>
    </row>
    <row r="2537" spans="1:11" x14ac:dyDescent="0.2">
      <c r="A2537" s="233"/>
      <c r="B2537" s="256"/>
      <c r="C2537" s="241"/>
      <c r="D2537" s="241"/>
      <c r="E2537" s="241"/>
      <c r="F2537" s="257" t="s">
        <v>216</v>
      </c>
      <c r="G2537" s="240"/>
      <c r="H2537" s="241"/>
      <c r="I2537" s="447">
        <f>TRUNC(I2535/I2536,2)</f>
        <v>0</v>
      </c>
    </row>
    <row r="2538" spans="1:11" x14ac:dyDescent="0.2">
      <c r="A2538" s="829"/>
      <c r="B2538" s="229"/>
      <c r="C2538" s="199"/>
      <c r="D2538" s="199"/>
      <c r="E2538" s="199"/>
      <c r="F2538" s="258"/>
      <c r="G2538" s="199"/>
      <c r="H2538" s="199"/>
      <c r="I2538" s="450"/>
    </row>
    <row r="2539" spans="1:11" x14ac:dyDescent="0.2">
      <c r="A2539" s="242" t="s">
        <v>195</v>
      </c>
      <c r="B2539" s="243" t="s">
        <v>59</v>
      </c>
      <c r="C2539" s="243" t="s">
        <v>196</v>
      </c>
      <c r="D2539" s="243" t="s">
        <v>217</v>
      </c>
      <c r="E2539" s="1121" t="s">
        <v>89</v>
      </c>
      <c r="F2539" s="1114"/>
      <c r="G2539" s="1115"/>
      <c r="H2539" s="1121" t="s">
        <v>183</v>
      </c>
      <c r="I2539" s="1115"/>
    </row>
    <row r="2540" spans="1:11" x14ac:dyDescent="0.2">
      <c r="A2540" s="259"/>
      <c r="B2540" s="234"/>
      <c r="C2540" s="260"/>
      <c r="D2540" s="261"/>
      <c r="E2540" s="255"/>
      <c r="F2540" s="253"/>
      <c r="G2540" s="293"/>
      <c r="H2540" s="255"/>
      <c r="I2540" s="423"/>
    </row>
    <row r="2541" spans="1:11" x14ac:dyDescent="0.2">
      <c r="A2541" s="199"/>
      <c r="B2541" s="229"/>
      <c r="C2541" s="199"/>
      <c r="D2541" s="199"/>
      <c r="E2541" s="199"/>
      <c r="F2541" s="230" t="s">
        <v>197</v>
      </c>
      <c r="G2541" s="240"/>
      <c r="H2541" s="241"/>
      <c r="I2541" s="438">
        <f>SUM(I2540:I2540)</f>
        <v>0</v>
      </c>
    </row>
    <row r="2542" spans="1:11" x14ac:dyDescent="0.2">
      <c r="A2542" s="199"/>
      <c r="B2542" s="229"/>
      <c r="C2542" s="199"/>
      <c r="D2542" s="199"/>
      <c r="E2542" s="199"/>
      <c r="F2542" s="199"/>
      <c r="G2542" s="262"/>
      <c r="H2542" s="199"/>
      <c r="I2542" s="439"/>
    </row>
    <row r="2543" spans="1:11" x14ac:dyDescent="0.2">
      <c r="A2543" s="263" t="s">
        <v>198</v>
      </c>
      <c r="B2543" s="243" t="s">
        <v>59</v>
      </c>
      <c r="C2543" s="243" t="s">
        <v>196</v>
      </c>
      <c r="D2543" s="830" t="s">
        <v>217</v>
      </c>
      <c r="E2543" s="1111" t="s">
        <v>89</v>
      </c>
      <c r="F2543" s="1112"/>
      <c r="G2543" s="1113"/>
      <c r="H2543" s="1114" t="s">
        <v>183</v>
      </c>
      <c r="I2543" s="1115"/>
    </row>
    <row r="2544" spans="1:11" s="198" customFormat="1" ht="45" x14ac:dyDescent="0.2">
      <c r="A2544" s="416" t="str">
        <f>VLOOKUP(B2544,'DER 11-20'!$A:$E,2,FALSE)</f>
        <v>Alvenaria de pedra de mão argamassada (argamassa cimento areia 1:4), inclusive transporte da pedra</v>
      </c>
      <c r="B2544" s="417">
        <v>40343</v>
      </c>
      <c r="C2544" s="417" t="str">
        <f>VLOOKUP(B2544,'DER 11-20'!$A:$E,3,FALSE)</f>
        <v>M3</v>
      </c>
      <c r="D2544" s="418">
        <f>TRUNC(VLOOKUP(B2544,'DER 11-20'!$A:$F,6,FALSE)/(1+$I$4),2)</f>
        <v>337.39</v>
      </c>
      <c r="E2544" s="419"/>
      <c r="F2544" s="420"/>
      <c r="G2544" s="421">
        <v>3.8</v>
      </c>
      <c r="H2544" s="422"/>
      <c r="I2544" s="423">
        <f>TRUNC(D2544*G2544,2)</f>
        <v>1282.08</v>
      </c>
      <c r="J2544" s="415"/>
      <c r="K2544" s="415"/>
    </row>
    <row r="2545" spans="1:17" s="198" customFormat="1" x14ac:dyDescent="0.2">
      <c r="A2545" s="416" t="str">
        <f>VLOOKUP(B2545,'DER 11-20'!$A:$E,2,FALSE)</f>
        <v>Apiloamento manual</v>
      </c>
      <c r="B2545" s="417">
        <v>40300</v>
      </c>
      <c r="C2545" s="417" t="str">
        <f>VLOOKUP(B2545,'DER 11-20'!$A:$E,3,FALSE)</f>
        <v>M3</v>
      </c>
      <c r="D2545" s="418">
        <f>TRUNC(VLOOKUP(B2545,'DER 11-20'!$A:$F,6,FALSE)/(1+$I$4),2)</f>
        <v>46.15</v>
      </c>
      <c r="E2545" s="419"/>
      <c r="F2545" s="420"/>
      <c r="G2545" s="421">
        <v>0.5</v>
      </c>
      <c r="H2545" s="422"/>
      <c r="I2545" s="423">
        <f>TRUNC(D2545*G2545,2)</f>
        <v>23.07</v>
      </c>
      <c r="J2545" s="415"/>
      <c r="K2545" s="415"/>
    </row>
    <row r="2546" spans="1:17" s="198" customFormat="1" ht="22.5" x14ac:dyDescent="0.2">
      <c r="A2546" s="416" t="str">
        <f>VLOOKUP(B2546,'DER 11-20'!$A:$E,2,FALSE)</f>
        <v>Concreto estrutural fck = 15,0 MPa, tudo incluído</v>
      </c>
      <c r="B2546" s="417">
        <v>40358</v>
      </c>
      <c r="C2546" s="417" t="str">
        <f>VLOOKUP(B2546,'DER 11-20'!$A:$E,3,FALSE)</f>
        <v>M3</v>
      </c>
      <c r="D2546" s="418">
        <f>TRUNC(VLOOKUP(B2546,'DER 11-20'!$A:$F,6,FALSE)/(1+$I$4),2)</f>
        <v>547.26</v>
      </c>
      <c r="E2546" s="419"/>
      <c r="F2546" s="420"/>
      <c r="G2546" s="421">
        <v>1.82</v>
      </c>
      <c r="H2546" s="422"/>
      <c r="I2546" s="423">
        <f>TRUNC(D2546*G2546,2)</f>
        <v>996.01</v>
      </c>
      <c r="J2546" s="415"/>
      <c r="K2546" s="415"/>
    </row>
    <row r="2547" spans="1:17" s="198" customFormat="1" ht="22.5" x14ac:dyDescent="0.2">
      <c r="A2547" s="416" t="str">
        <f>VLOOKUP(B2547,'DER 11-20'!$A:$E,2,FALSE)</f>
        <v>Escavação manual em mat. 1ª cat. H= 0,00 a 1,50 m</v>
      </c>
      <c r="B2547" s="417">
        <v>40258</v>
      </c>
      <c r="C2547" s="417" t="str">
        <f>VLOOKUP(B2547,'DER 11-20'!$A:$E,3,FALSE)</f>
        <v>M3</v>
      </c>
      <c r="D2547" s="418">
        <f>TRUNC(VLOOKUP(B2547,'DER 11-20'!$A:$F,6,FALSE)/(1+$I$4),2)</f>
        <v>56.6</v>
      </c>
      <c r="E2547" s="419"/>
      <c r="F2547" s="420"/>
      <c r="G2547" s="421">
        <v>4.49</v>
      </c>
      <c r="H2547" s="422"/>
      <c r="I2547" s="423">
        <f>TRUNC(D2547*G2547,2)</f>
        <v>254.13</v>
      </c>
      <c r="J2547" s="415"/>
      <c r="K2547" s="415"/>
    </row>
    <row r="2548" spans="1:17" s="198" customFormat="1" ht="45" x14ac:dyDescent="0.2">
      <c r="A2548" s="416" t="str">
        <f>VLOOKUP(B2548,'DER 11-20'!$A:$E,2,FALSE)</f>
        <v>Formas planas de madeira com 04 (quatro) reaproveitamentos, inclusive fornecimento e transporte das madeiras</v>
      </c>
      <c r="B2548" s="417">
        <v>40313</v>
      </c>
      <c r="C2548" s="417" t="str">
        <f>VLOOKUP(B2548,'DER 11-20'!$A:$E,3,FALSE)</f>
        <v>M2</v>
      </c>
      <c r="D2548" s="418">
        <f>TRUNC(VLOOKUP(B2548,'DER 11-20'!$A:$F,6,FALSE)/(1+$I$4),2)</f>
        <v>71.56</v>
      </c>
      <c r="E2548" s="419"/>
      <c r="F2548" s="420"/>
      <c r="G2548" s="421">
        <v>10.050000000000001</v>
      </c>
      <c r="H2548" s="422"/>
      <c r="I2548" s="423">
        <f>TRUNC(D2548*G2548,2)</f>
        <v>719.17</v>
      </c>
      <c r="J2548" s="415"/>
      <c r="K2548" s="415"/>
    </row>
    <row r="2549" spans="1:17" x14ac:dyDescent="0.2">
      <c r="A2549" s="200"/>
      <c r="B2549" s="264"/>
      <c r="C2549" s="200"/>
      <c r="D2549" s="200"/>
      <c r="E2549" s="200"/>
      <c r="F2549" s="265" t="s">
        <v>199</v>
      </c>
      <c r="G2549" s="255"/>
      <c r="H2549" s="266"/>
      <c r="I2549" s="441">
        <f>SUM(I2544:I2548)</f>
        <v>3274.46</v>
      </c>
    </row>
    <row r="2550" spans="1:17" x14ac:dyDescent="0.2">
      <c r="A2550" s="200"/>
      <c r="B2550" s="264"/>
      <c r="C2550" s="200"/>
      <c r="D2550" s="200"/>
      <c r="E2550" s="200"/>
      <c r="F2550" s="200"/>
      <c r="G2550" s="200"/>
      <c r="H2550" s="200"/>
      <c r="I2550" s="440"/>
    </row>
    <row r="2551" spans="1:17" ht="21.75" customHeight="1" x14ac:dyDescent="0.2">
      <c r="A2551" s="267" t="s">
        <v>200</v>
      </c>
      <c r="B2551" s="268" t="s">
        <v>59</v>
      </c>
      <c r="C2551" s="268" t="s">
        <v>196</v>
      </c>
      <c r="D2551" s="268" t="s">
        <v>201</v>
      </c>
      <c r="E2551" s="268" t="s">
        <v>202</v>
      </c>
      <c r="F2551" s="268" t="s">
        <v>203</v>
      </c>
      <c r="G2551" s="268" t="s">
        <v>94</v>
      </c>
      <c r="H2551" s="268" t="s">
        <v>89</v>
      </c>
      <c r="I2551" s="442" t="s">
        <v>204</v>
      </c>
    </row>
    <row r="2552" spans="1:17" x14ac:dyDescent="0.2">
      <c r="A2552" s="244"/>
      <c r="B2552" s="234"/>
      <c r="C2552" s="234"/>
      <c r="D2552" s="269"/>
      <c r="E2552" s="270"/>
      <c r="F2552" s="270"/>
      <c r="G2552" s="239"/>
      <c r="H2552" s="271"/>
      <c r="I2552" s="418"/>
    </row>
    <row r="2553" spans="1:17" x14ac:dyDescent="0.2">
      <c r="A2553" s="200"/>
      <c r="B2553" s="264"/>
      <c r="C2553" s="200"/>
      <c r="D2553" s="200"/>
      <c r="E2553" s="200"/>
      <c r="F2553" s="265" t="s">
        <v>205</v>
      </c>
      <c r="G2553" s="240"/>
      <c r="H2553" s="272"/>
      <c r="I2553" s="443">
        <f>SUM(I2552:I2552)</f>
        <v>0</v>
      </c>
    </row>
    <row r="2554" spans="1:17" x14ac:dyDescent="0.2">
      <c r="A2554" s="200"/>
      <c r="B2554" s="264"/>
      <c r="C2554" s="200"/>
      <c r="D2554" s="200"/>
      <c r="E2554" s="200"/>
      <c r="F2554" s="200"/>
      <c r="G2554" s="200"/>
      <c r="H2554" s="200"/>
      <c r="I2554" s="444"/>
    </row>
    <row r="2555" spans="1:17" x14ac:dyDescent="0.2">
      <c r="A2555" s="273"/>
      <c r="B2555" s="274"/>
      <c r="C2555" s="275"/>
      <c r="D2555" s="275"/>
      <c r="E2555" s="275"/>
      <c r="F2555" s="276" t="s">
        <v>206</v>
      </c>
      <c r="G2555" s="273"/>
      <c r="H2555" s="249"/>
      <c r="I2555" s="445">
        <f>+I2537+I2541+I2549+I2553</f>
        <v>3274.46</v>
      </c>
    </row>
    <row r="2556" spans="1:17" x14ac:dyDescent="0.2">
      <c r="A2556" s="255"/>
      <c r="B2556" s="277"/>
      <c r="C2556" s="266"/>
      <c r="D2556" s="266"/>
      <c r="E2556" s="266"/>
      <c r="F2556" s="278" t="str">
        <f>CONCATENATE($H$3," ",$I$3)</f>
        <v>BDI: 23,32</v>
      </c>
      <c r="G2556" s="403"/>
      <c r="H2556" s="253"/>
      <c r="I2556" s="446">
        <f>+ROUND(I2555*$I$4,2)</f>
        <v>763.6</v>
      </c>
    </row>
    <row r="2557" spans="1:17" x14ac:dyDescent="0.2">
      <c r="A2557" s="240"/>
      <c r="B2557" s="279"/>
      <c r="C2557" s="272"/>
      <c r="D2557" s="272"/>
      <c r="E2557" s="272"/>
      <c r="F2557" s="280" t="s">
        <v>207</v>
      </c>
      <c r="G2557" s="404"/>
      <c r="H2557" s="241"/>
      <c r="I2557" s="720">
        <f>+I2555+I2556</f>
        <v>4038.06</v>
      </c>
    </row>
    <row r="2558" spans="1:17" s="198" customFormat="1" x14ac:dyDescent="0.2">
      <c r="A2558" s="1116" t="str">
        <f>$A$1</f>
        <v>COMPOSIÇÃO DE CUSTOS UNITÁRIOS</v>
      </c>
      <c r="B2558" s="1116"/>
      <c r="C2558" s="1116"/>
      <c r="D2558" s="1116"/>
      <c r="E2558" s="1116"/>
      <c r="F2558" s="1116"/>
      <c r="G2558" s="1116"/>
      <c r="H2558" s="1116"/>
      <c r="I2558" s="1116"/>
      <c r="J2558" s="400"/>
      <c r="K2558" s="400"/>
      <c r="L2558" s="295"/>
      <c r="M2558" s="295"/>
      <c r="N2558" s="295"/>
      <c r="O2558" s="295"/>
      <c r="P2558" s="295"/>
      <c r="Q2558" s="295"/>
    </row>
    <row r="2559" spans="1:17" s="198" customFormat="1" x14ac:dyDescent="0.2">
      <c r="A2559" s="228" t="str">
        <f>$A$2</f>
        <v>Tabela Referencial de Preços - DER-ES</v>
      </c>
      <c r="B2559" s="229"/>
      <c r="C2559" s="199"/>
      <c r="D2559" s="199"/>
      <c r="E2559" s="199"/>
      <c r="F2559" s="199"/>
      <c r="G2559" s="199"/>
      <c r="H2559" s="199"/>
      <c r="I2559" s="414" t="str">
        <f>$I$2</f>
        <v>Data Base: novembro/2020</v>
      </c>
      <c r="J2559" s="400"/>
      <c r="K2559" s="400"/>
      <c r="L2559" s="295"/>
      <c r="M2559" s="295"/>
      <c r="N2559" s="295"/>
      <c r="O2559" s="295"/>
      <c r="P2559" s="295"/>
      <c r="Q2559" s="295"/>
    </row>
    <row r="2560" spans="1:17" s="198" customFormat="1" x14ac:dyDescent="0.2">
      <c r="A2560" s="1117" t="str">
        <f>+CONCATENATE("Serviço: ",J2560," ",VLOOKUP(J2560,'DER 11-20'!$A:$D,2,FALSE))</f>
        <v>Serviço: 40736 Dissipador de energia aplicado a saída de bueiro/descida d'água de aterro (DEB-05)</v>
      </c>
      <c r="B2560" s="1117"/>
      <c r="C2560" s="1117"/>
      <c r="D2560" s="1117"/>
      <c r="E2560" s="1117"/>
      <c r="F2560" s="1117"/>
      <c r="G2560" s="1117"/>
      <c r="H2560" s="1117"/>
      <c r="I2560" s="1119" t="str">
        <f>CONCATENATE("Unidade: ", VLOOKUP(J2560,'DER 11-20'!$A:$E,3,FALSE))</f>
        <v>Unidade: Ud</v>
      </c>
      <c r="J2560" s="400">
        <v>40736</v>
      </c>
      <c r="K2560" s="400">
        <f>VLOOKUP("Preço Unitário Total",F2561:I4297,4,FALSE)</f>
        <v>5431.7</v>
      </c>
      <c r="L2560" s="295" t="str">
        <f>VLOOKUP(J2560,'DER 11-20'!A:E,5,FALSE)</f>
        <v>A incluir</v>
      </c>
      <c r="M2560" s="295" t="str">
        <f>VLOOKUP(J2560,'DER 11-20'!$A:$D,2,FALSE)</f>
        <v>Dissipador de energia aplicado a saída de bueiro/descida d'água de aterro (DEB-05)</v>
      </c>
      <c r="N2560" s="295"/>
      <c r="O2560" s="295"/>
      <c r="P2560" s="295"/>
      <c r="Q2560" s="295"/>
    </row>
    <row r="2561" spans="1:9" x14ac:dyDescent="0.2">
      <c r="A2561" s="1118"/>
      <c r="B2561" s="1118"/>
      <c r="C2561" s="1118"/>
      <c r="D2561" s="1118"/>
      <c r="E2561" s="1118"/>
      <c r="F2561" s="1118"/>
      <c r="G2561" s="1118"/>
      <c r="H2561" s="1118"/>
      <c r="I2561" s="1120"/>
    </row>
    <row r="2562" spans="1:9" ht="22.5" x14ac:dyDescent="0.2">
      <c r="A2562" s="231" t="s">
        <v>177</v>
      </c>
      <c r="B2562" s="232" t="s">
        <v>59</v>
      </c>
      <c r="C2562" s="232" t="s">
        <v>178</v>
      </c>
      <c r="D2562" s="232" t="s">
        <v>179</v>
      </c>
      <c r="E2562" s="232" t="s">
        <v>180</v>
      </c>
      <c r="F2562" s="232" t="s">
        <v>181</v>
      </c>
      <c r="G2562" s="232" t="s">
        <v>182</v>
      </c>
      <c r="H2562" s="232" t="s">
        <v>89</v>
      </c>
      <c r="I2562" s="434" t="s">
        <v>183</v>
      </c>
    </row>
    <row r="2563" spans="1:9" x14ac:dyDescent="0.2">
      <c r="A2563" s="199"/>
      <c r="B2563" s="229"/>
      <c r="C2563" s="229"/>
      <c r="D2563" s="199"/>
      <c r="E2563" s="199"/>
      <c r="F2563" s="230" t="s">
        <v>184</v>
      </c>
      <c r="G2563" s="240"/>
      <c r="H2563" s="241"/>
      <c r="I2563" s="438">
        <v>0</v>
      </c>
    </row>
    <row r="2564" spans="1:9" x14ac:dyDescent="0.2">
      <c r="A2564" s="199"/>
      <c r="B2564" s="229"/>
      <c r="C2564" s="229"/>
      <c r="D2564" s="199"/>
      <c r="E2564" s="199"/>
      <c r="F2564" s="199"/>
      <c r="G2564" s="199"/>
      <c r="H2564" s="199"/>
      <c r="I2564" s="439"/>
    </row>
    <row r="2565" spans="1:9" x14ac:dyDescent="0.2">
      <c r="A2565" s="242" t="s">
        <v>185</v>
      </c>
      <c r="B2565" s="243" t="s">
        <v>59</v>
      </c>
      <c r="C2565" s="232" t="s">
        <v>357</v>
      </c>
      <c r="D2565" s="243" t="s">
        <v>187</v>
      </c>
      <c r="E2565" s="1111" t="s">
        <v>89</v>
      </c>
      <c r="F2565" s="1112"/>
      <c r="G2565" s="1113"/>
      <c r="H2565" s="1121" t="s">
        <v>183</v>
      </c>
      <c r="I2565" s="1115"/>
    </row>
    <row r="2566" spans="1:9" x14ac:dyDescent="0.2">
      <c r="A2566" s="199"/>
      <c r="B2566" s="229"/>
      <c r="C2566" s="229"/>
      <c r="D2566" s="199"/>
      <c r="E2566" s="199"/>
      <c r="F2566" s="230" t="s">
        <v>188</v>
      </c>
      <c r="G2566" s="240"/>
      <c r="H2566" s="241"/>
      <c r="I2566" s="438">
        <v>0</v>
      </c>
    </row>
    <row r="2567" spans="1:9" x14ac:dyDescent="0.2">
      <c r="A2567" s="199"/>
      <c r="B2567" s="229"/>
      <c r="C2567" s="229"/>
      <c r="D2567" s="199"/>
      <c r="E2567" s="199"/>
      <c r="F2567" s="199"/>
      <c r="G2567" s="199"/>
      <c r="H2567" s="199"/>
      <c r="I2567" s="439"/>
    </row>
    <row r="2568" spans="1:9" x14ac:dyDescent="0.2">
      <c r="A2568" s="245" t="s">
        <v>189</v>
      </c>
      <c r="B2568" s="243" t="s">
        <v>59</v>
      </c>
      <c r="C2568" s="830" t="s">
        <v>17</v>
      </c>
      <c r="D2568" s="243" t="s">
        <v>190</v>
      </c>
      <c r="E2568" s="243" t="s">
        <v>191</v>
      </c>
      <c r="F2568" s="243" t="s">
        <v>192</v>
      </c>
      <c r="G2568" s="1121" t="s">
        <v>94</v>
      </c>
      <c r="H2568" s="1114"/>
      <c r="I2568" s="1115"/>
    </row>
    <row r="2569" spans="1:9" x14ac:dyDescent="0.2">
      <c r="A2569" s="199"/>
      <c r="B2569" s="229"/>
      <c r="C2569" s="199"/>
      <c r="D2569" s="199"/>
      <c r="E2569" s="199"/>
      <c r="F2569" s="230" t="s">
        <v>327</v>
      </c>
      <c r="G2569" s="240"/>
      <c r="H2569" s="241"/>
      <c r="I2569" s="438">
        <v>0</v>
      </c>
    </row>
    <row r="2570" spans="1:9" x14ac:dyDescent="0.2">
      <c r="A2570" s="199"/>
      <c r="B2570" s="229"/>
      <c r="C2570" s="199"/>
      <c r="D2570" s="199"/>
      <c r="E2570" s="199"/>
      <c r="F2570" s="199"/>
      <c r="G2570" s="199"/>
      <c r="H2570" s="199"/>
      <c r="I2570" s="439"/>
    </row>
    <row r="2571" spans="1:9" x14ac:dyDescent="0.2">
      <c r="A2571" s="247"/>
      <c r="B2571" s="248"/>
      <c r="C2571" s="249"/>
      <c r="D2571" s="249"/>
      <c r="E2571" s="249"/>
      <c r="F2571" s="250" t="s">
        <v>193</v>
      </c>
      <c r="G2571" s="401"/>
      <c r="H2571" s="249"/>
      <c r="I2571" s="445">
        <f>+I2563+I2566+I2569</f>
        <v>0</v>
      </c>
    </row>
    <row r="2572" spans="1:9" x14ac:dyDescent="0.2">
      <c r="A2572" s="251"/>
      <c r="B2572" s="252"/>
      <c r="C2572" s="253"/>
      <c r="D2572" s="253"/>
      <c r="E2572" s="253"/>
      <c r="F2572" s="254" t="s">
        <v>194</v>
      </c>
      <c r="G2572" s="255"/>
      <c r="H2572" s="253"/>
      <c r="I2572" s="446">
        <v>1</v>
      </c>
    </row>
    <row r="2573" spans="1:9" x14ac:dyDescent="0.2">
      <c r="A2573" s="233"/>
      <c r="B2573" s="256"/>
      <c r="C2573" s="241"/>
      <c r="D2573" s="241"/>
      <c r="E2573" s="241"/>
      <c r="F2573" s="257" t="s">
        <v>216</v>
      </c>
      <c r="G2573" s="240"/>
      <c r="H2573" s="241"/>
      <c r="I2573" s="447">
        <f>TRUNC(I2571/I2572,2)</f>
        <v>0</v>
      </c>
    </row>
    <row r="2574" spans="1:9" x14ac:dyDescent="0.2">
      <c r="A2574" s="829"/>
      <c r="B2574" s="229"/>
      <c r="C2574" s="199"/>
      <c r="D2574" s="199"/>
      <c r="E2574" s="199"/>
      <c r="F2574" s="258"/>
      <c r="G2574" s="199"/>
      <c r="H2574" s="199"/>
      <c r="I2574" s="450"/>
    </row>
    <row r="2575" spans="1:9" x14ac:dyDescent="0.2">
      <c r="A2575" s="242" t="s">
        <v>195</v>
      </c>
      <c r="B2575" s="243" t="s">
        <v>59</v>
      </c>
      <c r="C2575" s="243" t="s">
        <v>196</v>
      </c>
      <c r="D2575" s="243" t="s">
        <v>217</v>
      </c>
      <c r="E2575" s="1121" t="s">
        <v>89</v>
      </c>
      <c r="F2575" s="1114"/>
      <c r="G2575" s="1115"/>
      <c r="H2575" s="1121" t="s">
        <v>183</v>
      </c>
      <c r="I2575" s="1115"/>
    </row>
    <row r="2576" spans="1:9" x14ac:dyDescent="0.2">
      <c r="A2576" s="259"/>
      <c r="B2576" s="234"/>
      <c r="C2576" s="260"/>
      <c r="D2576" s="261"/>
      <c r="E2576" s="255"/>
      <c r="F2576" s="253"/>
      <c r="G2576" s="293"/>
      <c r="H2576" s="255"/>
      <c r="I2576" s="423"/>
    </row>
    <row r="2577" spans="1:11" x14ac:dyDescent="0.2">
      <c r="A2577" s="199"/>
      <c r="B2577" s="229"/>
      <c r="C2577" s="199"/>
      <c r="D2577" s="199"/>
      <c r="E2577" s="199"/>
      <c r="F2577" s="230" t="s">
        <v>197</v>
      </c>
      <c r="G2577" s="240"/>
      <c r="H2577" s="241"/>
      <c r="I2577" s="438">
        <f>SUM(I2576:I2576)</f>
        <v>0</v>
      </c>
    </row>
    <row r="2578" spans="1:11" x14ac:dyDescent="0.2">
      <c r="A2578" s="199"/>
      <c r="B2578" s="229"/>
      <c r="C2578" s="199"/>
      <c r="D2578" s="199"/>
      <c r="E2578" s="199"/>
      <c r="F2578" s="199"/>
      <c r="G2578" s="262"/>
      <c r="H2578" s="199"/>
      <c r="I2578" s="439"/>
    </row>
    <row r="2579" spans="1:11" x14ac:dyDescent="0.2">
      <c r="A2579" s="263" t="s">
        <v>198</v>
      </c>
      <c r="B2579" s="243" t="s">
        <v>59</v>
      </c>
      <c r="C2579" s="243" t="s">
        <v>196</v>
      </c>
      <c r="D2579" s="830" t="s">
        <v>217</v>
      </c>
      <c r="E2579" s="1111" t="s">
        <v>89</v>
      </c>
      <c r="F2579" s="1112"/>
      <c r="G2579" s="1113"/>
      <c r="H2579" s="1114" t="s">
        <v>183</v>
      </c>
      <c r="I2579" s="1115"/>
    </row>
    <row r="2580" spans="1:11" s="198" customFormat="1" ht="45" x14ac:dyDescent="0.2">
      <c r="A2580" s="416" t="str">
        <f>VLOOKUP(B2580,'DER 11-20'!$A:$E,2,FALSE)</f>
        <v>Alvenaria de pedra de mão argamassada (argamassa cimento areia 1:4), inclusive transporte da pedra</v>
      </c>
      <c r="B2580" s="417">
        <v>40343</v>
      </c>
      <c r="C2580" s="417" t="str">
        <f>VLOOKUP(B2580,'DER 11-20'!$A:$E,3,FALSE)</f>
        <v>M3</v>
      </c>
      <c r="D2580" s="418">
        <f>TRUNC(VLOOKUP(B2580,'DER 11-20'!$A:$F,6,FALSE)/(1+$I$4),2)</f>
        <v>337.39</v>
      </c>
      <c r="E2580" s="419"/>
      <c r="F2580" s="420"/>
      <c r="G2580" s="421">
        <v>5.23</v>
      </c>
      <c r="H2580" s="422"/>
      <c r="I2580" s="423">
        <f>TRUNC(D2580*G2580,2)</f>
        <v>1764.54</v>
      </c>
      <c r="J2580" s="415"/>
      <c r="K2580" s="415"/>
    </row>
    <row r="2581" spans="1:11" s="198" customFormat="1" x14ac:dyDescent="0.2">
      <c r="A2581" s="416" t="str">
        <f>VLOOKUP(B2581,'DER 11-20'!$A:$E,2,FALSE)</f>
        <v>Apiloamento manual</v>
      </c>
      <c r="B2581" s="417">
        <v>40300</v>
      </c>
      <c r="C2581" s="417" t="str">
        <f>VLOOKUP(B2581,'DER 11-20'!$A:$E,3,FALSE)</f>
        <v>M3</v>
      </c>
      <c r="D2581" s="418">
        <f>TRUNC(VLOOKUP(B2581,'DER 11-20'!$A:$F,6,FALSE)/(1+$I$4),2)</f>
        <v>46.15</v>
      </c>
      <c r="E2581" s="419"/>
      <c r="F2581" s="420"/>
      <c r="G2581" s="421">
        <v>0.6</v>
      </c>
      <c r="H2581" s="422"/>
      <c r="I2581" s="423">
        <f>TRUNC(D2581*G2581,2)</f>
        <v>27.69</v>
      </c>
      <c r="J2581" s="415"/>
      <c r="K2581" s="415"/>
    </row>
    <row r="2582" spans="1:11" s="198" customFormat="1" ht="22.5" x14ac:dyDescent="0.2">
      <c r="A2582" s="416" t="str">
        <f>VLOOKUP(B2582,'DER 11-20'!$A:$E,2,FALSE)</f>
        <v>Concreto estrutural fck = 15,0 MPa, tudo incluído</v>
      </c>
      <c r="B2582" s="417">
        <v>40358</v>
      </c>
      <c r="C2582" s="417" t="str">
        <f>VLOOKUP(B2582,'DER 11-20'!$A:$E,3,FALSE)</f>
        <v>M3</v>
      </c>
      <c r="D2582" s="418">
        <f>TRUNC(VLOOKUP(B2582,'DER 11-20'!$A:$F,6,FALSE)/(1+$I$4),2)</f>
        <v>547.26</v>
      </c>
      <c r="E2582" s="419"/>
      <c r="F2582" s="420"/>
      <c r="G2582" s="421">
        <v>2.4449999999999998</v>
      </c>
      <c r="H2582" s="422"/>
      <c r="I2582" s="423">
        <f>TRUNC(D2582*G2582,2)</f>
        <v>1338.05</v>
      </c>
      <c r="J2582" s="415"/>
      <c r="K2582" s="415"/>
    </row>
    <row r="2583" spans="1:11" s="198" customFormat="1" ht="22.5" x14ac:dyDescent="0.2">
      <c r="A2583" s="416" t="str">
        <f>VLOOKUP(B2583,'DER 11-20'!$A:$E,2,FALSE)</f>
        <v>Escavação manual em mat. 1ª cat. H= 0,00 a 1,50 m</v>
      </c>
      <c r="B2583" s="417">
        <v>40258</v>
      </c>
      <c r="C2583" s="417" t="str">
        <f>VLOOKUP(B2583,'DER 11-20'!$A:$E,3,FALSE)</f>
        <v>M3</v>
      </c>
      <c r="D2583" s="418">
        <f>TRUNC(VLOOKUP(B2583,'DER 11-20'!$A:$F,6,FALSE)/(1+$I$4),2)</f>
        <v>56.6</v>
      </c>
      <c r="E2583" s="419"/>
      <c r="F2583" s="420"/>
      <c r="G2583" s="421">
        <v>6.04</v>
      </c>
      <c r="H2583" s="422"/>
      <c r="I2583" s="423">
        <f>TRUNC(D2583*G2583,2)</f>
        <v>341.86</v>
      </c>
      <c r="J2583" s="415"/>
      <c r="K2583" s="415"/>
    </row>
    <row r="2584" spans="1:11" s="198" customFormat="1" ht="45" x14ac:dyDescent="0.2">
      <c r="A2584" s="416" t="str">
        <f>VLOOKUP(B2584,'DER 11-20'!$A:$E,2,FALSE)</f>
        <v>Formas planas de madeira com 04 (quatro) reaproveitamentos, inclusive fornecimento e transporte das madeiras</v>
      </c>
      <c r="B2584" s="417">
        <v>40313</v>
      </c>
      <c r="C2584" s="417" t="str">
        <f>VLOOKUP(B2584,'DER 11-20'!$A:$E,3,FALSE)</f>
        <v>M2</v>
      </c>
      <c r="D2584" s="418">
        <f>TRUNC(VLOOKUP(B2584,'DER 11-20'!$A:$F,6,FALSE)/(1+$I$4),2)</f>
        <v>71.56</v>
      </c>
      <c r="E2584" s="419"/>
      <c r="F2584" s="420"/>
      <c r="G2584" s="421">
        <v>13.03</v>
      </c>
      <c r="H2584" s="422"/>
      <c r="I2584" s="423">
        <f>TRUNC(D2584*G2584,2)</f>
        <v>932.42</v>
      </c>
      <c r="J2584" s="415"/>
      <c r="K2584" s="415"/>
    </row>
    <row r="2585" spans="1:11" x14ac:dyDescent="0.2">
      <c r="A2585" s="200"/>
      <c r="B2585" s="264"/>
      <c r="C2585" s="200"/>
      <c r="D2585" s="200"/>
      <c r="E2585" s="200"/>
      <c r="F2585" s="265" t="s">
        <v>199</v>
      </c>
      <c r="G2585" s="255"/>
      <c r="H2585" s="266"/>
      <c r="I2585" s="441">
        <f>SUM(I2580:I2584)</f>
        <v>4404.5600000000004</v>
      </c>
    </row>
    <row r="2586" spans="1:11" x14ac:dyDescent="0.2">
      <c r="A2586" s="200"/>
      <c r="B2586" s="264"/>
      <c r="C2586" s="200"/>
      <c r="D2586" s="200"/>
      <c r="E2586" s="200"/>
      <c r="F2586" s="200"/>
      <c r="G2586" s="200"/>
      <c r="H2586" s="200"/>
      <c r="I2586" s="440"/>
    </row>
    <row r="2587" spans="1:11" ht="21.75" customHeight="1" x14ac:dyDescent="0.2">
      <c r="A2587" s="267" t="s">
        <v>200</v>
      </c>
      <c r="B2587" s="268" t="s">
        <v>59</v>
      </c>
      <c r="C2587" s="268" t="s">
        <v>196</v>
      </c>
      <c r="D2587" s="268" t="s">
        <v>201</v>
      </c>
      <c r="E2587" s="268" t="s">
        <v>202</v>
      </c>
      <c r="F2587" s="268" t="s">
        <v>203</v>
      </c>
      <c r="G2587" s="268" t="s">
        <v>94</v>
      </c>
      <c r="H2587" s="268" t="s">
        <v>89</v>
      </c>
      <c r="I2587" s="442" t="s">
        <v>204</v>
      </c>
    </row>
    <row r="2588" spans="1:11" x14ac:dyDescent="0.2">
      <c r="A2588" s="244"/>
      <c r="B2588" s="234"/>
      <c r="C2588" s="234"/>
      <c r="D2588" s="269"/>
      <c r="E2588" s="270"/>
      <c r="F2588" s="270"/>
      <c r="G2588" s="239"/>
      <c r="H2588" s="271"/>
      <c r="I2588" s="418"/>
    </row>
    <row r="2589" spans="1:11" x14ac:dyDescent="0.2">
      <c r="A2589" s="200"/>
      <c r="B2589" s="264"/>
      <c r="C2589" s="200"/>
      <c r="D2589" s="200"/>
      <c r="E2589" s="200"/>
      <c r="F2589" s="265" t="s">
        <v>205</v>
      </c>
      <c r="G2589" s="240"/>
      <c r="H2589" s="272"/>
      <c r="I2589" s="443">
        <f>SUM(I2588:I2588)</f>
        <v>0</v>
      </c>
    </row>
    <row r="2590" spans="1:11" x14ac:dyDescent="0.2">
      <c r="A2590" s="200"/>
      <c r="B2590" s="264"/>
      <c r="C2590" s="200"/>
      <c r="D2590" s="200"/>
      <c r="E2590" s="200"/>
      <c r="F2590" s="200"/>
      <c r="G2590" s="200"/>
      <c r="H2590" s="200"/>
      <c r="I2590" s="444"/>
    </row>
    <row r="2591" spans="1:11" x14ac:dyDescent="0.2">
      <c r="A2591" s="273"/>
      <c r="B2591" s="274"/>
      <c r="C2591" s="275"/>
      <c r="D2591" s="275"/>
      <c r="E2591" s="275"/>
      <c r="F2591" s="276" t="s">
        <v>206</v>
      </c>
      <c r="G2591" s="273"/>
      <c r="H2591" s="249"/>
      <c r="I2591" s="445">
        <f>+I2573+I2577+I2585+I2589</f>
        <v>4404.5600000000004</v>
      </c>
    </row>
    <row r="2592" spans="1:11" x14ac:dyDescent="0.2">
      <c r="A2592" s="255"/>
      <c r="B2592" s="277"/>
      <c r="C2592" s="266"/>
      <c r="D2592" s="266"/>
      <c r="E2592" s="266"/>
      <c r="F2592" s="278" t="str">
        <f>CONCATENATE($H$3," ",$I$3)</f>
        <v>BDI: 23,32</v>
      </c>
      <c r="G2592" s="403"/>
      <c r="H2592" s="253"/>
      <c r="I2592" s="446">
        <f>+ROUND(I2591*$I$4,2)</f>
        <v>1027.1400000000001</v>
      </c>
    </row>
    <row r="2593" spans="1:17" x14ac:dyDescent="0.2">
      <c r="A2593" s="240"/>
      <c r="B2593" s="279"/>
      <c r="C2593" s="272"/>
      <c r="D2593" s="272"/>
      <c r="E2593" s="272"/>
      <c r="F2593" s="280" t="s">
        <v>207</v>
      </c>
      <c r="G2593" s="404"/>
      <c r="H2593" s="241"/>
      <c r="I2593" s="720">
        <f>+I2591+I2592</f>
        <v>5431.7</v>
      </c>
    </row>
    <row r="2594" spans="1:17" s="198" customFormat="1" x14ac:dyDescent="0.2">
      <c r="A2594" s="1116" t="str">
        <f>$A$1</f>
        <v>COMPOSIÇÃO DE CUSTOS UNITÁRIOS</v>
      </c>
      <c r="B2594" s="1116"/>
      <c r="C2594" s="1116"/>
      <c r="D2594" s="1116"/>
      <c r="E2594" s="1116"/>
      <c r="F2594" s="1116"/>
      <c r="G2594" s="1116"/>
      <c r="H2594" s="1116"/>
      <c r="I2594" s="1116"/>
      <c r="J2594" s="400"/>
      <c r="K2594" s="400"/>
      <c r="L2594" s="295"/>
      <c r="M2594" s="295"/>
      <c r="N2594" s="295"/>
      <c r="O2594" s="295"/>
      <c r="P2594" s="295"/>
      <c r="Q2594" s="295"/>
    </row>
    <row r="2595" spans="1:17" s="198" customFormat="1" x14ac:dyDescent="0.2">
      <c r="A2595" s="228" t="str">
        <f>$A$2</f>
        <v>Tabela Referencial de Preços - DER-ES</v>
      </c>
      <c r="B2595" s="229"/>
      <c r="C2595" s="199"/>
      <c r="D2595" s="199"/>
      <c r="E2595" s="199"/>
      <c r="F2595" s="199"/>
      <c r="G2595" s="199"/>
      <c r="H2595" s="199"/>
      <c r="I2595" s="414" t="str">
        <f>$I$2</f>
        <v>Data Base: novembro/2020</v>
      </c>
      <c r="J2595" s="400"/>
      <c r="K2595" s="400"/>
      <c r="L2595" s="295"/>
      <c r="M2595" s="295"/>
      <c r="N2595" s="295"/>
      <c r="O2595" s="295"/>
      <c r="P2595" s="295"/>
      <c r="Q2595" s="295"/>
    </row>
    <row r="2596" spans="1:17" s="198" customFormat="1" x14ac:dyDescent="0.2">
      <c r="A2596" s="1117" t="str">
        <f>+CONCATENATE("Serviço: ",J2596," ",VLOOKUP(J2596,'DER 11-20'!$A:$D,2,FALSE))</f>
        <v>Serviço: 40738 Dissipador de energia aplicado a saída de bueiro/descida d'água de aterro (DEB-07)</v>
      </c>
      <c r="B2596" s="1117"/>
      <c r="C2596" s="1117"/>
      <c r="D2596" s="1117"/>
      <c r="E2596" s="1117"/>
      <c r="F2596" s="1117"/>
      <c r="G2596" s="1117"/>
      <c r="H2596" s="1117"/>
      <c r="I2596" s="1119" t="str">
        <f>CONCATENATE("Unidade: ", VLOOKUP(J2596,'DER 11-20'!$A:$E,3,FALSE))</f>
        <v>Unidade: Ud</v>
      </c>
      <c r="J2596" s="400">
        <v>40738</v>
      </c>
      <c r="K2596" s="400">
        <f>VLOOKUP("Preço Unitário Total",F2597:I4321,4,FALSE)</f>
        <v>5529.08</v>
      </c>
      <c r="L2596" s="295" t="str">
        <f>VLOOKUP(J2596,'DER 11-20'!A:E,5,FALSE)</f>
        <v>A incluir</v>
      </c>
      <c r="M2596" s="295" t="str">
        <f>VLOOKUP(J2596,'DER 11-20'!$A:$D,2,FALSE)</f>
        <v>Dissipador de energia aplicado a saída de bueiro/descida d'água de aterro (DEB-07)</v>
      </c>
      <c r="N2596" s="295"/>
      <c r="O2596" s="295"/>
      <c r="P2596" s="295"/>
      <c r="Q2596" s="295"/>
    </row>
    <row r="2597" spans="1:17" x14ac:dyDescent="0.2">
      <c r="A2597" s="1118"/>
      <c r="B2597" s="1118"/>
      <c r="C2597" s="1118"/>
      <c r="D2597" s="1118"/>
      <c r="E2597" s="1118"/>
      <c r="F2597" s="1118"/>
      <c r="G2597" s="1118"/>
      <c r="H2597" s="1118"/>
      <c r="I2597" s="1120"/>
    </row>
    <row r="2598" spans="1:17" ht="22.5" x14ac:dyDescent="0.2">
      <c r="A2598" s="231" t="s">
        <v>177</v>
      </c>
      <c r="B2598" s="232" t="s">
        <v>59</v>
      </c>
      <c r="C2598" s="232" t="s">
        <v>178</v>
      </c>
      <c r="D2598" s="232" t="s">
        <v>179</v>
      </c>
      <c r="E2598" s="232" t="s">
        <v>180</v>
      </c>
      <c r="F2598" s="232" t="s">
        <v>181</v>
      </c>
      <c r="G2598" s="232" t="s">
        <v>182</v>
      </c>
      <c r="H2598" s="232" t="s">
        <v>89</v>
      </c>
      <c r="I2598" s="434" t="s">
        <v>183</v>
      </c>
    </row>
    <row r="2599" spans="1:17" x14ac:dyDescent="0.2">
      <c r="A2599" s="199"/>
      <c r="B2599" s="229"/>
      <c r="C2599" s="229"/>
      <c r="D2599" s="199"/>
      <c r="E2599" s="199"/>
      <c r="F2599" s="230" t="s">
        <v>184</v>
      </c>
      <c r="G2599" s="240"/>
      <c r="H2599" s="241"/>
      <c r="I2599" s="438">
        <v>0</v>
      </c>
    </row>
    <row r="2600" spans="1:17" x14ac:dyDescent="0.2">
      <c r="A2600" s="199"/>
      <c r="B2600" s="229"/>
      <c r="C2600" s="229"/>
      <c r="D2600" s="199"/>
      <c r="E2600" s="199"/>
      <c r="F2600" s="199"/>
      <c r="G2600" s="199"/>
      <c r="H2600" s="199"/>
      <c r="I2600" s="439"/>
    </row>
    <row r="2601" spans="1:17" x14ac:dyDescent="0.2">
      <c r="A2601" s="242" t="s">
        <v>185</v>
      </c>
      <c r="B2601" s="243" t="s">
        <v>59</v>
      </c>
      <c r="C2601" s="232" t="s">
        <v>357</v>
      </c>
      <c r="D2601" s="243" t="s">
        <v>187</v>
      </c>
      <c r="E2601" s="1111" t="s">
        <v>89</v>
      </c>
      <c r="F2601" s="1112"/>
      <c r="G2601" s="1113"/>
      <c r="H2601" s="1121" t="s">
        <v>183</v>
      </c>
      <c r="I2601" s="1115"/>
    </row>
    <row r="2602" spans="1:17" x14ac:dyDescent="0.2">
      <c r="A2602" s="199"/>
      <c r="B2602" s="229"/>
      <c r="C2602" s="229"/>
      <c r="D2602" s="199"/>
      <c r="E2602" s="199"/>
      <c r="F2602" s="230" t="s">
        <v>188</v>
      </c>
      <c r="G2602" s="240"/>
      <c r="H2602" s="241"/>
      <c r="I2602" s="438">
        <v>0</v>
      </c>
    </row>
    <row r="2603" spans="1:17" x14ac:dyDescent="0.2">
      <c r="A2603" s="199"/>
      <c r="B2603" s="229"/>
      <c r="C2603" s="229"/>
      <c r="D2603" s="199"/>
      <c r="E2603" s="199"/>
      <c r="F2603" s="199"/>
      <c r="G2603" s="199"/>
      <c r="H2603" s="199"/>
      <c r="I2603" s="439"/>
    </row>
    <row r="2604" spans="1:17" x14ac:dyDescent="0.2">
      <c r="A2604" s="245" t="s">
        <v>189</v>
      </c>
      <c r="B2604" s="243" t="s">
        <v>59</v>
      </c>
      <c r="C2604" s="830" t="s">
        <v>17</v>
      </c>
      <c r="D2604" s="243" t="s">
        <v>190</v>
      </c>
      <c r="E2604" s="243" t="s">
        <v>191</v>
      </c>
      <c r="F2604" s="243" t="s">
        <v>192</v>
      </c>
      <c r="G2604" s="1121" t="s">
        <v>94</v>
      </c>
      <c r="H2604" s="1114"/>
      <c r="I2604" s="1115"/>
    </row>
    <row r="2605" spans="1:17" x14ac:dyDescent="0.2">
      <c r="A2605" s="199"/>
      <c r="B2605" s="229"/>
      <c r="C2605" s="199"/>
      <c r="D2605" s="199"/>
      <c r="E2605" s="199"/>
      <c r="F2605" s="230" t="s">
        <v>327</v>
      </c>
      <c r="G2605" s="240"/>
      <c r="H2605" s="241"/>
      <c r="I2605" s="438">
        <v>0</v>
      </c>
    </row>
    <row r="2606" spans="1:17" x14ac:dyDescent="0.2">
      <c r="A2606" s="199"/>
      <c r="B2606" s="229"/>
      <c r="C2606" s="199"/>
      <c r="D2606" s="199"/>
      <c r="E2606" s="199"/>
      <c r="F2606" s="199"/>
      <c r="G2606" s="199"/>
      <c r="H2606" s="199"/>
      <c r="I2606" s="439"/>
    </row>
    <row r="2607" spans="1:17" x14ac:dyDescent="0.2">
      <c r="A2607" s="247"/>
      <c r="B2607" s="248"/>
      <c r="C2607" s="249"/>
      <c r="D2607" s="249"/>
      <c r="E2607" s="249"/>
      <c r="F2607" s="250" t="s">
        <v>193</v>
      </c>
      <c r="G2607" s="401"/>
      <c r="H2607" s="249"/>
      <c r="I2607" s="445">
        <f>+I2599+I2602+I2605</f>
        <v>0</v>
      </c>
    </row>
    <row r="2608" spans="1:17" x14ac:dyDescent="0.2">
      <c r="A2608" s="251"/>
      <c r="B2608" s="252"/>
      <c r="C2608" s="253"/>
      <c r="D2608" s="253"/>
      <c r="E2608" s="253"/>
      <c r="F2608" s="254" t="s">
        <v>194</v>
      </c>
      <c r="G2608" s="255"/>
      <c r="H2608" s="253"/>
      <c r="I2608" s="446">
        <v>1</v>
      </c>
    </row>
    <row r="2609" spans="1:11" x14ac:dyDescent="0.2">
      <c r="A2609" s="233"/>
      <c r="B2609" s="256"/>
      <c r="C2609" s="241"/>
      <c r="D2609" s="241"/>
      <c r="E2609" s="241"/>
      <c r="F2609" s="257" t="s">
        <v>216</v>
      </c>
      <c r="G2609" s="240"/>
      <c r="H2609" s="241"/>
      <c r="I2609" s="447">
        <f>TRUNC(I2607/I2608,2)</f>
        <v>0</v>
      </c>
    </row>
    <row r="2610" spans="1:11" x14ac:dyDescent="0.2">
      <c r="A2610" s="829"/>
      <c r="B2610" s="229"/>
      <c r="C2610" s="199"/>
      <c r="D2610" s="199"/>
      <c r="E2610" s="199"/>
      <c r="F2610" s="258"/>
      <c r="G2610" s="199"/>
      <c r="H2610" s="199"/>
      <c r="I2610" s="450"/>
    </row>
    <row r="2611" spans="1:11" x14ac:dyDescent="0.2">
      <c r="A2611" s="242" t="s">
        <v>195</v>
      </c>
      <c r="B2611" s="243" t="s">
        <v>59</v>
      </c>
      <c r="C2611" s="243" t="s">
        <v>196</v>
      </c>
      <c r="D2611" s="243" t="s">
        <v>217</v>
      </c>
      <c r="E2611" s="1121" t="s">
        <v>89</v>
      </c>
      <c r="F2611" s="1114"/>
      <c r="G2611" s="1115"/>
      <c r="H2611" s="1121" t="s">
        <v>183</v>
      </c>
      <c r="I2611" s="1115"/>
    </row>
    <row r="2612" spans="1:11" x14ac:dyDescent="0.2">
      <c r="A2612" s="259"/>
      <c r="B2612" s="234"/>
      <c r="C2612" s="260"/>
      <c r="D2612" s="261"/>
      <c r="E2612" s="255"/>
      <c r="F2612" s="253"/>
      <c r="G2612" s="293"/>
      <c r="H2612" s="255"/>
      <c r="I2612" s="423"/>
    </row>
    <row r="2613" spans="1:11" x14ac:dyDescent="0.2">
      <c r="A2613" s="199"/>
      <c r="B2613" s="229"/>
      <c r="C2613" s="199"/>
      <c r="D2613" s="199"/>
      <c r="E2613" s="199"/>
      <c r="F2613" s="230" t="s">
        <v>197</v>
      </c>
      <c r="G2613" s="240"/>
      <c r="H2613" s="241"/>
      <c r="I2613" s="438">
        <f>SUM(I2612:I2612)</f>
        <v>0</v>
      </c>
    </row>
    <row r="2614" spans="1:11" x14ac:dyDescent="0.2">
      <c r="A2614" s="199"/>
      <c r="B2614" s="229"/>
      <c r="C2614" s="199"/>
      <c r="D2614" s="199"/>
      <c r="E2614" s="199"/>
      <c r="F2614" s="199"/>
      <c r="G2614" s="262"/>
      <c r="H2614" s="199"/>
      <c r="I2614" s="439"/>
    </row>
    <row r="2615" spans="1:11" x14ac:dyDescent="0.2">
      <c r="A2615" s="263" t="s">
        <v>198</v>
      </c>
      <c r="B2615" s="243" t="s">
        <v>59</v>
      </c>
      <c r="C2615" s="243" t="s">
        <v>196</v>
      </c>
      <c r="D2615" s="830" t="s">
        <v>217</v>
      </c>
      <c r="E2615" s="1111" t="s">
        <v>89</v>
      </c>
      <c r="F2615" s="1112"/>
      <c r="G2615" s="1113"/>
      <c r="H2615" s="1114" t="s">
        <v>183</v>
      </c>
      <c r="I2615" s="1115"/>
    </row>
    <row r="2616" spans="1:11" s="198" customFormat="1" ht="45" x14ac:dyDescent="0.2">
      <c r="A2616" s="416" t="str">
        <f>VLOOKUP(B2616,'DER 11-20'!$A:$E,2,FALSE)</f>
        <v>Alvenaria de pedra de mão argamassada (argamassa cimento areia 1:4), inclusive transporte da pedra</v>
      </c>
      <c r="B2616" s="417">
        <v>40343</v>
      </c>
      <c r="C2616" s="417" t="str">
        <f>VLOOKUP(B2616,'DER 11-20'!$A:$E,3,FALSE)</f>
        <v>M3</v>
      </c>
      <c r="D2616" s="418">
        <f>TRUNC(VLOOKUP(B2616,'DER 11-20'!$A:$F,6,FALSE)/(1+$I$4),2)</f>
        <v>337.39</v>
      </c>
      <c r="E2616" s="419"/>
      <c r="F2616" s="420"/>
      <c r="G2616" s="421">
        <v>5.59</v>
      </c>
      <c r="H2616" s="422"/>
      <c r="I2616" s="423">
        <f>TRUNC(D2616*G2616,2)</f>
        <v>1886.01</v>
      </c>
      <c r="J2616" s="415"/>
      <c r="K2616" s="415"/>
    </row>
    <row r="2617" spans="1:11" s="198" customFormat="1" x14ac:dyDescent="0.2">
      <c r="A2617" s="416" t="str">
        <f>VLOOKUP(B2617,'DER 11-20'!$A:$E,2,FALSE)</f>
        <v>Apiloamento manual</v>
      </c>
      <c r="B2617" s="417">
        <v>40300</v>
      </c>
      <c r="C2617" s="417" t="str">
        <f>VLOOKUP(B2617,'DER 11-20'!$A:$E,3,FALSE)</f>
        <v>M3</v>
      </c>
      <c r="D2617" s="418">
        <f>TRUNC(VLOOKUP(B2617,'DER 11-20'!$A:$F,6,FALSE)/(1+$I$4),2)</f>
        <v>46.15</v>
      </c>
      <c r="E2617" s="419"/>
      <c r="F2617" s="420"/>
      <c r="G2617" s="421">
        <v>0.5</v>
      </c>
      <c r="H2617" s="422"/>
      <c r="I2617" s="423">
        <f>TRUNC(D2617*G2617,2)</f>
        <v>23.07</v>
      </c>
      <c r="J2617" s="415"/>
      <c r="K2617" s="415"/>
    </row>
    <row r="2618" spans="1:11" s="198" customFormat="1" ht="22.5" x14ac:dyDescent="0.2">
      <c r="A2618" s="416" t="str">
        <f>VLOOKUP(B2618,'DER 11-20'!$A:$E,2,FALSE)</f>
        <v>Concreto estrutural fck = 15,0 MPa, tudo incluído</v>
      </c>
      <c r="B2618" s="417">
        <v>40358</v>
      </c>
      <c r="C2618" s="417" t="str">
        <f>VLOOKUP(B2618,'DER 11-20'!$A:$E,3,FALSE)</f>
        <v>M3</v>
      </c>
      <c r="D2618" s="418">
        <f>TRUNC(VLOOKUP(B2618,'DER 11-20'!$A:$F,6,FALSE)/(1+$I$4),2)</f>
        <v>547.26</v>
      </c>
      <c r="E2618" s="419"/>
      <c r="F2618" s="420"/>
      <c r="G2618" s="421">
        <v>2.5089999999999999</v>
      </c>
      <c r="H2618" s="422"/>
      <c r="I2618" s="423">
        <f>TRUNC(D2618*G2618,2)</f>
        <v>1373.07</v>
      </c>
      <c r="J2618" s="415"/>
      <c r="K2618" s="415"/>
    </row>
    <row r="2619" spans="1:11" s="198" customFormat="1" ht="22.5" x14ac:dyDescent="0.2">
      <c r="A2619" s="416" t="str">
        <f>VLOOKUP(B2619,'DER 11-20'!$A:$E,2,FALSE)</f>
        <v>Escavação manual em mat. 1ª cat. H= 0,00 a 1,50 m</v>
      </c>
      <c r="B2619" s="417">
        <v>40258</v>
      </c>
      <c r="C2619" s="417" t="str">
        <f>VLOOKUP(B2619,'DER 11-20'!$A:$E,3,FALSE)</f>
        <v>M3</v>
      </c>
      <c r="D2619" s="418">
        <f>TRUNC(VLOOKUP(B2619,'DER 11-20'!$A:$F,6,FALSE)/(1+$I$4),2)</f>
        <v>56.6</v>
      </c>
      <c r="E2619" s="419"/>
      <c r="F2619" s="420"/>
      <c r="G2619" s="421">
        <v>6.37</v>
      </c>
      <c r="H2619" s="422"/>
      <c r="I2619" s="423">
        <f>TRUNC(D2619*G2619,2)</f>
        <v>360.54</v>
      </c>
      <c r="J2619" s="415"/>
      <c r="K2619" s="415"/>
    </row>
    <row r="2620" spans="1:11" s="198" customFormat="1" ht="45" x14ac:dyDescent="0.2">
      <c r="A2620" s="416" t="str">
        <f>VLOOKUP(B2620,'DER 11-20'!$A:$E,2,FALSE)</f>
        <v>Formas planas de madeira com 04 (quatro) reaproveitamentos, inclusive fornecimento e transporte das madeiras</v>
      </c>
      <c r="B2620" s="417">
        <v>40313</v>
      </c>
      <c r="C2620" s="417" t="str">
        <f>VLOOKUP(B2620,'DER 11-20'!$A:$E,3,FALSE)</f>
        <v>M2</v>
      </c>
      <c r="D2620" s="418">
        <f>TRUNC(VLOOKUP(B2620,'DER 11-20'!$A:$F,6,FALSE)/(1+$I$4),2)</f>
        <v>71.56</v>
      </c>
      <c r="E2620" s="419"/>
      <c r="F2620" s="420"/>
      <c r="G2620" s="421">
        <v>11.75</v>
      </c>
      <c r="H2620" s="422"/>
      <c r="I2620" s="423">
        <f>TRUNC(D2620*G2620,2)</f>
        <v>840.83</v>
      </c>
      <c r="J2620" s="415"/>
      <c r="K2620" s="415"/>
    </row>
    <row r="2621" spans="1:11" x14ac:dyDescent="0.2">
      <c r="A2621" s="200"/>
      <c r="B2621" s="264"/>
      <c r="C2621" s="200"/>
      <c r="D2621" s="200"/>
      <c r="E2621" s="200"/>
      <c r="F2621" s="265" t="s">
        <v>199</v>
      </c>
      <c r="G2621" s="255"/>
      <c r="H2621" s="266"/>
      <c r="I2621" s="441">
        <f>SUM(I2616:I2620)</f>
        <v>4483.5200000000004</v>
      </c>
    </row>
    <row r="2622" spans="1:11" x14ac:dyDescent="0.2">
      <c r="A2622" s="200"/>
      <c r="B2622" s="264"/>
      <c r="C2622" s="200"/>
      <c r="D2622" s="200"/>
      <c r="E2622" s="200"/>
      <c r="F2622" s="200"/>
      <c r="G2622" s="200"/>
      <c r="H2622" s="200"/>
      <c r="I2622" s="440"/>
    </row>
    <row r="2623" spans="1:11" ht="21.75" customHeight="1" x14ac:dyDescent="0.2">
      <c r="A2623" s="267" t="s">
        <v>200</v>
      </c>
      <c r="B2623" s="268" t="s">
        <v>59</v>
      </c>
      <c r="C2623" s="268" t="s">
        <v>196</v>
      </c>
      <c r="D2623" s="268" t="s">
        <v>201</v>
      </c>
      <c r="E2623" s="268" t="s">
        <v>202</v>
      </c>
      <c r="F2623" s="268" t="s">
        <v>203</v>
      </c>
      <c r="G2623" s="268" t="s">
        <v>94</v>
      </c>
      <c r="H2623" s="268" t="s">
        <v>89</v>
      </c>
      <c r="I2623" s="442" t="s">
        <v>204</v>
      </c>
    </row>
    <row r="2624" spans="1:11" x14ac:dyDescent="0.2">
      <c r="A2624" s="244"/>
      <c r="B2624" s="234"/>
      <c r="C2624" s="234"/>
      <c r="D2624" s="269"/>
      <c r="E2624" s="270"/>
      <c r="F2624" s="270"/>
      <c r="G2624" s="239"/>
      <c r="H2624" s="271"/>
      <c r="I2624" s="418"/>
    </row>
    <row r="2625" spans="1:17" x14ac:dyDescent="0.2">
      <c r="A2625" s="200"/>
      <c r="B2625" s="264"/>
      <c r="C2625" s="200"/>
      <c r="D2625" s="200"/>
      <c r="E2625" s="200"/>
      <c r="F2625" s="265" t="s">
        <v>205</v>
      </c>
      <c r="G2625" s="240"/>
      <c r="H2625" s="272"/>
      <c r="I2625" s="443">
        <f>SUM(I2624:I2624)</f>
        <v>0</v>
      </c>
    </row>
    <row r="2626" spans="1:17" x14ac:dyDescent="0.2">
      <c r="A2626" s="200"/>
      <c r="B2626" s="264"/>
      <c r="C2626" s="200"/>
      <c r="D2626" s="200"/>
      <c r="E2626" s="200"/>
      <c r="F2626" s="200"/>
      <c r="G2626" s="200"/>
      <c r="H2626" s="200"/>
      <c r="I2626" s="444"/>
    </row>
    <row r="2627" spans="1:17" x14ac:dyDescent="0.2">
      <c r="A2627" s="273"/>
      <c r="B2627" s="274"/>
      <c r="C2627" s="275"/>
      <c r="D2627" s="275"/>
      <c r="E2627" s="275"/>
      <c r="F2627" s="276" t="s">
        <v>206</v>
      </c>
      <c r="G2627" s="273"/>
      <c r="H2627" s="249"/>
      <c r="I2627" s="445">
        <f>+I2609+I2613+I2621+I2625</f>
        <v>4483.5200000000004</v>
      </c>
    </row>
    <row r="2628" spans="1:17" x14ac:dyDescent="0.2">
      <c r="A2628" s="255"/>
      <c r="B2628" s="277"/>
      <c r="C2628" s="266"/>
      <c r="D2628" s="266"/>
      <c r="E2628" s="266"/>
      <c r="F2628" s="278" t="str">
        <f>CONCATENATE($H$3," ",$I$3)</f>
        <v>BDI: 23,32</v>
      </c>
      <c r="G2628" s="403"/>
      <c r="H2628" s="253"/>
      <c r="I2628" s="446">
        <f>+ROUND(I2627*$I$4,2)</f>
        <v>1045.56</v>
      </c>
    </row>
    <row r="2629" spans="1:17" x14ac:dyDescent="0.2">
      <c r="A2629" s="240"/>
      <c r="B2629" s="279"/>
      <c r="C2629" s="272"/>
      <c r="D2629" s="272"/>
      <c r="E2629" s="272"/>
      <c r="F2629" s="280" t="s">
        <v>207</v>
      </c>
      <c r="G2629" s="404"/>
      <c r="H2629" s="241"/>
      <c r="I2629" s="720">
        <f>+I2627+I2628</f>
        <v>5529.08</v>
      </c>
    </row>
    <row r="2630" spans="1:17" s="198" customFormat="1" x14ac:dyDescent="0.2">
      <c r="A2630" s="1116" t="str">
        <f>$A$1</f>
        <v>COMPOSIÇÃO DE CUSTOS UNITÁRIOS</v>
      </c>
      <c r="B2630" s="1116"/>
      <c r="C2630" s="1116"/>
      <c r="D2630" s="1116"/>
      <c r="E2630" s="1116"/>
      <c r="F2630" s="1116"/>
      <c r="G2630" s="1116"/>
      <c r="H2630" s="1116"/>
      <c r="I2630" s="1116"/>
      <c r="J2630" s="400"/>
      <c r="K2630" s="400"/>
      <c r="L2630" s="295"/>
      <c r="M2630" s="295"/>
      <c r="N2630" s="295"/>
      <c r="O2630" s="295"/>
      <c r="P2630" s="295"/>
      <c r="Q2630" s="295"/>
    </row>
    <row r="2631" spans="1:17" s="198" customFormat="1" x14ac:dyDescent="0.2">
      <c r="A2631" s="228" t="str">
        <f>$A$2</f>
        <v>Tabela Referencial de Preços - DER-ES</v>
      </c>
      <c r="B2631" s="229"/>
      <c r="C2631" s="199"/>
      <c r="D2631" s="199"/>
      <c r="E2631" s="199"/>
      <c r="F2631" s="199"/>
      <c r="G2631" s="199"/>
      <c r="H2631" s="199"/>
      <c r="I2631" s="414" t="str">
        <f>$I$2</f>
        <v>Data Base: novembro/2020</v>
      </c>
      <c r="J2631" s="400"/>
      <c r="K2631" s="400"/>
      <c r="L2631" s="295"/>
      <c r="M2631" s="295"/>
      <c r="N2631" s="295"/>
      <c r="O2631" s="295"/>
      <c r="P2631" s="295"/>
      <c r="Q2631" s="295"/>
    </row>
    <row r="2632" spans="1:17" s="198" customFormat="1" x14ac:dyDescent="0.2">
      <c r="A2632" s="1117" t="str">
        <f>+CONCATENATE("Serviço: ",J2632," ",VLOOKUP(J2632,'DER 11-20'!$A:$D,2,FALSE))</f>
        <v>Serviço: 40741 Dissipador de energia aplicado a saída de bueiro/descida d'água de aterro (DEB-10)</v>
      </c>
      <c r="B2632" s="1117"/>
      <c r="C2632" s="1117"/>
      <c r="D2632" s="1117"/>
      <c r="E2632" s="1117"/>
      <c r="F2632" s="1117"/>
      <c r="G2632" s="1117"/>
      <c r="H2632" s="1117"/>
      <c r="I2632" s="1119" t="str">
        <f>CONCATENATE("Unidade: ", VLOOKUP(J2632,'DER 11-20'!$A:$E,3,FALSE))</f>
        <v>Unidade: Ud</v>
      </c>
      <c r="J2632" s="400">
        <v>40741</v>
      </c>
      <c r="K2632" s="400">
        <f>VLOOKUP("Preço Unitário Total",F2633:I4332,4,FALSE)</f>
        <v>7028.4</v>
      </c>
      <c r="L2632" s="295" t="str">
        <f>VLOOKUP(J2632,'DER 11-20'!A:E,5,FALSE)</f>
        <v>A incluir</v>
      </c>
      <c r="M2632" s="295" t="str">
        <f>VLOOKUP(J2632,'DER 11-20'!$A:$D,2,FALSE)</f>
        <v>Dissipador de energia aplicado a saída de bueiro/descida d'água de aterro (DEB-10)</v>
      </c>
      <c r="N2632" s="295"/>
      <c r="O2632" s="295"/>
      <c r="P2632" s="295"/>
      <c r="Q2632" s="295"/>
    </row>
    <row r="2633" spans="1:17" x14ac:dyDescent="0.2">
      <c r="A2633" s="1118"/>
      <c r="B2633" s="1118"/>
      <c r="C2633" s="1118"/>
      <c r="D2633" s="1118"/>
      <c r="E2633" s="1118"/>
      <c r="F2633" s="1118"/>
      <c r="G2633" s="1118"/>
      <c r="H2633" s="1118"/>
      <c r="I2633" s="1120"/>
    </row>
    <row r="2634" spans="1:17" ht="22.5" x14ac:dyDescent="0.2">
      <c r="A2634" s="231" t="s">
        <v>177</v>
      </c>
      <c r="B2634" s="232" t="s">
        <v>59</v>
      </c>
      <c r="C2634" s="232" t="s">
        <v>178</v>
      </c>
      <c r="D2634" s="232" t="s">
        <v>179</v>
      </c>
      <c r="E2634" s="232" t="s">
        <v>180</v>
      </c>
      <c r="F2634" s="232" t="s">
        <v>181</v>
      </c>
      <c r="G2634" s="232" t="s">
        <v>182</v>
      </c>
      <c r="H2634" s="232" t="s">
        <v>89</v>
      </c>
      <c r="I2634" s="434" t="s">
        <v>183</v>
      </c>
    </row>
    <row r="2635" spans="1:17" x14ac:dyDescent="0.2">
      <c r="A2635" s="199"/>
      <c r="B2635" s="229"/>
      <c r="C2635" s="229"/>
      <c r="D2635" s="199"/>
      <c r="E2635" s="199"/>
      <c r="F2635" s="230" t="s">
        <v>184</v>
      </c>
      <c r="G2635" s="240"/>
      <c r="H2635" s="241"/>
      <c r="I2635" s="438">
        <v>0</v>
      </c>
    </row>
    <row r="2636" spans="1:17" x14ac:dyDescent="0.2">
      <c r="A2636" s="199"/>
      <c r="B2636" s="229"/>
      <c r="C2636" s="229"/>
      <c r="D2636" s="199"/>
      <c r="E2636" s="199"/>
      <c r="F2636" s="199"/>
      <c r="G2636" s="199"/>
      <c r="H2636" s="199"/>
      <c r="I2636" s="439"/>
    </row>
    <row r="2637" spans="1:17" x14ac:dyDescent="0.2">
      <c r="A2637" s="242" t="s">
        <v>185</v>
      </c>
      <c r="B2637" s="243" t="s">
        <v>59</v>
      </c>
      <c r="C2637" s="232" t="s">
        <v>357</v>
      </c>
      <c r="D2637" s="243" t="s">
        <v>187</v>
      </c>
      <c r="E2637" s="1111" t="s">
        <v>89</v>
      </c>
      <c r="F2637" s="1112"/>
      <c r="G2637" s="1113"/>
      <c r="H2637" s="1121" t="s">
        <v>183</v>
      </c>
      <c r="I2637" s="1115"/>
    </row>
    <row r="2638" spans="1:17" x14ac:dyDescent="0.2">
      <c r="A2638" s="199"/>
      <c r="B2638" s="229"/>
      <c r="C2638" s="229"/>
      <c r="D2638" s="199"/>
      <c r="E2638" s="199"/>
      <c r="F2638" s="230" t="s">
        <v>188</v>
      </c>
      <c r="G2638" s="240"/>
      <c r="H2638" s="241"/>
      <c r="I2638" s="438">
        <v>0</v>
      </c>
    </row>
    <row r="2639" spans="1:17" x14ac:dyDescent="0.2">
      <c r="A2639" s="199"/>
      <c r="B2639" s="229"/>
      <c r="C2639" s="229"/>
      <c r="D2639" s="199"/>
      <c r="E2639" s="199"/>
      <c r="F2639" s="199"/>
      <c r="G2639" s="199"/>
      <c r="H2639" s="199"/>
      <c r="I2639" s="439"/>
    </row>
    <row r="2640" spans="1:17" x14ac:dyDescent="0.2">
      <c r="A2640" s="245" t="s">
        <v>189</v>
      </c>
      <c r="B2640" s="243" t="s">
        <v>59</v>
      </c>
      <c r="C2640" s="830" t="s">
        <v>17</v>
      </c>
      <c r="D2640" s="243" t="s">
        <v>190</v>
      </c>
      <c r="E2640" s="243" t="s">
        <v>191</v>
      </c>
      <c r="F2640" s="243" t="s">
        <v>192</v>
      </c>
      <c r="G2640" s="1121" t="s">
        <v>94</v>
      </c>
      <c r="H2640" s="1114"/>
      <c r="I2640" s="1115"/>
    </row>
    <row r="2641" spans="1:11" x14ac:dyDescent="0.2">
      <c r="A2641" s="199"/>
      <c r="B2641" s="229"/>
      <c r="C2641" s="199"/>
      <c r="D2641" s="199"/>
      <c r="E2641" s="199"/>
      <c r="F2641" s="230" t="s">
        <v>327</v>
      </c>
      <c r="G2641" s="240"/>
      <c r="H2641" s="241"/>
      <c r="I2641" s="438">
        <v>0</v>
      </c>
    </row>
    <row r="2642" spans="1:11" x14ac:dyDescent="0.2">
      <c r="A2642" s="199"/>
      <c r="B2642" s="229"/>
      <c r="C2642" s="199"/>
      <c r="D2642" s="199"/>
      <c r="E2642" s="199"/>
      <c r="F2642" s="199"/>
      <c r="G2642" s="199"/>
      <c r="H2642" s="199"/>
      <c r="I2642" s="439"/>
    </row>
    <row r="2643" spans="1:11" x14ac:dyDescent="0.2">
      <c r="A2643" s="247"/>
      <c r="B2643" s="248"/>
      <c r="C2643" s="249"/>
      <c r="D2643" s="249"/>
      <c r="E2643" s="249"/>
      <c r="F2643" s="250" t="s">
        <v>193</v>
      </c>
      <c r="G2643" s="401"/>
      <c r="H2643" s="249"/>
      <c r="I2643" s="445">
        <f>+I2635+I2638+I2641</f>
        <v>0</v>
      </c>
    </row>
    <row r="2644" spans="1:11" x14ac:dyDescent="0.2">
      <c r="A2644" s="251"/>
      <c r="B2644" s="252"/>
      <c r="C2644" s="253"/>
      <c r="D2644" s="253"/>
      <c r="E2644" s="253"/>
      <c r="F2644" s="254" t="s">
        <v>194</v>
      </c>
      <c r="G2644" s="255"/>
      <c r="H2644" s="253"/>
      <c r="I2644" s="446">
        <v>1</v>
      </c>
    </row>
    <row r="2645" spans="1:11" x14ac:dyDescent="0.2">
      <c r="A2645" s="233"/>
      <c r="B2645" s="256"/>
      <c r="C2645" s="241"/>
      <c r="D2645" s="241"/>
      <c r="E2645" s="241"/>
      <c r="F2645" s="257" t="s">
        <v>216</v>
      </c>
      <c r="G2645" s="240"/>
      <c r="H2645" s="241"/>
      <c r="I2645" s="447">
        <f>TRUNC(I2643/I2644,2)</f>
        <v>0</v>
      </c>
    </row>
    <row r="2646" spans="1:11" x14ac:dyDescent="0.2">
      <c r="A2646" s="829"/>
      <c r="B2646" s="229"/>
      <c r="C2646" s="199"/>
      <c r="D2646" s="199"/>
      <c r="E2646" s="199"/>
      <c r="F2646" s="258"/>
      <c r="G2646" s="199"/>
      <c r="H2646" s="199"/>
      <c r="I2646" s="450"/>
    </row>
    <row r="2647" spans="1:11" x14ac:dyDescent="0.2">
      <c r="A2647" s="242" t="s">
        <v>195</v>
      </c>
      <c r="B2647" s="243" t="s">
        <v>59</v>
      </c>
      <c r="C2647" s="243" t="s">
        <v>196</v>
      </c>
      <c r="D2647" s="243" t="s">
        <v>217</v>
      </c>
      <c r="E2647" s="1121" t="s">
        <v>89</v>
      </c>
      <c r="F2647" s="1114"/>
      <c r="G2647" s="1115"/>
      <c r="H2647" s="1121" t="s">
        <v>183</v>
      </c>
      <c r="I2647" s="1115"/>
    </row>
    <row r="2648" spans="1:11" x14ac:dyDescent="0.2">
      <c r="A2648" s="259"/>
      <c r="B2648" s="234"/>
      <c r="C2648" s="260"/>
      <c r="D2648" s="261"/>
      <c r="E2648" s="255"/>
      <c r="F2648" s="253"/>
      <c r="G2648" s="293"/>
      <c r="H2648" s="255"/>
      <c r="I2648" s="423"/>
    </row>
    <row r="2649" spans="1:11" x14ac:dyDescent="0.2">
      <c r="A2649" s="199"/>
      <c r="B2649" s="229"/>
      <c r="C2649" s="199"/>
      <c r="D2649" s="199"/>
      <c r="E2649" s="199"/>
      <c r="F2649" s="230" t="s">
        <v>197</v>
      </c>
      <c r="G2649" s="240"/>
      <c r="H2649" s="241"/>
      <c r="I2649" s="438">
        <f>SUM(I2648:I2648)</f>
        <v>0</v>
      </c>
    </row>
    <row r="2650" spans="1:11" x14ac:dyDescent="0.2">
      <c r="A2650" s="199"/>
      <c r="B2650" s="229"/>
      <c r="C2650" s="199"/>
      <c r="D2650" s="199"/>
      <c r="E2650" s="199"/>
      <c r="F2650" s="199"/>
      <c r="G2650" s="262"/>
      <c r="H2650" s="199"/>
      <c r="I2650" s="439"/>
    </row>
    <row r="2651" spans="1:11" x14ac:dyDescent="0.2">
      <c r="A2651" s="263" t="s">
        <v>198</v>
      </c>
      <c r="B2651" s="243" t="s">
        <v>59</v>
      </c>
      <c r="C2651" s="243" t="s">
        <v>196</v>
      </c>
      <c r="D2651" s="830" t="s">
        <v>217</v>
      </c>
      <c r="E2651" s="1111" t="s">
        <v>89</v>
      </c>
      <c r="F2651" s="1112"/>
      <c r="G2651" s="1113"/>
      <c r="H2651" s="1114" t="s">
        <v>183</v>
      </c>
      <c r="I2651" s="1115"/>
    </row>
    <row r="2652" spans="1:11" s="198" customFormat="1" ht="45" x14ac:dyDescent="0.2">
      <c r="A2652" s="416" t="str">
        <f>VLOOKUP(B2652,'DER 11-20'!$A:$E,2,FALSE)</f>
        <v>Alvenaria de pedra de mão argamassada (argamassa cimento areia 1:4), inclusive transporte da pedra</v>
      </c>
      <c r="B2652" s="417">
        <v>40343</v>
      </c>
      <c r="C2652" s="417" t="str">
        <f>VLOOKUP(B2652,'DER 11-20'!$A:$E,3,FALSE)</f>
        <v>M3</v>
      </c>
      <c r="D2652" s="418">
        <f>TRUNC(VLOOKUP(B2652,'DER 11-20'!$A:$F,6,FALSE)/(1+$I$4),2)</f>
        <v>337.39</v>
      </c>
      <c r="E2652" s="419"/>
      <c r="F2652" s="420"/>
      <c r="G2652" s="421">
        <v>7.38</v>
      </c>
      <c r="H2652" s="422"/>
      <c r="I2652" s="423">
        <f>TRUNC(D2652*G2652,2)</f>
        <v>2489.9299999999998</v>
      </c>
      <c r="J2652" s="415"/>
      <c r="K2652" s="415"/>
    </row>
    <row r="2653" spans="1:11" s="198" customFormat="1" x14ac:dyDescent="0.2">
      <c r="A2653" s="416" t="str">
        <f>VLOOKUP(B2653,'DER 11-20'!$A:$E,2,FALSE)</f>
        <v>Apiloamento manual</v>
      </c>
      <c r="B2653" s="417">
        <v>40300</v>
      </c>
      <c r="C2653" s="417" t="str">
        <f>VLOOKUP(B2653,'DER 11-20'!$A:$E,3,FALSE)</f>
        <v>M3</v>
      </c>
      <c r="D2653" s="418">
        <f>TRUNC(VLOOKUP(B2653,'DER 11-20'!$A:$F,6,FALSE)/(1+$I$4),2)</f>
        <v>46.15</v>
      </c>
      <c r="E2653" s="419"/>
      <c r="F2653" s="420"/>
      <c r="G2653" s="421">
        <v>0.6</v>
      </c>
      <c r="H2653" s="422"/>
      <c r="I2653" s="423">
        <f>TRUNC(D2653*G2653,2)</f>
        <v>27.69</v>
      </c>
      <c r="J2653" s="415"/>
      <c r="K2653" s="415"/>
    </row>
    <row r="2654" spans="1:11" s="198" customFormat="1" ht="22.5" x14ac:dyDescent="0.2">
      <c r="A2654" s="416" t="str">
        <f>VLOOKUP(B2654,'DER 11-20'!$A:$E,2,FALSE)</f>
        <v>Concreto estrutural fck = 15,0 MPa, tudo incluído</v>
      </c>
      <c r="B2654" s="417">
        <v>40358</v>
      </c>
      <c r="C2654" s="417" t="str">
        <f>VLOOKUP(B2654,'DER 11-20'!$A:$E,3,FALSE)</f>
        <v>M3</v>
      </c>
      <c r="D2654" s="418">
        <f>TRUNC(VLOOKUP(B2654,'DER 11-20'!$A:$F,6,FALSE)/(1+$I$4),2)</f>
        <v>547.26</v>
      </c>
      <c r="E2654" s="419"/>
      <c r="F2654" s="420"/>
      <c r="G2654" s="421">
        <v>3.198</v>
      </c>
      <c r="H2654" s="422"/>
      <c r="I2654" s="423">
        <f>TRUNC(D2654*G2654,2)</f>
        <v>1750.13</v>
      </c>
      <c r="J2654" s="415"/>
      <c r="K2654" s="415"/>
    </row>
    <row r="2655" spans="1:11" s="198" customFormat="1" ht="22.5" x14ac:dyDescent="0.2">
      <c r="A2655" s="416" t="str">
        <f>VLOOKUP(B2655,'DER 11-20'!$A:$E,2,FALSE)</f>
        <v>Escavação manual em mat. 1ª cat. H= 0,00 a 1,50 m</v>
      </c>
      <c r="B2655" s="417">
        <v>40258</v>
      </c>
      <c r="C2655" s="417" t="str">
        <f>VLOOKUP(B2655,'DER 11-20'!$A:$E,3,FALSE)</f>
        <v>M3</v>
      </c>
      <c r="D2655" s="418">
        <f>TRUNC(VLOOKUP(B2655,'DER 11-20'!$A:$F,6,FALSE)/(1+$I$4),2)</f>
        <v>56.6</v>
      </c>
      <c r="E2655" s="419"/>
      <c r="F2655" s="420"/>
      <c r="G2655" s="421">
        <v>8.25</v>
      </c>
      <c r="H2655" s="422"/>
      <c r="I2655" s="423">
        <f>TRUNC(D2655*G2655,2)</f>
        <v>466.95</v>
      </c>
      <c r="J2655" s="415"/>
      <c r="K2655" s="415"/>
    </row>
    <row r="2656" spans="1:11" s="198" customFormat="1" ht="45" x14ac:dyDescent="0.2">
      <c r="A2656" s="416" t="str">
        <f>VLOOKUP(B2656,'DER 11-20'!$A:$E,2,FALSE)</f>
        <v>Formas planas de madeira com 04 (quatro) reaproveitamentos, inclusive fornecimento e transporte das madeiras</v>
      </c>
      <c r="B2656" s="417">
        <v>40313</v>
      </c>
      <c r="C2656" s="417" t="str">
        <f>VLOOKUP(B2656,'DER 11-20'!$A:$E,3,FALSE)</f>
        <v>M2</v>
      </c>
      <c r="D2656" s="418">
        <f>TRUNC(VLOOKUP(B2656,'DER 11-20'!$A:$F,6,FALSE)/(1+$I$4),2)</f>
        <v>71.56</v>
      </c>
      <c r="E2656" s="419"/>
      <c r="F2656" s="420"/>
      <c r="G2656" s="421">
        <v>13.48</v>
      </c>
      <c r="H2656" s="422"/>
      <c r="I2656" s="423">
        <f>TRUNC(D2656*G2656,2)</f>
        <v>964.62</v>
      </c>
      <c r="J2656" s="415"/>
      <c r="K2656" s="415"/>
    </row>
    <row r="2657" spans="1:17" x14ac:dyDescent="0.2">
      <c r="A2657" s="200"/>
      <c r="B2657" s="264"/>
      <c r="C2657" s="200"/>
      <c r="D2657" s="200"/>
      <c r="E2657" s="200"/>
      <c r="F2657" s="265" t="s">
        <v>199</v>
      </c>
      <c r="G2657" s="255"/>
      <c r="H2657" s="266"/>
      <c r="I2657" s="441">
        <f>SUM(I2652:I2656)</f>
        <v>5699.32</v>
      </c>
    </row>
    <row r="2658" spans="1:17" x14ac:dyDescent="0.2">
      <c r="A2658" s="200"/>
      <c r="B2658" s="264"/>
      <c r="C2658" s="200"/>
      <c r="D2658" s="200"/>
      <c r="E2658" s="200"/>
      <c r="F2658" s="200"/>
      <c r="G2658" s="200"/>
      <c r="H2658" s="200"/>
      <c r="I2658" s="440"/>
    </row>
    <row r="2659" spans="1:17" ht="21.75" customHeight="1" x14ac:dyDescent="0.2">
      <c r="A2659" s="267" t="s">
        <v>200</v>
      </c>
      <c r="B2659" s="268" t="s">
        <v>59</v>
      </c>
      <c r="C2659" s="268" t="s">
        <v>196</v>
      </c>
      <c r="D2659" s="268" t="s">
        <v>201</v>
      </c>
      <c r="E2659" s="268" t="s">
        <v>202</v>
      </c>
      <c r="F2659" s="268" t="s">
        <v>203</v>
      </c>
      <c r="G2659" s="268" t="s">
        <v>94</v>
      </c>
      <c r="H2659" s="268" t="s">
        <v>89</v>
      </c>
      <c r="I2659" s="442" t="s">
        <v>204</v>
      </c>
    </row>
    <row r="2660" spans="1:17" x14ac:dyDescent="0.2">
      <c r="A2660" s="244"/>
      <c r="B2660" s="234"/>
      <c r="C2660" s="234"/>
      <c r="D2660" s="269"/>
      <c r="E2660" s="270"/>
      <c r="F2660" s="270"/>
      <c r="G2660" s="239"/>
      <c r="H2660" s="271"/>
      <c r="I2660" s="418"/>
    </row>
    <row r="2661" spans="1:17" x14ac:dyDescent="0.2">
      <c r="A2661" s="200"/>
      <c r="B2661" s="264"/>
      <c r="C2661" s="200"/>
      <c r="D2661" s="200"/>
      <c r="E2661" s="200"/>
      <c r="F2661" s="265" t="s">
        <v>205</v>
      </c>
      <c r="G2661" s="240"/>
      <c r="H2661" s="272"/>
      <c r="I2661" s="443">
        <f>SUM(I2660:I2660)</f>
        <v>0</v>
      </c>
    </row>
    <row r="2662" spans="1:17" x14ac:dyDescent="0.2">
      <c r="A2662" s="200"/>
      <c r="B2662" s="264"/>
      <c r="C2662" s="200"/>
      <c r="D2662" s="200"/>
      <c r="E2662" s="200"/>
      <c r="F2662" s="200"/>
      <c r="G2662" s="200"/>
      <c r="H2662" s="200"/>
      <c r="I2662" s="444"/>
    </row>
    <row r="2663" spans="1:17" x14ac:dyDescent="0.2">
      <c r="A2663" s="273"/>
      <c r="B2663" s="274"/>
      <c r="C2663" s="275"/>
      <c r="D2663" s="275"/>
      <c r="E2663" s="275"/>
      <c r="F2663" s="276" t="s">
        <v>206</v>
      </c>
      <c r="G2663" s="273"/>
      <c r="H2663" s="249"/>
      <c r="I2663" s="445">
        <f>+I2645+I2649+I2657+I2661</f>
        <v>5699.32</v>
      </c>
    </row>
    <row r="2664" spans="1:17" x14ac:dyDescent="0.2">
      <c r="A2664" s="255"/>
      <c r="B2664" s="277"/>
      <c r="C2664" s="266"/>
      <c r="D2664" s="266"/>
      <c r="E2664" s="266"/>
      <c r="F2664" s="278" t="str">
        <f>CONCATENATE($H$3," ",$I$3)</f>
        <v>BDI: 23,32</v>
      </c>
      <c r="G2664" s="403"/>
      <c r="H2664" s="253"/>
      <c r="I2664" s="446">
        <f>+ROUND(I2663*$I$4,2)</f>
        <v>1329.08</v>
      </c>
    </row>
    <row r="2665" spans="1:17" x14ac:dyDescent="0.2">
      <c r="A2665" s="240"/>
      <c r="B2665" s="279"/>
      <c r="C2665" s="272"/>
      <c r="D2665" s="272"/>
      <c r="E2665" s="272"/>
      <c r="F2665" s="280" t="s">
        <v>207</v>
      </c>
      <c r="G2665" s="404"/>
      <c r="H2665" s="241"/>
      <c r="I2665" s="720">
        <f>+I2663+I2664</f>
        <v>7028.4</v>
      </c>
    </row>
    <row r="2666" spans="1:17" s="198" customFormat="1" x14ac:dyDescent="0.2">
      <c r="A2666" s="1116" t="str">
        <f>$A$1</f>
        <v>COMPOSIÇÃO DE CUSTOS UNITÁRIOS</v>
      </c>
      <c r="B2666" s="1116"/>
      <c r="C2666" s="1116"/>
      <c r="D2666" s="1116"/>
      <c r="E2666" s="1116"/>
      <c r="F2666" s="1116"/>
      <c r="G2666" s="1116"/>
      <c r="H2666" s="1116"/>
      <c r="I2666" s="1116"/>
      <c r="J2666" s="400"/>
      <c r="K2666" s="400"/>
      <c r="L2666" s="295"/>
      <c r="M2666" s="295"/>
      <c r="N2666" s="295"/>
      <c r="O2666" s="295"/>
      <c r="P2666" s="295"/>
      <c r="Q2666" s="295"/>
    </row>
    <row r="2667" spans="1:17" s="198" customFormat="1" x14ac:dyDescent="0.2">
      <c r="A2667" s="228" t="str">
        <f>$A$2</f>
        <v>Tabela Referencial de Preços - DER-ES</v>
      </c>
      <c r="B2667" s="229"/>
      <c r="C2667" s="199"/>
      <c r="D2667" s="199"/>
      <c r="E2667" s="199"/>
      <c r="F2667" s="199"/>
      <c r="G2667" s="199"/>
      <c r="H2667" s="199"/>
      <c r="I2667" s="414" t="str">
        <f>$I$2</f>
        <v>Data Base: novembro/2020</v>
      </c>
      <c r="J2667" s="400"/>
      <c r="K2667" s="400"/>
      <c r="L2667" s="295"/>
      <c r="M2667" s="295"/>
      <c r="N2667" s="295"/>
      <c r="O2667" s="295"/>
      <c r="P2667" s="295"/>
      <c r="Q2667" s="295"/>
    </row>
    <row r="2668" spans="1:17" s="198" customFormat="1" x14ac:dyDescent="0.2">
      <c r="A2668" s="1117" t="str">
        <f>+CONCATENATE("Serviço: ",J2668," ",VLOOKUP(J2668,'DER 11-20'!$A:$D,2,FALSE))</f>
        <v>Serviço: 40742 Dissipador de energia aplicado a saída de bueiro/descida d'água de aterro (DEB-12)</v>
      </c>
      <c r="B2668" s="1117"/>
      <c r="C2668" s="1117"/>
      <c r="D2668" s="1117"/>
      <c r="E2668" s="1117"/>
      <c r="F2668" s="1117"/>
      <c r="G2668" s="1117"/>
      <c r="H2668" s="1117"/>
      <c r="I2668" s="1119" t="str">
        <f>CONCATENATE("Unidade: ", VLOOKUP(J2668,'DER 11-20'!$A:$E,3,FALSE))</f>
        <v>Unidade: Ud</v>
      </c>
      <c r="J2668" s="400">
        <v>40742</v>
      </c>
      <c r="K2668" s="400">
        <f>VLOOKUP("Preço Unitário Total",F2669:I4368,4,FALSE)</f>
        <v>14448.73</v>
      </c>
      <c r="L2668" s="295" t="str">
        <f>VLOOKUP(J2668,'DER 11-20'!A:E,5,FALSE)</f>
        <v>A incluir</v>
      </c>
      <c r="M2668" s="295" t="str">
        <f>VLOOKUP(J2668,'DER 11-20'!$A:$D,2,FALSE)</f>
        <v>Dissipador de energia aplicado a saída de bueiro/descida d'água de aterro (DEB-12)</v>
      </c>
      <c r="N2668" s="295"/>
      <c r="O2668" s="295"/>
      <c r="P2668" s="295"/>
      <c r="Q2668" s="295"/>
    </row>
    <row r="2669" spans="1:17" x14ac:dyDescent="0.2">
      <c r="A2669" s="1118"/>
      <c r="B2669" s="1118"/>
      <c r="C2669" s="1118"/>
      <c r="D2669" s="1118"/>
      <c r="E2669" s="1118"/>
      <c r="F2669" s="1118"/>
      <c r="G2669" s="1118"/>
      <c r="H2669" s="1118"/>
      <c r="I2669" s="1120"/>
    </row>
    <row r="2670" spans="1:17" ht="22.5" x14ac:dyDescent="0.2">
      <c r="A2670" s="231" t="s">
        <v>177</v>
      </c>
      <c r="B2670" s="232" t="s">
        <v>59</v>
      </c>
      <c r="C2670" s="232" t="s">
        <v>178</v>
      </c>
      <c r="D2670" s="232" t="s">
        <v>179</v>
      </c>
      <c r="E2670" s="232" t="s">
        <v>180</v>
      </c>
      <c r="F2670" s="232" t="s">
        <v>181</v>
      </c>
      <c r="G2670" s="232" t="s">
        <v>182</v>
      </c>
      <c r="H2670" s="232" t="s">
        <v>89</v>
      </c>
      <c r="I2670" s="434" t="s">
        <v>183</v>
      </c>
    </row>
    <row r="2671" spans="1:17" x14ac:dyDescent="0.2">
      <c r="A2671" s="199"/>
      <c r="B2671" s="229"/>
      <c r="C2671" s="229"/>
      <c r="D2671" s="199"/>
      <c r="E2671" s="199"/>
      <c r="F2671" s="230" t="s">
        <v>184</v>
      </c>
      <c r="G2671" s="240"/>
      <c r="H2671" s="241"/>
      <c r="I2671" s="438">
        <v>0</v>
      </c>
    </row>
    <row r="2672" spans="1:17" x14ac:dyDescent="0.2">
      <c r="A2672" s="199"/>
      <c r="B2672" s="229"/>
      <c r="C2672" s="229"/>
      <c r="D2672" s="199"/>
      <c r="E2672" s="199"/>
      <c r="F2672" s="199"/>
      <c r="G2672" s="199"/>
      <c r="H2672" s="199"/>
      <c r="I2672" s="439"/>
    </row>
    <row r="2673" spans="1:11" x14ac:dyDescent="0.2">
      <c r="A2673" s="242" t="s">
        <v>185</v>
      </c>
      <c r="B2673" s="243" t="s">
        <v>59</v>
      </c>
      <c r="C2673" s="232" t="s">
        <v>357</v>
      </c>
      <c r="D2673" s="243" t="s">
        <v>187</v>
      </c>
      <c r="E2673" s="1111" t="s">
        <v>89</v>
      </c>
      <c r="F2673" s="1112"/>
      <c r="G2673" s="1113"/>
      <c r="H2673" s="1121" t="s">
        <v>183</v>
      </c>
      <c r="I2673" s="1115"/>
    </row>
    <row r="2674" spans="1:11" x14ac:dyDescent="0.2">
      <c r="A2674" s="199"/>
      <c r="B2674" s="229"/>
      <c r="C2674" s="229"/>
      <c r="D2674" s="199"/>
      <c r="E2674" s="199"/>
      <c r="F2674" s="230" t="s">
        <v>188</v>
      </c>
      <c r="G2674" s="240"/>
      <c r="H2674" s="241"/>
      <c r="I2674" s="438">
        <v>0</v>
      </c>
    </row>
    <row r="2675" spans="1:11" x14ac:dyDescent="0.2">
      <c r="A2675" s="199"/>
      <c r="B2675" s="229"/>
      <c r="C2675" s="229"/>
      <c r="D2675" s="199"/>
      <c r="E2675" s="199"/>
      <c r="F2675" s="199"/>
      <c r="G2675" s="199"/>
      <c r="H2675" s="199"/>
      <c r="I2675" s="439"/>
    </row>
    <row r="2676" spans="1:11" x14ac:dyDescent="0.2">
      <c r="A2676" s="245" t="s">
        <v>189</v>
      </c>
      <c r="B2676" s="243" t="s">
        <v>59</v>
      </c>
      <c r="C2676" s="830" t="s">
        <v>17</v>
      </c>
      <c r="D2676" s="243" t="s">
        <v>190</v>
      </c>
      <c r="E2676" s="243" t="s">
        <v>191</v>
      </c>
      <c r="F2676" s="243" t="s">
        <v>192</v>
      </c>
      <c r="G2676" s="1121" t="s">
        <v>94</v>
      </c>
      <c r="H2676" s="1114"/>
      <c r="I2676" s="1115"/>
    </row>
    <row r="2677" spans="1:11" x14ac:dyDescent="0.2">
      <c r="A2677" s="199"/>
      <c r="B2677" s="229"/>
      <c r="C2677" s="199"/>
      <c r="D2677" s="199"/>
      <c r="E2677" s="199"/>
      <c r="F2677" s="230" t="s">
        <v>327</v>
      </c>
      <c r="G2677" s="240"/>
      <c r="H2677" s="241"/>
      <c r="I2677" s="438">
        <v>0</v>
      </c>
    </row>
    <row r="2678" spans="1:11" x14ac:dyDescent="0.2">
      <c r="A2678" s="199"/>
      <c r="B2678" s="229"/>
      <c r="C2678" s="199"/>
      <c r="D2678" s="199"/>
      <c r="E2678" s="199"/>
      <c r="F2678" s="199"/>
      <c r="G2678" s="199"/>
      <c r="H2678" s="199"/>
      <c r="I2678" s="439"/>
    </row>
    <row r="2679" spans="1:11" x14ac:dyDescent="0.2">
      <c r="A2679" s="247"/>
      <c r="B2679" s="248"/>
      <c r="C2679" s="249"/>
      <c r="D2679" s="249"/>
      <c r="E2679" s="249"/>
      <c r="F2679" s="250" t="s">
        <v>193</v>
      </c>
      <c r="G2679" s="401"/>
      <c r="H2679" s="249"/>
      <c r="I2679" s="445">
        <f>+I2671+I2674+I2677</f>
        <v>0</v>
      </c>
    </row>
    <row r="2680" spans="1:11" x14ac:dyDescent="0.2">
      <c r="A2680" s="251"/>
      <c r="B2680" s="252"/>
      <c r="C2680" s="253"/>
      <c r="D2680" s="253"/>
      <c r="E2680" s="253"/>
      <c r="F2680" s="254" t="s">
        <v>194</v>
      </c>
      <c r="G2680" s="255"/>
      <c r="H2680" s="253"/>
      <c r="I2680" s="446">
        <v>1</v>
      </c>
    </row>
    <row r="2681" spans="1:11" x14ac:dyDescent="0.2">
      <c r="A2681" s="233"/>
      <c r="B2681" s="256"/>
      <c r="C2681" s="241"/>
      <c r="D2681" s="241"/>
      <c r="E2681" s="241"/>
      <c r="F2681" s="257" t="s">
        <v>216</v>
      </c>
      <c r="G2681" s="240"/>
      <c r="H2681" s="241"/>
      <c r="I2681" s="447">
        <f>TRUNC(I2679/I2680,2)</f>
        <v>0</v>
      </c>
    </row>
    <row r="2682" spans="1:11" x14ac:dyDescent="0.2">
      <c r="A2682" s="829"/>
      <c r="B2682" s="229"/>
      <c r="C2682" s="199"/>
      <c r="D2682" s="199"/>
      <c r="E2682" s="199"/>
      <c r="F2682" s="258"/>
      <c r="G2682" s="199"/>
      <c r="H2682" s="199"/>
      <c r="I2682" s="450"/>
    </row>
    <row r="2683" spans="1:11" x14ac:dyDescent="0.2">
      <c r="A2683" s="242" t="s">
        <v>195</v>
      </c>
      <c r="B2683" s="243" t="s">
        <v>59</v>
      </c>
      <c r="C2683" s="243" t="s">
        <v>196</v>
      </c>
      <c r="D2683" s="243" t="s">
        <v>217</v>
      </c>
      <c r="E2683" s="1121" t="s">
        <v>89</v>
      </c>
      <c r="F2683" s="1114"/>
      <c r="G2683" s="1115"/>
      <c r="H2683" s="1121" t="s">
        <v>183</v>
      </c>
      <c r="I2683" s="1115"/>
    </row>
    <row r="2684" spans="1:11" x14ac:dyDescent="0.2">
      <c r="A2684" s="259"/>
      <c r="B2684" s="234"/>
      <c r="C2684" s="260"/>
      <c r="D2684" s="261"/>
      <c r="E2684" s="255"/>
      <c r="F2684" s="253"/>
      <c r="G2684" s="293"/>
      <c r="H2684" s="255"/>
      <c r="I2684" s="423"/>
    </row>
    <row r="2685" spans="1:11" x14ac:dyDescent="0.2">
      <c r="A2685" s="199"/>
      <c r="B2685" s="229"/>
      <c r="C2685" s="199"/>
      <c r="D2685" s="199"/>
      <c r="E2685" s="199"/>
      <c r="F2685" s="230" t="s">
        <v>197</v>
      </c>
      <c r="G2685" s="240"/>
      <c r="H2685" s="241"/>
      <c r="I2685" s="438">
        <f>SUM(I2684:I2684)</f>
        <v>0</v>
      </c>
    </row>
    <row r="2686" spans="1:11" x14ac:dyDescent="0.2">
      <c r="A2686" s="199"/>
      <c r="B2686" s="229"/>
      <c r="C2686" s="199"/>
      <c r="D2686" s="199"/>
      <c r="E2686" s="199"/>
      <c r="F2686" s="199"/>
      <c r="G2686" s="262"/>
      <c r="H2686" s="199"/>
      <c r="I2686" s="439"/>
    </row>
    <row r="2687" spans="1:11" x14ac:dyDescent="0.2">
      <c r="A2687" s="263" t="s">
        <v>198</v>
      </c>
      <c r="B2687" s="243" t="s">
        <v>59</v>
      </c>
      <c r="C2687" s="243" t="s">
        <v>196</v>
      </c>
      <c r="D2687" s="830" t="s">
        <v>217</v>
      </c>
      <c r="E2687" s="1111" t="s">
        <v>89</v>
      </c>
      <c r="F2687" s="1112"/>
      <c r="G2687" s="1113"/>
      <c r="H2687" s="1114" t="s">
        <v>183</v>
      </c>
      <c r="I2687" s="1115"/>
    </row>
    <row r="2688" spans="1:11" s="198" customFormat="1" ht="45" x14ac:dyDescent="0.2">
      <c r="A2688" s="416" t="str">
        <f>VLOOKUP(B2688,'DER 11-20'!$A:$E,2,FALSE)</f>
        <v>Alvenaria de pedra de mão argamassada (argamassa cimento areia 1:4), inclusive transporte da pedra</v>
      </c>
      <c r="B2688" s="417">
        <v>40343</v>
      </c>
      <c r="C2688" s="417" t="str">
        <f>VLOOKUP(B2688,'DER 11-20'!$A:$E,3,FALSE)</f>
        <v>M3</v>
      </c>
      <c r="D2688" s="418">
        <f>TRUNC(VLOOKUP(B2688,'DER 11-20'!$A:$F,6,FALSE)/(1+$I$4),2)</f>
        <v>337.39</v>
      </c>
      <c r="E2688" s="419"/>
      <c r="F2688" s="420"/>
      <c r="G2688" s="421">
        <v>16.21</v>
      </c>
      <c r="H2688" s="422"/>
      <c r="I2688" s="423">
        <f>TRUNC(D2688*G2688,2)</f>
        <v>5469.09</v>
      </c>
      <c r="J2688" s="415"/>
      <c r="K2688" s="415"/>
    </row>
    <row r="2689" spans="1:17" s="198" customFormat="1" x14ac:dyDescent="0.2">
      <c r="A2689" s="416" t="str">
        <f>VLOOKUP(B2689,'DER 11-20'!$A:$E,2,FALSE)</f>
        <v>Apiloamento manual</v>
      </c>
      <c r="B2689" s="417">
        <v>40300</v>
      </c>
      <c r="C2689" s="417" t="str">
        <f>VLOOKUP(B2689,'DER 11-20'!$A:$E,3,FALSE)</f>
        <v>M3</v>
      </c>
      <c r="D2689" s="418">
        <f>TRUNC(VLOOKUP(B2689,'DER 11-20'!$A:$F,6,FALSE)/(1+$I$4),2)</f>
        <v>46.15</v>
      </c>
      <c r="E2689" s="419"/>
      <c r="F2689" s="420"/>
      <c r="G2689" s="421">
        <v>0.9</v>
      </c>
      <c r="H2689" s="422"/>
      <c r="I2689" s="423">
        <f>TRUNC(D2689*G2689,2)</f>
        <v>41.53</v>
      </c>
      <c r="J2689" s="415"/>
      <c r="K2689" s="415"/>
    </row>
    <row r="2690" spans="1:17" s="198" customFormat="1" ht="22.5" x14ac:dyDescent="0.2">
      <c r="A2690" s="416" t="str">
        <f>VLOOKUP(B2690,'DER 11-20'!$A:$E,2,FALSE)</f>
        <v>Concreto estrutural fck = 15,0 MPa, tudo incluído</v>
      </c>
      <c r="B2690" s="417">
        <v>40358</v>
      </c>
      <c r="C2690" s="417" t="str">
        <f>VLOOKUP(B2690,'DER 11-20'!$A:$E,3,FALSE)</f>
        <v>M3</v>
      </c>
      <c r="D2690" s="418">
        <f>TRUNC(VLOOKUP(B2690,'DER 11-20'!$A:$F,6,FALSE)/(1+$I$4),2)</f>
        <v>547.26</v>
      </c>
      <c r="E2690" s="419"/>
      <c r="F2690" s="420"/>
      <c r="G2690" s="421">
        <v>6.6150000000000002</v>
      </c>
      <c r="H2690" s="422"/>
      <c r="I2690" s="423">
        <f>TRUNC(D2690*G2690,2)</f>
        <v>3620.12</v>
      </c>
      <c r="J2690" s="415"/>
      <c r="K2690" s="415"/>
    </row>
    <row r="2691" spans="1:17" s="198" customFormat="1" ht="22.5" x14ac:dyDescent="0.2">
      <c r="A2691" s="416" t="str">
        <f>VLOOKUP(B2691,'DER 11-20'!$A:$E,2,FALSE)</f>
        <v>Escavação manual em mat. 1ª cat. H= 0,00 a 1,50 m</v>
      </c>
      <c r="B2691" s="417">
        <v>40258</v>
      </c>
      <c r="C2691" s="417" t="str">
        <f>VLOOKUP(B2691,'DER 11-20'!$A:$E,3,FALSE)</f>
        <v>M3</v>
      </c>
      <c r="D2691" s="418">
        <f>TRUNC(VLOOKUP(B2691,'DER 11-20'!$A:$F,6,FALSE)/(1+$I$4),2)</f>
        <v>56.6</v>
      </c>
      <c r="E2691" s="419"/>
      <c r="F2691" s="420"/>
      <c r="G2691" s="421">
        <v>17.489999999999998</v>
      </c>
      <c r="H2691" s="422"/>
      <c r="I2691" s="423">
        <f>TRUNC(D2691*G2691,2)</f>
        <v>989.93</v>
      </c>
      <c r="J2691" s="415"/>
      <c r="K2691" s="415"/>
    </row>
    <row r="2692" spans="1:17" s="198" customFormat="1" ht="45" x14ac:dyDescent="0.2">
      <c r="A2692" s="416" t="str">
        <f>VLOOKUP(B2692,'DER 11-20'!$A:$E,2,FALSE)</f>
        <v>Formas planas de madeira com 04 (quatro) reaproveitamentos, inclusive fornecimento e transporte das madeiras</v>
      </c>
      <c r="B2692" s="417">
        <v>40313</v>
      </c>
      <c r="C2692" s="417" t="str">
        <f>VLOOKUP(B2692,'DER 11-20'!$A:$E,3,FALSE)</f>
        <v>M2</v>
      </c>
      <c r="D2692" s="418">
        <f>TRUNC(VLOOKUP(B2692,'DER 11-20'!$A:$F,6,FALSE)/(1+$I$4),2)</f>
        <v>71.56</v>
      </c>
      <c r="E2692" s="419"/>
      <c r="F2692" s="420"/>
      <c r="G2692" s="421">
        <v>22.3</v>
      </c>
      <c r="H2692" s="422"/>
      <c r="I2692" s="423">
        <f>TRUNC(D2692*G2692,2)</f>
        <v>1595.78</v>
      </c>
      <c r="J2692" s="415"/>
      <c r="K2692" s="415"/>
    </row>
    <row r="2693" spans="1:17" x14ac:dyDescent="0.2">
      <c r="A2693" s="200"/>
      <c r="B2693" s="264"/>
      <c r="C2693" s="200"/>
      <c r="D2693" s="200"/>
      <c r="E2693" s="200"/>
      <c r="F2693" s="265" t="s">
        <v>199</v>
      </c>
      <c r="G2693" s="255"/>
      <c r="H2693" s="266"/>
      <c r="I2693" s="441">
        <f>SUM(I2688:I2692)</f>
        <v>11716.45</v>
      </c>
    </row>
    <row r="2694" spans="1:17" x14ac:dyDescent="0.2">
      <c r="A2694" s="200"/>
      <c r="B2694" s="264"/>
      <c r="C2694" s="200"/>
      <c r="D2694" s="200"/>
      <c r="E2694" s="200"/>
      <c r="F2694" s="200"/>
      <c r="G2694" s="200"/>
      <c r="H2694" s="200"/>
      <c r="I2694" s="440"/>
    </row>
    <row r="2695" spans="1:17" ht="21.75" customHeight="1" x14ac:dyDescent="0.2">
      <c r="A2695" s="267" t="s">
        <v>200</v>
      </c>
      <c r="B2695" s="268" t="s">
        <v>59</v>
      </c>
      <c r="C2695" s="268" t="s">
        <v>196</v>
      </c>
      <c r="D2695" s="268" t="s">
        <v>201</v>
      </c>
      <c r="E2695" s="268" t="s">
        <v>202</v>
      </c>
      <c r="F2695" s="268" t="s">
        <v>203</v>
      </c>
      <c r="G2695" s="268" t="s">
        <v>94</v>
      </c>
      <c r="H2695" s="268" t="s">
        <v>89</v>
      </c>
      <c r="I2695" s="442" t="s">
        <v>204</v>
      </c>
    </row>
    <row r="2696" spans="1:17" x14ac:dyDescent="0.2">
      <c r="A2696" s="244"/>
      <c r="B2696" s="234"/>
      <c r="C2696" s="234"/>
      <c r="D2696" s="269"/>
      <c r="E2696" s="270"/>
      <c r="F2696" s="270"/>
      <c r="G2696" s="239"/>
      <c r="H2696" s="271"/>
      <c r="I2696" s="418"/>
    </row>
    <row r="2697" spans="1:17" x14ac:dyDescent="0.2">
      <c r="A2697" s="200"/>
      <c r="B2697" s="264"/>
      <c r="C2697" s="200"/>
      <c r="D2697" s="200"/>
      <c r="E2697" s="200"/>
      <c r="F2697" s="265" t="s">
        <v>205</v>
      </c>
      <c r="G2697" s="240"/>
      <c r="H2697" s="272"/>
      <c r="I2697" s="443">
        <f>SUM(I2696:I2696)</f>
        <v>0</v>
      </c>
    </row>
    <row r="2698" spans="1:17" x14ac:dyDescent="0.2">
      <c r="A2698" s="200"/>
      <c r="B2698" s="264"/>
      <c r="C2698" s="200"/>
      <c r="D2698" s="200"/>
      <c r="E2698" s="200"/>
      <c r="F2698" s="200"/>
      <c r="G2698" s="200"/>
      <c r="H2698" s="200"/>
      <c r="I2698" s="444"/>
    </row>
    <row r="2699" spans="1:17" x14ac:dyDescent="0.2">
      <c r="A2699" s="273"/>
      <c r="B2699" s="274"/>
      <c r="C2699" s="275"/>
      <c r="D2699" s="275"/>
      <c r="E2699" s="275"/>
      <c r="F2699" s="276" t="s">
        <v>206</v>
      </c>
      <c r="G2699" s="273"/>
      <c r="H2699" s="249"/>
      <c r="I2699" s="445">
        <f>+I2681+I2685+I2693+I2697</f>
        <v>11716.45</v>
      </c>
    </row>
    <row r="2700" spans="1:17" x14ac:dyDescent="0.2">
      <c r="A2700" s="255"/>
      <c r="B2700" s="277"/>
      <c r="C2700" s="266"/>
      <c r="D2700" s="266"/>
      <c r="E2700" s="266"/>
      <c r="F2700" s="278" t="str">
        <f>CONCATENATE($H$3," ",$I$3)</f>
        <v>BDI: 23,32</v>
      </c>
      <c r="G2700" s="403"/>
      <c r="H2700" s="253"/>
      <c r="I2700" s="446">
        <f>+ROUND(I2699*$I$4,2)</f>
        <v>2732.28</v>
      </c>
    </row>
    <row r="2701" spans="1:17" x14ac:dyDescent="0.2">
      <c r="A2701" s="240"/>
      <c r="B2701" s="279"/>
      <c r="C2701" s="272"/>
      <c r="D2701" s="272"/>
      <c r="E2701" s="272"/>
      <c r="F2701" s="280" t="s">
        <v>207</v>
      </c>
      <c r="G2701" s="404"/>
      <c r="H2701" s="241"/>
      <c r="I2701" s="720">
        <f>+I2699+I2700</f>
        <v>14448.73</v>
      </c>
    </row>
    <row r="2702" spans="1:17" s="198" customFormat="1" x14ac:dyDescent="0.2">
      <c r="A2702" s="1116" t="str">
        <f>$A$1</f>
        <v>COMPOSIÇÃO DE CUSTOS UNITÁRIOS</v>
      </c>
      <c r="B2702" s="1116"/>
      <c r="C2702" s="1116"/>
      <c r="D2702" s="1116"/>
      <c r="E2702" s="1116"/>
      <c r="F2702" s="1116"/>
      <c r="G2702" s="1116"/>
      <c r="H2702" s="1116"/>
      <c r="I2702" s="1116"/>
      <c r="J2702" s="400"/>
      <c r="K2702" s="400"/>
      <c r="L2702" s="295"/>
      <c r="M2702" s="295"/>
      <c r="N2702" s="295"/>
      <c r="O2702" s="295"/>
      <c r="P2702" s="295"/>
      <c r="Q2702" s="295"/>
    </row>
    <row r="2703" spans="1:17" s="198" customFormat="1" x14ac:dyDescent="0.2">
      <c r="A2703" s="228" t="str">
        <f>$A$2</f>
        <v>Tabela Referencial de Preços - DER-ES</v>
      </c>
      <c r="B2703" s="229"/>
      <c r="C2703" s="199"/>
      <c r="D2703" s="199"/>
      <c r="E2703" s="199"/>
      <c r="F2703" s="199"/>
      <c r="G2703" s="199"/>
      <c r="H2703" s="199"/>
      <c r="I2703" s="414" t="str">
        <f>$I$2</f>
        <v>Data Base: novembro/2020</v>
      </c>
      <c r="J2703" s="400"/>
      <c r="K2703" s="400"/>
      <c r="L2703" s="295"/>
      <c r="M2703" s="295"/>
      <c r="N2703" s="295"/>
      <c r="O2703" s="295"/>
      <c r="P2703" s="295"/>
      <c r="Q2703" s="295"/>
    </row>
    <row r="2704" spans="1:17" s="198" customFormat="1" x14ac:dyDescent="0.2">
      <c r="A2704" s="1117" t="str">
        <f>+CONCATENATE("Serviço: ",J2704," ",VLOOKUP(J2704,'DER 11-20'!$A:$D,2,FALSE))</f>
        <v>Serviço: 40747 Remoção de bueiros existentes</v>
      </c>
      <c r="B2704" s="1117"/>
      <c r="C2704" s="1117"/>
      <c r="D2704" s="1117"/>
      <c r="E2704" s="1117"/>
      <c r="F2704" s="1117"/>
      <c r="G2704" s="1117"/>
      <c r="H2704" s="1117"/>
      <c r="I2704" s="1119" t="str">
        <f>CONCATENATE("Unidade: ", VLOOKUP(J2704,'DER 11-20'!$A:$E,3,FALSE))</f>
        <v>Unidade: M</v>
      </c>
      <c r="J2704" s="400">
        <v>40747</v>
      </c>
      <c r="K2704" s="400">
        <f>VLOOKUP("Preço Unitário Total",F2705:I4404,4,FALSE)</f>
        <v>141.71</v>
      </c>
      <c r="L2704" s="295">
        <f>VLOOKUP(J2704,'DER 11-20'!A:E,5,FALSE)</f>
        <v>0</v>
      </c>
      <c r="M2704" s="295" t="str">
        <f>VLOOKUP(J2704,'DER 11-20'!$A:$D,2,FALSE)</f>
        <v>Remoção de bueiros existentes</v>
      </c>
      <c r="N2704" s="295"/>
      <c r="O2704" s="295"/>
      <c r="P2704" s="295"/>
      <c r="Q2704" s="295"/>
    </row>
    <row r="2705" spans="1:10" x14ac:dyDescent="0.2">
      <c r="A2705" s="1118"/>
      <c r="B2705" s="1118"/>
      <c r="C2705" s="1118"/>
      <c r="D2705" s="1118"/>
      <c r="E2705" s="1118"/>
      <c r="F2705" s="1118"/>
      <c r="G2705" s="1118"/>
      <c r="H2705" s="1118"/>
      <c r="I2705" s="1120"/>
    </row>
    <row r="2706" spans="1:10" ht="22.5" x14ac:dyDescent="0.2">
      <c r="A2706" s="231" t="s">
        <v>177</v>
      </c>
      <c r="B2706" s="232" t="s">
        <v>59</v>
      </c>
      <c r="C2706" s="232" t="s">
        <v>178</v>
      </c>
      <c r="D2706" s="232" t="s">
        <v>179</v>
      </c>
      <c r="E2706" s="232" t="s">
        <v>180</v>
      </c>
      <c r="F2706" s="232" t="s">
        <v>181</v>
      </c>
      <c r="G2706" s="232" t="s">
        <v>182</v>
      </c>
      <c r="H2706" s="232" t="s">
        <v>89</v>
      </c>
      <c r="I2706" s="434" t="s">
        <v>183</v>
      </c>
    </row>
    <row r="2707" spans="1:10" s="198" customFormat="1" ht="33.75" x14ac:dyDescent="0.2">
      <c r="A2707" s="449" t="str">
        <f>VLOOKUP(B2707,equip.!$A:$G,2,FALSE)</f>
        <v>Retroescavadeira MF 86 TM (MASSEY FERGUSSON) ou equivalente</v>
      </c>
      <c r="B2707" s="417">
        <v>30029</v>
      </c>
      <c r="C2707" s="424" t="str">
        <f>VLOOKUP(B2707,equip.!$A$1:$G$239,3,FALSE)</f>
        <v>M</v>
      </c>
      <c r="D2707" s="451">
        <v>0.05</v>
      </c>
      <c r="E2707" s="452">
        <v>0.95</v>
      </c>
      <c r="F2707" s="453">
        <f>VLOOKUP(B2707,equip.!$A:$G,6,FALSE)</f>
        <v>114.5</v>
      </c>
      <c r="G2707" s="453">
        <f>VLOOKUP(B2707,equip.!$A:$G,7,FALSE)</f>
        <v>48.09</v>
      </c>
      <c r="H2707" s="454">
        <v>1</v>
      </c>
      <c r="I2707" s="418">
        <f>TRUNC(D2707*F2707*H2707+E2707*G2707*H2707,2)</f>
        <v>51.41</v>
      </c>
      <c r="J2707" s="467"/>
    </row>
    <row r="2708" spans="1:10" x14ac:dyDescent="0.2">
      <c r="A2708" s="199"/>
      <c r="B2708" s="229"/>
      <c r="C2708" s="229"/>
      <c r="D2708" s="199"/>
      <c r="E2708" s="199"/>
      <c r="F2708" s="230" t="s">
        <v>184</v>
      </c>
      <c r="G2708" s="240"/>
      <c r="H2708" s="241"/>
      <c r="I2708" s="438">
        <f>I2707</f>
        <v>51.41</v>
      </c>
    </row>
    <row r="2709" spans="1:10" x14ac:dyDescent="0.2">
      <c r="A2709" s="199"/>
      <c r="B2709" s="229"/>
      <c r="C2709" s="229"/>
      <c r="D2709" s="199"/>
      <c r="E2709" s="199"/>
      <c r="F2709" s="199"/>
      <c r="G2709" s="199"/>
      <c r="H2709" s="199"/>
      <c r="I2709" s="439"/>
    </row>
    <row r="2710" spans="1:10" x14ac:dyDescent="0.2">
      <c r="A2710" s="242" t="s">
        <v>185</v>
      </c>
      <c r="B2710" s="243" t="s">
        <v>59</v>
      </c>
      <c r="C2710" s="232" t="s">
        <v>357</v>
      </c>
      <c r="D2710" s="243" t="s">
        <v>187</v>
      </c>
      <c r="E2710" s="1111" t="s">
        <v>89</v>
      </c>
      <c r="F2710" s="1112"/>
      <c r="G2710" s="1113"/>
      <c r="H2710" s="1121" t="s">
        <v>183</v>
      </c>
      <c r="I2710" s="1115"/>
    </row>
    <row r="2711" spans="1:10" x14ac:dyDescent="0.2">
      <c r="A2711" s="244" t="str">
        <f>VLOOKUP(B2711,m.o.!$A:$H,2,FALSE)</f>
        <v>Encarregado de O.A.C.</v>
      </c>
      <c r="B2711" s="234">
        <v>20060</v>
      </c>
      <c r="C2711" s="239">
        <f>VLOOKUP(B2711,m.o.!$A:$F,4,FALSE)</f>
        <v>2.2599999999999998</v>
      </c>
      <c r="D2711" s="239">
        <f>VLOOKUP(B2711,m.o.!$A:$G,7,FALSE)</f>
        <v>28.31</v>
      </c>
      <c r="E2711" s="255"/>
      <c r="F2711" s="253"/>
      <c r="G2711" s="293">
        <v>0.2</v>
      </c>
      <c r="H2711" s="240"/>
      <c r="I2711" s="427">
        <f>TRUNC(D2711*G2711,2)</f>
        <v>5.66</v>
      </c>
    </row>
    <row r="2712" spans="1:10" x14ac:dyDescent="0.2">
      <c r="A2712" s="259" t="str">
        <f>VLOOKUP(B2712,m.o.!$A:$H,2,FALSE)</f>
        <v>Pedreiro de O.A.C.</v>
      </c>
      <c r="B2712" s="234">
        <v>20109</v>
      </c>
      <c r="C2712" s="261">
        <f>VLOOKUP(B2712,m.o.!$A:$F,4,FALSE)</f>
        <v>1.24</v>
      </c>
      <c r="D2712" s="261">
        <f>VLOOKUP(B2712,m.o.!$A:$G,7,FALSE)</f>
        <v>15.53</v>
      </c>
      <c r="E2712" s="255"/>
      <c r="F2712" s="253"/>
      <c r="G2712" s="405">
        <v>0.5</v>
      </c>
      <c r="H2712" s="255"/>
      <c r="I2712" s="423">
        <f>TRUNC(D2712*G2712,2)</f>
        <v>7.76</v>
      </c>
    </row>
    <row r="2713" spans="1:10" x14ac:dyDescent="0.2">
      <c r="A2713" s="259" t="str">
        <f>VLOOKUP(B2713,m.o.!$A:$H,2,FALSE)</f>
        <v>Servente</v>
      </c>
      <c r="B2713" s="234">
        <v>20002</v>
      </c>
      <c r="C2713" s="261">
        <f>VLOOKUP(B2713,m.o.!$A:$F,4,FALSE)</f>
        <v>1</v>
      </c>
      <c r="D2713" s="261">
        <f>VLOOKUP(B2713,m.o.!$A:$G,7,FALSE)</f>
        <v>12.52</v>
      </c>
      <c r="E2713" s="255"/>
      <c r="F2713" s="253"/>
      <c r="G2713" s="405">
        <v>4</v>
      </c>
      <c r="H2713" s="255"/>
      <c r="I2713" s="423">
        <f>TRUNC(D2713*G2713,2)</f>
        <v>50.08</v>
      </c>
    </row>
    <row r="2714" spans="1:10" x14ac:dyDescent="0.2">
      <c r="A2714" s="199"/>
      <c r="B2714" s="229"/>
      <c r="C2714" s="229"/>
      <c r="D2714" s="199"/>
      <c r="E2714" s="199"/>
      <c r="F2714" s="230" t="s">
        <v>188</v>
      </c>
      <c r="G2714" s="240"/>
      <c r="H2714" s="241"/>
      <c r="I2714" s="438">
        <f>SUM(I2711:I2713)</f>
        <v>63.5</v>
      </c>
    </row>
    <row r="2715" spans="1:10" x14ac:dyDescent="0.2">
      <c r="A2715" s="199"/>
      <c r="B2715" s="229"/>
      <c r="C2715" s="229"/>
      <c r="D2715" s="199"/>
      <c r="E2715" s="199"/>
      <c r="F2715" s="199"/>
      <c r="G2715" s="199"/>
      <c r="H2715" s="199"/>
      <c r="I2715" s="439"/>
    </row>
    <row r="2716" spans="1:10" x14ac:dyDescent="0.2">
      <c r="A2716" s="245" t="s">
        <v>189</v>
      </c>
      <c r="B2716" s="243" t="s">
        <v>59</v>
      </c>
      <c r="C2716" s="830" t="s">
        <v>17</v>
      </c>
      <c r="D2716" s="243" t="s">
        <v>190</v>
      </c>
      <c r="E2716" s="243" t="s">
        <v>191</v>
      </c>
      <c r="F2716" s="243" t="s">
        <v>192</v>
      </c>
      <c r="G2716" s="1121" t="s">
        <v>94</v>
      </c>
      <c r="H2716" s="1114"/>
      <c r="I2716" s="1115"/>
    </row>
    <row r="2717" spans="1:10" x14ac:dyDescent="0.2">
      <c r="A2717" s="199"/>
      <c r="B2717" s="229"/>
      <c r="C2717" s="199"/>
      <c r="D2717" s="199"/>
      <c r="E2717" s="199"/>
      <c r="F2717" s="230" t="s">
        <v>327</v>
      </c>
      <c r="G2717" s="240"/>
      <c r="H2717" s="241"/>
      <c r="I2717" s="438">
        <v>0</v>
      </c>
    </row>
    <row r="2718" spans="1:10" x14ac:dyDescent="0.2">
      <c r="A2718" s="199"/>
      <c r="B2718" s="229"/>
      <c r="C2718" s="199"/>
      <c r="D2718" s="199"/>
      <c r="E2718" s="199"/>
      <c r="F2718" s="199"/>
      <c r="G2718" s="199"/>
      <c r="H2718" s="199"/>
      <c r="I2718" s="439"/>
    </row>
    <row r="2719" spans="1:10" x14ac:dyDescent="0.2">
      <c r="A2719" s="247"/>
      <c r="B2719" s="248"/>
      <c r="C2719" s="249"/>
      <c r="D2719" s="249"/>
      <c r="E2719" s="249"/>
      <c r="F2719" s="250" t="s">
        <v>193</v>
      </c>
      <c r="G2719" s="401"/>
      <c r="H2719" s="249"/>
      <c r="I2719" s="445">
        <f>+I2708+I2714+I2717</f>
        <v>114.91</v>
      </c>
    </row>
    <row r="2720" spans="1:10" x14ac:dyDescent="0.2">
      <c r="A2720" s="251"/>
      <c r="B2720" s="252"/>
      <c r="C2720" s="253"/>
      <c r="D2720" s="253"/>
      <c r="E2720" s="253"/>
      <c r="F2720" s="254" t="s">
        <v>194</v>
      </c>
      <c r="G2720" s="255"/>
      <c r="H2720" s="253"/>
      <c r="I2720" s="446">
        <v>1</v>
      </c>
    </row>
    <row r="2721" spans="1:9" x14ac:dyDescent="0.2">
      <c r="A2721" s="233"/>
      <c r="B2721" s="256"/>
      <c r="C2721" s="241"/>
      <c r="D2721" s="241"/>
      <c r="E2721" s="241"/>
      <c r="F2721" s="257" t="s">
        <v>216</v>
      </c>
      <c r="G2721" s="240"/>
      <c r="H2721" s="241"/>
      <c r="I2721" s="447">
        <f>TRUNC(I2719/I2720,2)</f>
        <v>114.91</v>
      </c>
    </row>
    <row r="2722" spans="1:9" x14ac:dyDescent="0.2">
      <c r="A2722" s="829"/>
      <c r="B2722" s="229"/>
      <c r="C2722" s="199"/>
      <c r="D2722" s="199"/>
      <c r="E2722" s="199"/>
      <c r="F2722" s="258"/>
      <c r="G2722" s="199"/>
      <c r="H2722" s="199"/>
      <c r="I2722" s="450"/>
    </row>
    <row r="2723" spans="1:9" x14ac:dyDescent="0.2">
      <c r="A2723" s="242" t="s">
        <v>195</v>
      </c>
      <c r="B2723" s="243" t="s">
        <v>59</v>
      </c>
      <c r="C2723" s="243" t="s">
        <v>196</v>
      </c>
      <c r="D2723" s="243" t="s">
        <v>217</v>
      </c>
      <c r="E2723" s="1121" t="s">
        <v>89</v>
      </c>
      <c r="F2723" s="1114"/>
      <c r="G2723" s="1115"/>
      <c r="H2723" s="1121" t="s">
        <v>183</v>
      </c>
      <c r="I2723" s="1115"/>
    </row>
    <row r="2724" spans="1:9" x14ac:dyDescent="0.2">
      <c r="A2724" s="259"/>
      <c r="B2724" s="234"/>
      <c r="C2724" s="260"/>
      <c r="D2724" s="261"/>
      <c r="E2724" s="255"/>
      <c r="F2724" s="253"/>
      <c r="G2724" s="293"/>
      <c r="H2724" s="255"/>
      <c r="I2724" s="423"/>
    </row>
    <row r="2725" spans="1:9" x14ac:dyDescent="0.2">
      <c r="A2725" s="199"/>
      <c r="B2725" s="229"/>
      <c r="C2725" s="199"/>
      <c r="D2725" s="199"/>
      <c r="E2725" s="199"/>
      <c r="F2725" s="230" t="s">
        <v>197</v>
      </c>
      <c r="G2725" s="240"/>
      <c r="H2725" s="241"/>
      <c r="I2725" s="438">
        <f>SUM(I2724:I2724)</f>
        <v>0</v>
      </c>
    </row>
    <row r="2726" spans="1:9" x14ac:dyDescent="0.2">
      <c r="A2726" s="199"/>
      <c r="B2726" s="229"/>
      <c r="C2726" s="199"/>
      <c r="D2726" s="199"/>
      <c r="E2726" s="199"/>
      <c r="F2726" s="199"/>
      <c r="G2726" s="262"/>
      <c r="H2726" s="199"/>
      <c r="I2726" s="439"/>
    </row>
    <row r="2727" spans="1:9" x14ac:dyDescent="0.2">
      <c r="A2727" s="263" t="s">
        <v>198</v>
      </c>
      <c r="B2727" s="243" t="s">
        <v>59</v>
      </c>
      <c r="C2727" s="243" t="s">
        <v>196</v>
      </c>
      <c r="D2727" s="830" t="s">
        <v>217</v>
      </c>
      <c r="E2727" s="1111" t="s">
        <v>89</v>
      </c>
      <c r="F2727" s="1112"/>
      <c r="G2727" s="1113"/>
      <c r="H2727" s="1114" t="s">
        <v>183</v>
      </c>
      <c r="I2727" s="1115"/>
    </row>
    <row r="2728" spans="1:9" x14ac:dyDescent="0.2">
      <c r="A2728" s="200"/>
      <c r="B2728" s="264"/>
      <c r="C2728" s="200"/>
      <c r="D2728" s="200"/>
      <c r="E2728" s="200"/>
      <c r="F2728" s="265" t="s">
        <v>199</v>
      </c>
      <c r="G2728" s="255"/>
      <c r="H2728" s="266"/>
      <c r="I2728" s="441">
        <v>0</v>
      </c>
    </row>
    <row r="2729" spans="1:9" x14ac:dyDescent="0.2">
      <c r="A2729" s="200"/>
      <c r="B2729" s="264"/>
      <c r="C2729" s="200"/>
      <c r="D2729" s="200"/>
      <c r="E2729" s="200"/>
      <c r="F2729" s="200"/>
      <c r="G2729" s="200"/>
      <c r="H2729" s="200"/>
      <c r="I2729" s="440"/>
    </row>
    <row r="2730" spans="1:9" ht="21.75" customHeight="1" x14ac:dyDescent="0.2">
      <c r="A2730" s="267" t="s">
        <v>200</v>
      </c>
      <c r="B2730" s="268" t="s">
        <v>59</v>
      </c>
      <c r="C2730" s="268" t="s">
        <v>196</v>
      </c>
      <c r="D2730" s="268" t="s">
        <v>201</v>
      </c>
      <c r="E2730" s="268" t="s">
        <v>202</v>
      </c>
      <c r="F2730" s="268" t="s">
        <v>203</v>
      </c>
      <c r="G2730" s="268" t="s">
        <v>94</v>
      </c>
      <c r="H2730" s="268" t="s">
        <v>89</v>
      </c>
      <c r="I2730" s="442" t="s">
        <v>204</v>
      </c>
    </row>
    <row r="2731" spans="1:9" x14ac:dyDescent="0.2">
      <c r="A2731" s="200"/>
      <c r="B2731" s="264"/>
      <c r="C2731" s="200"/>
      <c r="D2731" s="200"/>
      <c r="E2731" s="200"/>
      <c r="F2731" s="265" t="s">
        <v>205</v>
      </c>
      <c r="G2731" s="240"/>
      <c r="H2731" s="272"/>
      <c r="I2731" s="443">
        <v>0</v>
      </c>
    </row>
    <row r="2732" spans="1:9" x14ac:dyDescent="0.2">
      <c r="A2732" s="200"/>
      <c r="B2732" s="264"/>
      <c r="C2732" s="200"/>
      <c r="D2732" s="200"/>
      <c r="E2732" s="200"/>
      <c r="F2732" s="200"/>
      <c r="G2732" s="200"/>
      <c r="H2732" s="200"/>
      <c r="I2732" s="444"/>
    </row>
    <row r="2733" spans="1:9" x14ac:dyDescent="0.2">
      <c r="A2733" s="273"/>
      <c r="B2733" s="274"/>
      <c r="C2733" s="275"/>
      <c r="D2733" s="275"/>
      <c r="E2733" s="275"/>
      <c r="F2733" s="276" t="s">
        <v>206</v>
      </c>
      <c r="G2733" s="273"/>
      <c r="H2733" s="249"/>
      <c r="I2733" s="445">
        <f>+I2721+I2725+I2728+I2731</f>
        <v>114.91</v>
      </c>
    </row>
    <row r="2734" spans="1:9" x14ac:dyDescent="0.2">
      <c r="A2734" s="255"/>
      <c r="B2734" s="277"/>
      <c r="C2734" s="266"/>
      <c r="D2734" s="266"/>
      <c r="E2734" s="266"/>
      <c r="F2734" s="278" t="str">
        <f>CONCATENATE($H$3," ",$I$3)</f>
        <v>BDI: 23,32</v>
      </c>
      <c r="G2734" s="403"/>
      <c r="H2734" s="253"/>
      <c r="I2734" s="446">
        <f>+ROUND(I2733*$I$4,2)</f>
        <v>26.8</v>
      </c>
    </row>
    <row r="2735" spans="1:9" x14ac:dyDescent="0.2">
      <c r="A2735" s="240"/>
      <c r="B2735" s="279"/>
      <c r="C2735" s="272"/>
      <c r="D2735" s="272"/>
      <c r="E2735" s="272"/>
      <c r="F2735" s="280" t="s">
        <v>207</v>
      </c>
      <c r="G2735" s="404"/>
      <c r="H2735" s="241"/>
      <c r="I2735" s="720">
        <f>+I2733+I2734</f>
        <v>141.71</v>
      </c>
    </row>
    <row r="2736" spans="1:9" x14ac:dyDescent="0.2">
      <c r="A2736" s="1116" t="str">
        <f>$A$1</f>
        <v>COMPOSIÇÃO DE CUSTOS UNITÁRIOS</v>
      </c>
      <c r="B2736" s="1116"/>
      <c r="C2736" s="1116"/>
      <c r="D2736" s="1116"/>
      <c r="E2736" s="1116"/>
      <c r="F2736" s="1116"/>
      <c r="G2736" s="1116"/>
      <c r="H2736" s="1116"/>
      <c r="I2736" s="1116"/>
    </row>
    <row r="2737" spans="1:13" x14ac:dyDescent="0.2">
      <c r="A2737" s="228" t="str">
        <f>$A$2</f>
        <v>Tabela Referencial de Preços - DER-ES</v>
      </c>
      <c r="B2737" s="229"/>
      <c r="C2737" s="199"/>
      <c r="D2737" s="199"/>
      <c r="E2737" s="199"/>
      <c r="F2737" s="199"/>
      <c r="G2737" s="199"/>
      <c r="H2737" s="199"/>
      <c r="I2737" s="414" t="str">
        <f>$I$2</f>
        <v>Data Base: novembro/2020</v>
      </c>
    </row>
    <row r="2738" spans="1:13" x14ac:dyDescent="0.2">
      <c r="A2738" s="1117" t="str">
        <f>+CONCATENATE("Serviço: ",J2738," ",VLOOKUP(J2738,'DER 11-20'!$A:$D,2,FALSE))</f>
        <v>Serviço: 40673 Entrada para descida d'água EDA-01</v>
      </c>
      <c r="B2738" s="1117"/>
      <c r="C2738" s="1117"/>
      <c r="D2738" s="1117"/>
      <c r="E2738" s="1117"/>
      <c r="F2738" s="1117"/>
      <c r="G2738" s="1117"/>
      <c r="H2738" s="1117"/>
      <c r="I2738" s="1119" t="str">
        <f>CONCATENATE("Unidade: ", VLOOKUP(J2738,'DER 11-20'!$A:$E,3,FALSE))</f>
        <v>Unidade: Ud</v>
      </c>
      <c r="J2738" s="400">
        <v>40673</v>
      </c>
      <c r="K2738" s="400">
        <f>VLOOKUP("Preço Unitário Total",F2739:I3698,4,FALSE)</f>
        <v>85.98</v>
      </c>
      <c r="L2738" s="295">
        <f>VLOOKUP(J2738,'DER 11-20'!A:E,5,FALSE)</f>
        <v>0</v>
      </c>
      <c r="M2738" s="295" t="str">
        <f>VLOOKUP(J2738,'DER 11-20'!$A:$D,2,FALSE)</f>
        <v>Entrada para descida d'água EDA-01</v>
      </c>
    </row>
    <row r="2739" spans="1:13" x14ac:dyDescent="0.2">
      <c r="A2739" s="1118"/>
      <c r="B2739" s="1118"/>
      <c r="C2739" s="1118"/>
      <c r="D2739" s="1118"/>
      <c r="E2739" s="1118"/>
      <c r="F2739" s="1118"/>
      <c r="G2739" s="1118"/>
      <c r="H2739" s="1118"/>
      <c r="I2739" s="1120"/>
    </row>
    <row r="2740" spans="1:13" ht="22.5" x14ac:dyDescent="0.2">
      <c r="A2740" s="231" t="s">
        <v>177</v>
      </c>
      <c r="B2740" s="232" t="s">
        <v>59</v>
      </c>
      <c r="C2740" s="232" t="s">
        <v>178</v>
      </c>
      <c r="D2740" s="232" t="s">
        <v>179</v>
      </c>
      <c r="E2740" s="232" t="s">
        <v>180</v>
      </c>
      <c r="F2740" s="232" t="s">
        <v>181</v>
      </c>
      <c r="G2740" s="232" t="s">
        <v>182</v>
      </c>
      <c r="H2740" s="232" t="s">
        <v>89</v>
      </c>
      <c r="I2740" s="434" t="s">
        <v>183</v>
      </c>
    </row>
    <row r="2741" spans="1:13" x14ac:dyDescent="0.2">
      <c r="A2741" s="233"/>
      <c r="B2741" s="234"/>
      <c r="C2741" s="235"/>
      <c r="D2741" s="236"/>
      <c r="E2741" s="203"/>
      <c r="F2741" s="237"/>
      <c r="G2741" s="237"/>
      <c r="H2741" s="238"/>
      <c r="I2741" s="418"/>
    </row>
    <row r="2742" spans="1:13" x14ac:dyDescent="0.2">
      <c r="A2742" s="199"/>
      <c r="B2742" s="229"/>
      <c r="C2742" s="229"/>
      <c r="D2742" s="199"/>
      <c r="E2742" s="199"/>
      <c r="F2742" s="230" t="s">
        <v>184</v>
      </c>
      <c r="G2742" s="240"/>
      <c r="H2742" s="241"/>
      <c r="I2742" s="438">
        <f>SUM(I2741:I2741)</f>
        <v>0</v>
      </c>
    </row>
    <row r="2743" spans="1:13" x14ac:dyDescent="0.2">
      <c r="A2743" s="199"/>
      <c r="B2743" s="229"/>
      <c r="C2743" s="229"/>
      <c r="D2743" s="199"/>
      <c r="E2743" s="199"/>
      <c r="F2743" s="199"/>
      <c r="G2743" s="199"/>
      <c r="H2743" s="199"/>
      <c r="I2743" s="439"/>
    </row>
    <row r="2744" spans="1:13" x14ac:dyDescent="0.2">
      <c r="A2744" s="242" t="s">
        <v>185</v>
      </c>
      <c r="B2744" s="243" t="s">
        <v>59</v>
      </c>
      <c r="C2744" s="232" t="s">
        <v>357</v>
      </c>
      <c r="D2744" s="243" t="s">
        <v>187</v>
      </c>
      <c r="E2744" s="1111" t="s">
        <v>89</v>
      </c>
      <c r="F2744" s="1112"/>
      <c r="G2744" s="1113"/>
      <c r="H2744" s="1121" t="s">
        <v>183</v>
      </c>
      <c r="I2744" s="1115"/>
    </row>
    <row r="2745" spans="1:13" x14ac:dyDescent="0.2">
      <c r="A2745" s="244"/>
      <c r="B2745" s="234"/>
      <c r="C2745" s="239"/>
      <c r="D2745" s="239"/>
      <c r="E2745" s="255"/>
      <c r="F2745" s="253"/>
      <c r="G2745" s="293"/>
      <c r="H2745" s="240"/>
      <c r="I2745" s="427">
        <f>TRUNC(D2745*G2745,2)</f>
        <v>0</v>
      </c>
      <c r="J2745" s="295"/>
      <c r="K2745" s="295"/>
    </row>
    <row r="2746" spans="1:13" x14ac:dyDescent="0.2">
      <c r="A2746" s="199"/>
      <c r="B2746" s="229"/>
      <c r="C2746" s="229"/>
      <c r="D2746" s="199"/>
      <c r="E2746" s="199"/>
      <c r="F2746" s="230" t="s">
        <v>188</v>
      </c>
      <c r="G2746" s="240"/>
      <c r="H2746" s="241"/>
      <c r="I2746" s="438">
        <f>SUM(I2745:I2745)</f>
        <v>0</v>
      </c>
      <c r="J2746" s="295"/>
      <c r="K2746" s="295"/>
    </row>
    <row r="2747" spans="1:13" x14ac:dyDescent="0.2">
      <c r="A2747" s="199"/>
      <c r="B2747" s="229"/>
      <c r="C2747" s="229"/>
      <c r="D2747" s="199"/>
      <c r="E2747" s="199"/>
      <c r="F2747" s="199"/>
      <c r="G2747" s="199"/>
      <c r="H2747" s="199"/>
      <c r="I2747" s="439"/>
      <c r="J2747" s="295"/>
      <c r="K2747" s="295"/>
    </row>
    <row r="2748" spans="1:13" x14ac:dyDescent="0.2">
      <c r="A2748" s="245" t="s">
        <v>189</v>
      </c>
      <c r="B2748" s="243" t="s">
        <v>59</v>
      </c>
      <c r="C2748" s="635" t="s">
        <v>17</v>
      </c>
      <c r="D2748" s="243" t="s">
        <v>190</v>
      </c>
      <c r="E2748" s="243" t="s">
        <v>191</v>
      </c>
      <c r="F2748" s="243" t="s">
        <v>192</v>
      </c>
      <c r="G2748" s="1121" t="s">
        <v>94</v>
      </c>
      <c r="H2748" s="1114"/>
      <c r="I2748" s="1115"/>
      <c r="J2748" s="295"/>
      <c r="K2748" s="295"/>
    </row>
    <row r="2749" spans="1:13" x14ac:dyDescent="0.2">
      <c r="A2749" s="244"/>
      <c r="B2749" s="234"/>
      <c r="C2749" s="239"/>
      <c r="D2749" s="235"/>
      <c r="E2749" s="246"/>
      <c r="F2749" s="246"/>
      <c r="G2749" s="240"/>
      <c r="H2749" s="241"/>
      <c r="I2749" s="427">
        <f>TRUNC(C2749/100*I2746,2)</f>
        <v>0</v>
      </c>
      <c r="J2749" s="295"/>
      <c r="K2749" s="295"/>
    </row>
    <row r="2750" spans="1:13" x14ac:dyDescent="0.2">
      <c r="A2750" s="199"/>
      <c r="B2750" s="229"/>
      <c r="C2750" s="199"/>
      <c r="D2750" s="199"/>
      <c r="E2750" s="199"/>
      <c r="F2750" s="230" t="s">
        <v>327</v>
      </c>
      <c r="G2750" s="240"/>
      <c r="H2750" s="241"/>
      <c r="I2750" s="438">
        <f>SUM(I2749)</f>
        <v>0</v>
      </c>
      <c r="J2750" s="295"/>
      <c r="K2750" s="295"/>
    </row>
    <row r="2751" spans="1:13" x14ac:dyDescent="0.2">
      <c r="A2751" s="199"/>
      <c r="B2751" s="229"/>
      <c r="C2751" s="199"/>
      <c r="D2751" s="199"/>
      <c r="E2751" s="199"/>
      <c r="F2751" s="199"/>
      <c r="G2751" s="199"/>
      <c r="H2751" s="199"/>
      <c r="I2751" s="439"/>
      <c r="J2751" s="295"/>
      <c r="K2751" s="295"/>
    </row>
    <row r="2752" spans="1:13" x14ac:dyDescent="0.2">
      <c r="A2752" s="247"/>
      <c r="B2752" s="248"/>
      <c r="C2752" s="249"/>
      <c r="D2752" s="249"/>
      <c r="E2752" s="249"/>
      <c r="F2752" s="250" t="s">
        <v>193</v>
      </c>
      <c r="G2752" s="401"/>
      <c r="H2752" s="249"/>
      <c r="I2752" s="445">
        <f>+I2742+I2746+I2750</f>
        <v>0</v>
      </c>
      <c r="J2752" s="295"/>
      <c r="K2752" s="295"/>
    </row>
    <row r="2753" spans="1:17" x14ac:dyDescent="0.2">
      <c r="A2753" s="251"/>
      <c r="B2753" s="252"/>
      <c r="C2753" s="253"/>
      <c r="D2753" s="253"/>
      <c r="E2753" s="253"/>
      <c r="F2753" s="254" t="s">
        <v>194</v>
      </c>
      <c r="G2753" s="255"/>
      <c r="H2753" s="253"/>
      <c r="I2753" s="446">
        <v>1</v>
      </c>
      <c r="J2753" s="295"/>
      <c r="K2753" s="295"/>
    </row>
    <row r="2754" spans="1:17" x14ac:dyDescent="0.2">
      <c r="A2754" s="233"/>
      <c r="B2754" s="256"/>
      <c r="C2754" s="241"/>
      <c r="D2754" s="241"/>
      <c r="E2754" s="241"/>
      <c r="F2754" s="257" t="s">
        <v>216</v>
      </c>
      <c r="G2754" s="240"/>
      <c r="H2754" s="241"/>
      <c r="I2754" s="447">
        <f>TRUNC(I2752/I2753,2)</f>
        <v>0</v>
      </c>
      <c r="J2754" s="295"/>
      <c r="K2754" s="295"/>
    </row>
    <row r="2755" spans="1:17" x14ac:dyDescent="0.2">
      <c r="A2755" s="636"/>
      <c r="B2755" s="229"/>
      <c r="C2755" s="199"/>
      <c r="D2755" s="199"/>
      <c r="E2755" s="199"/>
      <c r="F2755" s="258"/>
      <c r="G2755" s="199"/>
      <c r="H2755" s="199"/>
      <c r="I2755" s="450"/>
      <c r="J2755" s="295"/>
      <c r="K2755" s="295"/>
    </row>
    <row r="2756" spans="1:17" x14ac:dyDescent="0.2">
      <c r="A2756" s="242" t="s">
        <v>195</v>
      </c>
      <c r="B2756" s="243" t="s">
        <v>59</v>
      </c>
      <c r="C2756" s="243" t="s">
        <v>196</v>
      </c>
      <c r="D2756" s="243" t="s">
        <v>217</v>
      </c>
      <c r="E2756" s="1121" t="s">
        <v>89</v>
      </c>
      <c r="F2756" s="1114"/>
      <c r="G2756" s="1115"/>
      <c r="H2756" s="1121" t="s">
        <v>183</v>
      </c>
      <c r="I2756" s="1115"/>
      <c r="J2756" s="295"/>
      <c r="K2756" s="295"/>
    </row>
    <row r="2757" spans="1:17" x14ac:dyDescent="0.2">
      <c r="A2757" s="259"/>
      <c r="B2757" s="234"/>
      <c r="C2757" s="260"/>
      <c r="D2757" s="261"/>
      <c r="E2757" s="255"/>
      <c r="F2757" s="253"/>
      <c r="G2757" s="293"/>
      <c r="H2757" s="255"/>
      <c r="I2757" s="423">
        <f>TRUNC(D2757*G2757,2)</f>
        <v>0</v>
      </c>
      <c r="J2757" s="295"/>
      <c r="K2757" s="295"/>
    </row>
    <row r="2758" spans="1:17" x14ac:dyDescent="0.2">
      <c r="A2758" s="199"/>
      <c r="B2758" s="229"/>
      <c r="C2758" s="199"/>
      <c r="D2758" s="199"/>
      <c r="E2758" s="199"/>
      <c r="F2758" s="230" t="s">
        <v>197</v>
      </c>
      <c r="G2758" s="240"/>
      <c r="H2758" s="241"/>
      <c r="I2758" s="438">
        <f>SUM(I2757:I2757)</f>
        <v>0</v>
      </c>
      <c r="J2758" s="295"/>
      <c r="K2758" s="295"/>
    </row>
    <row r="2759" spans="1:17" x14ac:dyDescent="0.2">
      <c r="A2759" s="199"/>
      <c r="B2759" s="229"/>
      <c r="C2759" s="199"/>
      <c r="D2759" s="199"/>
      <c r="E2759" s="199"/>
      <c r="F2759" s="199"/>
      <c r="G2759" s="262"/>
      <c r="H2759" s="199"/>
      <c r="I2759" s="439"/>
      <c r="J2759" s="295"/>
      <c r="K2759" s="295"/>
    </row>
    <row r="2760" spans="1:17" x14ac:dyDescent="0.2">
      <c r="A2760" s="263" t="s">
        <v>198</v>
      </c>
      <c r="B2760" s="243" t="s">
        <v>59</v>
      </c>
      <c r="C2760" s="243" t="s">
        <v>196</v>
      </c>
      <c r="D2760" s="635" t="s">
        <v>217</v>
      </c>
      <c r="E2760" s="1111" t="s">
        <v>89</v>
      </c>
      <c r="F2760" s="1112"/>
      <c r="G2760" s="1113"/>
      <c r="H2760" s="1114" t="s">
        <v>183</v>
      </c>
      <c r="I2760" s="1115"/>
      <c r="J2760" s="295"/>
      <c r="K2760" s="295"/>
    </row>
    <row r="2761" spans="1:17" x14ac:dyDescent="0.2">
      <c r="A2761" s="244" t="str">
        <f>VLOOKUP(B2761,'DER 11-20'!$A:$E,2,FALSE)</f>
        <v>Caiação de meio fios, sarjetas, etc</v>
      </c>
      <c r="B2761" s="234">
        <v>40658</v>
      </c>
      <c r="C2761" s="234" t="str">
        <f>VLOOKUP(B2761,'DER 11-20'!$A:$E,3,FALSE)</f>
        <v>M2</v>
      </c>
      <c r="D2761" s="418">
        <f>TRUNC(VLOOKUP(B2761,'DER 11-20'!$A:$F,6,FALSE)/(1+$I$4),2)</f>
        <v>5.0599999999999996</v>
      </c>
      <c r="E2761" s="255"/>
      <c r="F2761" s="253"/>
      <c r="G2761" s="293">
        <v>1.08</v>
      </c>
      <c r="H2761" s="240"/>
      <c r="I2761" s="423">
        <f>TRUNC(D2761*G2761,2)</f>
        <v>5.46</v>
      </c>
    </row>
    <row r="2762" spans="1:17" s="198" customFormat="1" ht="22.5" x14ac:dyDescent="0.2">
      <c r="A2762" s="416" t="str">
        <f>VLOOKUP(B2762,'DER 11-20'!$A:$E,2,FALSE)</f>
        <v>Concreto estrutural fck = 15,0 MPa, tudo incluído</v>
      </c>
      <c r="B2762" s="417">
        <v>40358</v>
      </c>
      <c r="C2762" s="417" t="str">
        <f>VLOOKUP(B2762,'DER 11-20'!$A:$E,3,FALSE)</f>
        <v>M3</v>
      </c>
      <c r="D2762" s="418">
        <f>TRUNC(VLOOKUP(B2762,'DER 11-20'!$A:$F,6,FALSE)/(1+$I$4),2)</f>
        <v>547.26</v>
      </c>
      <c r="E2762" s="419"/>
      <c r="F2762" s="420"/>
      <c r="G2762" s="421">
        <v>0.11</v>
      </c>
      <c r="H2762" s="422"/>
      <c r="I2762" s="423">
        <f>TRUNC(D2762*G2762,2)</f>
        <v>60.19</v>
      </c>
      <c r="J2762" s="415"/>
      <c r="K2762" s="415"/>
    </row>
    <row r="2763" spans="1:17" s="198" customFormat="1" ht="22.5" x14ac:dyDescent="0.2">
      <c r="A2763" s="244" t="str">
        <f>VLOOKUP(B2763,'DER 11-20'!$A:$E,2,FALSE)</f>
        <v>Escavação manual em mat. 1ª cat. H= 0,00 a 1,50 m</v>
      </c>
      <c r="B2763" s="234">
        <v>40258</v>
      </c>
      <c r="C2763" s="234" t="str">
        <f>VLOOKUP(B2763,'DER 11-20'!$A:$E,3,FALSE)</f>
        <v>M3</v>
      </c>
      <c r="D2763" s="418">
        <f>TRUNC(VLOOKUP(B2763,'DER 11-20'!$A:$F,6,FALSE)/(1+$I$4),2)</f>
        <v>56.6</v>
      </c>
      <c r="E2763" s="255"/>
      <c r="F2763" s="253"/>
      <c r="G2763" s="293">
        <v>7.1999999999999995E-2</v>
      </c>
      <c r="H2763" s="240"/>
      <c r="I2763" s="423">
        <f>TRUNC(D2763*G2763,2)</f>
        <v>4.07</v>
      </c>
      <c r="J2763" s="400"/>
      <c r="K2763" s="400"/>
      <c r="L2763" s="295"/>
      <c r="M2763" s="295"/>
      <c r="N2763" s="295"/>
      <c r="O2763" s="295"/>
      <c r="P2763" s="295"/>
      <c r="Q2763" s="295"/>
    </row>
    <row r="2764" spans="1:17" s="198" customFormat="1" x14ac:dyDescent="0.2">
      <c r="A2764" s="200"/>
      <c r="B2764" s="264"/>
      <c r="C2764" s="200"/>
      <c r="D2764" s="200"/>
      <c r="E2764" s="200"/>
      <c r="F2764" s="265" t="s">
        <v>199</v>
      </c>
      <c r="G2764" s="255"/>
      <c r="H2764" s="266"/>
      <c r="I2764" s="441">
        <f>SUM(I2761:I2763)</f>
        <v>69.72</v>
      </c>
      <c r="J2764" s="400"/>
      <c r="K2764" s="400"/>
      <c r="L2764" s="295"/>
      <c r="M2764" s="295"/>
      <c r="N2764" s="295"/>
      <c r="O2764" s="295"/>
      <c r="P2764" s="295"/>
      <c r="Q2764" s="295"/>
    </row>
    <row r="2765" spans="1:17" s="198" customFormat="1" x14ac:dyDescent="0.2">
      <c r="A2765" s="200"/>
      <c r="B2765" s="264"/>
      <c r="C2765" s="200"/>
      <c r="D2765" s="200"/>
      <c r="E2765" s="200"/>
      <c r="F2765" s="200"/>
      <c r="G2765" s="200"/>
      <c r="H2765" s="200"/>
      <c r="I2765" s="440"/>
      <c r="J2765" s="400"/>
      <c r="K2765" s="400"/>
      <c r="L2765" s="295"/>
      <c r="M2765" s="295"/>
      <c r="N2765" s="295"/>
      <c r="O2765" s="295"/>
      <c r="P2765" s="295"/>
      <c r="Q2765" s="295"/>
    </row>
    <row r="2766" spans="1:17" s="198" customFormat="1" x14ac:dyDescent="0.2">
      <c r="A2766" s="267" t="s">
        <v>200</v>
      </c>
      <c r="B2766" s="268" t="s">
        <v>59</v>
      </c>
      <c r="C2766" s="268" t="s">
        <v>196</v>
      </c>
      <c r="D2766" s="268" t="s">
        <v>201</v>
      </c>
      <c r="E2766" s="268" t="s">
        <v>202</v>
      </c>
      <c r="F2766" s="268" t="s">
        <v>203</v>
      </c>
      <c r="G2766" s="268" t="s">
        <v>94</v>
      </c>
      <c r="H2766" s="268" t="s">
        <v>89</v>
      </c>
      <c r="I2766" s="442" t="s">
        <v>204</v>
      </c>
      <c r="J2766" s="400"/>
      <c r="K2766" s="400"/>
      <c r="L2766" s="295"/>
      <c r="M2766" s="295"/>
      <c r="N2766" s="295"/>
      <c r="O2766" s="295"/>
      <c r="P2766" s="295"/>
      <c r="Q2766" s="295"/>
    </row>
    <row r="2767" spans="1:17" s="198" customFormat="1" x14ac:dyDescent="0.2">
      <c r="A2767" s="244"/>
      <c r="B2767" s="234"/>
      <c r="C2767" s="234"/>
      <c r="D2767" s="402"/>
      <c r="E2767" s="270"/>
      <c r="F2767" s="270"/>
      <c r="G2767" s="239"/>
      <c r="H2767" s="271"/>
      <c r="I2767" s="418">
        <f>TRUNC(G2767*H2767,2)</f>
        <v>0</v>
      </c>
      <c r="J2767" s="400"/>
      <c r="K2767" s="400"/>
      <c r="L2767" s="295"/>
      <c r="M2767" s="295"/>
      <c r="N2767" s="295"/>
      <c r="O2767" s="295"/>
      <c r="P2767" s="295"/>
      <c r="Q2767" s="295"/>
    </row>
    <row r="2768" spans="1:17" x14ac:dyDescent="0.2">
      <c r="A2768" s="200"/>
      <c r="B2768" s="264"/>
      <c r="C2768" s="200"/>
      <c r="D2768" s="200"/>
      <c r="E2768" s="200"/>
      <c r="F2768" s="265" t="s">
        <v>205</v>
      </c>
      <c r="G2768" s="240"/>
      <c r="H2768" s="272"/>
      <c r="I2768" s="443">
        <f>SUM(I2767:I2767)</f>
        <v>0</v>
      </c>
    </row>
    <row r="2769" spans="1:17" x14ac:dyDescent="0.2">
      <c r="A2769" s="200"/>
      <c r="B2769" s="264"/>
      <c r="C2769" s="200"/>
      <c r="D2769" s="200"/>
      <c r="E2769" s="200"/>
      <c r="F2769" s="200"/>
      <c r="G2769" s="200"/>
      <c r="H2769" s="200"/>
      <c r="I2769" s="444"/>
    </row>
    <row r="2770" spans="1:17" x14ac:dyDescent="0.2">
      <c r="A2770" s="273"/>
      <c r="B2770" s="274"/>
      <c r="C2770" s="275"/>
      <c r="D2770" s="275"/>
      <c r="E2770" s="275"/>
      <c r="F2770" s="276" t="s">
        <v>206</v>
      </c>
      <c r="G2770" s="273"/>
      <c r="H2770" s="249"/>
      <c r="I2770" s="445">
        <f>+I2754+I2758+I2764+I2768</f>
        <v>69.72</v>
      </c>
    </row>
    <row r="2771" spans="1:17" x14ac:dyDescent="0.2">
      <c r="A2771" s="255"/>
      <c r="B2771" s="277"/>
      <c r="C2771" s="266"/>
      <c r="D2771" s="266"/>
      <c r="E2771" s="266"/>
      <c r="F2771" s="278" t="str">
        <f>CONCATENATE($H$3," ",$I$3)</f>
        <v>BDI: 23,32</v>
      </c>
      <c r="G2771" s="403"/>
      <c r="H2771" s="253"/>
      <c r="I2771" s="446">
        <f>+ROUND(I2770*$I$4,2)</f>
        <v>16.260000000000002</v>
      </c>
    </row>
    <row r="2772" spans="1:17" x14ac:dyDescent="0.2">
      <c r="A2772" s="240"/>
      <c r="B2772" s="279"/>
      <c r="C2772" s="272"/>
      <c r="D2772" s="272"/>
      <c r="E2772" s="272"/>
      <c r="F2772" s="280" t="s">
        <v>207</v>
      </c>
      <c r="G2772" s="404"/>
      <c r="H2772" s="241"/>
      <c r="I2772" s="720">
        <f>+I2770+I2771</f>
        <v>85.98</v>
      </c>
    </row>
    <row r="2773" spans="1:17" x14ac:dyDescent="0.2">
      <c r="A2773" s="1116" t="str">
        <f>$A$1</f>
        <v>COMPOSIÇÃO DE CUSTOS UNITÁRIOS</v>
      </c>
      <c r="B2773" s="1116"/>
      <c r="C2773" s="1116"/>
      <c r="D2773" s="1116"/>
      <c r="E2773" s="1116"/>
      <c r="F2773" s="1116"/>
      <c r="G2773" s="1116"/>
      <c r="H2773" s="1116"/>
      <c r="I2773" s="1116"/>
    </row>
    <row r="2774" spans="1:17" x14ac:dyDescent="0.2">
      <c r="A2774" s="228" t="str">
        <f>$A$2</f>
        <v>Tabela Referencial de Preços - DER-ES</v>
      </c>
      <c r="B2774" s="229"/>
      <c r="C2774" s="199"/>
      <c r="D2774" s="199"/>
      <c r="E2774" s="199"/>
      <c r="F2774" s="199"/>
      <c r="G2774" s="199"/>
      <c r="H2774" s="199"/>
      <c r="I2774" s="414" t="str">
        <f>$I$2</f>
        <v>Data Base: novembro/2020</v>
      </c>
    </row>
    <row r="2775" spans="1:17" x14ac:dyDescent="0.2">
      <c r="A2775" s="1119" t="str">
        <f>+CONCATENATE("Serviço: ",J2775," ",VLOOKUP(J2775,'DER 11-20'!$A:$D,2,FALSE))</f>
        <v>Serviço: 40674 Entrada para descida d'água EDA-02</v>
      </c>
      <c r="B2775" s="1119"/>
      <c r="C2775" s="1119"/>
      <c r="D2775" s="1119"/>
      <c r="E2775" s="1119"/>
      <c r="F2775" s="1119"/>
      <c r="G2775" s="1119"/>
      <c r="H2775" s="1119"/>
      <c r="I2775" s="1119" t="str">
        <f>CONCATENATE("Unidade: ", VLOOKUP(J2775,'DER 11-20'!$A:$E,3,FALSE))</f>
        <v>Unidade: Ud</v>
      </c>
      <c r="J2775" s="415">
        <v>40674</v>
      </c>
      <c r="K2775" s="400">
        <f>VLOOKUP("Preço Unitário Total",F2776:I3698,4,FALSE)</f>
        <v>91.98</v>
      </c>
      <c r="L2775" s="198">
        <f>VLOOKUP(J2775,'DER 11-20'!A:E,5,FALSE)</f>
        <v>0</v>
      </c>
      <c r="M2775" s="198" t="str">
        <f>VLOOKUP(J2775,'DER 11-20'!$A:$D,2,FALSE)</f>
        <v>Entrada para descida d'água EDA-02</v>
      </c>
      <c r="N2775" s="198"/>
      <c r="O2775" s="198"/>
      <c r="P2775" s="198"/>
      <c r="Q2775" s="198"/>
    </row>
    <row r="2776" spans="1:17" x14ac:dyDescent="0.2">
      <c r="A2776" s="1120"/>
      <c r="B2776" s="1120"/>
      <c r="C2776" s="1120"/>
      <c r="D2776" s="1120"/>
      <c r="E2776" s="1120"/>
      <c r="F2776" s="1120"/>
      <c r="G2776" s="1120"/>
      <c r="H2776" s="1120"/>
      <c r="I2776" s="1120"/>
      <c r="J2776" s="415"/>
      <c r="K2776" s="415"/>
      <c r="L2776" s="198"/>
      <c r="M2776" s="198"/>
      <c r="N2776" s="198"/>
      <c r="O2776" s="198"/>
      <c r="P2776" s="198"/>
      <c r="Q2776" s="198"/>
    </row>
    <row r="2777" spans="1:17" ht="22.5" x14ac:dyDescent="0.2">
      <c r="A2777" s="231" t="s">
        <v>177</v>
      </c>
      <c r="B2777" s="232" t="s">
        <v>59</v>
      </c>
      <c r="C2777" s="232" t="s">
        <v>178</v>
      </c>
      <c r="D2777" s="232" t="s">
        <v>179</v>
      </c>
      <c r="E2777" s="232" t="s">
        <v>180</v>
      </c>
      <c r="F2777" s="232" t="s">
        <v>181</v>
      </c>
      <c r="G2777" s="232" t="s">
        <v>182</v>
      </c>
      <c r="H2777" s="232" t="s">
        <v>89</v>
      </c>
      <c r="I2777" s="434" t="s">
        <v>183</v>
      </c>
      <c r="J2777" s="295"/>
      <c r="K2777" s="295"/>
    </row>
    <row r="2778" spans="1:17" x14ac:dyDescent="0.2">
      <c r="A2778" s="233"/>
      <c r="B2778" s="234"/>
      <c r="C2778" s="235"/>
      <c r="D2778" s="236"/>
      <c r="E2778" s="203"/>
      <c r="F2778" s="237"/>
      <c r="G2778" s="237"/>
      <c r="H2778" s="238"/>
      <c r="I2778" s="418"/>
      <c r="J2778" s="295"/>
      <c r="K2778" s="295"/>
    </row>
    <row r="2779" spans="1:17" x14ac:dyDescent="0.2">
      <c r="A2779" s="199"/>
      <c r="B2779" s="229"/>
      <c r="C2779" s="229"/>
      <c r="D2779" s="199"/>
      <c r="E2779" s="199"/>
      <c r="F2779" s="230" t="s">
        <v>184</v>
      </c>
      <c r="G2779" s="240"/>
      <c r="H2779" s="241"/>
      <c r="I2779" s="438">
        <f>SUM(I2778:I2778)</f>
        <v>0</v>
      </c>
      <c r="J2779" s="295"/>
      <c r="K2779" s="295"/>
    </row>
    <row r="2780" spans="1:17" x14ac:dyDescent="0.2">
      <c r="A2780" s="199"/>
      <c r="B2780" s="229"/>
      <c r="C2780" s="229"/>
      <c r="D2780" s="199"/>
      <c r="E2780" s="199"/>
      <c r="F2780" s="199"/>
      <c r="G2780" s="199"/>
      <c r="H2780" s="199"/>
      <c r="I2780" s="439"/>
      <c r="J2780" s="295"/>
      <c r="K2780" s="295"/>
    </row>
    <row r="2781" spans="1:17" x14ac:dyDescent="0.2">
      <c r="A2781" s="242" t="s">
        <v>185</v>
      </c>
      <c r="B2781" s="243" t="s">
        <v>59</v>
      </c>
      <c r="C2781" s="232" t="s">
        <v>357</v>
      </c>
      <c r="D2781" s="243" t="s">
        <v>187</v>
      </c>
      <c r="E2781" s="1111" t="s">
        <v>89</v>
      </c>
      <c r="F2781" s="1112"/>
      <c r="G2781" s="1113"/>
      <c r="H2781" s="1121" t="s">
        <v>183</v>
      </c>
      <c r="I2781" s="1115"/>
      <c r="J2781" s="295"/>
      <c r="K2781" s="295"/>
    </row>
    <row r="2782" spans="1:17" x14ac:dyDescent="0.2">
      <c r="A2782" s="244"/>
      <c r="B2782" s="234"/>
      <c r="C2782" s="239"/>
      <c r="D2782" s="239"/>
      <c r="E2782" s="255"/>
      <c r="F2782" s="253"/>
      <c r="G2782" s="293"/>
      <c r="H2782" s="240"/>
      <c r="I2782" s="427">
        <f>TRUNC(D2782*G2782,2)</f>
        <v>0</v>
      </c>
      <c r="J2782" s="295"/>
      <c r="K2782" s="295"/>
    </row>
    <row r="2783" spans="1:17" x14ac:dyDescent="0.2">
      <c r="A2783" s="199"/>
      <c r="B2783" s="229"/>
      <c r="C2783" s="229"/>
      <c r="D2783" s="199"/>
      <c r="E2783" s="199"/>
      <c r="F2783" s="230" t="s">
        <v>188</v>
      </c>
      <c r="G2783" s="240"/>
      <c r="H2783" s="241"/>
      <c r="I2783" s="438">
        <f>SUM(I2782:I2782)</f>
        <v>0</v>
      </c>
      <c r="J2783" s="295"/>
      <c r="K2783" s="295"/>
    </row>
    <row r="2784" spans="1:17" x14ac:dyDescent="0.2">
      <c r="A2784" s="199"/>
      <c r="B2784" s="229"/>
      <c r="C2784" s="229"/>
      <c r="D2784" s="199"/>
      <c r="E2784" s="199"/>
      <c r="F2784" s="199"/>
      <c r="G2784" s="199"/>
      <c r="H2784" s="199"/>
      <c r="I2784" s="439"/>
      <c r="J2784" s="295"/>
      <c r="K2784" s="295"/>
    </row>
    <row r="2785" spans="1:17" x14ac:dyDescent="0.2">
      <c r="A2785" s="245" t="s">
        <v>189</v>
      </c>
      <c r="B2785" s="243" t="s">
        <v>59</v>
      </c>
      <c r="C2785" s="635" t="s">
        <v>17</v>
      </c>
      <c r="D2785" s="243" t="s">
        <v>190</v>
      </c>
      <c r="E2785" s="243" t="s">
        <v>191</v>
      </c>
      <c r="F2785" s="243" t="s">
        <v>192</v>
      </c>
      <c r="G2785" s="1121" t="s">
        <v>94</v>
      </c>
      <c r="H2785" s="1114"/>
      <c r="I2785" s="1115"/>
      <c r="J2785" s="295"/>
      <c r="K2785" s="295"/>
    </row>
    <row r="2786" spans="1:17" x14ac:dyDescent="0.2">
      <c r="A2786" s="244"/>
      <c r="B2786" s="234"/>
      <c r="C2786" s="239"/>
      <c r="D2786" s="235"/>
      <c r="E2786" s="246"/>
      <c r="F2786" s="246"/>
      <c r="G2786" s="240"/>
      <c r="H2786" s="241"/>
      <c r="I2786" s="427">
        <f>TRUNC(C2786/100*I2783,2)</f>
        <v>0</v>
      </c>
      <c r="J2786" s="295"/>
      <c r="K2786" s="295"/>
    </row>
    <row r="2787" spans="1:17" x14ac:dyDescent="0.2">
      <c r="A2787" s="199"/>
      <c r="B2787" s="229"/>
      <c r="C2787" s="199"/>
      <c r="D2787" s="199"/>
      <c r="E2787" s="199"/>
      <c r="F2787" s="230" t="s">
        <v>327</v>
      </c>
      <c r="G2787" s="240"/>
      <c r="H2787" s="241"/>
      <c r="I2787" s="438">
        <f>SUM(I2786)</f>
        <v>0</v>
      </c>
      <c r="J2787" s="295"/>
      <c r="K2787" s="295"/>
    </row>
    <row r="2788" spans="1:17" x14ac:dyDescent="0.2">
      <c r="A2788" s="199"/>
      <c r="B2788" s="229"/>
      <c r="C2788" s="199"/>
      <c r="D2788" s="199"/>
      <c r="E2788" s="199"/>
      <c r="F2788" s="199"/>
      <c r="G2788" s="199"/>
      <c r="H2788" s="199"/>
      <c r="I2788" s="439"/>
      <c r="J2788" s="295"/>
      <c r="K2788" s="295"/>
    </row>
    <row r="2789" spans="1:17" x14ac:dyDescent="0.2">
      <c r="A2789" s="247"/>
      <c r="B2789" s="248"/>
      <c r="C2789" s="249"/>
      <c r="D2789" s="249"/>
      <c r="E2789" s="249"/>
      <c r="F2789" s="250" t="s">
        <v>193</v>
      </c>
      <c r="G2789" s="401"/>
      <c r="H2789" s="249"/>
      <c r="I2789" s="445">
        <f>+I2779+I2783+I2787</f>
        <v>0</v>
      </c>
      <c r="J2789" s="295"/>
      <c r="K2789" s="295"/>
    </row>
    <row r="2790" spans="1:17" x14ac:dyDescent="0.2">
      <c r="A2790" s="251"/>
      <c r="B2790" s="252"/>
      <c r="C2790" s="253"/>
      <c r="D2790" s="253"/>
      <c r="E2790" s="253"/>
      <c r="F2790" s="254" t="s">
        <v>194</v>
      </c>
      <c r="G2790" s="255"/>
      <c r="H2790" s="253"/>
      <c r="I2790" s="446">
        <v>1</v>
      </c>
      <c r="J2790" s="295"/>
      <c r="K2790" s="295"/>
    </row>
    <row r="2791" spans="1:17" x14ac:dyDescent="0.2">
      <c r="A2791" s="233"/>
      <c r="B2791" s="256"/>
      <c r="C2791" s="241"/>
      <c r="D2791" s="241"/>
      <c r="E2791" s="241"/>
      <c r="F2791" s="257" t="s">
        <v>216</v>
      </c>
      <c r="G2791" s="240"/>
      <c r="H2791" s="241"/>
      <c r="I2791" s="447">
        <f>TRUNC(I2789/I2790,2)</f>
        <v>0</v>
      </c>
      <c r="J2791" s="295"/>
      <c r="K2791" s="295"/>
    </row>
    <row r="2792" spans="1:17" x14ac:dyDescent="0.2">
      <c r="A2792" s="636"/>
      <c r="B2792" s="229"/>
      <c r="C2792" s="199"/>
      <c r="D2792" s="199"/>
      <c r="E2792" s="199"/>
      <c r="F2792" s="258"/>
      <c r="G2792" s="199"/>
      <c r="H2792" s="199"/>
      <c r="I2792" s="450"/>
      <c r="J2792" s="295"/>
      <c r="K2792" s="295"/>
    </row>
    <row r="2793" spans="1:17" x14ac:dyDescent="0.2">
      <c r="A2793" s="242" t="s">
        <v>195</v>
      </c>
      <c r="B2793" s="243" t="s">
        <v>59</v>
      </c>
      <c r="C2793" s="243" t="s">
        <v>196</v>
      </c>
      <c r="D2793" s="243" t="s">
        <v>217</v>
      </c>
      <c r="E2793" s="1121" t="s">
        <v>89</v>
      </c>
      <c r="F2793" s="1114"/>
      <c r="G2793" s="1115"/>
      <c r="H2793" s="1121" t="s">
        <v>183</v>
      </c>
      <c r="I2793" s="1115"/>
    </row>
    <row r="2794" spans="1:17" x14ac:dyDescent="0.2">
      <c r="A2794" s="259"/>
      <c r="B2794" s="234"/>
      <c r="C2794" s="260"/>
      <c r="D2794" s="261"/>
      <c r="E2794" s="255"/>
      <c r="F2794" s="253"/>
      <c r="G2794" s="293"/>
      <c r="H2794" s="255"/>
      <c r="I2794" s="423">
        <f>TRUNC(D2794*G2794,2)</f>
        <v>0</v>
      </c>
    </row>
    <row r="2795" spans="1:17" x14ac:dyDescent="0.2">
      <c r="A2795" s="199"/>
      <c r="B2795" s="229"/>
      <c r="C2795" s="199"/>
      <c r="D2795" s="199"/>
      <c r="E2795" s="199"/>
      <c r="F2795" s="230" t="s">
        <v>197</v>
      </c>
      <c r="G2795" s="240"/>
      <c r="H2795" s="241"/>
      <c r="I2795" s="438">
        <f>SUM(I2794:I2794)</f>
        <v>0</v>
      </c>
    </row>
    <row r="2796" spans="1:17" s="198" customFormat="1" x14ac:dyDescent="0.2">
      <c r="A2796" s="199"/>
      <c r="B2796" s="229"/>
      <c r="C2796" s="199"/>
      <c r="D2796" s="199"/>
      <c r="E2796" s="199"/>
      <c r="F2796" s="199"/>
      <c r="G2796" s="262"/>
      <c r="H2796" s="199"/>
      <c r="I2796" s="439"/>
      <c r="J2796" s="400"/>
      <c r="K2796" s="400"/>
      <c r="L2796" s="295"/>
      <c r="M2796" s="295"/>
      <c r="N2796" s="295"/>
      <c r="O2796" s="295"/>
      <c r="P2796" s="295"/>
      <c r="Q2796" s="295"/>
    </row>
    <row r="2797" spans="1:17" s="198" customFormat="1" x14ac:dyDescent="0.2">
      <c r="A2797" s="263" t="s">
        <v>198</v>
      </c>
      <c r="B2797" s="243" t="s">
        <v>59</v>
      </c>
      <c r="C2797" s="243" t="s">
        <v>196</v>
      </c>
      <c r="D2797" s="635" t="s">
        <v>217</v>
      </c>
      <c r="E2797" s="1111" t="s">
        <v>89</v>
      </c>
      <c r="F2797" s="1112"/>
      <c r="G2797" s="1113"/>
      <c r="H2797" s="1114" t="s">
        <v>183</v>
      </c>
      <c r="I2797" s="1115"/>
      <c r="J2797" s="400"/>
      <c r="K2797" s="400"/>
      <c r="L2797" s="295"/>
      <c r="M2797" s="295"/>
      <c r="N2797" s="295"/>
      <c r="O2797" s="295"/>
      <c r="P2797" s="295"/>
      <c r="Q2797" s="295"/>
    </row>
    <row r="2798" spans="1:17" s="198" customFormat="1" x14ac:dyDescent="0.2">
      <c r="A2798" s="244" t="str">
        <f>VLOOKUP(B2798,'DER 11-20'!$A:$E,2,FALSE)</f>
        <v>Caiação de meio fios, sarjetas, etc</v>
      </c>
      <c r="B2798" s="234">
        <v>40658</v>
      </c>
      <c r="C2798" s="234" t="str">
        <f>VLOOKUP(B2798,'DER 11-20'!$A:$E,3,FALSE)</f>
        <v>M2</v>
      </c>
      <c r="D2798" s="418">
        <f>TRUNC(VLOOKUP(B2798,'DER 11-20'!$A:$F,6,FALSE)/(1+$I$4),2)</f>
        <v>5.0599999999999996</v>
      </c>
      <c r="E2798" s="255"/>
      <c r="F2798" s="253"/>
      <c r="G2798" s="293">
        <v>1.1399999999999999</v>
      </c>
      <c r="H2798" s="240"/>
      <c r="I2798" s="423">
        <f>TRUNC(D2798*G2798,2)</f>
        <v>5.76</v>
      </c>
      <c r="J2798" s="400"/>
      <c r="K2798" s="400"/>
      <c r="L2798" s="295"/>
      <c r="M2798" s="295"/>
      <c r="N2798" s="295"/>
      <c r="O2798" s="295"/>
      <c r="P2798" s="295"/>
      <c r="Q2798" s="295"/>
    </row>
    <row r="2799" spans="1:17" s="198" customFormat="1" ht="22.5" x14ac:dyDescent="0.2">
      <c r="A2799" s="416" t="str">
        <f>VLOOKUP(B2799,'DER 11-20'!$A:$E,2,FALSE)</f>
        <v>Concreto estrutural fck = 15,0 MPa, tudo incluído</v>
      </c>
      <c r="B2799" s="417">
        <v>40358</v>
      </c>
      <c r="C2799" s="417" t="str">
        <f>VLOOKUP(B2799,'DER 11-20'!$A:$E,3,FALSE)</f>
        <v>M3</v>
      </c>
      <c r="D2799" s="418">
        <f>TRUNC(VLOOKUP(B2799,'DER 11-20'!$A:$F,6,FALSE)/(1+$I$4),2)</f>
        <v>547.26</v>
      </c>
      <c r="E2799" s="419"/>
      <c r="F2799" s="420"/>
      <c r="G2799" s="421">
        <v>0.114</v>
      </c>
      <c r="H2799" s="422"/>
      <c r="I2799" s="423">
        <f>TRUNC(D2799*G2799,2)</f>
        <v>62.38</v>
      </c>
      <c r="J2799" s="415"/>
      <c r="K2799" s="415"/>
    </row>
    <row r="2800" spans="1:17" s="198" customFormat="1" ht="22.5" x14ac:dyDescent="0.2">
      <c r="A2800" s="244" t="str">
        <f>VLOOKUP(B2800,'DER 11-20'!$A:$E,2,FALSE)</f>
        <v>Escavação manual em mat. 1ª cat. H= 0,00 a 1,50 m</v>
      </c>
      <c r="B2800" s="234">
        <v>40258</v>
      </c>
      <c r="C2800" s="234" t="str">
        <f>VLOOKUP(B2800,'DER 11-20'!$A:$E,3,FALSE)</f>
        <v>M3</v>
      </c>
      <c r="D2800" s="418">
        <f>TRUNC(VLOOKUP(B2800,'DER 11-20'!$A:$F,6,FALSE)/(1+$I$4),2)</f>
        <v>56.6</v>
      </c>
      <c r="E2800" s="255"/>
      <c r="F2800" s="253"/>
      <c r="G2800" s="293">
        <v>0.114</v>
      </c>
      <c r="H2800" s="240"/>
      <c r="I2800" s="423">
        <f>TRUNC(D2800*G2800,2)</f>
        <v>6.45</v>
      </c>
      <c r="J2800" s="400"/>
      <c r="K2800" s="400"/>
      <c r="L2800" s="295"/>
      <c r="M2800" s="295"/>
      <c r="N2800" s="295"/>
      <c r="O2800" s="295"/>
      <c r="P2800" s="295"/>
      <c r="Q2800" s="295"/>
    </row>
    <row r="2801" spans="1:17" s="198" customFormat="1" x14ac:dyDescent="0.2">
      <c r="A2801" s="200"/>
      <c r="B2801" s="264"/>
      <c r="C2801" s="200"/>
      <c r="D2801" s="200"/>
      <c r="E2801" s="200"/>
      <c r="F2801" s="265" t="s">
        <v>199</v>
      </c>
      <c r="G2801" s="255"/>
      <c r="H2801" s="266"/>
      <c r="I2801" s="441">
        <f>SUM(I2798:I2800)</f>
        <v>74.59</v>
      </c>
      <c r="J2801" s="400"/>
      <c r="K2801" s="400"/>
      <c r="L2801" s="295"/>
      <c r="M2801" s="295"/>
      <c r="N2801" s="295"/>
      <c r="O2801" s="295"/>
      <c r="P2801" s="295"/>
      <c r="Q2801" s="295"/>
    </row>
    <row r="2802" spans="1:17" x14ac:dyDescent="0.2">
      <c r="A2802" s="200"/>
      <c r="B2802" s="264"/>
      <c r="C2802" s="200"/>
      <c r="D2802" s="200"/>
      <c r="E2802" s="200"/>
      <c r="F2802" s="200"/>
      <c r="G2802" s="200"/>
      <c r="H2802" s="200"/>
      <c r="I2802" s="440"/>
    </row>
    <row r="2803" spans="1:17" x14ac:dyDescent="0.2">
      <c r="A2803" s="267" t="s">
        <v>200</v>
      </c>
      <c r="B2803" s="268" t="s">
        <v>59</v>
      </c>
      <c r="C2803" s="268" t="s">
        <v>196</v>
      </c>
      <c r="D2803" s="268" t="s">
        <v>201</v>
      </c>
      <c r="E2803" s="268" t="s">
        <v>202</v>
      </c>
      <c r="F2803" s="268" t="s">
        <v>203</v>
      </c>
      <c r="G2803" s="268" t="s">
        <v>94</v>
      </c>
      <c r="H2803" s="268" t="s">
        <v>89</v>
      </c>
      <c r="I2803" s="442" t="s">
        <v>204</v>
      </c>
    </row>
    <row r="2804" spans="1:17" x14ac:dyDescent="0.2">
      <c r="A2804" s="244"/>
      <c r="B2804" s="234"/>
      <c r="C2804" s="234"/>
      <c r="D2804" s="402"/>
      <c r="E2804" s="270"/>
      <c r="F2804" s="270"/>
      <c r="G2804" s="239"/>
      <c r="H2804" s="271"/>
      <c r="I2804" s="418">
        <f>TRUNC(G2804*H2804,2)</f>
        <v>0</v>
      </c>
    </row>
    <row r="2805" spans="1:17" x14ac:dyDescent="0.2">
      <c r="A2805" s="200"/>
      <c r="B2805" s="264"/>
      <c r="C2805" s="200"/>
      <c r="D2805" s="200"/>
      <c r="E2805" s="200"/>
      <c r="F2805" s="265" t="s">
        <v>205</v>
      </c>
      <c r="G2805" s="240"/>
      <c r="H2805" s="272"/>
      <c r="I2805" s="443">
        <f>SUM(I2804:I2804)</f>
        <v>0</v>
      </c>
    </row>
    <row r="2806" spans="1:17" x14ac:dyDescent="0.2">
      <c r="A2806" s="200"/>
      <c r="B2806" s="264"/>
      <c r="C2806" s="200"/>
      <c r="D2806" s="200"/>
      <c r="E2806" s="200"/>
      <c r="F2806" s="200"/>
      <c r="G2806" s="200"/>
      <c r="H2806" s="200"/>
      <c r="I2806" s="444"/>
    </row>
    <row r="2807" spans="1:17" x14ac:dyDescent="0.2">
      <c r="A2807" s="273"/>
      <c r="B2807" s="274"/>
      <c r="C2807" s="275"/>
      <c r="D2807" s="275"/>
      <c r="E2807" s="275"/>
      <c r="F2807" s="276" t="s">
        <v>206</v>
      </c>
      <c r="G2807" s="273"/>
      <c r="H2807" s="249"/>
      <c r="I2807" s="445">
        <f>+I2791+I2795+I2801+I2805</f>
        <v>74.59</v>
      </c>
    </row>
    <row r="2808" spans="1:17" x14ac:dyDescent="0.2">
      <c r="A2808" s="255"/>
      <c r="B2808" s="277"/>
      <c r="C2808" s="266"/>
      <c r="D2808" s="266"/>
      <c r="E2808" s="266"/>
      <c r="F2808" s="278" t="str">
        <f>CONCATENATE($H$3," ",$I$3)</f>
        <v>BDI: 23,32</v>
      </c>
      <c r="G2808" s="403"/>
      <c r="H2808" s="253"/>
      <c r="I2808" s="446">
        <f>+ROUND(I2807*$I$4,2)</f>
        <v>17.39</v>
      </c>
    </row>
    <row r="2809" spans="1:17" x14ac:dyDescent="0.2">
      <c r="A2809" s="240"/>
      <c r="B2809" s="279"/>
      <c r="C2809" s="272"/>
      <c r="D2809" s="272"/>
      <c r="E2809" s="272"/>
      <c r="F2809" s="280" t="s">
        <v>207</v>
      </c>
      <c r="G2809" s="404"/>
      <c r="H2809" s="241"/>
      <c r="I2809" s="720">
        <f>+I2807+I2808</f>
        <v>91.98</v>
      </c>
    </row>
    <row r="2810" spans="1:17" x14ac:dyDescent="0.2">
      <c r="A2810" s="1116" t="str">
        <f>$A$1</f>
        <v>COMPOSIÇÃO DE CUSTOS UNITÁRIOS</v>
      </c>
      <c r="B2810" s="1116"/>
      <c r="C2810" s="1116"/>
      <c r="D2810" s="1116"/>
      <c r="E2810" s="1116"/>
      <c r="F2810" s="1116"/>
      <c r="G2810" s="1116"/>
      <c r="H2810" s="1116"/>
      <c r="I2810" s="1116"/>
    </row>
    <row r="2811" spans="1:17" x14ac:dyDescent="0.2">
      <c r="A2811" s="228" t="str">
        <f>$A$2</f>
        <v>Tabela Referencial de Preços - DER-ES</v>
      </c>
      <c r="B2811" s="229"/>
      <c r="C2811" s="199"/>
      <c r="D2811" s="199"/>
      <c r="E2811" s="199"/>
      <c r="F2811" s="199"/>
      <c r="G2811" s="199"/>
      <c r="H2811" s="199"/>
      <c r="I2811" s="414" t="str">
        <f>$I$2</f>
        <v>Data Base: novembro/2020</v>
      </c>
    </row>
    <row r="2812" spans="1:17" x14ac:dyDescent="0.2">
      <c r="A2812" s="1119" t="str">
        <f>+CONCATENATE("Serviço: ",J2812," ",VLOOKUP(J2812,'DER 11-20'!$A:$D,2,FALSE))</f>
        <v>Serviço: 40659 Meio fio sarjeta de concreto tipo DP-1 (0,035 m³/m) inclusive caiação</v>
      </c>
      <c r="B2812" s="1119"/>
      <c r="C2812" s="1119"/>
      <c r="D2812" s="1119"/>
      <c r="E2812" s="1119"/>
      <c r="F2812" s="1119"/>
      <c r="G2812" s="1119"/>
      <c r="H2812" s="1119"/>
      <c r="I2812" s="1119" t="str">
        <f>CONCATENATE("Unidade: ", VLOOKUP(J2812,'DER 11-20'!$A:$E,3,FALSE))</f>
        <v>Unidade: M</v>
      </c>
      <c r="J2812" s="415">
        <v>40659</v>
      </c>
      <c r="K2812" s="400">
        <f>VLOOKUP("Preço Unitário Total",F2813:I3385,4,FALSE)</f>
        <v>57.06</v>
      </c>
      <c r="L2812" s="198">
        <f>VLOOKUP(J2812,'DER 11-20'!A:E,5,FALSE)</f>
        <v>0</v>
      </c>
      <c r="M2812" s="198" t="str">
        <f>VLOOKUP(J2812,'DER 11-20'!$A:$D,2,FALSE)</f>
        <v>Meio fio sarjeta de concreto tipo DP-1 (0,035 m³/m) inclusive caiação</v>
      </c>
      <c r="N2812" s="198"/>
      <c r="O2812" s="198"/>
      <c r="P2812" s="198"/>
      <c r="Q2812" s="198"/>
    </row>
    <row r="2813" spans="1:17" x14ac:dyDescent="0.2">
      <c r="A2813" s="1120"/>
      <c r="B2813" s="1120"/>
      <c r="C2813" s="1120"/>
      <c r="D2813" s="1120"/>
      <c r="E2813" s="1120"/>
      <c r="F2813" s="1120"/>
      <c r="G2813" s="1120"/>
      <c r="H2813" s="1120"/>
      <c r="I2813" s="1120"/>
      <c r="J2813" s="415"/>
      <c r="K2813" s="415"/>
      <c r="L2813" s="198"/>
      <c r="M2813" s="198"/>
      <c r="N2813" s="198"/>
      <c r="O2813" s="198"/>
      <c r="P2813" s="198"/>
      <c r="Q2813" s="198"/>
    </row>
    <row r="2814" spans="1:17" ht="22.5" x14ac:dyDescent="0.2">
      <c r="A2814" s="231" t="s">
        <v>177</v>
      </c>
      <c r="B2814" s="232" t="s">
        <v>59</v>
      </c>
      <c r="C2814" s="232" t="s">
        <v>178</v>
      </c>
      <c r="D2814" s="232" t="s">
        <v>179</v>
      </c>
      <c r="E2814" s="232" t="s">
        <v>180</v>
      </c>
      <c r="F2814" s="232" t="s">
        <v>181</v>
      </c>
      <c r="G2814" s="232" t="s">
        <v>182</v>
      </c>
      <c r="H2814" s="232" t="s">
        <v>89</v>
      </c>
      <c r="I2814" s="434" t="s">
        <v>183</v>
      </c>
      <c r="J2814" s="295"/>
      <c r="K2814" s="295"/>
    </row>
    <row r="2815" spans="1:17" x14ac:dyDescent="0.2">
      <c r="A2815" s="233"/>
      <c r="B2815" s="234"/>
      <c r="C2815" s="235"/>
      <c r="D2815" s="236"/>
      <c r="E2815" s="203"/>
      <c r="F2815" s="237"/>
      <c r="G2815" s="237"/>
      <c r="H2815" s="238"/>
      <c r="I2815" s="418"/>
      <c r="J2815" s="295"/>
      <c r="K2815" s="295"/>
    </row>
    <row r="2816" spans="1:17" x14ac:dyDescent="0.2">
      <c r="A2816" s="199"/>
      <c r="B2816" s="229"/>
      <c r="C2816" s="229"/>
      <c r="D2816" s="199"/>
      <c r="E2816" s="199"/>
      <c r="F2816" s="230" t="s">
        <v>184</v>
      </c>
      <c r="G2816" s="240"/>
      <c r="H2816" s="241"/>
      <c r="I2816" s="438">
        <f>SUM(I2815:I2815)</f>
        <v>0</v>
      </c>
      <c r="J2816" s="295"/>
      <c r="K2816" s="295"/>
    </row>
    <row r="2817" spans="1:11" x14ac:dyDescent="0.2">
      <c r="A2817" s="199"/>
      <c r="B2817" s="229"/>
      <c r="C2817" s="229"/>
      <c r="D2817" s="199"/>
      <c r="E2817" s="199"/>
      <c r="F2817" s="199"/>
      <c r="G2817" s="199"/>
      <c r="H2817" s="199"/>
      <c r="I2817" s="439"/>
      <c r="J2817" s="295"/>
      <c r="K2817" s="295"/>
    </row>
    <row r="2818" spans="1:11" x14ac:dyDescent="0.2">
      <c r="A2818" s="242" t="s">
        <v>185</v>
      </c>
      <c r="B2818" s="243" t="s">
        <v>59</v>
      </c>
      <c r="C2818" s="232" t="s">
        <v>357</v>
      </c>
      <c r="D2818" s="243" t="s">
        <v>187</v>
      </c>
      <c r="E2818" s="1111" t="s">
        <v>89</v>
      </c>
      <c r="F2818" s="1112"/>
      <c r="G2818" s="1113"/>
      <c r="H2818" s="1121" t="s">
        <v>183</v>
      </c>
      <c r="I2818" s="1115"/>
      <c r="J2818" s="295"/>
      <c r="K2818" s="295"/>
    </row>
    <row r="2819" spans="1:11" x14ac:dyDescent="0.2">
      <c r="A2819" s="244" t="str">
        <f>VLOOKUP(B2819,m.o.!$A:$H,2,FALSE)</f>
        <v>Encarregado de O.A.C.</v>
      </c>
      <c r="B2819" s="234">
        <v>20060</v>
      </c>
      <c r="C2819" s="239">
        <f>VLOOKUP(B2819,m.o.!$A:$F,4,FALSE)</f>
        <v>2.2599999999999998</v>
      </c>
      <c r="D2819" s="239">
        <f>VLOOKUP(B2819,m.o.!$A:$G,7,FALSE)</f>
        <v>28.31</v>
      </c>
      <c r="E2819" s="255"/>
      <c r="F2819" s="253"/>
      <c r="G2819" s="293">
        <v>0.1</v>
      </c>
      <c r="H2819" s="240"/>
      <c r="I2819" s="427">
        <f>TRUNC(D2819*G2819,2)</f>
        <v>2.83</v>
      </c>
    </row>
    <row r="2820" spans="1:11" x14ac:dyDescent="0.2">
      <c r="A2820" s="199"/>
      <c r="B2820" s="229"/>
      <c r="C2820" s="229"/>
      <c r="D2820" s="199"/>
      <c r="E2820" s="199"/>
      <c r="F2820" s="230" t="s">
        <v>188</v>
      </c>
      <c r="G2820" s="240"/>
      <c r="H2820" s="241"/>
      <c r="I2820" s="438">
        <f>I2819</f>
        <v>2.83</v>
      </c>
      <c r="J2820" s="295"/>
      <c r="K2820" s="295"/>
    </row>
    <row r="2821" spans="1:11" x14ac:dyDescent="0.2">
      <c r="A2821" s="199"/>
      <c r="B2821" s="229"/>
      <c r="C2821" s="229"/>
      <c r="D2821" s="199"/>
      <c r="E2821" s="199"/>
      <c r="F2821" s="199"/>
      <c r="G2821" s="199"/>
      <c r="H2821" s="199"/>
      <c r="I2821" s="439"/>
      <c r="J2821" s="295"/>
      <c r="K2821" s="295"/>
    </row>
    <row r="2822" spans="1:11" x14ac:dyDescent="0.2">
      <c r="A2822" s="245" t="s">
        <v>189</v>
      </c>
      <c r="B2822" s="243" t="s">
        <v>59</v>
      </c>
      <c r="C2822" s="830" t="s">
        <v>17</v>
      </c>
      <c r="D2822" s="243" t="s">
        <v>190</v>
      </c>
      <c r="E2822" s="243" t="s">
        <v>191</v>
      </c>
      <c r="F2822" s="243" t="s">
        <v>192</v>
      </c>
      <c r="G2822" s="1121" t="s">
        <v>94</v>
      </c>
      <c r="H2822" s="1114"/>
      <c r="I2822" s="1115"/>
      <c r="J2822" s="295"/>
      <c r="K2822" s="295"/>
    </row>
    <row r="2823" spans="1:11" x14ac:dyDescent="0.2">
      <c r="A2823" s="244"/>
      <c r="B2823" s="234"/>
      <c r="C2823" s="239"/>
      <c r="D2823" s="235"/>
      <c r="E2823" s="246"/>
      <c r="F2823" s="246"/>
      <c r="G2823" s="240"/>
      <c r="H2823" s="241"/>
      <c r="I2823" s="427">
        <f>TRUNC(C2823/100*I2820,2)</f>
        <v>0</v>
      </c>
      <c r="J2823" s="295"/>
      <c r="K2823" s="295"/>
    </row>
    <row r="2824" spans="1:11" x14ac:dyDescent="0.2">
      <c r="A2824" s="199"/>
      <c r="B2824" s="229"/>
      <c r="C2824" s="199"/>
      <c r="D2824" s="199"/>
      <c r="E2824" s="199"/>
      <c r="F2824" s="230" t="s">
        <v>327</v>
      </c>
      <c r="G2824" s="240"/>
      <c r="H2824" s="241"/>
      <c r="I2824" s="438">
        <f>SUM(I2823)</f>
        <v>0</v>
      </c>
      <c r="J2824" s="295"/>
      <c r="K2824" s="295"/>
    </row>
    <row r="2825" spans="1:11" x14ac:dyDescent="0.2">
      <c r="A2825" s="199"/>
      <c r="B2825" s="229"/>
      <c r="C2825" s="199"/>
      <c r="D2825" s="199"/>
      <c r="E2825" s="199"/>
      <c r="F2825" s="199"/>
      <c r="G2825" s="199"/>
      <c r="H2825" s="199"/>
      <c r="I2825" s="439"/>
      <c r="J2825" s="295"/>
      <c r="K2825" s="295"/>
    </row>
    <row r="2826" spans="1:11" x14ac:dyDescent="0.2">
      <c r="A2826" s="247"/>
      <c r="B2826" s="248"/>
      <c r="C2826" s="249"/>
      <c r="D2826" s="249"/>
      <c r="E2826" s="249"/>
      <c r="F2826" s="250" t="s">
        <v>193</v>
      </c>
      <c r="G2826" s="401"/>
      <c r="H2826" s="249"/>
      <c r="I2826" s="445">
        <f>+I2816+I2820+I2824</f>
        <v>2.83</v>
      </c>
      <c r="J2826" s="295"/>
      <c r="K2826" s="295"/>
    </row>
    <row r="2827" spans="1:11" x14ac:dyDescent="0.2">
      <c r="A2827" s="251"/>
      <c r="B2827" s="252"/>
      <c r="C2827" s="253"/>
      <c r="D2827" s="253"/>
      <c r="E2827" s="253"/>
      <c r="F2827" s="254" t="s">
        <v>194</v>
      </c>
      <c r="G2827" s="255"/>
      <c r="H2827" s="253"/>
      <c r="I2827" s="446">
        <v>1</v>
      </c>
      <c r="J2827" s="295"/>
      <c r="K2827" s="295"/>
    </row>
    <row r="2828" spans="1:11" x14ac:dyDescent="0.2">
      <c r="A2828" s="233"/>
      <c r="B2828" s="256"/>
      <c r="C2828" s="241"/>
      <c r="D2828" s="241"/>
      <c r="E2828" s="241"/>
      <c r="F2828" s="257"/>
      <c r="G2828" s="240"/>
      <c r="H2828" s="241"/>
      <c r="I2828" s="447">
        <f>TRUNC(I2826/I2827,2)</f>
        <v>2.83</v>
      </c>
      <c r="J2828" s="295"/>
      <c r="K2828" s="295"/>
    </row>
    <row r="2829" spans="1:11" x14ac:dyDescent="0.2">
      <c r="A2829" s="829"/>
      <c r="B2829" s="229"/>
      <c r="C2829" s="199"/>
      <c r="D2829" s="199"/>
      <c r="E2829" s="199"/>
      <c r="F2829" s="258"/>
      <c r="G2829" s="199"/>
      <c r="H2829" s="199"/>
      <c r="I2829" s="450"/>
      <c r="J2829" s="295"/>
      <c r="K2829" s="295"/>
    </row>
    <row r="2830" spans="1:11" x14ac:dyDescent="0.2">
      <c r="A2830" s="242" t="s">
        <v>195</v>
      </c>
      <c r="B2830" s="243" t="s">
        <v>59</v>
      </c>
      <c r="C2830" s="243" t="s">
        <v>196</v>
      </c>
      <c r="D2830" s="243" t="s">
        <v>217</v>
      </c>
      <c r="E2830" s="1121" t="s">
        <v>89</v>
      </c>
      <c r="F2830" s="1114"/>
      <c r="G2830" s="1115"/>
      <c r="H2830" s="1121" t="s">
        <v>183</v>
      </c>
      <c r="I2830" s="1115"/>
    </row>
    <row r="2831" spans="1:11" x14ac:dyDescent="0.2">
      <c r="A2831" s="259"/>
      <c r="B2831" s="234"/>
      <c r="C2831" s="260"/>
      <c r="D2831" s="261"/>
      <c r="E2831" s="255"/>
      <c r="F2831" s="253"/>
      <c r="G2831" s="293"/>
      <c r="H2831" s="255"/>
      <c r="I2831" s="423">
        <f>TRUNC(D2831*G2831,2)</f>
        <v>0</v>
      </c>
    </row>
    <row r="2832" spans="1:11" x14ac:dyDescent="0.2">
      <c r="A2832" s="199"/>
      <c r="B2832" s="229"/>
      <c r="C2832" s="199"/>
      <c r="D2832" s="199"/>
      <c r="E2832" s="199"/>
      <c r="F2832" s="230" t="s">
        <v>197</v>
      </c>
      <c r="G2832" s="240"/>
      <c r="H2832" s="241"/>
      <c r="I2832" s="438">
        <f>SUM(I2831:I2831)</f>
        <v>0</v>
      </c>
    </row>
    <row r="2833" spans="1:17" s="198" customFormat="1" x14ac:dyDescent="0.2">
      <c r="A2833" s="199"/>
      <c r="B2833" s="229"/>
      <c r="C2833" s="199"/>
      <c r="D2833" s="199"/>
      <c r="E2833" s="199"/>
      <c r="F2833" s="199"/>
      <c r="G2833" s="262"/>
      <c r="H2833" s="199"/>
      <c r="I2833" s="439"/>
      <c r="J2833" s="400"/>
      <c r="K2833" s="400"/>
      <c r="L2833" s="295"/>
      <c r="M2833" s="295"/>
      <c r="N2833" s="295"/>
      <c r="O2833" s="295"/>
      <c r="P2833" s="295"/>
      <c r="Q2833" s="295"/>
    </row>
    <row r="2834" spans="1:17" s="198" customFormat="1" x14ac:dyDescent="0.2">
      <c r="A2834" s="263" t="s">
        <v>198</v>
      </c>
      <c r="B2834" s="243" t="s">
        <v>59</v>
      </c>
      <c r="C2834" s="243" t="s">
        <v>196</v>
      </c>
      <c r="D2834" s="830" t="s">
        <v>217</v>
      </c>
      <c r="E2834" s="1111" t="s">
        <v>89</v>
      </c>
      <c r="F2834" s="1112"/>
      <c r="G2834" s="1113"/>
      <c r="H2834" s="1114" t="s">
        <v>183</v>
      </c>
      <c r="I2834" s="1115"/>
      <c r="J2834" s="400"/>
      <c r="K2834" s="400"/>
      <c r="L2834" s="295"/>
      <c r="M2834" s="295"/>
      <c r="N2834" s="295"/>
      <c r="O2834" s="295"/>
      <c r="P2834" s="295"/>
      <c r="Q2834" s="295"/>
    </row>
    <row r="2835" spans="1:17" s="198" customFormat="1" x14ac:dyDescent="0.2">
      <c r="A2835" s="244" t="str">
        <f>VLOOKUP(B2835,'DER 11-20'!$A:$E,2,FALSE)</f>
        <v>Caiação de meio fios, sarjetas, etc</v>
      </c>
      <c r="B2835" s="234">
        <v>40658</v>
      </c>
      <c r="C2835" s="234" t="str">
        <f>VLOOKUP(B2835,'DER 11-20'!$A:$E,3,FALSE)</f>
        <v>M2</v>
      </c>
      <c r="D2835" s="418">
        <f>TRUNC(VLOOKUP(B2835,'DER 11-20'!$A:$F,6,FALSE)/(1+$I$4),2)</f>
        <v>5.0599999999999996</v>
      </c>
      <c r="E2835" s="255"/>
      <c r="F2835" s="253"/>
      <c r="G2835" s="293">
        <v>0.52</v>
      </c>
      <c r="H2835" s="240"/>
      <c r="I2835" s="423">
        <f>TRUNC(D2835*G2835,2)</f>
        <v>2.63</v>
      </c>
      <c r="J2835" s="400"/>
      <c r="K2835" s="400"/>
      <c r="L2835" s="295"/>
      <c r="M2835" s="295"/>
      <c r="N2835" s="295"/>
      <c r="O2835" s="295"/>
      <c r="P2835" s="295"/>
      <c r="Q2835" s="295"/>
    </row>
    <row r="2836" spans="1:17" s="198" customFormat="1" ht="22.5" x14ac:dyDescent="0.2">
      <c r="A2836" s="416" t="str">
        <f>VLOOKUP(B2836,'DER 11-20'!$A:$E,2,FALSE)</f>
        <v>Concreto estrutural fck = 15,0 MPa, tudo incluído</v>
      </c>
      <c r="B2836" s="417">
        <v>40358</v>
      </c>
      <c r="C2836" s="417" t="str">
        <f>VLOOKUP(B2836,'DER 11-20'!$A:$E,3,FALSE)</f>
        <v>M3</v>
      </c>
      <c r="D2836" s="418">
        <f>TRUNC(VLOOKUP(B2836,'DER 11-20'!$A:$F,6,FALSE)/(1+$I$4),2)</f>
        <v>547.26</v>
      </c>
      <c r="E2836" s="419"/>
      <c r="F2836" s="420"/>
      <c r="G2836" s="421">
        <v>3.5000000000000003E-2</v>
      </c>
      <c r="H2836" s="422"/>
      <c r="I2836" s="423">
        <f>TRUNC(D2836*G2836,2)</f>
        <v>19.149999999999999</v>
      </c>
      <c r="J2836" s="415"/>
      <c r="K2836" s="415"/>
    </row>
    <row r="2837" spans="1:17" s="198" customFormat="1" ht="22.5" x14ac:dyDescent="0.2">
      <c r="A2837" s="244" t="str">
        <f>VLOOKUP(B2837,'DER 11-20'!$A:$E,2,FALSE)</f>
        <v>Escavação manual em mat. 1ª cat. H= 0,00 a 1,50 m</v>
      </c>
      <c r="B2837" s="234">
        <v>40258</v>
      </c>
      <c r="C2837" s="234" t="str">
        <f>VLOOKUP(B2837,'DER 11-20'!$A:$E,3,FALSE)</f>
        <v>M3</v>
      </c>
      <c r="D2837" s="418">
        <f>TRUNC(VLOOKUP(B2837,'DER 11-20'!$A:$F,6,FALSE)/(1+$I$4),2)</f>
        <v>56.6</v>
      </c>
      <c r="E2837" s="255"/>
      <c r="F2837" s="253"/>
      <c r="G2837" s="293">
        <v>0.03</v>
      </c>
      <c r="H2837" s="240"/>
      <c r="I2837" s="423">
        <f>TRUNC(D2837*G2837,2)</f>
        <v>1.69</v>
      </c>
      <c r="J2837" s="400"/>
      <c r="K2837" s="400"/>
      <c r="L2837" s="295"/>
      <c r="M2837" s="295"/>
      <c r="N2837" s="295"/>
      <c r="O2837" s="295"/>
      <c r="P2837" s="295"/>
      <c r="Q2837" s="295"/>
    </row>
    <row r="2838" spans="1:17" s="198" customFormat="1" ht="33.75" x14ac:dyDescent="0.2">
      <c r="A2838" s="416" t="str">
        <f>VLOOKUP(B2838,'DER 11-20'!$A:$E,2,FALSE)</f>
        <v>Forma especial de madeira para meio fio, inclusive fornecimento e transporte das madeiras</v>
      </c>
      <c r="B2838" s="417">
        <v>40316</v>
      </c>
      <c r="C2838" s="417" t="str">
        <f>VLOOKUP(B2838,'DER 11-20'!$A:$E,3,FALSE)</f>
        <v>M2</v>
      </c>
      <c r="D2838" s="418">
        <f>TRUNC(VLOOKUP(B2838,'DER 11-20'!$A:$F,6,FALSE)/(1+$I$4),2)</f>
        <v>64.45</v>
      </c>
      <c r="E2838" s="419"/>
      <c r="F2838" s="420"/>
      <c r="G2838" s="421">
        <v>0.31</v>
      </c>
      <c r="H2838" s="422"/>
      <c r="I2838" s="423">
        <f>TRUNC(D2838*G2838,2)</f>
        <v>19.97</v>
      </c>
      <c r="J2838" s="415"/>
      <c r="K2838" s="415"/>
    </row>
    <row r="2839" spans="1:17" s="198" customFormat="1" x14ac:dyDescent="0.2">
      <c r="A2839" s="200"/>
      <c r="B2839" s="264"/>
      <c r="C2839" s="200"/>
      <c r="D2839" s="200"/>
      <c r="E2839" s="200"/>
      <c r="F2839" s="265" t="s">
        <v>199</v>
      </c>
      <c r="G2839" s="255"/>
      <c r="H2839" s="266"/>
      <c r="I2839" s="441">
        <f>SUM(I2835:I2838)</f>
        <v>43.44</v>
      </c>
      <c r="J2839" s="400"/>
      <c r="K2839" s="400"/>
      <c r="L2839" s="295"/>
      <c r="M2839" s="295"/>
      <c r="N2839" s="295"/>
      <c r="O2839" s="295"/>
      <c r="P2839" s="295"/>
      <c r="Q2839" s="295"/>
    </row>
    <row r="2840" spans="1:17" x14ac:dyDescent="0.2">
      <c r="A2840" s="200"/>
      <c r="B2840" s="264"/>
      <c r="C2840" s="200"/>
      <c r="D2840" s="200"/>
      <c r="E2840" s="200"/>
      <c r="F2840" s="200"/>
      <c r="G2840" s="200"/>
      <c r="H2840" s="200"/>
      <c r="I2840" s="440"/>
    </row>
    <row r="2841" spans="1:17" x14ac:dyDescent="0.2">
      <c r="A2841" s="267" t="s">
        <v>200</v>
      </c>
      <c r="B2841" s="268" t="s">
        <v>59</v>
      </c>
      <c r="C2841" s="268" t="s">
        <v>196</v>
      </c>
      <c r="D2841" s="268" t="s">
        <v>201</v>
      </c>
      <c r="E2841" s="268" t="s">
        <v>202</v>
      </c>
      <c r="F2841" s="268" t="s">
        <v>203</v>
      </c>
      <c r="G2841" s="268" t="s">
        <v>94</v>
      </c>
      <c r="H2841" s="268" t="s">
        <v>89</v>
      </c>
      <c r="I2841" s="442" t="s">
        <v>204</v>
      </c>
    </row>
    <row r="2842" spans="1:17" x14ac:dyDescent="0.2">
      <c r="A2842" s="244"/>
      <c r="B2842" s="234"/>
      <c r="C2842" s="234"/>
      <c r="D2842" s="402"/>
      <c r="E2842" s="270"/>
      <c r="F2842" s="270"/>
      <c r="G2842" s="239"/>
      <c r="H2842" s="271"/>
      <c r="I2842" s="418">
        <f>TRUNC(G2842*H2842,2)</f>
        <v>0</v>
      </c>
    </row>
    <row r="2843" spans="1:17" x14ac:dyDescent="0.2">
      <c r="A2843" s="200"/>
      <c r="B2843" s="264"/>
      <c r="C2843" s="200"/>
      <c r="D2843" s="200"/>
      <c r="E2843" s="200"/>
      <c r="F2843" s="265" t="s">
        <v>205</v>
      </c>
      <c r="G2843" s="240"/>
      <c r="H2843" s="272"/>
      <c r="I2843" s="443">
        <f>SUM(I2842:I2842)</f>
        <v>0</v>
      </c>
    </row>
    <row r="2844" spans="1:17" x14ac:dyDescent="0.2">
      <c r="A2844" s="200"/>
      <c r="B2844" s="264"/>
      <c r="C2844" s="200"/>
      <c r="D2844" s="200"/>
      <c r="E2844" s="200"/>
      <c r="F2844" s="200"/>
      <c r="G2844" s="200"/>
      <c r="H2844" s="200"/>
      <c r="I2844" s="444"/>
    </row>
    <row r="2845" spans="1:17" x14ac:dyDescent="0.2">
      <c r="A2845" s="273"/>
      <c r="B2845" s="274"/>
      <c r="C2845" s="275"/>
      <c r="D2845" s="275"/>
      <c r="E2845" s="275"/>
      <c r="F2845" s="276" t="s">
        <v>206</v>
      </c>
      <c r="G2845" s="273"/>
      <c r="H2845" s="249"/>
      <c r="I2845" s="445">
        <f>+I2828+I2832+I2839+I2843</f>
        <v>46.27</v>
      </c>
    </row>
    <row r="2846" spans="1:17" x14ac:dyDescent="0.2">
      <c r="A2846" s="255"/>
      <c r="B2846" s="277"/>
      <c r="C2846" s="266"/>
      <c r="D2846" s="266"/>
      <c r="E2846" s="266"/>
      <c r="F2846" s="278" t="str">
        <f>CONCATENATE($H$3," ",$I$3)</f>
        <v>BDI: 23,32</v>
      </c>
      <c r="G2846" s="403"/>
      <c r="H2846" s="253"/>
      <c r="I2846" s="446">
        <f>+ROUND(I2845*$I$4,2)</f>
        <v>10.79</v>
      </c>
    </row>
    <row r="2847" spans="1:17" x14ac:dyDescent="0.2">
      <c r="A2847" s="240"/>
      <c r="B2847" s="279"/>
      <c r="C2847" s="272"/>
      <c r="D2847" s="272"/>
      <c r="E2847" s="272"/>
      <c r="F2847" s="280" t="s">
        <v>207</v>
      </c>
      <c r="G2847" s="404"/>
      <c r="H2847" s="241"/>
      <c r="I2847" s="720">
        <f>+I2845+I2846</f>
        <v>57.06</v>
      </c>
    </row>
    <row r="2848" spans="1:17" x14ac:dyDescent="0.2">
      <c r="A2848" s="1116" t="str">
        <f>$A$1</f>
        <v>COMPOSIÇÃO DE CUSTOS UNITÁRIOS</v>
      </c>
      <c r="B2848" s="1116"/>
      <c r="C2848" s="1116"/>
      <c r="D2848" s="1116"/>
      <c r="E2848" s="1116"/>
      <c r="F2848" s="1116"/>
      <c r="G2848" s="1116"/>
      <c r="H2848" s="1116"/>
      <c r="I2848" s="1116"/>
    </row>
    <row r="2849" spans="1:17" x14ac:dyDescent="0.2">
      <c r="A2849" s="228" t="str">
        <f>$A$2</f>
        <v>Tabela Referencial de Preços - DER-ES</v>
      </c>
      <c r="B2849" s="229"/>
      <c r="C2849" s="199"/>
      <c r="D2849" s="199"/>
      <c r="E2849" s="199"/>
      <c r="F2849" s="199"/>
      <c r="G2849" s="199"/>
      <c r="H2849" s="199"/>
      <c r="I2849" s="414" t="str">
        <f>$I$2</f>
        <v>Data Base: novembro/2020</v>
      </c>
    </row>
    <row r="2850" spans="1:17" x14ac:dyDescent="0.2">
      <c r="A2850" s="1119" t="str">
        <f>+CONCATENATE("Serviço: ",J2850," ",VLOOKUP(J2850,'DER 11-20'!$A:$D,2,FALSE))</f>
        <v>Serviço: 40662 Meio fio de concreto MFC 05, inclusive caiação</v>
      </c>
      <c r="B2850" s="1119"/>
      <c r="C2850" s="1119"/>
      <c r="D2850" s="1119"/>
      <c r="E2850" s="1119"/>
      <c r="F2850" s="1119"/>
      <c r="G2850" s="1119"/>
      <c r="H2850" s="1119"/>
      <c r="I2850" s="1119" t="str">
        <f>CONCATENATE("Unidade: ", VLOOKUP(J2850,'DER 11-20'!$A:$E,3,FALSE))</f>
        <v>Unidade: M</v>
      </c>
      <c r="J2850" s="415">
        <v>40662</v>
      </c>
      <c r="K2850" s="400">
        <f>VLOOKUP("Preço Unitário Total",F2851:I3698,4,FALSE)</f>
        <v>65.78</v>
      </c>
      <c r="L2850" s="198">
        <f>VLOOKUP(J2850,'DER 11-20'!A:E,5,FALSE)</f>
        <v>0</v>
      </c>
      <c r="M2850" s="198" t="str">
        <f>VLOOKUP(J2850,'DER 11-20'!$A:$D,2,FALSE)</f>
        <v>Meio fio de concreto MFC 05, inclusive caiação</v>
      </c>
      <c r="N2850" s="198"/>
      <c r="O2850" s="198"/>
      <c r="P2850" s="198"/>
      <c r="Q2850" s="198"/>
    </row>
    <row r="2851" spans="1:17" x14ac:dyDescent="0.2">
      <c r="A2851" s="1120"/>
      <c r="B2851" s="1120"/>
      <c r="C2851" s="1120"/>
      <c r="D2851" s="1120"/>
      <c r="E2851" s="1120"/>
      <c r="F2851" s="1120"/>
      <c r="G2851" s="1120"/>
      <c r="H2851" s="1120"/>
      <c r="I2851" s="1120"/>
      <c r="J2851" s="415"/>
      <c r="K2851" s="415"/>
      <c r="L2851" s="198"/>
      <c r="M2851" s="198"/>
      <c r="N2851" s="198"/>
      <c r="O2851" s="198"/>
      <c r="P2851" s="198"/>
      <c r="Q2851" s="198"/>
    </row>
    <row r="2852" spans="1:17" ht="22.5" x14ac:dyDescent="0.2">
      <c r="A2852" s="231" t="s">
        <v>177</v>
      </c>
      <c r="B2852" s="232" t="s">
        <v>59</v>
      </c>
      <c r="C2852" s="232" t="s">
        <v>178</v>
      </c>
      <c r="D2852" s="232" t="s">
        <v>179</v>
      </c>
      <c r="E2852" s="232" t="s">
        <v>180</v>
      </c>
      <c r="F2852" s="232" t="s">
        <v>181</v>
      </c>
      <c r="G2852" s="232" t="s">
        <v>182</v>
      </c>
      <c r="H2852" s="232" t="s">
        <v>89</v>
      </c>
      <c r="I2852" s="434" t="s">
        <v>183</v>
      </c>
      <c r="J2852" s="295"/>
      <c r="K2852" s="295"/>
    </row>
    <row r="2853" spans="1:17" x14ac:dyDescent="0.2">
      <c r="A2853" s="233"/>
      <c r="B2853" s="234"/>
      <c r="C2853" s="235"/>
      <c r="D2853" s="236"/>
      <c r="E2853" s="203"/>
      <c r="F2853" s="237"/>
      <c r="G2853" s="237"/>
      <c r="H2853" s="238"/>
      <c r="I2853" s="418"/>
      <c r="J2853" s="295"/>
      <c r="K2853" s="295"/>
    </row>
    <row r="2854" spans="1:17" x14ac:dyDescent="0.2">
      <c r="A2854" s="199"/>
      <c r="B2854" s="229"/>
      <c r="C2854" s="229"/>
      <c r="D2854" s="199"/>
      <c r="E2854" s="199"/>
      <c r="F2854" s="230" t="s">
        <v>184</v>
      </c>
      <c r="G2854" s="240"/>
      <c r="H2854" s="241"/>
      <c r="I2854" s="438">
        <f>SUM(I2853:I2853)</f>
        <v>0</v>
      </c>
      <c r="J2854" s="295"/>
      <c r="K2854" s="295"/>
    </row>
    <row r="2855" spans="1:17" x14ac:dyDescent="0.2">
      <c r="A2855" s="199"/>
      <c r="B2855" s="229"/>
      <c r="C2855" s="229"/>
      <c r="D2855" s="199"/>
      <c r="E2855" s="199"/>
      <c r="F2855" s="199"/>
      <c r="G2855" s="199"/>
      <c r="H2855" s="199"/>
      <c r="I2855" s="439"/>
      <c r="J2855" s="295"/>
      <c r="K2855" s="295"/>
    </row>
    <row r="2856" spans="1:17" x14ac:dyDescent="0.2">
      <c r="A2856" s="242" t="s">
        <v>185</v>
      </c>
      <c r="B2856" s="243" t="s">
        <v>59</v>
      </c>
      <c r="C2856" s="232" t="s">
        <v>357</v>
      </c>
      <c r="D2856" s="243" t="s">
        <v>187</v>
      </c>
      <c r="E2856" s="1111" t="s">
        <v>89</v>
      </c>
      <c r="F2856" s="1112"/>
      <c r="G2856" s="1113"/>
      <c r="H2856" s="1121" t="s">
        <v>183</v>
      </c>
      <c r="I2856" s="1115"/>
      <c r="J2856" s="295"/>
      <c r="K2856" s="295"/>
    </row>
    <row r="2857" spans="1:17" x14ac:dyDescent="0.2">
      <c r="A2857" s="244" t="str">
        <f>VLOOKUP(B2857,m.o.!$A:$H,2,FALSE)</f>
        <v>Encarregado de O.A.C.</v>
      </c>
      <c r="B2857" s="234">
        <v>20060</v>
      </c>
      <c r="C2857" s="239">
        <f>VLOOKUP(B2857,m.o.!$A:$F,4,FALSE)</f>
        <v>2.2599999999999998</v>
      </c>
      <c r="D2857" s="239">
        <f>VLOOKUP(B2857,m.o.!$A:$G,7,FALSE)</f>
        <v>28.31</v>
      </c>
      <c r="E2857" s="255"/>
      <c r="F2857" s="253"/>
      <c r="G2857" s="293">
        <v>0.1</v>
      </c>
      <c r="H2857" s="240"/>
      <c r="I2857" s="427">
        <f>TRUNC(D2857*G2857,2)</f>
        <v>2.83</v>
      </c>
    </row>
    <row r="2858" spans="1:17" x14ac:dyDescent="0.2">
      <c r="A2858" s="199"/>
      <c r="B2858" s="229"/>
      <c r="C2858" s="229"/>
      <c r="D2858" s="199"/>
      <c r="E2858" s="199"/>
      <c r="F2858" s="230" t="s">
        <v>188</v>
      </c>
      <c r="G2858" s="240"/>
      <c r="H2858" s="241"/>
      <c r="I2858" s="438">
        <f>I2857</f>
        <v>2.83</v>
      </c>
      <c r="J2858" s="295"/>
      <c r="K2858" s="295"/>
    </row>
    <row r="2859" spans="1:17" x14ac:dyDescent="0.2">
      <c r="A2859" s="199"/>
      <c r="B2859" s="229"/>
      <c r="C2859" s="229"/>
      <c r="D2859" s="199"/>
      <c r="E2859" s="199"/>
      <c r="F2859" s="199"/>
      <c r="G2859" s="199"/>
      <c r="H2859" s="199"/>
      <c r="I2859" s="439"/>
      <c r="J2859" s="295"/>
      <c r="K2859" s="295"/>
    </row>
    <row r="2860" spans="1:17" x14ac:dyDescent="0.2">
      <c r="A2860" s="245" t="s">
        <v>189</v>
      </c>
      <c r="B2860" s="243" t="s">
        <v>59</v>
      </c>
      <c r="C2860" s="831" t="s">
        <v>17</v>
      </c>
      <c r="D2860" s="243" t="s">
        <v>190</v>
      </c>
      <c r="E2860" s="243" t="s">
        <v>191</v>
      </c>
      <c r="F2860" s="243" t="s">
        <v>192</v>
      </c>
      <c r="G2860" s="1121" t="s">
        <v>94</v>
      </c>
      <c r="H2860" s="1114"/>
      <c r="I2860" s="1115"/>
      <c r="J2860" s="295"/>
      <c r="K2860" s="295"/>
    </row>
    <row r="2861" spans="1:17" x14ac:dyDescent="0.2">
      <c r="A2861" s="244"/>
      <c r="B2861" s="234"/>
      <c r="C2861" s="239"/>
      <c r="D2861" s="235"/>
      <c r="E2861" s="246"/>
      <c r="F2861" s="246"/>
      <c r="G2861" s="240"/>
      <c r="H2861" s="241"/>
      <c r="I2861" s="427">
        <f>TRUNC(C2861/100*I2858,2)</f>
        <v>0</v>
      </c>
      <c r="J2861" s="295"/>
      <c r="K2861" s="295"/>
    </row>
    <row r="2862" spans="1:17" x14ac:dyDescent="0.2">
      <c r="A2862" s="199"/>
      <c r="B2862" s="229"/>
      <c r="C2862" s="199"/>
      <c r="D2862" s="199"/>
      <c r="E2862" s="199"/>
      <c r="F2862" s="230" t="s">
        <v>327</v>
      </c>
      <c r="G2862" s="240"/>
      <c r="H2862" s="241"/>
      <c r="I2862" s="438">
        <f>SUM(I2861)</f>
        <v>0</v>
      </c>
      <c r="J2862" s="295"/>
      <c r="K2862" s="295"/>
    </row>
    <row r="2863" spans="1:17" x14ac:dyDescent="0.2">
      <c r="A2863" s="199"/>
      <c r="B2863" s="229"/>
      <c r="C2863" s="199"/>
      <c r="D2863" s="199"/>
      <c r="E2863" s="199"/>
      <c r="F2863" s="199"/>
      <c r="G2863" s="199"/>
      <c r="H2863" s="199"/>
      <c r="I2863" s="439"/>
      <c r="J2863" s="295"/>
      <c r="K2863" s="295"/>
    </row>
    <row r="2864" spans="1:17" x14ac:dyDescent="0.2">
      <c r="A2864" s="247"/>
      <c r="B2864" s="248"/>
      <c r="C2864" s="249"/>
      <c r="D2864" s="249"/>
      <c r="E2864" s="249"/>
      <c r="F2864" s="250" t="s">
        <v>193</v>
      </c>
      <c r="G2864" s="401"/>
      <c r="H2864" s="249"/>
      <c r="I2864" s="445">
        <f>+I2854+I2858+I2862</f>
        <v>2.83</v>
      </c>
      <c r="J2864" s="295"/>
      <c r="K2864" s="295"/>
    </row>
    <row r="2865" spans="1:17" x14ac:dyDescent="0.2">
      <c r="A2865" s="251"/>
      <c r="B2865" s="252"/>
      <c r="C2865" s="253"/>
      <c r="D2865" s="253"/>
      <c r="E2865" s="253"/>
      <c r="F2865" s="254" t="s">
        <v>194</v>
      </c>
      <c r="G2865" s="255"/>
      <c r="H2865" s="253"/>
      <c r="I2865" s="446">
        <v>1</v>
      </c>
      <c r="J2865" s="295"/>
      <c r="K2865" s="295"/>
    </row>
    <row r="2866" spans="1:17" x14ac:dyDescent="0.2">
      <c r="A2866" s="233"/>
      <c r="B2866" s="256"/>
      <c r="C2866" s="241"/>
      <c r="D2866" s="241"/>
      <c r="E2866" s="241"/>
      <c r="F2866" s="257" t="s">
        <v>216</v>
      </c>
      <c r="G2866" s="240"/>
      <c r="H2866" s="241"/>
      <c r="I2866" s="447">
        <f>TRUNC(I2864/I2865,2)</f>
        <v>2.83</v>
      </c>
      <c r="J2866" s="295"/>
      <c r="K2866" s="295"/>
    </row>
    <row r="2867" spans="1:17" x14ac:dyDescent="0.2">
      <c r="A2867" s="832"/>
      <c r="B2867" s="229"/>
      <c r="C2867" s="199"/>
      <c r="D2867" s="199"/>
      <c r="E2867" s="199"/>
      <c r="F2867" s="258"/>
      <c r="G2867" s="199"/>
      <c r="H2867" s="199"/>
      <c r="I2867" s="450"/>
      <c r="J2867" s="295"/>
      <c r="K2867" s="295"/>
    </row>
    <row r="2868" spans="1:17" x14ac:dyDescent="0.2">
      <c r="A2868" s="242" t="s">
        <v>195</v>
      </c>
      <c r="B2868" s="243" t="s">
        <v>59</v>
      </c>
      <c r="C2868" s="243" t="s">
        <v>196</v>
      </c>
      <c r="D2868" s="243" t="s">
        <v>217</v>
      </c>
      <c r="E2868" s="1121" t="s">
        <v>89</v>
      </c>
      <c r="F2868" s="1114"/>
      <c r="G2868" s="1115"/>
      <c r="H2868" s="1121" t="s">
        <v>183</v>
      </c>
      <c r="I2868" s="1115"/>
    </row>
    <row r="2869" spans="1:17" x14ac:dyDescent="0.2">
      <c r="A2869" s="259"/>
      <c r="B2869" s="234"/>
      <c r="C2869" s="260"/>
      <c r="D2869" s="261"/>
      <c r="E2869" s="255"/>
      <c r="F2869" s="253"/>
      <c r="G2869" s="293"/>
      <c r="H2869" s="255"/>
      <c r="I2869" s="423">
        <f>TRUNC(D2869*G2869,2)</f>
        <v>0</v>
      </c>
    </row>
    <row r="2870" spans="1:17" x14ac:dyDescent="0.2">
      <c r="A2870" s="199"/>
      <c r="B2870" s="229"/>
      <c r="C2870" s="199"/>
      <c r="D2870" s="199"/>
      <c r="E2870" s="199"/>
      <c r="F2870" s="230" t="s">
        <v>197</v>
      </c>
      <c r="G2870" s="240"/>
      <c r="H2870" s="241"/>
      <c r="I2870" s="438">
        <f>SUM(I2869:I2869)</f>
        <v>0</v>
      </c>
    </row>
    <row r="2871" spans="1:17" s="198" customFormat="1" x14ac:dyDescent="0.2">
      <c r="A2871" s="199"/>
      <c r="B2871" s="229"/>
      <c r="C2871" s="199"/>
      <c r="D2871" s="199"/>
      <c r="E2871" s="199"/>
      <c r="F2871" s="199"/>
      <c r="G2871" s="262"/>
      <c r="H2871" s="199"/>
      <c r="I2871" s="439"/>
      <c r="J2871" s="400"/>
      <c r="K2871" s="400"/>
      <c r="L2871" s="295"/>
      <c r="M2871" s="295"/>
      <c r="N2871" s="295"/>
      <c r="O2871" s="295"/>
      <c r="P2871" s="295"/>
      <c r="Q2871" s="295"/>
    </row>
    <row r="2872" spans="1:17" s="198" customFormat="1" x14ac:dyDescent="0.2">
      <c r="A2872" s="263" t="s">
        <v>198</v>
      </c>
      <c r="B2872" s="243" t="s">
        <v>59</v>
      </c>
      <c r="C2872" s="243" t="s">
        <v>196</v>
      </c>
      <c r="D2872" s="831" t="s">
        <v>217</v>
      </c>
      <c r="E2872" s="1111" t="s">
        <v>89</v>
      </c>
      <c r="F2872" s="1112"/>
      <c r="G2872" s="1113"/>
      <c r="H2872" s="1114" t="s">
        <v>183</v>
      </c>
      <c r="I2872" s="1115"/>
      <c r="J2872" s="400"/>
      <c r="K2872" s="400"/>
      <c r="L2872" s="295"/>
      <c r="M2872" s="295"/>
      <c r="N2872" s="295"/>
      <c r="O2872" s="295"/>
      <c r="P2872" s="295"/>
      <c r="Q2872" s="295"/>
    </row>
    <row r="2873" spans="1:17" s="198" customFormat="1" x14ac:dyDescent="0.2">
      <c r="A2873" s="244" t="str">
        <f>VLOOKUP(B2873,'DER 11-20'!$A:$E,2,FALSE)</f>
        <v>Caiação de meio fios, sarjetas, etc</v>
      </c>
      <c r="B2873" s="234">
        <v>40658</v>
      </c>
      <c r="C2873" s="234" t="str">
        <f>VLOOKUP(B2873,'DER 11-20'!$A:$E,3,FALSE)</f>
        <v>M2</v>
      </c>
      <c r="D2873" s="418">
        <f>TRUNC(VLOOKUP(B2873,'DER 11-20'!$A:$F,6,FALSE)/(1+$I$4),2)</f>
        <v>5.0599999999999996</v>
      </c>
      <c r="E2873" s="255"/>
      <c r="F2873" s="253"/>
      <c r="G2873" s="293">
        <v>0.25</v>
      </c>
      <c r="H2873" s="240"/>
      <c r="I2873" s="423">
        <f>TRUNC(D2873*G2873,2)</f>
        <v>1.26</v>
      </c>
      <c r="J2873" s="400"/>
      <c r="K2873" s="400"/>
      <c r="L2873" s="295"/>
      <c r="M2873" s="295"/>
      <c r="N2873" s="295"/>
      <c r="O2873" s="295"/>
      <c r="P2873" s="295"/>
      <c r="Q2873" s="295"/>
    </row>
    <row r="2874" spans="1:17" s="198" customFormat="1" ht="22.5" x14ac:dyDescent="0.2">
      <c r="A2874" s="416" t="str">
        <f>VLOOKUP(B2874,'DER 11-20'!$A:$E,2,FALSE)</f>
        <v>Concreto estrutural fck = 15,0 MPa, tudo incluído</v>
      </c>
      <c r="B2874" s="417">
        <v>40358</v>
      </c>
      <c r="C2874" s="417" t="str">
        <f>VLOOKUP(B2874,'DER 11-20'!$A:$E,3,FALSE)</f>
        <v>M3</v>
      </c>
      <c r="D2874" s="418">
        <f>TRUNC(VLOOKUP(B2874,'DER 11-20'!$A:$F,6,FALSE)/(1+$I$4),2)</f>
        <v>547.26</v>
      </c>
      <c r="E2874" s="419"/>
      <c r="F2874" s="420"/>
      <c r="G2874" s="421">
        <v>3.4000000000000002E-2</v>
      </c>
      <c r="H2874" s="422"/>
      <c r="I2874" s="423">
        <f>TRUNC(D2874*G2874,2)</f>
        <v>18.600000000000001</v>
      </c>
      <c r="J2874" s="415"/>
      <c r="K2874" s="415"/>
    </row>
    <row r="2875" spans="1:17" s="198" customFormat="1" ht="22.5" x14ac:dyDescent="0.2">
      <c r="A2875" s="244" t="str">
        <f>VLOOKUP(B2875,'DER 11-20'!$A:$E,2,FALSE)</f>
        <v>Escavação manual em mat. 1ª cat. H= 0,00 a 1,50 m</v>
      </c>
      <c r="B2875" s="234">
        <v>40258</v>
      </c>
      <c r="C2875" s="234" t="str">
        <f>VLOOKUP(B2875,'DER 11-20'!$A:$E,3,FALSE)</f>
        <v>M3</v>
      </c>
      <c r="D2875" s="418">
        <f>TRUNC(VLOOKUP(B2875,'DER 11-20'!$A:$F,6,FALSE)/(1+$I$4),2)</f>
        <v>56.6</v>
      </c>
      <c r="E2875" s="255"/>
      <c r="F2875" s="253"/>
      <c r="G2875" s="293">
        <v>1.7999999999999999E-2</v>
      </c>
      <c r="H2875" s="240"/>
      <c r="I2875" s="423">
        <f>TRUNC(D2875*G2875,2)</f>
        <v>1.01</v>
      </c>
      <c r="J2875" s="400"/>
      <c r="K2875" s="400"/>
      <c r="L2875" s="295"/>
      <c r="M2875" s="295"/>
      <c r="N2875" s="295"/>
      <c r="O2875" s="295"/>
      <c r="P2875" s="295"/>
      <c r="Q2875" s="295"/>
    </row>
    <row r="2876" spans="1:17" s="198" customFormat="1" ht="33.75" x14ac:dyDescent="0.2">
      <c r="A2876" s="416" t="str">
        <f>VLOOKUP(B2876,'DER 11-20'!$A:$E,2,FALSE)</f>
        <v>Forma especial de madeira para meio fio, inclusive fornecimento e transporte das madeiras</v>
      </c>
      <c r="B2876" s="417">
        <v>40316</v>
      </c>
      <c r="C2876" s="417" t="str">
        <f>VLOOKUP(B2876,'DER 11-20'!$A:$E,3,FALSE)</f>
        <v>M2</v>
      </c>
      <c r="D2876" s="418">
        <f>TRUNC(VLOOKUP(B2876,'DER 11-20'!$A:$F,6,FALSE)/(1+$I$4),2)</f>
        <v>64.45</v>
      </c>
      <c r="E2876" s="419"/>
      <c r="F2876" s="420"/>
      <c r="G2876" s="421">
        <v>0.46</v>
      </c>
      <c r="H2876" s="422"/>
      <c r="I2876" s="423">
        <f>TRUNC(D2876*G2876,2)</f>
        <v>29.64</v>
      </c>
      <c r="J2876" s="415"/>
      <c r="K2876" s="415"/>
    </row>
    <row r="2877" spans="1:17" s="198" customFormat="1" x14ac:dyDescent="0.2">
      <c r="A2877" s="200"/>
      <c r="B2877" s="264"/>
      <c r="C2877" s="200"/>
      <c r="D2877" s="200"/>
      <c r="E2877" s="200"/>
      <c r="F2877" s="265" t="s">
        <v>199</v>
      </c>
      <c r="G2877" s="255"/>
      <c r="H2877" s="266"/>
      <c r="I2877" s="441">
        <f>SUM(I2873:I2876)</f>
        <v>50.51</v>
      </c>
      <c r="J2877" s="400"/>
      <c r="K2877" s="400"/>
      <c r="L2877" s="295"/>
      <c r="M2877" s="295"/>
      <c r="N2877" s="295"/>
      <c r="O2877" s="295"/>
      <c r="P2877" s="295"/>
      <c r="Q2877" s="295"/>
    </row>
    <row r="2878" spans="1:17" x14ac:dyDescent="0.2">
      <c r="A2878" s="200"/>
      <c r="B2878" s="264"/>
      <c r="C2878" s="200"/>
      <c r="D2878" s="200"/>
      <c r="E2878" s="200"/>
      <c r="F2878" s="200"/>
      <c r="G2878" s="200"/>
      <c r="H2878" s="200"/>
      <c r="I2878" s="440"/>
    </row>
    <row r="2879" spans="1:17" x14ac:dyDescent="0.2">
      <c r="A2879" s="267" t="s">
        <v>200</v>
      </c>
      <c r="B2879" s="268" t="s">
        <v>59</v>
      </c>
      <c r="C2879" s="268" t="s">
        <v>196</v>
      </c>
      <c r="D2879" s="268" t="s">
        <v>201</v>
      </c>
      <c r="E2879" s="268" t="s">
        <v>202</v>
      </c>
      <c r="F2879" s="268" t="s">
        <v>203</v>
      </c>
      <c r="G2879" s="268" t="s">
        <v>94</v>
      </c>
      <c r="H2879" s="268" t="s">
        <v>89</v>
      </c>
      <c r="I2879" s="442" t="s">
        <v>204</v>
      </c>
    </row>
    <row r="2880" spans="1:17" x14ac:dyDescent="0.2">
      <c r="A2880" s="244"/>
      <c r="B2880" s="234"/>
      <c r="C2880" s="234"/>
      <c r="D2880" s="402"/>
      <c r="E2880" s="270"/>
      <c r="F2880" s="270"/>
      <c r="G2880" s="239"/>
      <c r="H2880" s="271"/>
      <c r="I2880" s="418">
        <f>TRUNC(G2880*H2880,2)</f>
        <v>0</v>
      </c>
    </row>
    <row r="2881" spans="1:17" x14ac:dyDescent="0.2">
      <c r="A2881" s="200"/>
      <c r="B2881" s="264"/>
      <c r="C2881" s="200"/>
      <c r="D2881" s="200"/>
      <c r="E2881" s="200"/>
      <c r="F2881" s="265" t="s">
        <v>205</v>
      </c>
      <c r="G2881" s="240"/>
      <c r="H2881" s="272"/>
      <c r="I2881" s="443">
        <f>SUM(I2880:I2880)</f>
        <v>0</v>
      </c>
    </row>
    <row r="2882" spans="1:17" x14ac:dyDescent="0.2">
      <c r="A2882" s="200"/>
      <c r="B2882" s="264"/>
      <c r="C2882" s="200"/>
      <c r="D2882" s="200"/>
      <c r="E2882" s="200"/>
      <c r="F2882" s="200"/>
      <c r="G2882" s="200"/>
      <c r="H2882" s="200"/>
      <c r="I2882" s="444"/>
    </row>
    <row r="2883" spans="1:17" x14ac:dyDescent="0.2">
      <c r="A2883" s="273"/>
      <c r="B2883" s="274"/>
      <c r="C2883" s="275"/>
      <c r="D2883" s="275"/>
      <c r="E2883" s="275"/>
      <c r="F2883" s="276" t="s">
        <v>206</v>
      </c>
      <c r="G2883" s="273"/>
      <c r="H2883" s="249"/>
      <c r="I2883" s="445">
        <f>+I2866+I2870+I2877+I2881</f>
        <v>53.34</v>
      </c>
    </row>
    <row r="2884" spans="1:17" x14ac:dyDescent="0.2">
      <c r="A2884" s="255"/>
      <c r="B2884" s="277"/>
      <c r="C2884" s="266"/>
      <c r="D2884" s="266"/>
      <c r="E2884" s="266"/>
      <c r="F2884" s="278" t="str">
        <f>CONCATENATE($H$3," ",$I$3)</f>
        <v>BDI: 23,32</v>
      </c>
      <c r="G2884" s="403"/>
      <c r="H2884" s="253"/>
      <c r="I2884" s="446">
        <f>+ROUND(I2883*$I$4,2)</f>
        <v>12.44</v>
      </c>
    </row>
    <row r="2885" spans="1:17" x14ac:dyDescent="0.2">
      <c r="A2885" s="240"/>
      <c r="B2885" s="279"/>
      <c r="C2885" s="272"/>
      <c r="D2885" s="272"/>
      <c r="E2885" s="272"/>
      <c r="F2885" s="280" t="s">
        <v>207</v>
      </c>
      <c r="G2885" s="404"/>
      <c r="H2885" s="241"/>
      <c r="I2885" s="720">
        <f>+I2883+I2884</f>
        <v>65.78</v>
      </c>
    </row>
    <row r="2886" spans="1:17" x14ac:dyDescent="0.2">
      <c r="A2886" s="1116" t="str">
        <f>$A$1</f>
        <v>COMPOSIÇÃO DE CUSTOS UNITÁRIOS</v>
      </c>
      <c r="B2886" s="1116"/>
      <c r="C2886" s="1116"/>
      <c r="D2886" s="1116"/>
      <c r="E2886" s="1116"/>
      <c r="F2886" s="1116"/>
      <c r="G2886" s="1116"/>
      <c r="H2886" s="1116"/>
      <c r="I2886" s="1116"/>
    </row>
    <row r="2887" spans="1:17" x14ac:dyDescent="0.2">
      <c r="A2887" s="228" t="str">
        <f>$A$2</f>
        <v>Tabela Referencial de Preços - DER-ES</v>
      </c>
      <c r="B2887" s="229"/>
      <c r="C2887" s="199"/>
      <c r="D2887" s="199"/>
      <c r="E2887" s="199"/>
      <c r="F2887" s="199"/>
      <c r="G2887" s="199"/>
      <c r="H2887" s="199"/>
      <c r="I2887" s="414" t="str">
        <f>$I$2</f>
        <v>Data Base: novembro/2020</v>
      </c>
    </row>
    <row r="2888" spans="1:17" x14ac:dyDescent="0.2">
      <c r="A2888" s="1119" t="str">
        <f>+CONCATENATE("Serviço: ",J2888," ",VLOOKUP(J2888,'DER 11-20'!$A:$D,2,FALSE))</f>
        <v>Serviço: 40666 Sarjeta de concreto DP-1 (0,081 m³/m) calha triangular, inclusive caiação</v>
      </c>
      <c r="B2888" s="1119"/>
      <c r="C2888" s="1119"/>
      <c r="D2888" s="1119"/>
      <c r="E2888" s="1119"/>
      <c r="F2888" s="1119"/>
      <c r="G2888" s="1119"/>
      <c r="H2888" s="1119"/>
      <c r="I2888" s="1119" t="str">
        <f>CONCATENATE("Unidade: ", VLOOKUP(J2888,'DER 11-20'!$A:$E,3,FALSE))</f>
        <v>Unidade: M</v>
      </c>
      <c r="J2888" s="415">
        <v>40666</v>
      </c>
      <c r="K2888" s="400">
        <f>VLOOKUP("Preço Unitário Total",F2889:I3701,4,FALSE)</f>
        <v>97.89</v>
      </c>
      <c r="L2888" s="198">
        <f>VLOOKUP(J2888,'DER 11-20'!A:E,5,FALSE)</f>
        <v>0</v>
      </c>
      <c r="M2888" s="198" t="str">
        <f>VLOOKUP(J2888,'DER 11-20'!$A:$D,2,FALSE)</f>
        <v>Sarjeta de concreto DP-1 (0,081 m³/m) calha triangular, inclusive caiação</v>
      </c>
      <c r="N2888" s="198"/>
      <c r="O2888" s="198"/>
      <c r="P2888" s="198"/>
      <c r="Q2888" s="198"/>
    </row>
    <row r="2889" spans="1:17" x14ac:dyDescent="0.2">
      <c r="A2889" s="1120"/>
      <c r="B2889" s="1120"/>
      <c r="C2889" s="1120"/>
      <c r="D2889" s="1120"/>
      <c r="E2889" s="1120"/>
      <c r="F2889" s="1120"/>
      <c r="G2889" s="1120"/>
      <c r="H2889" s="1120"/>
      <c r="I2889" s="1120"/>
      <c r="J2889" s="415"/>
      <c r="K2889" s="415"/>
      <c r="L2889" s="198"/>
      <c r="M2889" s="198"/>
      <c r="N2889" s="198"/>
      <c r="O2889" s="198"/>
      <c r="P2889" s="198"/>
      <c r="Q2889" s="198"/>
    </row>
    <row r="2890" spans="1:17" ht="22.5" x14ac:dyDescent="0.2">
      <c r="A2890" s="231" t="s">
        <v>177</v>
      </c>
      <c r="B2890" s="232" t="s">
        <v>59</v>
      </c>
      <c r="C2890" s="232" t="s">
        <v>178</v>
      </c>
      <c r="D2890" s="232" t="s">
        <v>179</v>
      </c>
      <c r="E2890" s="232" t="s">
        <v>180</v>
      </c>
      <c r="F2890" s="232" t="s">
        <v>181</v>
      </c>
      <c r="G2890" s="232" t="s">
        <v>182</v>
      </c>
      <c r="H2890" s="232" t="s">
        <v>89</v>
      </c>
      <c r="I2890" s="434" t="s">
        <v>183</v>
      </c>
      <c r="J2890" s="295"/>
      <c r="K2890" s="295"/>
    </row>
    <row r="2891" spans="1:17" x14ac:dyDescent="0.2">
      <c r="A2891" s="233"/>
      <c r="B2891" s="234"/>
      <c r="C2891" s="235"/>
      <c r="D2891" s="236"/>
      <c r="E2891" s="203"/>
      <c r="F2891" s="237"/>
      <c r="G2891" s="237"/>
      <c r="H2891" s="238"/>
      <c r="I2891" s="418"/>
      <c r="J2891" s="295"/>
      <c r="K2891" s="295"/>
    </row>
    <row r="2892" spans="1:17" x14ac:dyDescent="0.2">
      <c r="A2892" s="199"/>
      <c r="B2892" s="229"/>
      <c r="C2892" s="229"/>
      <c r="D2892" s="199"/>
      <c r="E2892" s="199"/>
      <c r="F2892" s="230" t="s">
        <v>184</v>
      </c>
      <c r="G2892" s="240"/>
      <c r="H2892" s="241"/>
      <c r="I2892" s="438">
        <f>SUM(I2891:I2891)</f>
        <v>0</v>
      </c>
      <c r="J2892" s="295"/>
      <c r="K2892" s="295"/>
    </row>
    <row r="2893" spans="1:17" x14ac:dyDescent="0.2">
      <c r="A2893" s="199"/>
      <c r="B2893" s="229"/>
      <c r="C2893" s="229"/>
      <c r="D2893" s="199"/>
      <c r="E2893" s="199"/>
      <c r="F2893" s="199"/>
      <c r="G2893" s="199"/>
      <c r="H2893" s="199"/>
      <c r="I2893" s="439"/>
      <c r="J2893" s="295"/>
      <c r="K2893" s="295"/>
    </row>
    <row r="2894" spans="1:17" x14ac:dyDescent="0.2">
      <c r="A2894" s="242" t="s">
        <v>185</v>
      </c>
      <c r="B2894" s="243" t="s">
        <v>59</v>
      </c>
      <c r="C2894" s="232" t="s">
        <v>357</v>
      </c>
      <c r="D2894" s="243" t="s">
        <v>187</v>
      </c>
      <c r="E2894" s="1111" t="s">
        <v>89</v>
      </c>
      <c r="F2894" s="1112"/>
      <c r="G2894" s="1113"/>
      <c r="H2894" s="1121" t="s">
        <v>183</v>
      </c>
      <c r="I2894" s="1115"/>
      <c r="J2894" s="295"/>
      <c r="K2894" s="295"/>
    </row>
    <row r="2895" spans="1:17" x14ac:dyDescent="0.2">
      <c r="A2895" s="244" t="str">
        <f>VLOOKUP(B2895,m.o.!$A:$H,2,FALSE)</f>
        <v>Pedreiro de O.A.C.</v>
      </c>
      <c r="B2895" s="234">
        <v>20109</v>
      </c>
      <c r="C2895" s="239">
        <f>VLOOKUP(B2895,m.o.!$A:$F,4,FALSE)</f>
        <v>1.24</v>
      </c>
      <c r="D2895" s="239">
        <f>VLOOKUP(B2895,m.o.!$A:$G,7,FALSE)</f>
        <v>15.53</v>
      </c>
      <c r="E2895" s="255"/>
      <c r="F2895" s="253"/>
      <c r="G2895" s="293">
        <v>0.2</v>
      </c>
      <c r="H2895" s="240"/>
      <c r="I2895" s="427">
        <f>TRUNC(D2895*G2895,2)</f>
        <v>3.1</v>
      </c>
    </row>
    <row r="2896" spans="1:17" x14ac:dyDescent="0.2">
      <c r="A2896" s="244" t="str">
        <f>VLOOKUP(B2896,m.o.!$A:$H,2,FALSE)</f>
        <v>Servente</v>
      </c>
      <c r="B2896" s="234">
        <v>20002</v>
      </c>
      <c r="C2896" s="239">
        <f>VLOOKUP(B2896,m.o.!$A:$F,4,FALSE)</f>
        <v>1</v>
      </c>
      <c r="D2896" s="239">
        <f>VLOOKUP(B2896,m.o.!$A:$G,7,FALSE)</f>
        <v>12.52</v>
      </c>
      <c r="E2896" s="255"/>
      <c r="F2896" s="253"/>
      <c r="G2896" s="293">
        <v>1</v>
      </c>
      <c r="H2896" s="240"/>
      <c r="I2896" s="427">
        <f>TRUNC(D2896*G2896,2)</f>
        <v>12.52</v>
      </c>
    </row>
    <row r="2897" spans="1:17" x14ac:dyDescent="0.2">
      <c r="A2897" s="199"/>
      <c r="B2897" s="229"/>
      <c r="C2897" s="229"/>
      <c r="D2897" s="199"/>
      <c r="E2897" s="199"/>
      <c r="F2897" s="230" t="s">
        <v>188</v>
      </c>
      <c r="G2897" s="240"/>
      <c r="H2897" s="241"/>
      <c r="I2897" s="438">
        <f>SUM(I2895:I2896)</f>
        <v>15.62</v>
      </c>
      <c r="J2897" s="295"/>
      <c r="K2897" s="295"/>
    </row>
    <row r="2898" spans="1:17" x14ac:dyDescent="0.2">
      <c r="A2898" s="199"/>
      <c r="B2898" s="229"/>
      <c r="C2898" s="229"/>
      <c r="D2898" s="199"/>
      <c r="E2898" s="199"/>
      <c r="F2898" s="199"/>
      <c r="G2898" s="199"/>
      <c r="H2898" s="199"/>
      <c r="I2898" s="439"/>
      <c r="J2898" s="295"/>
      <c r="K2898" s="295"/>
    </row>
    <row r="2899" spans="1:17" x14ac:dyDescent="0.2">
      <c r="A2899" s="245" t="s">
        <v>189</v>
      </c>
      <c r="B2899" s="243" t="s">
        <v>59</v>
      </c>
      <c r="C2899" s="831" t="s">
        <v>17</v>
      </c>
      <c r="D2899" s="243" t="s">
        <v>190</v>
      </c>
      <c r="E2899" s="243" t="s">
        <v>191</v>
      </c>
      <c r="F2899" s="243" t="s">
        <v>192</v>
      </c>
      <c r="G2899" s="1121" t="s">
        <v>94</v>
      </c>
      <c r="H2899" s="1114"/>
      <c r="I2899" s="1115"/>
      <c r="J2899" s="295"/>
      <c r="K2899" s="295"/>
    </row>
    <row r="2900" spans="1:17" x14ac:dyDescent="0.2">
      <c r="A2900" s="244" t="s">
        <v>127</v>
      </c>
      <c r="B2900" s="234">
        <v>2000</v>
      </c>
      <c r="C2900" s="239">
        <v>5</v>
      </c>
      <c r="D2900" s="235" t="s">
        <v>208</v>
      </c>
      <c r="E2900" s="246"/>
      <c r="F2900" s="246"/>
      <c r="G2900" s="240"/>
      <c r="H2900" s="241"/>
      <c r="I2900" s="427">
        <f>TRUNC(C2900/100*I2897,2)</f>
        <v>0.78</v>
      </c>
    </row>
    <row r="2901" spans="1:17" x14ac:dyDescent="0.2">
      <c r="A2901" s="199"/>
      <c r="B2901" s="229"/>
      <c r="C2901" s="199"/>
      <c r="D2901" s="199"/>
      <c r="E2901" s="199"/>
      <c r="F2901" s="230" t="s">
        <v>327</v>
      </c>
      <c r="G2901" s="240"/>
      <c r="H2901" s="241"/>
      <c r="I2901" s="438">
        <f>I2900</f>
        <v>0.78</v>
      </c>
      <c r="J2901" s="295"/>
      <c r="K2901" s="295"/>
    </row>
    <row r="2902" spans="1:17" x14ac:dyDescent="0.2">
      <c r="A2902" s="199"/>
      <c r="B2902" s="229"/>
      <c r="C2902" s="199"/>
      <c r="D2902" s="199"/>
      <c r="E2902" s="199"/>
      <c r="F2902" s="199"/>
      <c r="G2902" s="199"/>
      <c r="H2902" s="199"/>
      <c r="I2902" s="439"/>
      <c r="J2902" s="295"/>
      <c r="K2902" s="295"/>
    </row>
    <row r="2903" spans="1:17" x14ac:dyDescent="0.2">
      <c r="A2903" s="247"/>
      <c r="B2903" s="248"/>
      <c r="C2903" s="249"/>
      <c r="D2903" s="249"/>
      <c r="E2903" s="249"/>
      <c r="F2903" s="250" t="s">
        <v>193</v>
      </c>
      <c r="G2903" s="401"/>
      <c r="H2903" s="249"/>
      <c r="I2903" s="445">
        <f>+I2892+I2897+I2901</f>
        <v>16.399999999999999</v>
      </c>
      <c r="J2903" s="295"/>
      <c r="K2903" s="295"/>
    </row>
    <row r="2904" spans="1:17" x14ac:dyDescent="0.2">
      <c r="A2904" s="251"/>
      <c r="B2904" s="252"/>
      <c r="C2904" s="253"/>
      <c r="D2904" s="253"/>
      <c r="E2904" s="253"/>
      <c r="F2904" s="254" t="s">
        <v>194</v>
      </c>
      <c r="G2904" s="255"/>
      <c r="H2904" s="253"/>
      <c r="I2904" s="446">
        <v>1</v>
      </c>
      <c r="J2904" s="295"/>
      <c r="K2904" s="295"/>
    </row>
    <row r="2905" spans="1:17" x14ac:dyDescent="0.2">
      <c r="A2905" s="233"/>
      <c r="B2905" s="256"/>
      <c r="C2905" s="241"/>
      <c r="D2905" s="241"/>
      <c r="E2905" s="241"/>
      <c r="F2905" s="257" t="s">
        <v>216</v>
      </c>
      <c r="G2905" s="240"/>
      <c r="H2905" s="241"/>
      <c r="I2905" s="447">
        <f>TRUNC(I2903/I2904,2)</f>
        <v>16.399999999999999</v>
      </c>
      <c r="J2905" s="295"/>
      <c r="K2905" s="295"/>
    </row>
    <row r="2906" spans="1:17" x14ac:dyDescent="0.2">
      <c r="A2906" s="832"/>
      <c r="B2906" s="229"/>
      <c r="C2906" s="199"/>
      <c r="D2906" s="199"/>
      <c r="E2906" s="199"/>
      <c r="F2906" s="258"/>
      <c r="G2906" s="199"/>
      <c r="H2906" s="199"/>
      <c r="I2906" s="450"/>
      <c r="J2906" s="295"/>
      <c r="K2906" s="295"/>
    </row>
    <row r="2907" spans="1:17" x14ac:dyDescent="0.2">
      <c r="A2907" s="242" t="s">
        <v>195</v>
      </c>
      <c r="B2907" s="243" t="s">
        <v>59</v>
      </c>
      <c r="C2907" s="243" t="s">
        <v>196</v>
      </c>
      <c r="D2907" s="243" t="s">
        <v>217</v>
      </c>
      <c r="E2907" s="1121" t="s">
        <v>89</v>
      </c>
      <c r="F2907" s="1114"/>
      <c r="G2907" s="1115"/>
      <c r="H2907" s="1121" t="s">
        <v>183</v>
      </c>
      <c r="I2907" s="1115"/>
    </row>
    <row r="2908" spans="1:17" x14ac:dyDescent="0.2">
      <c r="A2908" s="259" t="str">
        <f>VLOOKUP(B2908,mat.!$A:$D,2,FALSE)</f>
        <v>Sarrafo 10 X 2,5 cm</v>
      </c>
      <c r="B2908" s="234">
        <v>10067</v>
      </c>
      <c r="C2908" s="260" t="str">
        <f>VLOOKUP(B2908,mat.!$A:$D,3,FALSE)</f>
        <v>M3</v>
      </c>
      <c r="D2908" s="261">
        <f>VLOOKUP(B2908,mat.!$A:$D,4,FALSE)</f>
        <v>1354.54</v>
      </c>
      <c r="E2908" s="255"/>
      <c r="F2908" s="253"/>
      <c r="G2908" s="293">
        <v>3.0999999999999999E-3</v>
      </c>
      <c r="H2908" s="255"/>
      <c r="I2908" s="423">
        <f>TRUNC(D2908*G2908,2)</f>
        <v>4.1900000000000004</v>
      </c>
      <c r="J2908" s="295"/>
      <c r="K2908" s="295"/>
    </row>
    <row r="2909" spans="1:17" x14ac:dyDescent="0.2">
      <c r="A2909" s="199"/>
      <c r="B2909" s="229"/>
      <c r="C2909" s="199"/>
      <c r="D2909" s="199"/>
      <c r="E2909" s="199"/>
      <c r="F2909" s="230" t="s">
        <v>197</v>
      </c>
      <c r="G2909" s="240"/>
      <c r="H2909" s="241"/>
      <c r="I2909" s="438">
        <f>I2908</f>
        <v>4.1900000000000004</v>
      </c>
    </row>
    <row r="2910" spans="1:17" s="198" customFormat="1" x14ac:dyDescent="0.2">
      <c r="A2910" s="199"/>
      <c r="B2910" s="229"/>
      <c r="C2910" s="199"/>
      <c r="D2910" s="199"/>
      <c r="E2910" s="199"/>
      <c r="F2910" s="199"/>
      <c r="G2910" s="262"/>
      <c r="H2910" s="199"/>
      <c r="I2910" s="439"/>
      <c r="J2910" s="400"/>
      <c r="K2910" s="400"/>
      <c r="L2910" s="295"/>
      <c r="M2910" s="295"/>
      <c r="N2910" s="295"/>
      <c r="O2910" s="295"/>
      <c r="P2910" s="295"/>
      <c r="Q2910" s="295"/>
    </row>
    <row r="2911" spans="1:17" s="198" customFormat="1" x14ac:dyDescent="0.2">
      <c r="A2911" s="263" t="s">
        <v>198</v>
      </c>
      <c r="B2911" s="243" t="s">
        <v>59</v>
      </c>
      <c r="C2911" s="243" t="s">
        <v>196</v>
      </c>
      <c r="D2911" s="831" t="s">
        <v>217</v>
      </c>
      <c r="E2911" s="1111" t="s">
        <v>89</v>
      </c>
      <c r="F2911" s="1112"/>
      <c r="G2911" s="1113"/>
      <c r="H2911" s="1114" t="s">
        <v>183</v>
      </c>
      <c r="I2911" s="1115"/>
      <c r="J2911" s="400"/>
      <c r="K2911" s="400"/>
      <c r="L2911" s="295"/>
      <c r="M2911" s="295"/>
      <c r="N2911" s="295"/>
      <c r="O2911" s="295"/>
      <c r="P2911" s="295"/>
      <c r="Q2911" s="295"/>
    </row>
    <row r="2912" spans="1:17" s="198" customFormat="1" x14ac:dyDescent="0.2">
      <c r="A2912" s="244" t="str">
        <f>VLOOKUP(B2912,'DER 11-20'!$A:$E,2,FALSE)</f>
        <v>Caiação de meio fios, sarjetas, etc</v>
      </c>
      <c r="B2912" s="234">
        <v>40658</v>
      </c>
      <c r="C2912" s="234" t="str">
        <f>VLOOKUP(B2912,'DER 11-20'!$A:$E,3,FALSE)</f>
        <v>M2</v>
      </c>
      <c r="D2912" s="418">
        <f>TRUNC(VLOOKUP(B2912,'DER 11-20'!$A:$F,6,FALSE)/(1+$I$4),2)</f>
        <v>5.0599999999999996</v>
      </c>
      <c r="E2912" s="255"/>
      <c r="F2912" s="253"/>
      <c r="G2912" s="293">
        <v>1.05</v>
      </c>
      <c r="H2912" s="240"/>
      <c r="I2912" s="423">
        <f>TRUNC(D2912*G2912,2)</f>
        <v>5.31</v>
      </c>
      <c r="J2912" s="400"/>
      <c r="K2912" s="400"/>
      <c r="L2912" s="295"/>
      <c r="M2912" s="295"/>
      <c r="N2912" s="295"/>
      <c r="O2912" s="295"/>
      <c r="P2912" s="295"/>
      <c r="Q2912" s="295"/>
    </row>
    <row r="2913" spans="1:17" s="198" customFormat="1" ht="22.5" x14ac:dyDescent="0.2">
      <c r="A2913" s="416" t="str">
        <f>VLOOKUP(B2913,'DER 11-20'!$A:$E,2,FALSE)</f>
        <v>Concreto estrutural fck = 15,0 MPa, tudo incluído</v>
      </c>
      <c r="B2913" s="417">
        <v>40358</v>
      </c>
      <c r="C2913" s="417" t="str">
        <f>VLOOKUP(B2913,'DER 11-20'!$A:$E,3,FALSE)</f>
        <v>M3</v>
      </c>
      <c r="D2913" s="418">
        <f>TRUNC(VLOOKUP(B2913,'DER 11-20'!$A:$F,6,FALSE)/(1+$I$4),2)</f>
        <v>547.26</v>
      </c>
      <c r="E2913" s="419"/>
      <c r="F2913" s="420"/>
      <c r="G2913" s="421">
        <v>8.1000000000000003E-2</v>
      </c>
      <c r="H2913" s="422"/>
      <c r="I2913" s="423">
        <f>TRUNC(D2913*G2913,2)</f>
        <v>44.32</v>
      </c>
      <c r="J2913" s="415"/>
      <c r="K2913" s="415"/>
    </row>
    <row r="2914" spans="1:17" s="198" customFormat="1" ht="22.5" x14ac:dyDescent="0.2">
      <c r="A2914" s="244" t="str">
        <f>VLOOKUP(B2914,'DER 11-20'!$A:$E,2,FALSE)</f>
        <v>Escavação manual em mat. 1ª cat. H= 0,00 a 1,50 m</v>
      </c>
      <c r="B2914" s="234">
        <v>40258</v>
      </c>
      <c r="C2914" s="234" t="str">
        <f>VLOOKUP(B2914,'DER 11-20'!$A:$E,3,FALSE)</f>
        <v>M3</v>
      </c>
      <c r="D2914" s="418">
        <f>TRUNC(VLOOKUP(B2914,'DER 11-20'!$A:$F,6,FALSE)/(1+$I$4),2)</f>
        <v>56.6</v>
      </c>
      <c r="E2914" s="255"/>
      <c r="F2914" s="253"/>
      <c r="G2914" s="293">
        <v>0.16200000000000001</v>
      </c>
      <c r="H2914" s="240"/>
      <c r="I2914" s="423">
        <f>TRUNC(D2914*G2914,2)</f>
        <v>9.16</v>
      </c>
      <c r="J2914" s="400"/>
      <c r="K2914" s="400"/>
      <c r="L2914" s="295"/>
      <c r="M2914" s="295"/>
      <c r="N2914" s="295"/>
      <c r="O2914" s="295"/>
      <c r="P2914" s="295"/>
      <c r="Q2914" s="295"/>
    </row>
    <row r="2915" spans="1:17" s="198" customFormat="1" x14ac:dyDescent="0.2">
      <c r="A2915" s="200"/>
      <c r="B2915" s="264"/>
      <c r="C2915" s="200"/>
      <c r="D2915" s="200"/>
      <c r="E2915" s="200"/>
      <c r="F2915" s="265" t="s">
        <v>199</v>
      </c>
      <c r="G2915" s="255"/>
      <c r="H2915" s="266"/>
      <c r="I2915" s="441">
        <f>SUM(I2912:I2914)</f>
        <v>58.79</v>
      </c>
      <c r="J2915" s="400"/>
      <c r="K2915" s="400"/>
      <c r="L2915" s="295"/>
      <c r="M2915" s="295"/>
      <c r="N2915" s="295"/>
      <c r="O2915" s="295"/>
      <c r="P2915" s="295"/>
      <c r="Q2915" s="295"/>
    </row>
    <row r="2916" spans="1:17" x14ac:dyDescent="0.2">
      <c r="A2916" s="200"/>
      <c r="B2916" s="264"/>
      <c r="C2916" s="200"/>
      <c r="D2916" s="200"/>
      <c r="E2916" s="200"/>
      <c r="F2916" s="200"/>
      <c r="G2916" s="200"/>
      <c r="H2916" s="200"/>
      <c r="I2916" s="440"/>
    </row>
    <row r="2917" spans="1:17" x14ac:dyDescent="0.2">
      <c r="A2917" s="267" t="s">
        <v>200</v>
      </c>
      <c r="B2917" s="268" t="s">
        <v>59</v>
      </c>
      <c r="C2917" s="268" t="s">
        <v>196</v>
      </c>
      <c r="D2917" s="268" t="s">
        <v>201</v>
      </c>
      <c r="E2917" s="268" t="s">
        <v>202</v>
      </c>
      <c r="F2917" s="268" t="s">
        <v>203</v>
      </c>
      <c r="G2917" s="268" t="s">
        <v>94</v>
      </c>
      <c r="H2917" s="268" t="s">
        <v>89</v>
      </c>
      <c r="I2917" s="442" t="s">
        <v>204</v>
      </c>
    </row>
    <row r="2918" spans="1:17" x14ac:dyDescent="0.2">
      <c r="A2918" s="244"/>
      <c r="B2918" s="234"/>
      <c r="C2918" s="234"/>
      <c r="D2918" s="402"/>
      <c r="E2918" s="270"/>
      <c r="F2918" s="270"/>
      <c r="G2918" s="239"/>
      <c r="H2918" s="271"/>
      <c r="I2918" s="418">
        <f>TRUNC(G2918*H2918,2)</f>
        <v>0</v>
      </c>
    </row>
    <row r="2919" spans="1:17" x14ac:dyDescent="0.2">
      <c r="A2919" s="200"/>
      <c r="B2919" s="264"/>
      <c r="C2919" s="200"/>
      <c r="D2919" s="200"/>
      <c r="E2919" s="200"/>
      <c r="F2919" s="265" t="s">
        <v>205</v>
      </c>
      <c r="G2919" s="240"/>
      <c r="H2919" s="272"/>
      <c r="I2919" s="443">
        <f>SUM(I2918:I2918)</f>
        <v>0</v>
      </c>
    </row>
    <row r="2920" spans="1:17" x14ac:dyDescent="0.2">
      <c r="A2920" s="200"/>
      <c r="B2920" s="264"/>
      <c r="C2920" s="200"/>
      <c r="D2920" s="200"/>
      <c r="E2920" s="200"/>
      <c r="F2920" s="200"/>
      <c r="G2920" s="200"/>
      <c r="H2920" s="200"/>
      <c r="I2920" s="444"/>
    </row>
    <row r="2921" spans="1:17" x14ac:dyDescent="0.2">
      <c r="A2921" s="273"/>
      <c r="B2921" s="274"/>
      <c r="C2921" s="275"/>
      <c r="D2921" s="275"/>
      <c r="E2921" s="275"/>
      <c r="F2921" s="276" t="s">
        <v>206</v>
      </c>
      <c r="G2921" s="273"/>
      <c r="H2921" s="249"/>
      <c r="I2921" s="445">
        <f>+I2905+I2909+I2915+I2919</f>
        <v>79.38</v>
      </c>
    </row>
    <row r="2922" spans="1:17" x14ac:dyDescent="0.2">
      <c r="A2922" s="255"/>
      <c r="B2922" s="277"/>
      <c r="C2922" s="266"/>
      <c r="D2922" s="266"/>
      <c r="E2922" s="266"/>
      <c r="F2922" s="278" t="str">
        <f>CONCATENATE($H$3," ",$I$3)</f>
        <v>BDI: 23,32</v>
      </c>
      <c r="G2922" s="403"/>
      <c r="H2922" s="253"/>
      <c r="I2922" s="446">
        <f>+ROUND(I2921*$I$4,2)</f>
        <v>18.510000000000002</v>
      </c>
    </row>
    <row r="2923" spans="1:17" x14ac:dyDescent="0.2">
      <c r="A2923" s="240"/>
      <c r="B2923" s="279"/>
      <c r="C2923" s="272"/>
      <c r="D2923" s="272"/>
      <c r="E2923" s="272"/>
      <c r="F2923" s="280" t="s">
        <v>207</v>
      </c>
      <c r="G2923" s="404"/>
      <c r="H2923" s="241"/>
      <c r="I2923" s="720">
        <f>+I2921+I2922</f>
        <v>97.89</v>
      </c>
    </row>
    <row r="2924" spans="1:17" x14ac:dyDescent="0.2">
      <c r="A2924" s="1116" t="str">
        <f>$A$1</f>
        <v>COMPOSIÇÃO DE CUSTOS UNITÁRIOS</v>
      </c>
      <c r="B2924" s="1116"/>
      <c r="C2924" s="1116"/>
      <c r="D2924" s="1116"/>
      <c r="E2924" s="1116"/>
      <c r="F2924" s="1116"/>
      <c r="G2924" s="1116"/>
      <c r="H2924" s="1116"/>
      <c r="I2924" s="1116"/>
    </row>
    <row r="2925" spans="1:17" x14ac:dyDescent="0.2">
      <c r="A2925" s="228" t="str">
        <f>$A$2</f>
        <v>Tabela Referencial de Preços - DER-ES</v>
      </c>
      <c r="B2925" s="229"/>
      <c r="C2925" s="199"/>
      <c r="D2925" s="199"/>
      <c r="E2925" s="199"/>
      <c r="F2925" s="199"/>
      <c r="G2925" s="199"/>
      <c r="H2925" s="199"/>
      <c r="I2925" s="414" t="str">
        <f>$I$2</f>
        <v>Data Base: novembro/2020</v>
      </c>
    </row>
    <row r="2926" spans="1:17" x14ac:dyDescent="0.2">
      <c r="A2926" s="1117" t="str">
        <f>+CONCATENATE("Serviço: ",J2926," ",VLOOKUP(J2926,'DER 11-20'!$A:$D,2,FALSE))</f>
        <v>Serviço: 40689 Saída d'água concreto p/ corte c/ caiação (SDC-01)</v>
      </c>
      <c r="B2926" s="1117"/>
      <c r="C2926" s="1117"/>
      <c r="D2926" s="1117"/>
      <c r="E2926" s="1117"/>
      <c r="F2926" s="1117"/>
      <c r="G2926" s="1117"/>
      <c r="H2926" s="1117"/>
      <c r="I2926" s="1119" t="str">
        <f>CONCATENATE("Unidade: ", VLOOKUP(J2926,'DER 11-20'!$A:$E,3,FALSE))</f>
        <v>Unidade: Ud</v>
      </c>
      <c r="J2926" s="400">
        <v>40689</v>
      </c>
      <c r="K2926" s="400">
        <f>VLOOKUP("Preço Unitário Total",F2927:I3698,4,FALSE)</f>
        <v>863.89</v>
      </c>
      <c r="L2926" s="295">
        <f>VLOOKUP(J2926,'DER 11-20'!A:E,5,FALSE)</f>
        <v>0</v>
      </c>
      <c r="M2926" s="295" t="str">
        <f>VLOOKUP(J2926,'DER 11-20'!$A:$D,2,FALSE)</f>
        <v>Saída d'água concreto p/ corte c/ caiação (SDC-01)</v>
      </c>
    </row>
    <row r="2927" spans="1:17" x14ac:dyDescent="0.2">
      <c r="A2927" s="1118"/>
      <c r="B2927" s="1118"/>
      <c r="C2927" s="1118"/>
      <c r="D2927" s="1118"/>
      <c r="E2927" s="1118"/>
      <c r="F2927" s="1118"/>
      <c r="G2927" s="1118"/>
      <c r="H2927" s="1118"/>
      <c r="I2927" s="1120"/>
    </row>
    <row r="2928" spans="1:17" ht="22.5" x14ac:dyDescent="0.2">
      <c r="A2928" s="231" t="s">
        <v>177</v>
      </c>
      <c r="B2928" s="232" t="s">
        <v>59</v>
      </c>
      <c r="C2928" s="232" t="s">
        <v>178</v>
      </c>
      <c r="D2928" s="232" t="s">
        <v>179</v>
      </c>
      <c r="E2928" s="232" t="s">
        <v>180</v>
      </c>
      <c r="F2928" s="232" t="s">
        <v>181</v>
      </c>
      <c r="G2928" s="232" t="s">
        <v>182</v>
      </c>
      <c r="H2928" s="232" t="s">
        <v>89</v>
      </c>
      <c r="I2928" s="434" t="s">
        <v>183</v>
      </c>
    </row>
    <row r="2929" spans="1:9" x14ac:dyDescent="0.2">
      <c r="A2929" s="233"/>
      <c r="B2929" s="234"/>
      <c r="C2929" s="235"/>
      <c r="D2929" s="236"/>
      <c r="E2929" s="203"/>
      <c r="F2929" s="237"/>
      <c r="G2929" s="237"/>
      <c r="H2929" s="238"/>
      <c r="I2929" s="418"/>
    </row>
    <row r="2930" spans="1:9" x14ac:dyDescent="0.2">
      <c r="A2930" s="199"/>
      <c r="B2930" s="229"/>
      <c r="C2930" s="229"/>
      <c r="D2930" s="199"/>
      <c r="E2930" s="199"/>
      <c r="F2930" s="230" t="s">
        <v>184</v>
      </c>
      <c r="G2930" s="240"/>
      <c r="H2930" s="241"/>
      <c r="I2930" s="438">
        <f>SUM(I2929:I2929)</f>
        <v>0</v>
      </c>
    </row>
    <row r="2931" spans="1:9" x14ac:dyDescent="0.2">
      <c r="A2931" s="199"/>
      <c r="B2931" s="229"/>
      <c r="C2931" s="229"/>
      <c r="D2931" s="199"/>
      <c r="E2931" s="199"/>
      <c r="F2931" s="199"/>
      <c r="G2931" s="199"/>
      <c r="H2931" s="199"/>
      <c r="I2931" s="439"/>
    </row>
    <row r="2932" spans="1:9" x14ac:dyDescent="0.2">
      <c r="A2932" s="242" t="s">
        <v>185</v>
      </c>
      <c r="B2932" s="243" t="s">
        <v>59</v>
      </c>
      <c r="C2932" s="232" t="s">
        <v>357</v>
      </c>
      <c r="D2932" s="243" t="s">
        <v>187</v>
      </c>
      <c r="E2932" s="1111" t="s">
        <v>89</v>
      </c>
      <c r="F2932" s="1112"/>
      <c r="G2932" s="1113"/>
      <c r="H2932" s="1121" t="s">
        <v>183</v>
      </c>
      <c r="I2932" s="1115"/>
    </row>
    <row r="2933" spans="1:9" x14ac:dyDescent="0.2">
      <c r="A2933" s="244"/>
      <c r="B2933" s="234"/>
      <c r="C2933" s="239"/>
      <c r="D2933" s="239"/>
      <c r="E2933" s="255"/>
      <c r="F2933" s="253"/>
      <c r="G2933" s="293"/>
      <c r="H2933" s="240"/>
      <c r="I2933" s="427"/>
    </row>
    <row r="2934" spans="1:9" x14ac:dyDescent="0.2">
      <c r="A2934" s="199"/>
      <c r="B2934" s="229"/>
      <c r="C2934" s="229"/>
      <c r="D2934" s="199"/>
      <c r="E2934" s="199"/>
      <c r="F2934" s="230" t="s">
        <v>188</v>
      </c>
      <c r="G2934" s="240"/>
      <c r="H2934" s="241"/>
      <c r="I2934" s="438">
        <f>SUM(I2933:I2933)</f>
        <v>0</v>
      </c>
    </row>
    <row r="2935" spans="1:9" x14ac:dyDescent="0.2">
      <c r="A2935" s="199"/>
      <c r="B2935" s="229"/>
      <c r="C2935" s="229"/>
      <c r="D2935" s="199"/>
      <c r="E2935" s="199"/>
      <c r="F2935" s="199"/>
      <c r="G2935" s="199"/>
      <c r="H2935" s="199"/>
      <c r="I2935" s="439"/>
    </row>
    <row r="2936" spans="1:9" x14ac:dyDescent="0.2">
      <c r="A2936" s="245" t="s">
        <v>189</v>
      </c>
      <c r="B2936" s="243" t="s">
        <v>59</v>
      </c>
      <c r="C2936" s="729" t="s">
        <v>17</v>
      </c>
      <c r="D2936" s="243" t="s">
        <v>190</v>
      </c>
      <c r="E2936" s="243" t="s">
        <v>191</v>
      </c>
      <c r="F2936" s="243" t="s">
        <v>192</v>
      </c>
      <c r="G2936" s="1121" t="s">
        <v>94</v>
      </c>
      <c r="H2936" s="1114"/>
      <c r="I2936" s="1115"/>
    </row>
    <row r="2937" spans="1:9" x14ac:dyDescent="0.2">
      <c r="A2937" s="244"/>
      <c r="B2937" s="234"/>
      <c r="C2937" s="239"/>
      <c r="D2937" s="235"/>
      <c r="E2937" s="246"/>
      <c r="F2937" s="246"/>
      <c r="G2937" s="240"/>
      <c r="H2937" s="241"/>
      <c r="I2937" s="427">
        <f>TRUNC(C2937/100*I2934,2)</f>
        <v>0</v>
      </c>
    </row>
    <row r="2938" spans="1:9" x14ac:dyDescent="0.2">
      <c r="A2938" s="199"/>
      <c r="B2938" s="229"/>
      <c r="C2938" s="199"/>
      <c r="D2938" s="199"/>
      <c r="E2938" s="199"/>
      <c r="F2938" s="230" t="s">
        <v>327</v>
      </c>
      <c r="G2938" s="240"/>
      <c r="H2938" s="241"/>
      <c r="I2938" s="438">
        <f>SUM(I2937)</f>
        <v>0</v>
      </c>
    </row>
    <row r="2939" spans="1:9" x14ac:dyDescent="0.2">
      <c r="A2939" s="199"/>
      <c r="B2939" s="229"/>
      <c r="C2939" s="199"/>
      <c r="D2939" s="199"/>
      <c r="E2939" s="199"/>
      <c r="F2939" s="199"/>
      <c r="G2939" s="199"/>
      <c r="H2939" s="199"/>
      <c r="I2939" s="439"/>
    </row>
    <row r="2940" spans="1:9" x14ac:dyDescent="0.2">
      <c r="A2940" s="247"/>
      <c r="B2940" s="248"/>
      <c r="C2940" s="249"/>
      <c r="D2940" s="249"/>
      <c r="E2940" s="249"/>
      <c r="F2940" s="250" t="s">
        <v>193</v>
      </c>
      <c r="G2940" s="401"/>
      <c r="H2940" s="249"/>
      <c r="I2940" s="445">
        <f>+I2930+I2934+I2938</f>
        <v>0</v>
      </c>
    </row>
    <row r="2941" spans="1:9" x14ac:dyDescent="0.2">
      <c r="A2941" s="251"/>
      <c r="B2941" s="252"/>
      <c r="C2941" s="253"/>
      <c r="D2941" s="253"/>
      <c r="E2941" s="253"/>
      <c r="F2941" s="254" t="s">
        <v>194</v>
      </c>
      <c r="G2941" s="255"/>
      <c r="H2941" s="253"/>
      <c r="I2941" s="446">
        <v>1</v>
      </c>
    </row>
    <row r="2942" spans="1:9" x14ac:dyDescent="0.2">
      <c r="A2942" s="233"/>
      <c r="B2942" s="256"/>
      <c r="C2942" s="241"/>
      <c r="D2942" s="241"/>
      <c r="E2942" s="241"/>
      <c r="F2942" s="257" t="s">
        <v>216</v>
      </c>
      <c r="G2942" s="240"/>
      <c r="H2942" s="241"/>
      <c r="I2942" s="447">
        <f>TRUNC(I2940/I2941,2)</f>
        <v>0</v>
      </c>
    </row>
    <row r="2943" spans="1:9" x14ac:dyDescent="0.2">
      <c r="A2943" s="730"/>
      <c r="B2943" s="229"/>
      <c r="C2943" s="199"/>
      <c r="D2943" s="199"/>
      <c r="E2943" s="199"/>
      <c r="F2943" s="258"/>
      <c r="G2943" s="199"/>
      <c r="H2943" s="199"/>
      <c r="I2943" s="450"/>
    </row>
    <row r="2944" spans="1:9" x14ac:dyDescent="0.2">
      <c r="A2944" s="242" t="s">
        <v>195</v>
      </c>
      <c r="B2944" s="243" t="s">
        <v>59</v>
      </c>
      <c r="C2944" s="243" t="s">
        <v>196</v>
      </c>
      <c r="D2944" s="243" t="s">
        <v>217</v>
      </c>
      <c r="E2944" s="1121" t="s">
        <v>89</v>
      </c>
      <c r="F2944" s="1114"/>
      <c r="G2944" s="1115"/>
      <c r="H2944" s="1121" t="s">
        <v>183</v>
      </c>
      <c r="I2944" s="1115"/>
    </row>
    <row r="2945" spans="1:17" x14ac:dyDescent="0.2">
      <c r="A2945" s="259"/>
      <c r="B2945" s="234"/>
      <c r="C2945" s="260"/>
      <c r="D2945" s="261"/>
      <c r="E2945" s="255"/>
      <c r="F2945" s="253"/>
      <c r="G2945" s="293"/>
      <c r="H2945" s="255"/>
      <c r="I2945" s="423">
        <f>TRUNC(D2945*G2945,2)</f>
        <v>0</v>
      </c>
    </row>
    <row r="2946" spans="1:17" x14ac:dyDescent="0.2">
      <c r="A2946" s="199"/>
      <c r="B2946" s="229"/>
      <c r="C2946" s="199"/>
      <c r="D2946" s="199"/>
      <c r="E2946" s="199"/>
      <c r="F2946" s="230" t="s">
        <v>197</v>
      </c>
      <c r="G2946" s="240"/>
      <c r="H2946" s="241"/>
      <c r="I2946" s="438">
        <f>SUM(I2945:I2945)</f>
        <v>0</v>
      </c>
    </row>
    <row r="2947" spans="1:17" x14ac:dyDescent="0.2">
      <c r="A2947" s="199"/>
      <c r="B2947" s="229"/>
      <c r="C2947" s="199"/>
      <c r="D2947" s="199"/>
      <c r="E2947" s="199"/>
      <c r="F2947" s="199"/>
      <c r="G2947" s="262"/>
      <c r="H2947" s="199"/>
      <c r="I2947" s="439"/>
    </row>
    <row r="2948" spans="1:17" x14ac:dyDescent="0.2">
      <c r="A2948" s="263" t="s">
        <v>198</v>
      </c>
      <c r="B2948" s="243" t="s">
        <v>59</v>
      </c>
      <c r="C2948" s="243" t="s">
        <v>196</v>
      </c>
      <c r="D2948" s="729" t="s">
        <v>217</v>
      </c>
      <c r="E2948" s="1111" t="s">
        <v>89</v>
      </c>
      <c r="F2948" s="1112"/>
      <c r="G2948" s="1113"/>
      <c r="H2948" s="1114" t="s">
        <v>183</v>
      </c>
      <c r="I2948" s="1115"/>
    </row>
    <row r="2949" spans="1:17" x14ac:dyDescent="0.2">
      <c r="A2949" s="244" t="str">
        <f>VLOOKUP(B2949,'DER 11-20'!$A:$E,2,FALSE)</f>
        <v>Caiação de meio fios, sarjetas, etc</v>
      </c>
      <c r="B2949" s="234">
        <v>40658</v>
      </c>
      <c r="C2949" s="234" t="str">
        <f>VLOOKUP(B2949,'DER 11-20'!$A:$E,3,FALSE)</f>
        <v>M2</v>
      </c>
      <c r="D2949" s="418">
        <f>TRUNC(VLOOKUP(B2949,'DER 11-20'!$A:$F,6,FALSE)/(1+$I$4),2)</f>
        <v>5.0599999999999996</v>
      </c>
      <c r="E2949" s="255"/>
      <c r="F2949" s="253"/>
      <c r="G2949" s="293">
        <v>2.94</v>
      </c>
      <c r="H2949" s="240"/>
      <c r="I2949" s="423">
        <f>TRUNC(D2949*G2949,2)</f>
        <v>14.87</v>
      </c>
    </row>
    <row r="2950" spans="1:17" ht="22.5" x14ac:dyDescent="0.2">
      <c r="A2950" s="416" t="str">
        <f>VLOOKUP(B2950,'DER 11-20'!$A:$E,2,FALSE)</f>
        <v>Concreto estrutural fck = 15,0 MPa, tudo incluído</v>
      </c>
      <c r="B2950" s="417">
        <v>40358</v>
      </c>
      <c r="C2950" s="417" t="str">
        <f>VLOOKUP(B2950,'DER 11-20'!$A:$E,3,FALSE)</f>
        <v>M3</v>
      </c>
      <c r="D2950" s="418">
        <f>TRUNC(VLOOKUP(B2950,'DER 11-20'!$A:$F,6,FALSE)/(1+$I$4),2)</f>
        <v>547.26</v>
      </c>
      <c r="E2950" s="419"/>
      <c r="F2950" s="420"/>
      <c r="G2950" s="421">
        <v>0.46400000000000002</v>
      </c>
      <c r="H2950" s="422"/>
      <c r="I2950" s="423">
        <f>TRUNC(D2950*G2950,2)</f>
        <v>253.92</v>
      </c>
      <c r="J2950" s="415"/>
      <c r="K2950" s="415"/>
      <c r="L2950" s="198"/>
      <c r="M2950" s="198"/>
      <c r="N2950" s="198"/>
      <c r="O2950" s="198"/>
      <c r="P2950" s="198"/>
      <c r="Q2950" s="198"/>
    </row>
    <row r="2951" spans="1:17" s="198" customFormat="1" ht="22.5" x14ac:dyDescent="0.2">
      <c r="A2951" s="416" t="str">
        <f>VLOOKUP(B2951,'DER 11-20'!$A:$E,2,FALSE)</f>
        <v>Escavação manual em mat. 1ª cat. H= 0,00 a 1,50 m</v>
      </c>
      <c r="B2951" s="417">
        <v>40258</v>
      </c>
      <c r="C2951" s="417" t="str">
        <f>VLOOKUP(B2951,'DER 11-20'!$A:$E,3,FALSE)</f>
        <v>M3</v>
      </c>
      <c r="D2951" s="418">
        <f>TRUNC(VLOOKUP(B2951,'DER 11-20'!$A:$F,6,FALSE)/(1+$I$4),2)</f>
        <v>56.6</v>
      </c>
      <c r="E2951" s="419"/>
      <c r="F2951" s="420"/>
      <c r="G2951" s="421">
        <v>1.05</v>
      </c>
      <c r="H2951" s="422"/>
      <c r="I2951" s="423">
        <f>TRUNC(D2951*G2951,2)</f>
        <v>59.43</v>
      </c>
      <c r="J2951" s="415"/>
      <c r="K2951" s="415"/>
    </row>
    <row r="2952" spans="1:17" s="198" customFormat="1" ht="45" x14ac:dyDescent="0.2">
      <c r="A2952" s="416" t="str">
        <f>VLOOKUP(B2952,'DER 11-20'!$A:$E,2,FALSE)</f>
        <v>Formas planas de madeira com 02 (dois) reaproveitamentos, inclusive fornecimento e transporte das madeiras</v>
      </c>
      <c r="B2952" s="417">
        <v>40312</v>
      </c>
      <c r="C2952" s="417" t="str">
        <f>VLOOKUP(B2952,'DER 11-20'!$A:$E,3,FALSE)</f>
        <v>M2</v>
      </c>
      <c r="D2952" s="418">
        <f>TRUNC(VLOOKUP(B2952,'DER 11-20'!$A:$F,6,FALSE)/(1+$I$4),2)</f>
        <v>84.31</v>
      </c>
      <c r="E2952" s="419"/>
      <c r="F2952" s="420"/>
      <c r="G2952" s="421">
        <v>4.4160000000000004</v>
      </c>
      <c r="H2952" s="422"/>
      <c r="I2952" s="423">
        <f>TRUNC(D2952*G2952,2)</f>
        <v>372.31</v>
      </c>
      <c r="J2952" s="415"/>
      <c r="K2952" s="415"/>
    </row>
    <row r="2953" spans="1:17" s="198" customFormat="1" x14ac:dyDescent="0.2">
      <c r="A2953" s="200"/>
      <c r="B2953" s="264"/>
      <c r="C2953" s="200"/>
      <c r="D2953" s="200"/>
      <c r="E2953" s="200"/>
      <c r="F2953" s="265" t="s">
        <v>199</v>
      </c>
      <c r="G2953" s="255"/>
      <c r="H2953" s="266"/>
      <c r="I2953" s="441">
        <f>SUM(I2949:I2952)</f>
        <v>700.53</v>
      </c>
      <c r="J2953" s="400"/>
      <c r="K2953" s="400"/>
      <c r="L2953" s="295"/>
      <c r="M2953" s="295"/>
      <c r="N2953" s="295"/>
      <c r="O2953" s="295"/>
      <c r="P2953" s="295"/>
      <c r="Q2953" s="295"/>
    </row>
    <row r="2954" spans="1:17" x14ac:dyDescent="0.2">
      <c r="A2954" s="200"/>
      <c r="B2954" s="264"/>
      <c r="C2954" s="200"/>
      <c r="D2954" s="200"/>
      <c r="E2954" s="200"/>
      <c r="F2954" s="200"/>
      <c r="G2954" s="200"/>
      <c r="H2954" s="200"/>
      <c r="I2954" s="440"/>
    </row>
    <row r="2955" spans="1:17" x14ac:dyDescent="0.2">
      <c r="A2955" s="267" t="s">
        <v>200</v>
      </c>
      <c r="B2955" s="268" t="s">
        <v>59</v>
      </c>
      <c r="C2955" s="268" t="s">
        <v>196</v>
      </c>
      <c r="D2955" s="268" t="s">
        <v>201</v>
      </c>
      <c r="E2955" s="268" t="s">
        <v>202</v>
      </c>
      <c r="F2955" s="268" t="s">
        <v>203</v>
      </c>
      <c r="G2955" s="268" t="s">
        <v>94</v>
      </c>
      <c r="H2955" s="268" t="s">
        <v>89</v>
      </c>
      <c r="I2955" s="442" t="s">
        <v>204</v>
      </c>
    </row>
    <row r="2956" spans="1:17" x14ac:dyDescent="0.2">
      <c r="A2956" s="244"/>
      <c r="B2956" s="234"/>
      <c r="C2956" s="234"/>
      <c r="D2956" s="402"/>
      <c r="E2956" s="270"/>
      <c r="F2956" s="270"/>
      <c r="G2956" s="239"/>
      <c r="H2956" s="271"/>
      <c r="I2956" s="418"/>
    </row>
    <row r="2957" spans="1:17" x14ac:dyDescent="0.2">
      <c r="A2957" s="200"/>
      <c r="B2957" s="264"/>
      <c r="C2957" s="200"/>
      <c r="D2957" s="200"/>
      <c r="E2957" s="200"/>
      <c r="F2957" s="265" t="s">
        <v>205</v>
      </c>
      <c r="G2957" s="240"/>
      <c r="H2957" s="272"/>
      <c r="I2957" s="443">
        <f>SUM(I2956:I2956)</f>
        <v>0</v>
      </c>
    </row>
    <row r="2958" spans="1:17" x14ac:dyDescent="0.2">
      <c r="A2958" s="200"/>
      <c r="B2958" s="264"/>
      <c r="C2958" s="200"/>
      <c r="D2958" s="200"/>
      <c r="E2958" s="200"/>
      <c r="F2958" s="200"/>
      <c r="G2958" s="200"/>
      <c r="H2958" s="200"/>
      <c r="I2958" s="444"/>
    </row>
    <row r="2959" spans="1:17" x14ac:dyDescent="0.2">
      <c r="A2959" s="273"/>
      <c r="B2959" s="274"/>
      <c r="C2959" s="275"/>
      <c r="D2959" s="275"/>
      <c r="E2959" s="275"/>
      <c r="F2959" s="276" t="s">
        <v>206</v>
      </c>
      <c r="G2959" s="273"/>
      <c r="H2959" s="249"/>
      <c r="I2959" s="445">
        <f>+I2942+I2946+I2953+I2957</f>
        <v>700.53</v>
      </c>
    </row>
    <row r="2960" spans="1:17" x14ac:dyDescent="0.2">
      <c r="A2960" s="255"/>
      <c r="B2960" s="277"/>
      <c r="C2960" s="266"/>
      <c r="D2960" s="266"/>
      <c r="E2960" s="266"/>
      <c r="F2960" s="278" t="str">
        <f>CONCATENATE($H$3," ",$I$3)</f>
        <v>BDI: 23,32</v>
      </c>
      <c r="G2960" s="403"/>
      <c r="H2960" s="253"/>
      <c r="I2960" s="446">
        <f>+ROUND(I2959*$I$4,2)</f>
        <v>163.36000000000001</v>
      </c>
    </row>
    <row r="2961" spans="1:17" x14ac:dyDescent="0.2">
      <c r="A2961" s="240"/>
      <c r="B2961" s="279"/>
      <c r="C2961" s="272"/>
      <c r="D2961" s="272"/>
      <c r="E2961" s="272"/>
      <c r="F2961" s="280" t="s">
        <v>207</v>
      </c>
      <c r="G2961" s="404"/>
      <c r="H2961" s="241"/>
      <c r="I2961" s="720">
        <f>+I2959+I2960</f>
        <v>863.89</v>
      </c>
    </row>
    <row r="2962" spans="1:17" s="198" customFormat="1" x14ac:dyDescent="0.2">
      <c r="A2962" s="1116" t="str">
        <f>$A$1</f>
        <v>COMPOSIÇÃO DE CUSTOS UNITÁRIOS</v>
      </c>
      <c r="B2962" s="1116"/>
      <c r="C2962" s="1116"/>
      <c r="D2962" s="1116"/>
      <c r="E2962" s="1116"/>
      <c r="F2962" s="1116"/>
      <c r="G2962" s="1116"/>
      <c r="H2962" s="1116"/>
      <c r="I2962" s="1116"/>
      <c r="J2962" s="400"/>
      <c r="K2962" s="400"/>
      <c r="L2962" s="295"/>
      <c r="M2962" s="295"/>
      <c r="N2962" s="295"/>
      <c r="O2962" s="295"/>
      <c r="P2962" s="295"/>
      <c r="Q2962" s="295"/>
    </row>
    <row r="2963" spans="1:17" s="198" customFormat="1" x14ac:dyDescent="0.2">
      <c r="A2963" s="228" t="str">
        <f>$A$2</f>
        <v>Tabela Referencial de Preços - DER-ES</v>
      </c>
      <c r="B2963" s="229"/>
      <c r="C2963" s="199"/>
      <c r="D2963" s="199"/>
      <c r="E2963" s="199"/>
      <c r="F2963" s="199"/>
      <c r="G2963" s="199"/>
      <c r="H2963" s="199"/>
      <c r="I2963" s="414" t="str">
        <f>$I$2</f>
        <v>Data Base: novembro/2020</v>
      </c>
      <c r="J2963" s="400"/>
      <c r="K2963" s="400"/>
      <c r="L2963" s="295"/>
      <c r="M2963" s="295"/>
      <c r="N2963" s="295"/>
      <c r="O2963" s="295"/>
      <c r="P2963" s="295"/>
      <c r="Q2963" s="295"/>
    </row>
    <row r="2964" spans="1:17" s="198" customFormat="1" x14ac:dyDescent="0.2">
      <c r="A2964" s="1117" t="str">
        <f>+CONCATENATE("Serviço: ",J2964," ",VLOOKUP(J2964,'DER 11-20'!$A:$D,2,FALSE))</f>
        <v>Serviço: 40731 Dissipador de energia aplicado a saída de sarjeta/valeta (DES-03)</v>
      </c>
      <c r="B2964" s="1117"/>
      <c r="C2964" s="1117"/>
      <c r="D2964" s="1117"/>
      <c r="E2964" s="1117"/>
      <c r="F2964" s="1117"/>
      <c r="G2964" s="1117"/>
      <c r="H2964" s="1117"/>
      <c r="I2964" s="1119" t="str">
        <f>CONCATENATE("Unidade: ", VLOOKUP(J2964,'DER 11-20'!$A:$E,3,FALSE))</f>
        <v>Unidade: Ud</v>
      </c>
      <c r="J2964" s="400">
        <v>40731</v>
      </c>
      <c r="K2964" s="400">
        <f>VLOOKUP("Preço Unitário Total",F2965:I4734,4,FALSE)</f>
        <v>498.79</v>
      </c>
      <c r="L2964" s="295" t="str">
        <f>VLOOKUP(J2964,'DER 11-20'!A:E,5,FALSE)</f>
        <v>A incluir</v>
      </c>
      <c r="M2964" s="295" t="str">
        <f>VLOOKUP(J2964,'DER 11-20'!$A:$D,2,FALSE)</f>
        <v>Dissipador de energia aplicado a saída de sarjeta/valeta (DES-03)</v>
      </c>
      <c r="N2964" s="295"/>
      <c r="O2964" s="295"/>
      <c r="P2964" s="295"/>
      <c r="Q2964" s="295"/>
    </row>
    <row r="2965" spans="1:17" x14ac:dyDescent="0.2">
      <c r="A2965" s="1118"/>
      <c r="B2965" s="1118"/>
      <c r="C2965" s="1118"/>
      <c r="D2965" s="1118"/>
      <c r="E2965" s="1118"/>
      <c r="F2965" s="1118"/>
      <c r="G2965" s="1118"/>
      <c r="H2965" s="1118"/>
      <c r="I2965" s="1120"/>
    </row>
    <row r="2966" spans="1:17" ht="22.5" x14ac:dyDescent="0.2">
      <c r="A2966" s="231" t="s">
        <v>177</v>
      </c>
      <c r="B2966" s="232" t="s">
        <v>59</v>
      </c>
      <c r="C2966" s="232" t="s">
        <v>178</v>
      </c>
      <c r="D2966" s="232" t="s">
        <v>179</v>
      </c>
      <c r="E2966" s="232" t="s">
        <v>180</v>
      </c>
      <c r="F2966" s="232" t="s">
        <v>181</v>
      </c>
      <c r="G2966" s="232" t="s">
        <v>182</v>
      </c>
      <c r="H2966" s="232" t="s">
        <v>89</v>
      </c>
      <c r="I2966" s="434" t="s">
        <v>183</v>
      </c>
    </row>
    <row r="2967" spans="1:17" x14ac:dyDescent="0.2">
      <c r="A2967" s="199"/>
      <c r="B2967" s="229"/>
      <c r="C2967" s="229"/>
      <c r="D2967" s="199"/>
      <c r="E2967" s="199"/>
      <c r="F2967" s="230" t="s">
        <v>184</v>
      </c>
      <c r="G2967" s="240"/>
      <c r="H2967" s="241"/>
      <c r="I2967" s="438">
        <v>0</v>
      </c>
    </row>
    <row r="2968" spans="1:17" x14ac:dyDescent="0.2">
      <c r="A2968" s="199"/>
      <c r="B2968" s="229"/>
      <c r="C2968" s="229"/>
      <c r="D2968" s="199"/>
      <c r="E2968" s="199"/>
      <c r="F2968" s="199"/>
      <c r="G2968" s="199"/>
      <c r="H2968" s="199"/>
      <c r="I2968" s="439"/>
    </row>
    <row r="2969" spans="1:17" x14ac:dyDescent="0.2">
      <c r="A2969" s="242" t="s">
        <v>185</v>
      </c>
      <c r="B2969" s="243" t="s">
        <v>59</v>
      </c>
      <c r="C2969" s="232" t="s">
        <v>357</v>
      </c>
      <c r="D2969" s="243" t="s">
        <v>187</v>
      </c>
      <c r="E2969" s="1111" t="s">
        <v>89</v>
      </c>
      <c r="F2969" s="1112"/>
      <c r="G2969" s="1113"/>
      <c r="H2969" s="1121" t="s">
        <v>183</v>
      </c>
      <c r="I2969" s="1115"/>
    </row>
    <row r="2970" spans="1:17" x14ac:dyDescent="0.2">
      <c r="A2970" s="199"/>
      <c r="B2970" s="229"/>
      <c r="C2970" s="229"/>
      <c r="D2970" s="199"/>
      <c r="E2970" s="199"/>
      <c r="F2970" s="230" t="s">
        <v>188</v>
      </c>
      <c r="G2970" s="240"/>
      <c r="H2970" s="241"/>
      <c r="I2970" s="438">
        <v>0</v>
      </c>
    </row>
    <row r="2971" spans="1:17" x14ac:dyDescent="0.2">
      <c r="A2971" s="199"/>
      <c r="B2971" s="229"/>
      <c r="C2971" s="229"/>
      <c r="D2971" s="199"/>
      <c r="E2971" s="199"/>
      <c r="F2971" s="199"/>
      <c r="G2971" s="199"/>
      <c r="H2971" s="199"/>
      <c r="I2971" s="439"/>
    </row>
    <row r="2972" spans="1:17" x14ac:dyDescent="0.2">
      <c r="A2972" s="245" t="s">
        <v>189</v>
      </c>
      <c r="B2972" s="243" t="s">
        <v>59</v>
      </c>
      <c r="C2972" s="833" t="s">
        <v>17</v>
      </c>
      <c r="D2972" s="243" t="s">
        <v>190</v>
      </c>
      <c r="E2972" s="243" t="s">
        <v>191</v>
      </c>
      <c r="F2972" s="243" t="s">
        <v>192</v>
      </c>
      <c r="G2972" s="1121" t="s">
        <v>94</v>
      </c>
      <c r="H2972" s="1114"/>
      <c r="I2972" s="1115"/>
    </row>
    <row r="2973" spans="1:17" x14ac:dyDescent="0.2">
      <c r="A2973" s="199"/>
      <c r="B2973" s="229"/>
      <c r="C2973" s="199"/>
      <c r="D2973" s="199"/>
      <c r="E2973" s="199"/>
      <c r="F2973" s="230" t="s">
        <v>327</v>
      </c>
      <c r="G2973" s="240"/>
      <c r="H2973" s="241"/>
      <c r="I2973" s="438">
        <v>0</v>
      </c>
    </row>
    <row r="2974" spans="1:17" x14ac:dyDescent="0.2">
      <c r="A2974" s="199"/>
      <c r="B2974" s="229"/>
      <c r="C2974" s="199"/>
      <c r="D2974" s="199"/>
      <c r="E2974" s="199"/>
      <c r="F2974" s="199"/>
      <c r="G2974" s="199"/>
      <c r="H2974" s="199"/>
      <c r="I2974" s="439"/>
    </row>
    <row r="2975" spans="1:17" x14ac:dyDescent="0.2">
      <c r="A2975" s="247"/>
      <c r="B2975" s="248"/>
      <c r="C2975" s="249"/>
      <c r="D2975" s="249"/>
      <c r="E2975" s="249"/>
      <c r="F2975" s="250" t="s">
        <v>193</v>
      </c>
      <c r="G2975" s="401"/>
      <c r="H2975" s="249"/>
      <c r="I2975" s="445">
        <f>+I2967+I2970+I2973</f>
        <v>0</v>
      </c>
    </row>
    <row r="2976" spans="1:17" x14ac:dyDescent="0.2">
      <c r="A2976" s="251"/>
      <c r="B2976" s="252"/>
      <c r="C2976" s="253"/>
      <c r="D2976" s="253"/>
      <c r="E2976" s="253"/>
      <c r="F2976" s="254" t="s">
        <v>194</v>
      </c>
      <c r="G2976" s="255"/>
      <c r="H2976" s="253"/>
      <c r="I2976" s="446">
        <v>1</v>
      </c>
    </row>
    <row r="2977" spans="1:11" x14ac:dyDescent="0.2">
      <c r="A2977" s="233"/>
      <c r="B2977" s="256"/>
      <c r="C2977" s="241"/>
      <c r="D2977" s="241"/>
      <c r="E2977" s="241"/>
      <c r="F2977" s="257" t="s">
        <v>216</v>
      </c>
      <c r="G2977" s="240"/>
      <c r="H2977" s="241"/>
      <c r="I2977" s="447">
        <f>TRUNC(I2975/I2976,2)</f>
        <v>0</v>
      </c>
    </row>
    <row r="2978" spans="1:11" x14ac:dyDescent="0.2">
      <c r="A2978" s="834"/>
      <c r="B2978" s="229"/>
      <c r="C2978" s="199"/>
      <c r="D2978" s="199"/>
      <c r="E2978" s="199"/>
      <c r="F2978" s="258"/>
      <c r="G2978" s="199"/>
      <c r="H2978" s="199"/>
      <c r="I2978" s="450"/>
    </row>
    <row r="2979" spans="1:11" x14ac:dyDescent="0.2">
      <c r="A2979" s="242" t="s">
        <v>195</v>
      </c>
      <c r="B2979" s="243" t="s">
        <v>59</v>
      </c>
      <c r="C2979" s="243" t="s">
        <v>196</v>
      </c>
      <c r="D2979" s="243" t="s">
        <v>217</v>
      </c>
      <c r="E2979" s="1121" t="s">
        <v>89</v>
      </c>
      <c r="F2979" s="1114"/>
      <c r="G2979" s="1115"/>
      <c r="H2979" s="1121" t="s">
        <v>183</v>
      </c>
      <c r="I2979" s="1115"/>
    </row>
    <row r="2980" spans="1:11" x14ac:dyDescent="0.2">
      <c r="A2980" s="259"/>
      <c r="B2980" s="234"/>
      <c r="C2980" s="260"/>
      <c r="D2980" s="261"/>
      <c r="E2980" s="255"/>
      <c r="F2980" s="253"/>
      <c r="G2980" s="293"/>
      <c r="H2980" s="255"/>
      <c r="I2980" s="423"/>
    </row>
    <row r="2981" spans="1:11" x14ac:dyDescent="0.2">
      <c r="A2981" s="199"/>
      <c r="B2981" s="229"/>
      <c r="C2981" s="199"/>
      <c r="D2981" s="199"/>
      <c r="E2981" s="199"/>
      <c r="F2981" s="230" t="s">
        <v>197</v>
      </c>
      <c r="G2981" s="240"/>
      <c r="H2981" s="241"/>
      <c r="I2981" s="438">
        <f>SUM(I2980:I2980)</f>
        <v>0</v>
      </c>
    </row>
    <row r="2982" spans="1:11" x14ac:dyDescent="0.2">
      <c r="A2982" s="199"/>
      <c r="B2982" s="229"/>
      <c r="C2982" s="199"/>
      <c r="D2982" s="199"/>
      <c r="E2982" s="199"/>
      <c r="F2982" s="199"/>
      <c r="G2982" s="262"/>
      <c r="H2982" s="199"/>
      <c r="I2982" s="439"/>
    </row>
    <row r="2983" spans="1:11" x14ac:dyDescent="0.2">
      <c r="A2983" s="263" t="s">
        <v>198</v>
      </c>
      <c r="B2983" s="243" t="s">
        <v>59</v>
      </c>
      <c r="C2983" s="243" t="s">
        <v>196</v>
      </c>
      <c r="D2983" s="833" t="s">
        <v>217</v>
      </c>
      <c r="E2983" s="1111" t="s">
        <v>89</v>
      </c>
      <c r="F2983" s="1112"/>
      <c r="G2983" s="1113"/>
      <c r="H2983" s="1114" t="s">
        <v>183</v>
      </c>
      <c r="I2983" s="1115"/>
    </row>
    <row r="2984" spans="1:11" s="198" customFormat="1" ht="45" x14ac:dyDescent="0.2">
      <c r="A2984" s="416" t="str">
        <f>VLOOKUP(B2984,'DER 11-20'!$A:$E,2,FALSE)</f>
        <v>Alvenaria de pedra de mão argamassada (argamassa cimento areia 1:4), inclusive transporte da pedra</v>
      </c>
      <c r="B2984" s="417">
        <v>40343</v>
      </c>
      <c r="C2984" s="417" t="str">
        <f>VLOOKUP(B2984,'DER 11-20'!$A:$E,3,FALSE)</f>
        <v>M3</v>
      </c>
      <c r="D2984" s="418">
        <f>TRUNC(VLOOKUP(B2984,'DER 11-20'!$A:$F,6,FALSE)/(1+$I$4),2)</f>
        <v>337.39</v>
      </c>
      <c r="E2984" s="419"/>
      <c r="F2984" s="420"/>
      <c r="G2984" s="421">
        <v>1.1200000000000001</v>
      </c>
      <c r="H2984" s="422"/>
      <c r="I2984" s="423">
        <f>TRUNC(D2984*G2984,2)</f>
        <v>377.87</v>
      </c>
      <c r="J2984" s="415"/>
      <c r="K2984" s="415"/>
    </row>
    <row r="2985" spans="1:11" s="198" customFormat="1" ht="22.5" x14ac:dyDescent="0.2">
      <c r="A2985" s="416" t="str">
        <f>VLOOKUP(B2985,'DER 11-20'!$A:$E,2,FALSE)</f>
        <v>Escavação manual em mat. 1ª cat. H= 0,00 a 1,50 m</v>
      </c>
      <c r="B2985" s="417">
        <v>40258</v>
      </c>
      <c r="C2985" s="417" t="str">
        <f>VLOOKUP(B2985,'DER 11-20'!$A:$E,3,FALSE)</f>
        <v>M3</v>
      </c>
      <c r="D2985" s="418">
        <f>TRUNC(VLOOKUP(B2985,'DER 11-20'!$A:$F,6,FALSE)/(1+$I$4),2)</f>
        <v>56.6</v>
      </c>
      <c r="E2985" s="419"/>
      <c r="F2985" s="420"/>
      <c r="G2985" s="421">
        <v>0.47</v>
      </c>
      <c r="H2985" s="422"/>
      <c r="I2985" s="423">
        <f>TRUNC(D2985*G2985,2)</f>
        <v>26.6</v>
      </c>
      <c r="J2985" s="415"/>
      <c r="K2985" s="415"/>
    </row>
    <row r="2986" spans="1:11" x14ac:dyDescent="0.2">
      <c r="A2986" s="200"/>
      <c r="B2986" s="264"/>
      <c r="C2986" s="200"/>
      <c r="D2986" s="200"/>
      <c r="E2986" s="200"/>
      <c r="F2986" s="265" t="s">
        <v>199</v>
      </c>
      <c r="G2986" s="255"/>
      <c r="H2986" s="266"/>
      <c r="I2986" s="441">
        <f>SUM(I2984:I2985)</f>
        <v>404.47</v>
      </c>
    </row>
    <row r="2987" spans="1:11" x14ac:dyDescent="0.2">
      <c r="A2987" s="200"/>
      <c r="B2987" s="264"/>
      <c r="C2987" s="200"/>
      <c r="D2987" s="200"/>
      <c r="E2987" s="200"/>
      <c r="F2987" s="200"/>
      <c r="G2987" s="200"/>
      <c r="H2987" s="200"/>
      <c r="I2987" s="440"/>
    </row>
    <row r="2988" spans="1:11" ht="21.75" customHeight="1" x14ac:dyDescent="0.2">
      <c r="A2988" s="267" t="s">
        <v>200</v>
      </c>
      <c r="B2988" s="268" t="s">
        <v>59</v>
      </c>
      <c r="C2988" s="268" t="s">
        <v>196</v>
      </c>
      <c r="D2988" s="268" t="s">
        <v>201</v>
      </c>
      <c r="E2988" s="268" t="s">
        <v>202</v>
      </c>
      <c r="F2988" s="268" t="s">
        <v>203</v>
      </c>
      <c r="G2988" s="268" t="s">
        <v>94</v>
      </c>
      <c r="H2988" s="268" t="s">
        <v>89</v>
      </c>
      <c r="I2988" s="442" t="s">
        <v>204</v>
      </c>
    </row>
    <row r="2989" spans="1:11" x14ac:dyDescent="0.2">
      <c r="A2989" s="244"/>
      <c r="B2989" s="234"/>
      <c r="C2989" s="234"/>
      <c r="D2989" s="269"/>
      <c r="E2989" s="270"/>
      <c r="F2989" s="270"/>
      <c r="G2989" s="239"/>
      <c r="H2989" s="271"/>
      <c r="I2989" s="418"/>
    </row>
    <row r="2990" spans="1:11" x14ac:dyDescent="0.2">
      <c r="A2990" s="200"/>
      <c r="B2990" s="264"/>
      <c r="C2990" s="200"/>
      <c r="D2990" s="200"/>
      <c r="E2990" s="200"/>
      <c r="F2990" s="265" t="s">
        <v>205</v>
      </c>
      <c r="G2990" s="240"/>
      <c r="H2990" s="272"/>
      <c r="I2990" s="443">
        <f>SUM(I2989:I2989)</f>
        <v>0</v>
      </c>
    </row>
    <row r="2991" spans="1:11" x14ac:dyDescent="0.2">
      <c r="A2991" s="200"/>
      <c r="B2991" s="264"/>
      <c r="C2991" s="200"/>
      <c r="D2991" s="200"/>
      <c r="E2991" s="200"/>
      <c r="F2991" s="200"/>
      <c r="G2991" s="200"/>
      <c r="H2991" s="200"/>
      <c r="I2991" s="444"/>
    </row>
    <row r="2992" spans="1:11" x14ac:dyDescent="0.2">
      <c r="A2992" s="273"/>
      <c r="B2992" s="274"/>
      <c r="C2992" s="275"/>
      <c r="D2992" s="275"/>
      <c r="E2992" s="275"/>
      <c r="F2992" s="276" t="s">
        <v>206</v>
      </c>
      <c r="G2992" s="273"/>
      <c r="H2992" s="249"/>
      <c r="I2992" s="445">
        <f>+I2977+I2981+I2986+I2990</f>
        <v>404.47</v>
      </c>
    </row>
    <row r="2993" spans="1:13" x14ac:dyDescent="0.2">
      <c r="A2993" s="255"/>
      <c r="B2993" s="277"/>
      <c r="C2993" s="266"/>
      <c r="D2993" s="266"/>
      <c r="E2993" s="266"/>
      <c r="F2993" s="278" t="str">
        <f>CONCATENATE($H$3," ",$I$3)</f>
        <v>BDI: 23,32</v>
      </c>
      <c r="G2993" s="403"/>
      <c r="H2993" s="253"/>
      <c r="I2993" s="446">
        <f>+ROUND(I2992*$I$4,2)</f>
        <v>94.32</v>
      </c>
    </row>
    <row r="2994" spans="1:13" x14ac:dyDescent="0.2">
      <c r="A2994" s="240"/>
      <c r="B2994" s="279"/>
      <c r="C2994" s="272"/>
      <c r="D2994" s="272"/>
      <c r="E2994" s="272"/>
      <c r="F2994" s="280" t="s">
        <v>207</v>
      </c>
      <c r="G2994" s="404"/>
      <c r="H2994" s="241"/>
      <c r="I2994" s="720">
        <f>+I2992+I2993</f>
        <v>498.79</v>
      </c>
    </row>
    <row r="2995" spans="1:13" x14ac:dyDescent="0.2">
      <c r="A2995" s="1116" t="str">
        <f>$A$1</f>
        <v>COMPOSIÇÃO DE CUSTOS UNITÁRIOS</v>
      </c>
      <c r="B2995" s="1116"/>
      <c r="C2995" s="1116"/>
      <c r="D2995" s="1116"/>
      <c r="E2995" s="1116"/>
      <c r="F2995" s="1116"/>
      <c r="G2995" s="1116"/>
      <c r="H2995" s="1116"/>
      <c r="I2995" s="1116"/>
    </row>
    <row r="2996" spans="1:13" x14ac:dyDescent="0.2">
      <c r="A2996" s="228" t="str">
        <f>$A$2</f>
        <v>Tabela Referencial de Preços - DER-ES</v>
      </c>
      <c r="B2996" s="229"/>
      <c r="C2996" s="199"/>
      <c r="D2996" s="199"/>
      <c r="E2996" s="199"/>
      <c r="F2996" s="199"/>
      <c r="G2996" s="199"/>
      <c r="H2996" s="199"/>
      <c r="I2996" s="414" t="str">
        <f>$I$2</f>
        <v>Data Base: novembro/2020</v>
      </c>
    </row>
    <row r="2997" spans="1:13" x14ac:dyDescent="0.2">
      <c r="A2997" s="1117" t="str">
        <f>+CONCATENATE("Serviço: ",J2997," ",VLOOKUP(J2997,'DER 11-20'!$A:$D,2,FALSE))</f>
        <v>Serviço: 40699 Valeta de proteção de corte revestida em concreto VPC-03</v>
      </c>
      <c r="B2997" s="1117"/>
      <c r="C2997" s="1117"/>
      <c r="D2997" s="1117"/>
      <c r="E2997" s="1117"/>
      <c r="F2997" s="1117"/>
      <c r="G2997" s="1117"/>
      <c r="H2997" s="1117"/>
      <c r="I2997" s="1119" t="str">
        <f>CONCATENATE("Unidade: ", VLOOKUP(J2997,'DER 11-20'!$A:$E,3,FALSE))</f>
        <v>Unidade: M</v>
      </c>
      <c r="J2997" s="400">
        <v>40699</v>
      </c>
      <c r="K2997" s="400">
        <f>VLOOKUP("Preço Unitário Total",F2998:I3698,4,FALSE)</f>
        <v>242.71</v>
      </c>
      <c r="L2997" s="295" t="str">
        <f>VLOOKUP(J2997,'DER 11-20'!A:E,5,FALSE)</f>
        <v>A incluir</v>
      </c>
      <c r="M2997" s="295" t="str">
        <f>VLOOKUP(J2997,'DER 11-20'!$A:$D,2,FALSE)</f>
        <v>Valeta de proteção de corte revestida em concreto VPC-03</v>
      </c>
    </row>
    <row r="2998" spans="1:13" x14ac:dyDescent="0.2">
      <c r="A2998" s="1118"/>
      <c r="B2998" s="1118"/>
      <c r="C2998" s="1118"/>
      <c r="D2998" s="1118"/>
      <c r="E2998" s="1118"/>
      <c r="F2998" s="1118"/>
      <c r="G2998" s="1118"/>
      <c r="H2998" s="1118"/>
      <c r="I2998" s="1120"/>
    </row>
    <row r="2999" spans="1:13" ht="22.5" x14ac:dyDescent="0.2">
      <c r="A2999" s="231" t="s">
        <v>177</v>
      </c>
      <c r="B2999" s="232" t="s">
        <v>59</v>
      </c>
      <c r="C2999" s="232" t="s">
        <v>178</v>
      </c>
      <c r="D2999" s="232" t="s">
        <v>179</v>
      </c>
      <c r="E2999" s="232" t="s">
        <v>180</v>
      </c>
      <c r="F2999" s="232" t="s">
        <v>181</v>
      </c>
      <c r="G2999" s="232" t="s">
        <v>182</v>
      </c>
      <c r="H2999" s="232" t="s">
        <v>89</v>
      </c>
      <c r="I2999" s="434" t="s">
        <v>183</v>
      </c>
    </row>
    <row r="3000" spans="1:13" x14ac:dyDescent="0.2">
      <c r="A3000" s="233"/>
      <c r="B3000" s="234"/>
      <c r="C3000" s="235"/>
      <c r="D3000" s="236"/>
      <c r="E3000" s="203"/>
      <c r="F3000" s="237"/>
      <c r="G3000" s="237"/>
      <c r="H3000" s="238"/>
      <c r="I3000" s="418"/>
    </row>
    <row r="3001" spans="1:13" x14ac:dyDescent="0.2">
      <c r="A3001" s="199"/>
      <c r="B3001" s="229"/>
      <c r="C3001" s="229"/>
      <c r="D3001" s="199"/>
      <c r="E3001" s="199"/>
      <c r="F3001" s="230" t="s">
        <v>184</v>
      </c>
      <c r="G3001" s="240"/>
      <c r="H3001" s="241"/>
      <c r="I3001" s="438">
        <f>SUM(I3000:I3000)</f>
        <v>0</v>
      </c>
    </row>
    <row r="3002" spans="1:13" x14ac:dyDescent="0.2">
      <c r="A3002" s="199"/>
      <c r="B3002" s="229"/>
      <c r="C3002" s="229"/>
      <c r="D3002" s="199"/>
      <c r="E3002" s="199"/>
      <c r="F3002" s="199"/>
      <c r="G3002" s="199"/>
      <c r="H3002" s="199"/>
      <c r="I3002" s="439"/>
    </row>
    <row r="3003" spans="1:13" x14ac:dyDescent="0.2">
      <c r="A3003" s="242" t="s">
        <v>185</v>
      </c>
      <c r="B3003" s="243" t="s">
        <v>59</v>
      </c>
      <c r="C3003" s="232" t="s">
        <v>357</v>
      </c>
      <c r="D3003" s="243" t="s">
        <v>187</v>
      </c>
      <c r="E3003" s="1111" t="s">
        <v>89</v>
      </c>
      <c r="F3003" s="1112"/>
      <c r="G3003" s="1113"/>
      <c r="H3003" s="1121" t="s">
        <v>183</v>
      </c>
      <c r="I3003" s="1115"/>
    </row>
    <row r="3004" spans="1:13" x14ac:dyDescent="0.2">
      <c r="A3004" s="244"/>
      <c r="B3004" s="234"/>
      <c r="C3004" s="239"/>
      <c r="D3004" s="239"/>
      <c r="E3004" s="255"/>
      <c r="F3004" s="253"/>
      <c r="G3004" s="293"/>
      <c r="H3004" s="240"/>
      <c r="I3004" s="427"/>
    </row>
    <row r="3005" spans="1:13" x14ac:dyDescent="0.2">
      <c r="A3005" s="199"/>
      <c r="B3005" s="229"/>
      <c r="C3005" s="229"/>
      <c r="D3005" s="199"/>
      <c r="E3005" s="199"/>
      <c r="F3005" s="230" t="s">
        <v>188</v>
      </c>
      <c r="G3005" s="240"/>
      <c r="H3005" s="241"/>
      <c r="I3005" s="438">
        <f>SUM(I3004:I3004)</f>
        <v>0</v>
      </c>
    </row>
    <row r="3006" spans="1:13" x14ac:dyDescent="0.2">
      <c r="A3006" s="199"/>
      <c r="B3006" s="229"/>
      <c r="C3006" s="229"/>
      <c r="D3006" s="199"/>
      <c r="E3006" s="199"/>
      <c r="F3006" s="199"/>
      <c r="G3006" s="199"/>
      <c r="H3006" s="199"/>
      <c r="I3006" s="439"/>
    </row>
    <row r="3007" spans="1:13" x14ac:dyDescent="0.2">
      <c r="A3007" s="245" t="s">
        <v>189</v>
      </c>
      <c r="B3007" s="243" t="s">
        <v>59</v>
      </c>
      <c r="C3007" s="635" t="s">
        <v>17</v>
      </c>
      <c r="D3007" s="243" t="s">
        <v>190</v>
      </c>
      <c r="E3007" s="243" t="s">
        <v>191</v>
      </c>
      <c r="F3007" s="243" t="s">
        <v>192</v>
      </c>
      <c r="G3007" s="1121" t="s">
        <v>94</v>
      </c>
      <c r="H3007" s="1114"/>
      <c r="I3007" s="1115"/>
    </row>
    <row r="3008" spans="1:13" x14ac:dyDescent="0.2">
      <c r="A3008" s="244"/>
      <c r="B3008" s="234"/>
      <c r="C3008" s="239"/>
      <c r="D3008" s="235"/>
      <c r="E3008" s="246"/>
      <c r="F3008" s="246"/>
      <c r="G3008" s="240"/>
      <c r="H3008" s="241"/>
      <c r="I3008" s="427">
        <f>TRUNC(C3008/100*I3005,2)</f>
        <v>0</v>
      </c>
    </row>
    <row r="3009" spans="1:17" x14ac:dyDescent="0.2">
      <c r="A3009" s="199"/>
      <c r="B3009" s="229"/>
      <c r="C3009" s="199"/>
      <c r="D3009" s="199"/>
      <c r="E3009" s="199"/>
      <c r="F3009" s="230" t="s">
        <v>327</v>
      </c>
      <c r="G3009" s="240"/>
      <c r="H3009" s="241"/>
      <c r="I3009" s="438">
        <f>SUM(I3008)</f>
        <v>0</v>
      </c>
    </row>
    <row r="3010" spans="1:17" x14ac:dyDescent="0.2">
      <c r="A3010" s="199"/>
      <c r="B3010" s="229"/>
      <c r="C3010" s="199"/>
      <c r="D3010" s="199"/>
      <c r="E3010" s="199"/>
      <c r="F3010" s="199"/>
      <c r="G3010" s="199"/>
      <c r="H3010" s="199"/>
      <c r="I3010" s="439"/>
    </row>
    <row r="3011" spans="1:17" x14ac:dyDescent="0.2">
      <c r="A3011" s="247"/>
      <c r="B3011" s="248"/>
      <c r="C3011" s="249"/>
      <c r="D3011" s="249"/>
      <c r="E3011" s="249"/>
      <c r="F3011" s="250" t="s">
        <v>193</v>
      </c>
      <c r="G3011" s="401"/>
      <c r="H3011" s="249"/>
      <c r="I3011" s="445">
        <f>+I3001+I3005+I3009</f>
        <v>0</v>
      </c>
    </row>
    <row r="3012" spans="1:17" x14ac:dyDescent="0.2">
      <c r="A3012" s="251"/>
      <c r="B3012" s="252"/>
      <c r="C3012" s="253"/>
      <c r="D3012" s="253"/>
      <c r="E3012" s="253"/>
      <c r="F3012" s="254" t="s">
        <v>194</v>
      </c>
      <c r="G3012" s="255"/>
      <c r="H3012" s="253"/>
      <c r="I3012" s="446">
        <v>1</v>
      </c>
    </row>
    <row r="3013" spans="1:17" x14ac:dyDescent="0.2">
      <c r="A3013" s="233"/>
      <c r="B3013" s="256"/>
      <c r="C3013" s="241"/>
      <c r="D3013" s="241"/>
      <c r="E3013" s="241"/>
      <c r="F3013" s="257" t="s">
        <v>216</v>
      </c>
      <c r="G3013" s="240"/>
      <c r="H3013" s="241"/>
      <c r="I3013" s="447">
        <f>TRUNC(I3011/I3012,2)</f>
        <v>0</v>
      </c>
    </row>
    <row r="3014" spans="1:17" x14ac:dyDescent="0.2">
      <c r="A3014" s="636"/>
      <c r="B3014" s="229"/>
      <c r="C3014" s="199"/>
      <c r="D3014" s="199"/>
      <c r="E3014" s="199"/>
      <c r="F3014" s="258"/>
      <c r="G3014" s="199"/>
      <c r="H3014" s="199"/>
      <c r="I3014" s="450"/>
    </row>
    <row r="3015" spans="1:17" x14ac:dyDescent="0.2">
      <c r="A3015" s="242" t="s">
        <v>195</v>
      </c>
      <c r="B3015" s="243" t="s">
        <v>59</v>
      </c>
      <c r="C3015" s="243" t="s">
        <v>196</v>
      </c>
      <c r="D3015" s="243" t="s">
        <v>217</v>
      </c>
      <c r="E3015" s="1121" t="s">
        <v>89</v>
      </c>
      <c r="F3015" s="1114"/>
      <c r="G3015" s="1115"/>
      <c r="H3015" s="1121" t="s">
        <v>183</v>
      </c>
      <c r="I3015" s="1115"/>
    </row>
    <row r="3016" spans="1:17" x14ac:dyDescent="0.2">
      <c r="A3016" s="259"/>
      <c r="B3016" s="234"/>
      <c r="C3016" s="260"/>
      <c r="D3016" s="261"/>
      <c r="E3016" s="255"/>
      <c r="F3016" s="253"/>
      <c r="G3016" s="293"/>
      <c r="H3016" s="255"/>
      <c r="I3016" s="423">
        <f>TRUNC(D3016*G3016,2)</f>
        <v>0</v>
      </c>
    </row>
    <row r="3017" spans="1:17" x14ac:dyDescent="0.2">
      <c r="A3017" s="199"/>
      <c r="B3017" s="229"/>
      <c r="C3017" s="199"/>
      <c r="D3017" s="199"/>
      <c r="E3017" s="199"/>
      <c r="F3017" s="230" t="s">
        <v>197</v>
      </c>
      <c r="G3017" s="240"/>
      <c r="H3017" s="241"/>
      <c r="I3017" s="438">
        <f>SUM(I3016:I3016)</f>
        <v>0</v>
      </c>
    </row>
    <row r="3018" spans="1:17" x14ac:dyDescent="0.2">
      <c r="A3018" s="199"/>
      <c r="B3018" s="229"/>
      <c r="C3018" s="199"/>
      <c r="D3018" s="199"/>
      <c r="E3018" s="199"/>
      <c r="F3018" s="199"/>
      <c r="G3018" s="262"/>
      <c r="H3018" s="199"/>
      <c r="I3018" s="439"/>
    </row>
    <row r="3019" spans="1:17" x14ac:dyDescent="0.2">
      <c r="A3019" s="263" t="s">
        <v>198</v>
      </c>
      <c r="B3019" s="243" t="s">
        <v>59</v>
      </c>
      <c r="C3019" s="243" t="s">
        <v>196</v>
      </c>
      <c r="D3019" s="635" t="s">
        <v>217</v>
      </c>
      <c r="E3019" s="1111" t="s">
        <v>89</v>
      </c>
      <c r="F3019" s="1112"/>
      <c r="G3019" s="1113"/>
      <c r="H3019" s="1114" t="s">
        <v>183</v>
      </c>
      <c r="I3019" s="1115"/>
    </row>
    <row r="3020" spans="1:17" ht="22.5" x14ac:dyDescent="0.2">
      <c r="A3020" s="416" t="str">
        <f>VLOOKUP(B3020,'DER 11-20'!$A:$E,2,FALSE)</f>
        <v>Concreto estrutural fck = 15,0 MPa, tudo incluído</v>
      </c>
      <c r="B3020" s="417">
        <v>40358</v>
      </c>
      <c r="C3020" s="417" t="str">
        <f>VLOOKUP(B3020,'DER 11-20'!$A:$E,3,FALSE)</f>
        <v>M3</v>
      </c>
      <c r="D3020" s="418">
        <f>TRUNC(VLOOKUP(B3020,'DER 11-20'!$A:$F,6,FALSE)/(1+$I$4),2)</f>
        <v>547.26</v>
      </c>
      <c r="E3020" s="419"/>
      <c r="F3020" s="420"/>
      <c r="G3020" s="421">
        <v>0.151</v>
      </c>
      <c r="H3020" s="422"/>
      <c r="I3020" s="423">
        <f>TRUNC(D3020*G3020,2)</f>
        <v>82.63</v>
      </c>
      <c r="J3020" s="415"/>
      <c r="K3020" s="415"/>
      <c r="L3020" s="198"/>
      <c r="M3020" s="198"/>
      <c r="N3020" s="198"/>
      <c r="O3020" s="198"/>
      <c r="P3020" s="198"/>
      <c r="Q3020" s="198"/>
    </row>
    <row r="3021" spans="1:17" s="198" customFormat="1" ht="22.5" x14ac:dyDescent="0.2">
      <c r="A3021" s="416" t="str">
        <f>VLOOKUP(B3021,'DER 11-20'!$A:$E,2,FALSE)</f>
        <v>Escavação manual em mat. 1ª cat. H= 0,00 a 1,50 m</v>
      </c>
      <c r="B3021" s="417">
        <v>40258</v>
      </c>
      <c r="C3021" s="417" t="str">
        <f>VLOOKUP(B3021,'DER 11-20'!$A:$E,3,FALSE)</f>
        <v>M3</v>
      </c>
      <c r="D3021" s="418">
        <f>TRUNC(VLOOKUP(B3021,'DER 11-20'!$A:$F,6,FALSE)/(1+$I$4),2)</f>
        <v>56.6</v>
      </c>
      <c r="E3021" s="419"/>
      <c r="F3021" s="420"/>
      <c r="G3021" s="421">
        <v>0.71399999999999997</v>
      </c>
      <c r="H3021" s="422"/>
      <c r="I3021" s="423">
        <f>TRUNC(D3021*G3021,2)</f>
        <v>40.409999999999997</v>
      </c>
      <c r="J3021" s="415"/>
      <c r="K3021" s="415"/>
    </row>
    <row r="3022" spans="1:17" s="198" customFormat="1" ht="45" x14ac:dyDescent="0.2">
      <c r="A3022" s="416" t="str">
        <f>VLOOKUP(B3022,'DER 11-20'!$A:$E,2,FALSE)</f>
        <v>Formas planas de madeira com 04 (quatro) reaproveitamentos, inclusive fornecimento e transporte das madeiras</v>
      </c>
      <c r="B3022" s="417">
        <v>40313</v>
      </c>
      <c r="C3022" s="417" t="str">
        <f>VLOOKUP(B3022,'DER 11-20'!$A:$E,3,FALSE)</f>
        <v>M2</v>
      </c>
      <c r="D3022" s="418">
        <f>TRUNC(VLOOKUP(B3022,'DER 11-20'!$A:$F,6,FALSE)/(1+$I$4),2)</f>
        <v>71.56</v>
      </c>
      <c r="E3022" s="419"/>
      <c r="F3022" s="420"/>
      <c r="G3022" s="421">
        <v>1.0309999999999999</v>
      </c>
      <c r="H3022" s="422"/>
      <c r="I3022" s="423">
        <f>TRUNC(D3022*G3022,2)</f>
        <v>73.77</v>
      </c>
      <c r="J3022" s="415"/>
      <c r="K3022" s="415"/>
    </row>
    <row r="3023" spans="1:17" s="198" customFormat="1" x14ac:dyDescent="0.2">
      <c r="A3023" s="200"/>
      <c r="B3023" s="264"/>
      <c r="C3023" s="200"/>
      <c r="D3023" s="200"/>
      <c r="E3023" s="200"/>
      <c r="F3023" s="265" t="s">
        <v>199</v>
      </c>
      <c r="G3023" s="255"/>
      <c r="H3023" s="266"/>
      <c r="I3023" s="441">
        <f>SUM(I3020:I3022)</f>
        <v>196.81</v>
      </c>
      <c r="J3023" s="400"/>
      <c r="K3023" s="400"/>
      <c r="L3023" s="295"/>
      <c r="M3023" s="295"/>
      <c r="N3023" s="295"/>
      <c r="O3023" s="295"/>
      <c r="P3023" s="295"/>
      <c r="Q3023" s="295"/>
    </row>
    <row r="3024" spans="1:17" x14ac:dyDescent="0.2">
      <c r="A3024" s="200"/>
      <c r="B3024" s="264"/>
      <c r="C3024" s="200"/>
      <c r="D3024" s="200"/>
      <c r="E3024" s="200"/>
      <c r="F3024" s="200"/>
      <c r="G3024" s="200"/>
      <c r="H3024" s="200"/>
      <c r="I3024" s="440"/>
    </row>
    <row r="3025" spans="1:13" x14ac:dyDescent="0.2">
      <c r="A3025" s="267" t="s">
        <v>200</v>
      </c>
      <c r="B3025" s="268" t="s">
        <v>59</v>
      </c>
      <c r="C3025" s="268" t="s">
        <v>196</v>
      </c>
      <c r="D3025" s="268" t="s">
        <v>201</v>
      </c>
      <c r="E3025" s="268" t="s">
        <v>202</v>
      </c>
      <c r="F3025" s="268" t="s">
        <v>203</v>
      </c>
      <c r="G3025" s="268" t="s">
        <v>94</v>
      </c>
      <c r="H3025" s="268" t="s">
        <v>89</v>
      </c>
      <c r="I3025" s="442" t="s">
        <v>204</v>
      </c>
    </row>
    <row r="3026" spans="1:13" x14ac:dyDescent="0.2">
      <c r="A3026" s="244"/>
      <c r="B3026" s="234"/>
      <c r="C3026" s="234"/>
      <c r="D3026" s="402"/>
      <c r="E3026" s="270"/>
      <c r="F3026" s="270"/>
      <c r="G3026" s="239"/>
      <c r="H3026" s="271"/>
      <c r="I3026" s="418"/>
    </row>
    <row r="3027" spans="1:13" x14ac:dyDescent="0.2">
      <c r="A3027" s="200"/>
      <c r="B3027" s="264"/>
      <c r="C3027" s="200"/>
      <c r="D3027" s="200"/>
      <c r="E3027" s="200"/>
      <c r="F3027" s="265" t="s">
        <v>205</v>
      </c>
      <c r="G3027" s="240"/>
      <c r="H3027" s="272"/>
      <c r="I3027" s="443">
        <f>SUM(I3026:I3026)</f>
        <v>0</v>
      </c>
    </row>
    <row r="3028" spans="1:13" x14ac:dyDescent="0.2">
      <c r="A3028" s="200"/>
      <c r="B3028" s="264"/>
      <c r="C3028" s="200"/>
      <c r="D3028" s="200"/>
      <c r="E3028" s="200"/>
      <c r="F3028" s="200"/>
      <c r="G3028" s="200"/>
      <c r="H3028" s="200"/>
      <c r="I3028" s="444"/>
    </row>
    <row r="3029" spans="1:13" x14ac:dyDescent="0.2">
      <c r="A3029" s="273"/>
      <c r="B3029" s="274"/>
      <c r="C3029" s="275"/>
      <c r="D3029" s="275"/>
      <c r="E3029" s="275"/>
      <c r="F3029" s="276" t="s">
        <v>206</v>
      </c>
      <c r="G3029" s="273"/>
      <c r="H3029" s="249"/>
      <c r="I3029" s="445">
        <f>+I3013+I3017+I3023+I3027</f>
        <v>196.81</v>
      </c>
    </row>
    <row r="3030" spans="1:13" x14ac:dyDescent="0.2">
      <c r="A3030" s="255"/>
      <c r="B3030" s="277"/>
      <c r="C3030" s="266"/>
      <c r="D3030" s="266"/>
      <c r="E3030" s="266"/>
      <c r="F3030" s="278" t="str">
        <f>CONCATENATE($H$3," ",$I$3)</f>
        <v>BDI: 23,32</v>
      </c>
      <c r="G3030" s="403"/>
      <c r="H3030" s="253"/>
      <c r="I3030" s="446">
        <f>+ROUND(I3029*$I$4,2)</f>
        <v>45.9</v>
      </c>
    </row>
    <row r="3031" spans="1:13" x14ac:dyDescent="0.2">
      <c r="A3031" s="240"/>
      <c r="B3031" s="279"/>
      <c r="C3031" s="272"/>
      <c r="D3031" s="272"/>
      <c r="E3031" s="272"/>
      <c r="F3031" s="280" t="s">
        <v>207</v>
      </c>
      <c r="G3031" s="404"/>
      <c r="H3031" s="241"/>
      <c r="I3031" s="720">
        <f>+I3029+I3030</f>
        <v>242.71</v>
      </c>
    </row>
    <row r="3032" spans="1:13" x14ac:dyDescent="0.2">
      <c r="A3032" s="1116" t="str">
        <f>$A$1</f>
        <v>COMPOSIÇÃO DE CUSTOS UNITÁRIOS</v>
      </c>
      <c r="B3032" s="1116"/>
      <c r="C3032" s="1116"/>
      <c r="D3032" s="1116"/>
      <c r="E3032" s="1116"/>
      <c r="F3032" s="1116"/>
      <c r="G3032" s="1116"/>
      <c r="H3032" s="1116"/>
      <c r="I3032" s="1116"/>
    </row>
    <row r="3033" spans="1:13" x14ac:dyDescent="0.2">
      <c r="A3033" s="228" t="str">
        <f>$A$2</f>
        <v>Tabela Referencial de Preços - DER-ES</v>
      </c>
      <c r="B3033" s="229"/>
      <c r="C3033" s="199"/>
      <c r="D3033" s="199"/>
      <c r="E3033" s="199"/>
      <c r="F3033" s="199"/>
      <c r="G3033" s="199"/>
      <c r="H3033" s="199"/>
      <c r="I3033" s="414" t="str">
        <f>$I$2</f>
        <v>Data Base: novembro/2020</v>
      </c>
    </row>
    <row r="3034" spans="1:13" x14ac:dyDescent="0.2">
      <c r="A3034" s="1117" t="str">
        <f>+CONCATENATE("Serviço: ",J3034," ",VLOOKUP(J3034,'DER 11-20'!$A:$D,2,FALSE))</f>
        <v>Serviço: 40696 Valeta de proteção de aterro VPA 02 (revestida em concreto)</v>
      </c>
      <c r="B3034" s="1117"/>
      <c r="C3034" s="1117"/>
      <c r="D3034" s="1117"/>
      <c r="E3034" s="1117"/>
      <c r="F3034" s="1117"/>
      <c r="G3034" s="1117"/>
      <c r="H3034" s="1117"/>
      <c r="I3034" s="1119" t="str">
        <f>CONCATENATE("Unidade: ", VLOOKUP(J3034,'DER 11-20'!$A:$E,3,FALSE))</f>
        <v>Unidade: M</v>
      </c>
      <c r="J3034" s="400">
        <v>40696</v>
      </c>
      <c r="K3034" s="400">
        <f>VLOOKUP("Preço Unitário Total",F3035:I3698,4,FALSE)</f>
        <v>206.02</v>
      </c>
      <c r="L3034" s="295" t="str">
        <f>VLOOKUP(J3034,'DER 11-20'!A:E,5,FALSE)</f>
        <v>A incluir</v>
      </c>
      <c r="M3034" s="295" t="str">
        <f>VLOOKUP(J3034,'DER 11-20'!$A:$D,2,FALSE)</f>
        <v>Valeta de proteção de aterro VPA 02 (revestida em concreto)</v>
      </c>
    </row>
    <row r="3035" spans="1:13" x14ac:dyDescent="0.2">
      <c r="A3035" s="1118"/>
      <c r="B3035" s="1118"/>
      <c r="C3035" s="1118"/>
      <c r="D3035" s="1118"/>
      <c r="E3035" s="1118"/>
      <c r="F3035" s="1118"/>
      <c r="G3035" s="1118"/>
      <c r="H3035" s="1118"/>
      <c r="I3035" s="1120"/>
    </row>
    <row r="3036" spans="1:13" ht="22.5" x14ac:dyDescent="0.2">
      <c r="A3036" s="231" t="s">
        <v>177</v>
      </c>
      <c r="B3036" s="232" t="s">
        <v>59</v>
      </c>
      <c r="C3036" s="232" t="s">
        <v>178</v>
      </c>
      <c r="D3036" s="232" t="s">
        <v>179</v>
      </c>
      <c r="E3036" s="232" t="s">
        <v>180</v>
      </c>
      <c r="F3036" s="232" t="s">
        <v>181</v>
      </c>
      <c r="G3036" s="232" t="s">
        <v>182</v>
      </c>
      <c r="H3036" s="232" t="s">
        <v>89</v>
      </c>
      <c r="I3036" s="434" t="s">
        <v>183</v>
      </c>
    </row>
    <row r="3037" spans="1:13" x14ac:dyDescent="0.2">
      <c r="A3037" s="233"/>
      <c r="B3037" s="234"/>
      <c r="C3037" s="235"/>
      <c r="D3037" s="236"/>
      <c r="E3037" s="203"/>
      <c r="F3037" s="237"/>
      <c r="G3037" s="237"/>
      <c r="H3037" s="238"/>
      <c r="I3037" s="418"/>
    </row>
    <row r="3038" spans="1:13" x14ac:dyDescent="0.2">
      <c r="A3038" s="199"/>
      <c r="B3038" s="229"/>
      <c r="C3038" s="229"/>
      <c r="D3038" s="199"/>
      <c r="E3038" s="199"/>
      <c r="F3038" s="230" t="s">
        <v>184</v>
      </c>
      <c r="G3038" s="240"/>
      <c r="H3038" s="241"/>
      <c r="I3038" s="438">
        <f>SUM(I3037:I3037)</f>
        <v>0</v>
      </c>
    </row>
    <row r="3039" spans="1:13" x14ac:dyDescent="0.2">
      <c r="A3039" s="199"/>
      <c r="B3039" s="229"/>
      <c r="C3039" s="229"/>
      <c r="D3039" s="199"/>
      <c r="E3039" s="199"/>
      <c r="F3039" s="199"/>
      <c r="G3039" s="199"/>
      <c r="H3039" s="199"/>
      <c r="I3039" s="439"/>
    </row>
    <row r="3040" spans="1:13" x14ac:dyDescent="0.2">
      <c r="A3040" s="242" t="s">
        <v>185</v>
      </c>
      <c r="B3040" s="243" t="s">
        <v>59</v>
      </c>
      <c r="C3040" s="232" t="s">
        <v>357</v>
      </c>
      <c r="D3040" s="243" t="s">
        <v>187</v>
      </c>
      <c r="E3040" s="1111" t="s">
        <v>89</v>
      </c>
      <c r="F3040" s="1112"/>
      <c r="G3040" s="1113"/>
      <c r="H3040" s="1121" t="s">
        <v>183</v>
      </c>
      <c r="I3040" s="1115"/>
    </row>
    <row r="3041" spans="1:11" x14ac:dyDescent="0.2">
      <c r="A3041" s="244"/>
      <c r="B3041" s="234"/>
      <c r="C3041" s="239"/>
      <c r="D3041" s="239"/>
      <c r="E3041" s="255"/>
      <c r="F3041" s="253"/>
      <c r="G3041" s="293"/>
      <c r="H3041" s="240"/>
      <c r="I3041" s="427"/>
    </row>
    <row r="3042" spans="1:11" x14ac:dyDescent="0.2">
      <c r="A3042" s="199"/>
      <c r="B3042" s="229"/>
      <c r="C3042" s="229"/>
      <c r="D3042" s="199"/>
      <c r="E3042" s="199"/>
      <c r="F3042" s="230" t="s">
        <v>188</v>
      </c>
      <c r="G3042" s="240"/>
      <c r="H3042" s="241"/>
      <c r="I3042" s="438">
        <f>SUM(I3041:I3041)</f>
        <v>0</v>
      </c>
    </row>
    <row r="3043" spans="1:11" x14ac:dyDescent="0.2">
      <c r="A3043" s="199"/>
      <c r="B3043" s="229"/>
      <c r="C3043" s="229"/>
      <c r="D3043" s="199"/>
      <c r="E3043" s="199"/>
      <c r="F3043" s="199"/>
      <c r="G3043" s="199"/>
      <c r="H3043" s="199"/>
      <c r="I3043" s="439"/>
    </row>
    <row r="3044" spans="1:11" x14ac:dyDescent="0.2">
      <c r="A3044" s="245" t="s">
        <v>189</v>
      </c>
      <c r="B3044" s="243" t="s">
        <v>59</v>
      </c>
      <c r="C3044" s="729" t="s">
        <v>17</v>
      </c>
      <c r="D3044" s="243" t="s">
        <v>190</v>
      </c>
      <c r="E3044" s="243" t="s">
        <v>191</v>
      </c>
      <c r="F3044" s="243" t="s">
        <v>192</v>
      </c>
      <c r="G3044" s="1121" t="s">
        <v>94</v>
      </c>
      <c r="H3044" s="1114"/>
      <c r="I3044" s="1115"/>
    </row>
    <row r="3045" spans="1:11" x14ac:dyDescent="0.2">
      <c r="A3045" s="244"/>
      <c r="B3045" s="234"/>
      <c r="C3045" s="239"/>
      <c r="D3045" s="235"/>
      <c r="E3045" s="246"/>
      <c r="F3045" s="246"/>
      <c r="G3045" s="240"/>
      <c r="H3045" s="241"/>
      <c r="I3045" s="427">
        <f>TRUNC(C3045/100*I3042,2)</f>
        <v>0</v>
      </c>
    </row>
    <row r="3046" spans="1:11" x14ac:dyDescent="0.2">
      <c r="A3046" s="199"/>
      <c r="B3046" s="229"/>
      <c r="C3046" s="199"/>
      <c r="D3046" s="199"/>
      <c r="E3046" s="199"/>
      <c r="F3046" s="230" t="s">
        <v>327</v>
      </c>
      <c r="G3046" s="240"/>
      <c r="H3046" s="241"/>
      <c r="I3046" s="438">
        <f>SUM(I3045)</f>
        <v>0</v>
      </c>
    </row>
    <row r="3047" spans="1:11" x14ac:dyDescent="0.2">
      <c r="A3047" s="199"/>
      <c r="B3047" s="229"/>
      <c r="C3047" s="199"/>
      <c r="D3047" s="199"/>
      <c r="E3047" s="199"/>
      <c r="F3047" s="199"/>
      <c r="G3047" s="739" t="s">
        <v>373</v>
      </c>
      <c r="H3047" s="199"/>
      <c r="I3047" s="439"/>
    </row>
    <row r="3048" spans="1:11" x14ac:dyDescent="0.2">
      <c r="A3048" s="247"/>
      <c r="B3048" s="248"/>
      <c r="C3048" s="249"/>
      <c r="D3048" s="249"/>
      <c r="E3048" s="249"/>
      <c r="F3048" s="250" t="s">
        <v>193</v>
      </c>
      <c r="G3048" s="401"/>
      <c r="H3048" s="249"/>
      <c r="I3048" s="445">
        <f>+I3038+I3042+I3046</f>
        <v>0</v>
      </c>
    </row>
    <row r="3049" spans="1:11" x14ac:dyDescent="0.2">
      <c r="A3049" s="251"/>
      <c r="B3049" s="252"/>
      <c r="C3049" s="253"/>
      <c r="D3049" s="253"/>
      <c r="E3049" s="253"/>
      <c r="F3049" s="254" t="s">
        <v>194</v>
      </c>
      <c r="G3049" s="255"/>
      <c r="H3049" s="253"/>
      <c r="I3049" s="446">
        <v>1</v>
      </c>
    </row>
    <row r="3050" spans="1:11" x14ac:dyDescent="0.2">
      <c r="A3050" s="233"/>
      <c r="B3050" s="256"/>
      <c r="C3050" s="241"/>
      <c r="D3050" s="241"/>
      <c r="E3050" s="241"/>
      <c r="F3050" s="257" t="s">
        <v>216</v>
      </c>
      <c r="G3050" s="240"/>
      <c r="H3050" s="241"/>
      <c r="I3050" s="447">
        <f>TRUNC(I3048/I3049,2)</f>
        <v>0</v>
      </c>
    </row>
    <row r="3051" spans="1:11" x14ac:dyDescent="0.2">
      <c r="A3051" s="730"/>
      <c r="B3051" s="229"/>
      <c r="C3051" s="199"/>
      <c r="D3051" s="199"/>
      <c r="E3051" s="199"/>
      <c r="F3051" s="258"/>
      <c r="G3051" s="199"/>
      <c r="H3051" s="199"/>
      <c r="I3051" s="450"/>
    </row>
    <row r="3052" spans="1:11" x14ac:dyDescent="0.2">
      <c r="A3052" s="242" t="s">
        <v>195</v>
      </c>
      <c r="B3052" s="243" t="s">
        <v>59</v>
      </c>
      <c r="C3052" s="243" t="s">
        <v>196</v>
      </c>
      <c r="D3052" s="243" t="s">
        <v>217</v>
      </c>
      <c r="E3052" s="1121" t="s">
        <v>89</v>
      </c>
      <c r="F3052" s="1114"/>
      <c r="G3052" s="1115"/>
      <c r="H3052" s="1121" t="s">
        <v>183</v>
      </c>
      <c r="I3052" s="1115"/>
    </row>
    <row r="3053" spans="1:11" x14ac:dyDescent="0.2">
      <c r="A3053" s="259" t="str">
        <f>VLOOKUP(B3053,mat.!$A:$D,2,FALSE)</f>
        <v>Ripão de 2,5 X 7.0 cm</v>
      </c>
      <c r="B3053" s="234">
        <v>10069</v>
      </c>
      <c r="C3053" s="260" t="str">
        <f>VLOOKUP(B3053,mat.!$A:$D,3,FALSE)</f>
        <v>m3</v>
      </c>
      <c r="D3053" s="261">
        <f>VLOOKUP(B3053,mat.!$A:$D,4,FALSE)</f>
        <v>2037.44</v>
      </c>
      <c r="E3053" s="255"/>
      <c r="F3053" s="253"/>
      <c r="G3053" s="293">
        <v>2.3999999999999998E-3</v>
      </c>
      <c r="H3053" s="255"/>
      <c r="I3053" s="423">
        <f>TRUNC(D3053*G3053,2)</f>
        <v>4.88</v>
      </c>
      <c r="J3053" s="295"/>
      <c r="K3053" s="295"/>
    </row>
    <row r="3054" spans="1:11" x14ac:dyDescent="0.2">
      <c r="A3054" s="199"/>
      <c r="B3054" s="229"/>
      <c r="C3054" s="199"/>
      <c r="D3054" s="199"/>
      <c r="E3054" s="199"/>
      <c r="F3054" s="230" t="s">
        <v>197</v>
      </c>
      <c r="G3054" s="240"/>
      <c r="H3054" s="241"/>
      <c r="I3054" s="438">
        <f>I3053</f>
        <v>4.88</v>
      </c>
    </row>
    <row r="3055" spans="1:11" x14ac:dyDescent="0.2">
      <c r="A3055" s="199"/>
      <c r="B3055" s="229"/>
      <c r="C3055" s="199"/>
      <c r="D3055" s="199"/>
      <c r="E3055" s="199"/>
      <c r="F3055" s="199"/>
      <c r="G3055" s="262"/>
      <c r="H3055" s="199"/>
      <c r="I3055" s="439"/>
    </row>
    <row r="3056" spans="1:11" x14ac:dyDescent="0.2">
      <c r="A3056" s="263" t="s">
        <v>198</v>
      </c>
      <c r="B3056" s="243" t="s">
        <v>59</v>
      </c>
      <c r="C3056" s="243" t="s">
        <v>196</v>
      </c>
      <c r="D3056" s="729" t="s">
        <v>217</v>
      </c>
      <c r="E3056" s="1111" t="s">
        <v>89</v>
      </c>
      <c r="F3056" s="1112"/>
      <c r="G3056" s="1113"/>
      <c r="H3056" s="1114" t="s">
        <v>183</v>
      </c>
      <c r="I3056" s="1115"/>
    </row>
    <row r="3057" spans="1:17" ht="22.5" x14ac:dyDescent="0.2">
      <c r="A3057" s="416" t="str">
        <f>VLOOKUP(B3057,'DER 11-20'!$A:$E,2,FALSE)</f>
        <v>Concreto estrutural fck = 15,0 MPa, tudo incluído</v>
      </c>
      <c r="B3057" s="417">
        <v>40358</v>
      </c>
      <c r="C3057" s="417" t="str">
        <f>VLOOKUP(B3057,'DER 11-20'!$A:$E,3,FALSE)</f>
        <v>M3</v>
      </c>
      <c r="D3057" s="418">
        <f>TRUNC(VLOOKUP(B3057,'DER 11-20'!$A:$F,6,FALSE)/(1+$I$4),2)</f>
        <v>547.26</v>
      </c>
      <c r="E3057" s="419"/>
      <c r="F3057" s="420"/>
      <c r="G3057" s="421">
        <v>0.189</v>
      </c>
      <c r="H3057" s="422"/>
      <c r="I3057" s="423">
        <f>TRUNC(D3057*G3057,2)</f>
        <v>103.43</v>
      </c>
      <c r="J3057" s="415"/>
      <c r="K3057" s="415"/>
      <c r="L3057" s="198"/>
      <c r="M3057" s="198"/>
      <c r="N3057" s="198"/>
      <c r="O3057" s="198"/>
      <c r="P3057" s="198"/>
      <c r="Q3057" s="198"/>
    </row>
    <row r="3058" spans="1:17" s="198" customFormat="1" ht="22.5" x14ac:dyDescent="0.2">
      <c r="A3058" s="416" t="str">
        <f>VLOOKUP(B3058,'DER 11-20'!$A:$E,2,FALSE)</f>
        <v>Escavação manual em mat. 1ª cat. H= 0,00 a 1,50 m</v>
      </c>
      <c r="B3058" s="417">
        <v>40258</v>
      </c>
      <c r="C3058" s="417" t="str">
        <f>VLOOKUP(B3058,'DER 11-20'!$A:$E,3,FALSE)</f>
        <v>M3</v>
      </c>
      <c r="D3058" s="418">
        <f>TRUNC(VLOOKUP(B3058,'DER 11-20'!$A:$F,6,FALSE)/(1+$I$4),2)</f>
        <v>56.6</v>
      </c>
      <c r="E3058" s="419"/>
      <c r="F3058" s="420"/>
      <c r="G3058" s="421">
        <v>1.038</v>
      </c>
      <c r="H3058" s="422"/>
      <c r="I3058" s="423">
        <f>TRUNC(D3058*G3058,2)</f>
        <v>58.75</v>
      </c>
      <c r="J3058" s="415"/>
      <c r="K3058" s="415"/>
    </row>
    <row r="3059" spans="1:17" s="198" customFormat="1" x14ac:dyDescent="0.2">
      <c r="A3059" s="200"/>
      <c r="B3059" s="264"/>
      <c r="C3059" s="200"/>
      <c r="D3059" s="200"/>
      <c r="E3059" s="200"/>
      <c r="F3059" s="265" t="s">
        <v>199</v>
      </c>
      <c r="G3059" s="255"/>
      <c r="H3059" s="266"/>
      <c r="I3059" s="441">
        <f>SUM(I3057:I3058)</f>
        <v>162.18</v>
      </c>
      <c r="J3059" s="400"/>
      <c r="K3059" s="400"/>
      <c r="L3059" s="295"/>
      <c r="M3059" s="295"/>
      <c r="N3059" s="295"/>
      <c r="O3059" s="295"/>
      <c r="P3059" s="295"/>
      <c r="Q3059" s="295"/>
    </row>
    <row r="3060" spans="1:17" x14ac:dyDescent="0.2">
      <c r="A3060" s="200"/>
      <c r="B3060" s="264"/>
      <c r="C3060" s="200"/>
      <c r="D3060" s="200"/>
      <c r="E3060" s="200"/>
      <c r="F3060" s="200"/>
      <c r="G3060" s="200"/>
      <c r="H3060" s="200"/>
      <c r="I3060" s="440"/>
    </row>
    <row r="3061" spans="1:17" x14ac:dyDescent="0.2">
      <c r="A3061" s="267" t="s">
        <v>200</v>
      </c>
      <c r="B3061" s="268" t="s">
        <v>59</v>
      </c>
      <c r="C3061" s="268" t="s">
        <v>196</v>
      </c>
      <c r="D3061" s="268" t="s">
        <v>201</v>
      </c>
      <c r="E3061" s="268" t="s">
        <v>202</v>
      </c>
      <c r="F3061" s="268" t="s">
        <v>203</v>
      </c>
      <c r="G3061" s="268" t="s">
        <v>94</v>
      </c>
      <c r="H3061" s="268" t="s">
        <v>89</v>
      </c>
      <c r="I3061" s="442" t="s">
        <v>204</v>
      </c>
    </row>
    <row r="3062" spans="1:17" x14ac:dyDescent="0.2">
      <c r="A3062" s="244"/>
      <c r="B3062" s="234"/>
      <c r="C3062" s="234"/>
      <c r="D3062" s="402"/>
      <c r="E3062" s="270"/>
      <c r="F3062" s="270"/>
      <c r="G3062" s="239"/>
      <c r="H3062" s="271"/>
      <c r="I3062" s="418"/>
    </row>
    <row r="3063" spans="1:17" x14ac:dyDescent="0.2">
      <c r="A3063" s="200"/>
      <c r="B3063" s="264"/>
      <c r="C3063" s="200"/>
      <c r="D3063" s="200"/>
      <c r="E3063" s="200"/>
      <c r="F3063" s="265" t="s">
        <v>205</v>
      </c>
      <c r="G3063" s="240"/>
      <c r="H3063" s="272"/>
      <c r="I3063" s="443">
        <f>SUM(I3062:I3062)</f>
        <v>0</v>
      </c>
    </row>
    <row r="3064" spans="1:17" x14ac:dyDescent="0.2">
      <c r="A3064" s="200"/>
      <c r="B3064" s="264"/>
      <c r="C3064" s="200"/>
      <c r="D3064" s="200"/>
      <c r="E3064" s="200"/>
      <c r="F3064" s="200"/>
      <c r="G3064" s="200"/>
      <c r="H3064" s="200"/>
      <c r="I3064" s="444"/>
    </row>
    <row r="3065" spans="1:17" x14ac:dyDescent="0.2">
      <c r="A3065" s="273"/>
      <c r="B3065" s="274"/>
      <c r="C3065" s="275"/>
      <c r="D3065" s="275"/>
      <c r="E3065" s="275"/>
      <c r="F3065" s="276" t="s">
        <v>206</v>
      </c>
      <c r="G3065" s="273"/>
      <c r="H3065" s="249"/>
      <c r="I3065" s="445">
        <f>+I3050+I3054+I3059+I3063</f>
        <v>167.06</v>
      </c>
    </row>
    <row r="3066" spans="1:17" x14ac:dyDescent="0.2">
      <c r="A3066" s="255"/>
      <c r="B3066" s="277"/>
      <c r="C3066" s="266"/>
      <c r="D3066" s="266"/>
      <c r="E3066" s="266"/>
      <c r="F3066" s="278" t="str">
        <f>CONCATENATE($H$3," ",$I$3)</f>
        <v>BDI: 23,32</v>
      </c>
      <c r="G3066" s="403"/>
      <c r="H3066" s="253"/>
      <c r="I3066" s="446">
        <f>+ROUND(I3065*$I$4,2)</f>
        <v>38.96</v>
      </c>
    </row>
    <row r="3067" spans="1:17" x14ac:dyDescent="0.2">
      <c r="A3067" s="240"/>
      <c r="B3067" s="279"/>
      <c r="C3067" s="272"/>
      <c r="D3067" s="272"/>
      <c r="E3067" s="272"/>
      <c r="F3067" s="280" t="s">
        <v>207</v>
      </c>
      <c r="G3067" s="404"/>
      <c r="H3067" s="241"/>
      <c r="I3067" s="720">
        <f>+I3065+I3066</f>
        <v>206.02</v>
      </c>
    </row>
    <row r="3068" spans="1:17" x14ac:dyDescent="0.2">
      <c r="A3068" s="1116" t="str">
        <f>$A$1</f>
        <v>COMPOSIÇÃO DE CUSTOS UNITÁRIOS</v>
      </c>
      <c r="B3068" s="1116"/>
      <c r="C3068" s="1116"/>
      <c r="D3068" s="1116"/>
      <c r="E3068" s="1116"/>
      <c r="F3068" s="1116"/>
      <c r="G3068" s="1116"/>
      <c r="H3068" s="1116"/>
      <c r="I3068" s="1116"/>
    </row>
    <row r="3069" spans="1:17" x14ac:dyDescent="0.2">
      <c r="A3069" s="228" t="str">
        <f>$A$2</f>
        <v>Tabela Referencial de Preços - DER-ES</v>
      </c>
      <c r="B3069" s="229"/>
      <c r="C3069" s="199"/>
      <c r="D3069" s="199"/>
      <c r="E3069" s="199"/>
      <c r="F3069" s="199"/>
      <c r="G3069" s="199"/>
      <c r="H3069" s="199"/>
      <c r="I3069" s="414" t="str">
        <f>$I$2</f>
        <v>Data Base: novembro/2020</v>
      </c>
    </row>
    <row r="3070" spans="1:17" x14ac:dyDescent="0.2">
      <c r="A3070" s="1117" t="str">
        <f>+CONCATENATE("Serviço: ",J3070," ",VLOOKUP(J3070,'DER 11-20'!$A:$D,2,FALSE))</f>
        <v>Serviço: 40676 Descida d'água concreto simples (calha) c/ caiação (DSA-01) canal</v>
      </c>
      <c r="B3070" s="1117"/>
      <c r="C3070" s="1117"/>
      <c r="D3070" s="1117"/>
      <c r="E3070" s="1117"/>
      <c r="F3070" s="1117"/>
      <c r="G3070" s="1117"/>
      <c r="H3070" s="1117"/>
      <c r="I3070" s="1119" t="str">
        <f>CONCATENATE("Unidade: ", VLOOKUP(J3070,'DER 11-20'!$A:$E,3,FALSE))</f>
        <v>Unidade: M</v>
      </c>
      <c r="J3070" s="400">
        <v>40676</v>
      </c>
      <c r="K3070" s="400">
        <f>VLOOKUP("Preço Unitário Total",F3071:I3698,4,FALSE)</f>
        <v>347.65</v>
      </c>
      <c r="L3070" s="295">
        <f>VLOOKUP(J3070,'DER 11-20'!A:E,5,FALSE)</f>
        <v>0</v>
      </c>
      <c r="M3070" s="295" t="str">
        <f>VLOOKUP(J3070,'DER 11-20'!$A:$D,2,FALSE)</f>
        <v>Descida d'água concreto simples (calha) c/ caiação (DSA-01) canal</v>
      </c>
    </row>
    <row r="3071" spans="1:17" x14ac:dyDescent="0.2">
      <c r="A3071" s="1118"/>
      <c r="B3071" s="1118"/>
      <c r="C3071" s="1118"/>
      <c r="D3071" s="1118"/>
      <c r="E3071" s="1118"/>
      <c r="F3071" s="1118"/>
      <c r="G3071" s="1118"/>
      <c r="H3071" s="1118"/>
      <c r="I3071" s="1120"/>
    </row>
    <row r="3072" spans="1:17" ht="22.5" x14ac:dyDescent="0.2">
      <c r="A3072" s="231" t="s">
        <v>177</v>
      </c>
      <c r="B3072" s="232" t="s">
        <v>59</v>
      </c>
      <c r="C3072" s="232" t="s">
        <v>178</v>
      </c>
      <c r="D3072" s="232" t="s">
        <v>179</v>
      </c>
      <c r="E3072" s="232" t="s">
        <v>180</v>
      </c>
      <c r="F3072" s="232" t="s">
        <v>181</v>
      </c>
      <c r="G3072" s="232" t="s">
        <v>182</v>
      </c>
      <c r="H3072" s="232" t="s">
        <v>89</v>
      </c>
      <c r="I3072" s="434" t="s">
        <v>183</v>
      </c>
    </row>
    <row r="3073" spans="1:9" x14ac:dyDescent="0.2">
      <c r="A3073" s="233"/>
      <c r="B3073" s="234"/>
      <c r="C3073" s="235"/>
      <c r="D3073" s="236"/>
      <c r="E3073" s="203"/>
      <c r="F3073" s="237"/>
      <c r="G3073" s="237"/>
      <c r="H3073" s="238"/>
      <c r="I3073" s="418"/>
    </row>
    <row r="3074" spans="1:9" x14ac:dyDescent="0.2">
      <c r="A3074" s="199"/>
      <c r="B3074" s="229"/>
      <c r="C3074" s="229"/>
      <c r="D3074" s="199"/>
      <c r="E3074" s="199"/>
      <c r="F3074" s="230" t="s">
        <v>184</v>
      </c>
      <c r="G3074" s="240"/>
      <c r="H3074" s="241"/>
      <c r="I3074" s="438">
        <f>SUM(I3073:I3073)</f>
        <v>0</v>
      </c>
    </row>
    <row r="3075" spans="1:9" x14ac:dyDescent="0.2">
      <c r="A3075" s="199"/>
      <c r="B3075" s="229"/>
      <c r="C3075" s="229"/>
      <c r="D3075" s="199"/>
      <c r="E3075" s="199"/>
      <c r="F3075" s="199"/>
      <c r="G3075" s="199"/>
      <c r="H3075" s="199"/>
      <c r="I3075" s="439"/>
    </row>
    <row r="3076" spans="1:9" x14ac:dyDescent="0.2">
      <c r="A3076" s="242" t="s">
        <v>185</v>
      </c>
      <c r="B3076" s="243" t="s">
        <v>59</v>
      </c>
      <c r="C3076" s="232" t="s">
        <v>357</v>
      </c>
      <c r="D3076" s="243" t="s">
        <v>187</v>
      </c>
      <c r="E3076" s="1111" t="s">
        <v>89</v>
      </c>
      <c r="F3076" s="1112"/>
      <c r="G3076" s="1113"/>
      <c r="H3076" s="1121" t="s">
        <v>183</v>
      </c>
      <c r="I3076" s="1115"/>
    </row>
    <row r="3077" spans="1:9" x14ac:dyDescent="0.2">
      <c r="A3077" s="244"/>
      <c r="B3077" s="234"/>
      <c r="C3077" s="239"/>
      <c r="D3077" s="239"/>
      <c r="E3077" s="255"/>
      <c r="F3077" s="253"/>
      <c r="G3077" s="293"/>
      <c r="H3077" s="240"/>
      <c r="I3077" s="427"/>
    </row>
    <row r="3078" spans="1:9" x14ac:dyDescent="0.2">
      <c r="A3078" s="199"/>
      <c r="B3078" s="229"/>
      <c r="C3078" s="229"/>
      <c r="D3078" s="199"/>
      <c r="E3078" s="199"/>
      <c r="F3078" s="230" t="s">
        <v>188</v>
      </c>
      <c r="G3078" s="240"/>
      <c r="H3078" s="241"/>
      <c r="I3078" s="438">
        <f>SUM(I3077:I3077)</f>
        <v>0</v>
      </c>
    </row>
    <row r="3079" spans="1:9" x14ac:dyDescent="0.2">
      <c r="A3079" s="199"/>
      <c r="B3079" s="229"/>
      <c r="C3079" s="229"/>
      <c r="D3079" s="199"/>
      <c r="E3079" s="199"/>
      <c r="F3079" s="199"/>
      <c r="G3079" s="199"/>
      <c r="H3079" s="199"/>
      <c r="I3079" s="439"/>
    </row>
    <row r="3080" spans="1:9" x14ac:dyDescent="0.2">
      <c r="A3080" s="245" t="s">
        <v>189</v>
      </c>
      <c r="B3080" s="243" t="s">
        <v>59</v>
      </c>
      <c r="C3080" s="635" t="s">
        <v>17</v>
      </c>
      <c r="D3080" s="243" t="s">
        <v>190</v>
      </c>
      <c r="E3080" s="243" t="s">
        <v>191</v>
      </c>
      <c r="F3080" s="243" t="s">
        <v>192</v>
      </c>
      <c r="G3080" s="1121" t="s">
        <v>94</v>
      </c>
      <c r="H3080" s="1114"/>
      <c r="I3080" s="1115"/>
    </row>
    <row r="3081" spans="1:9" x14ac:dyDescent="0.2">
      <c r="A3081" s="244"/>
      <c r="B3081" s="234"/>
      <c r="C3081" s="239"/>
      <c r="D3081" s="235"/>
      <c r="E3081" s="246"/>
      <c r="F3081" s="246"/>
      <c r="G3081" s="240"/>
      <c r="H3081" s="241"/>
      <c r="I3081" s="427">
        <f>TRUNC(C3081/100*I3078,2)</f>
        <v>0</v>
      </c>
    </row>
    <row r="3082" spans="1:9" x14ac:dyDescent="0.2">
      <c r="A3082" s="199"/>
      <c r="B3082" s="229"/>
      <c r="C3082" s="199"/>
      <c r="D3082" s="199"/>
      <c r="E3082" s="199"/>
      <c r="F3082" s="230" t="s">
        <v>327</v>
      </c>
      <c r="G3082" s="240"/>
      <c r="H3082" s="241"/>
      <c r="I3082" s="438">
        <f>SUM(I3081)</f>
        <v>0</v>
      </c>
    </row>
    <row r="3083" spans="1:9" x14ac:dyDescent="0.2">
      <c r="A3083" s="199"/>
      <c r="B3083" s="229"/>
      <c r="C3083" s="199"/>
      <c r="D3083" s="199"/>
      <c r="E3083" s="199"/>
      <c r="F3083" s="199"/>
      <c r="G3083" s="199"/>
      <c r="H3083" s="199"/>
      <c r="I3083" s="439"/>
    </row>
    <row r="3084" spans="1:9" x14ac:dyDescent="0.2">
      <c r="A3084" s="247"/>
      <c r="B3084" s="248"/>
      <c r="C3084" s="249"/>
      <c r="D3084" s="249"/>
      <c r="E3084" s="249"/>
      <c r="F3084" s="250" t="s">
        <v>193</v>
      </c>
      <c r="G3084" s="401"/>
      <c r="H3084" s="249"/>
      <c r="I3084" s="445">
        <f>+I3074+I3078+I3082</f>
        <v>0</v>
      </c>
    </row>
    <row r="3085" spans="1:9" x14ac:dyDescent="0.2">
      <c r="A3085" s="251"/>
      <c r="B3085" s="252"/>
      <c r="C3085" s="253"/>
      <c r="D3085" s="253"/>
      <c r="E3085" s="253"/>
      <c r="F3085" s="254" t="s">
        <v>194</v>
      </c>
      <c r="G3085" s="255"/>
      <c r="H3085" s="253"/>
      <c r="I3085" s="446">
        <v>1</v>
      </c>
    </row>
    <row r="3086" spans="1:9" x14ac:dyDescent="0.2">
      <c r="A3086" s="233"/>
      <c r="B3086" s="256"/>
      <c r="C3086" s="241"/>
      <c r="D3086" s="241"/>
      <c r="E3086" s="241"/>
      <c r="F3086" s="257" t="s">
        <v>216</v>
      </c>
      <c r="G3086" s="240"/>
      <c r="H3086" s="241"/>
      <c r="I3086" s="447">
        <f>TRUNC(I3084/I3085,2)</f>
        <v>0</v>
      </c>
    </row>
    <row r="3087" spans="1:9" x14ac:dyDescent="0.2">
      <c r="A3087" s="636"/>
      <c r="B3087" s="229"/>
      <c r="C3087" s="199"/>
      <c r="D3087" s="199"/>
      <c r="E3087" s="199"/>
      <c r="F3087" s="258"/>
      <c r="G3087" s="199"/>
      <c r="H3087" s="199"/>
      <c r="I3087" s="450"/>
    </row>
    <row r="3088" spans="1:9" x14ac:dyDescent="0.2">
      <c r="A3088" s="242" t="s">
        <v>195</v>
      </c>
      <c r="B3088" s="243" t="s">
        <v>59</v>
      </c>
      <c r="C3088" s="243" t="s">
        <v>196</v>
      </c>
      <c r="D3088" s="243" t="s">
        <v>217</v>
      </c>
      <c r="E3088" s="1121" t="s">
        <v>89</v>
      </c>
      <c r="F3088" s="1114"/>
      <c r="G3088" s="1115"/>
      <c r="H3088" s="1121" t="s">
        <v>183</v>
      </c>
      <c r="I3088" s="1115"/>
    </row>
    <row r="3089" spans="1:17" x14ac:dyDescent="0.2">
      <c r="A3089" s="259"/>
      <c r="B3089" s="234"/>
      <c r="C3089" s="260"/>
      <c r="D3089" s="261"/>
      <c r="E3089" s="255"/>
      <c r="F3089" s="253"/>
      <c r="G3089" s="293"/>
      <c r="H3089" s="255"/>
      <c r="I3089" s="423"/>
    </row>
    <row r="3090" spans="1:17" x14ac:dyDescent="0.2">
      <c r="A3090" s="199"/>
      <c r="B3090" s="229"/>
      <c r="C3090" s="199"/>
      <c r="D3090" s="199"/>
      <c r="E3090" s="199"/>
      <c r="F3090" s="230" t="s">
        <v>197</v>
      </c>
      <c r="G3090" s="240"/>
      <c r="H3090" s="241"/>
      <c r="I3090" s="438">
        <f>SUM(I3089:I3089)</f>
        <v>0</v>
      </c>
    </row>
    <row r="3091" spans="1:17" x14ac:dyDescent="0.2">
      <c r="A3091" s="199"/>
      <c r="B3091" s="229"/>
      <c r="C3091" s="199"/>
      <c r="D3091" s="199"/>
      <c r="E3091" s="199"/>
      <c r="F3091" s="199"/>
      <c r="G3091" s="262"/>
      <c r="H3091" s="199"/>
      <c r="I3091" s="439"/>
    </row>
    <row r="3092" spans="1:17" x14ac:dyDescent="0.2">
      <c r="A3092" s="263" t="s">
        <v>198</v>
      </c>
      <c r="B3092" s="243" t="s">
        <v>59</v>
      </c>
      <c r="C3092" s="243" t="s">
        <v>196</v>
      </c>
      <c r="D3092" s="635" t="s">
        <v>217</v>
      </c>
      <c r="E3092" s="1111" t="s">
        <v>89</v>
      </c>
      <c r="F3092" s="1112"/>
      <c r="G3092" s="1113"/>
      <c r="H3092" s="1114" t="s">
        <v>183</v>
      </c>
      <c r="I3092" s="1115"/>
    </row>
    <row r="3093" spans="1:17" s="198" customFormat="1" x14ac:dyDescent="0.2">
      <c r="A3093" s="244" t="str">
        <f>VLOOKUP(B3093,'DER 11-20'!$A:$E,2,FALSE)</f>
        <v>Caiação de meio fios, sarjetas, etc</v>
      </c>
      <c r="B3093" s="234">
        <v>40658</v>
      </c>
      <c r="C3093" s="234" t="str">
        <f>VLOOKUP(B3093,'DER 11-20'!$A:$E,3,FALSE)</f>
        <v>M2</v>
      </c>
      <c r="D3093" s="418">
        <f>TRUNC(VLOOKUP(B3093,'DER 11-20'!$A:$F,6,FALSE)/(1+$I$4),2)</f>
        <v>5.0599999999999996</v>
      </c>
      <c r="E3093" s="255"/>
      <c r="F3093" s="253"/>
      <c r="G3093" s="293">
        <v>1.5</v>
      </c>
      <c r="H3093" s="240"/>
      <c r="I3093" s="423">
        <f>TRUNC(D3093*G3093,2)</f>
        <v>7.59</v>
      </c>
      <c r="J3093" s="400"/>
      <c r="K3093" s="400"/>
      <c r="L3093" s="295"/>
      <c r="M3093" s="295"/>
      <c r="N3093" s="295"/>
      <c r="O3093" s="295"/>
      <c r="P3093" s="295"/>
      <c r="Q3093" s="295"/>
    </row>
    <row r="3094" spans="1:17" s="198" customFormat="1" ht="22.5" x14ac:dyDescent="0.2">
      <c r="A3094" s="416" t="str">
        <f>VLOOKUP(B3094,'DER 11-20'!$A:$E,2,FALSE)</f>
        <v>Concreto estrutural fck = 15,0 MPa, tudo incluído</v>
      </c>
      <c r="B3094" s="417">
        <v>40358</v>
      </c>
      <c r="C3094" s="417" t="str">
        <f>VLOOKUP(B3094,'DER 11-20'!$A:$E,3,FALSE)</f>
        <v>M3</v>
      </c>
      <c r="D3094" s="418">
        <f>TRUNC(VLOOKUP(B3094,'DER 11-20'!$A:$F,6,FALSE)/(1+$I$4),2)</f>
        <v>547.26</v>
      </c>
      <c r="E3094" s="419"/>
      <c r="F3094" s="420"/>
      <c r="G3094" s="421">
        <v>0.22500000000000001</v>
      </c>
      <c r="H3094" s="422"/>
      <c r="I3094" s="423">
        <f>TRUNC(D3094*G3094,2)</f>
        <v>123.13</v>
      </c>
      <c r="J3094" s="415"/>
      <c r="K3094" s="415"/>
    </row>
    <row r="3095" spans="1:17" s="198" customFormat="1" ht="22.5" x14ac:dyDescent="0.2">
      <c r="A3095" s="416" t="str">
        <f>VLOOKUP(B3095,'DER 11-20'!$A:$E,2,FALSE)</f>
        <v>Escavação manual em mat. 1ª cat. H= 0,00 a 1,50 m</v>
      </c>
      <c r="B3095" s="417">
        <v>40258</v>
      </c>
      <c r="C3095" s="417" t="str">
        <f>VLOOKUP(B3095,'DER 11-20'!$A:$E,3,FALSE)</f>
        <v>M3</v>
      </c>
      <c r="D3095" s="418">
        <f>TRUNC(VLOOKUP(B3095,'DER 11-20'!$A:$F,6,FALSE)/(1+$I$4),2)</f>
        <v>56.6</v>
      </c>
      <c r="E3095" s="419"/>
      <c r="F3095" s="420"/>
      <c r="G3095" s="421">
        <v>0.437</v>
      </c>
      <c r="H3095" s="422"/>
      <c r="I3095" s="423">
        <f>TRUNC(D3095*G3095,2)</f>
        <v>24.73</v>
      </c>
      <c r="J3095" s="415"/>
      <c r="K3095" s="415"/>
    </row>
    <row r="3096" spans="1:17" s="198" customFormat="1" ht="45" x14ac:dyDescent="0.2">
      <c r="A3096" s="416" t="str">
        <f>VLOOKUP(B3096,'DER 11-20'!$A:$E,2,FALSE)</f>
        <v>Formas planas de madeira com 02 (dois) reaproveitamentos, inclusive fornecimento e transporte das madeiras</v>
      </c>
      <c r="B3096" s="417">
        <v>40312</v>
      </c>
      <c r="C3096" s="417" t="str">
        <f>VLOOKUP(B3096,'DER 11-20'!$A:$E,3,FALSE)</f>
        <v>M2</v>
      </c>
      <c r="D3096" s="418">
        <f>TRUNC(VLOOKUP(B3096,'DER 11-20'!$A:$F,6,FALSE)/(1+$I$4),2)</f>
        <v>84.31</v>
      </c>
      <c r="E3096" s="419"/>
      <c r="F3096" s="420"/>
      <c r="G3096" s="421">
        <v>1.5</v>
      </c>
      <c r="H3096" s="422"/>
      <c r="I3096" s="423">
        <f>TRUNC(D3096*G3096,2)</f>
        <v>126.46</v>
      </c>
      <c r="J3096" s="415"/>
      <c r="K3096" s="415"/>
    </row>
    <row r="3097" spans="1:17" s="198" customFormat="1" x14ac:dyDescent="0.2">
      <c r="A3097" s="200"/>
      <c r="B3097" s="264"/>
      <c r="C3097" s="200"/>
      <c r="D3097" s="200"/>
      <c r="E3097" s="200"/>
      <c r="F3097" s="265" t="s">
        <v>199</v>
      </c>
      <c r="G3097" s="255"/>
      <c r="H3097" s="266"/>
      <c r="I3097" s="441">
        <f>SUM(I3093:I3096)</f>
        <v>281.91000000000003</v>
      </c>
      <c r="J3097" s="400"/>
      <c r="K3097" s="400"/>
      <c r="L3097" s="295"/>
      <c r="M3097" s="295"/>
      <c r="N3097" s="295"/>
      <c r="O3097" s="295"/>
      <c r="P3097" s="295"/>
      <c r="Q3097" s="295"/>
    </row>
    <row r="3098" spans="1:17" s="198" customFormat="1" x14ac:dyDescent="0.2">
      <c r="A3098" s="200"/>
      <c r="B3098" s="264"/>
      <c r="C3098" s="200"/>
      <c r="D3098" s="200"/>
      <c r="E3098" s="200"/>
      <c r="F3098" s="200"/>
      <c r="G3098" s="200"/>
      <c r="H3098" s="200"/>
      <c r="I3098" s="440"/>
      <c r="J3098" s="400"/>
      <c r="K3098" s="400"/>
      <c r="L3098" s="295"/>
      <c r="M3098" s="295"/>
      <c r="N3098" s="295"/>
      <c r="O3098" s="295"/>
      <c r="P3098" s="295"/>
      <c r="Q3098" s="295"/>
    </row>
    <row r="3099" spans="1:17" x14ac:dyDescent="0.2">
      <c r="A3099" s="267" t="s">
        <v>200</v>
      </c>
      <c r="B3099" s="268" t="s">
        <v>59</v>
      </c>
      <c r="C3099" s="268" t="s">
        <v>196</v>
      </c>
      <c r="D3099" s="268" t="s">
        <v>201</v>
      </c>
      <c r="E3099" s="268" t="s">
        <v>202</v>
      </c>
      <c r="F3099" s="268" t="s">
        <v>203</v>
      </c>
      <c r="G3099" s="268" t="s">
        <v>94</v>
      </c>
      <c r="H3099" s="268" t="s">
        <v>89</v>
      </c>
      <c r="I3099" s="442" t="s">
        <v>204</v>
      </c>
    </row>
    <row r="3100" spans="1:17" x14ac:dyDescent="0.2">
      <c r="A3100" s="244"/>
      <c r="B3100" s="234"/>
      <c r="C3100" s="234"/>
      <c r="D3100" s="269"/>
      <c r="E3100" s="270"/>
      <c r="F3100" s="270"/>
      <c r="G3100" s="239"/>
      <c r="H3100" s="271"/>
      <c r="I3100" s="418"/>
    </row>
    <row r="3101" spans="1:17" x14ac:dyDescent="0.2">
      <c r="A3101" s="200"/>
      <c r="B3101" s="264"/>
      <c r="C3101" s="200"/>
      <c r="D3101" s="200"/>
      <c r="E3101" s="200"/>
      <c r="F3101" s="265" t="s">
        <v>205</v>
      </c>
      <c r="G3101" s="240"/>
      <c r="H3101" s="272"/>
      <c r="I3101" s="443">
        <f>SUM(I3100:I3100)</f>
        <v>0</v>
      </c>
    </row>
    <row r="3102" spans="1:17" x14ac:dyDescent="0.2">
      <c r="A3102" s="200"/>
      <c r="B3102" s="264"/>
      <c r="C3102" s="200"/>
      <c r="D3102" s="200"/>
      <c r="E3102" s="200"/>
      <c r="F3102" s="200"/>
      <c r="G3102" s="200"/>
      <c r="H3102" s="200"/>
      <c r="I3102" s="444"/>
    </row>
    <row r="3103" spans="1:17" x14ac:dyDescent="0.2">
      <c r="A3103" s="273"/>
      <c r="B3103" s="274"/>
      <c r="C3103" s="275"/>
      <c r="D3103" s="275"/>
      <c r="E3103" s="275"/>
      <c r="F3103" s="276" t="s">
        <v>206</v>
      </c>
      <c r="G3103" s="273"/>
      <c r="H3103" s="249"/>
      <c r="I3103" s="445">
        <f>+I3086+I3090+I3097+I3101</f>
        <v>281.91000000000003</v>
      </c>
    </row>
    <row r="3104" spans="1:17" x14ac:dyDescent="0.2">
      <c r="A3104" s="255"/>
      <c r="B3104" s="277"/>
      <c r="C3104" s="266"/>
      <c r="D3104" s="266"/>
      <c r="E3104" s="266"/>
      <c r="F3104" s="278" t="str">
        <f>CONCATENATE($H$3," ",$I$3)</f>
        <v>BDI: 23,32</v>
      </c>
      <c r="G3104" s="403"/>
      <c r="H3104" s="253"/>
      <c r="I3104" s="446">
        <f>+ROUND(I3103*$I$4,2)</f>
        <v>65.739999999999995</v>
      </c>
    </row>
    <row r="3105" spans="1:13" x14ac:dyDescent="0.2">
      <c r="A3105" s="240"/>
      <c r="B3105" s="279"/>
      <c r="C3105" s="272"/>
      <c r="D3105" s="272"/>
      <c r="E3105" s="272"/>
      <c r="F3105" s="280" t="s">
        <v>207</v>
      </c>
      <c r="G3105" s="404"/>
      <c r="H3105" s="241"/>
      <c r="I3105" s="720">
        <f>+I3103+I3104</f>
        <v>347.65</v>
      </c>
    </row>
    <row r="3106" spans="1:13" x14ac:dyDescent="0.2">
      <c r="A3106" s="1116" t="str">
        <f>$A$1</f>
        <v>COMPOSIÇÃO DE CUSTOS UNITÁRIOS</v>
      </c>
      <c r="B3106" s="1116"/>
      <c r="C3106" s="1116"/>
      <c r="D3106" s="1116"/>
      <c r="E3106" s="1116"/>
      <c r="F3106" s="1116"/>
      <c r="G3106" s="1116"/>
      <c r="H3106" s="1116"/>
      <c r="I3106" s="1116"/>
    </row>
    <row r="3107" spans="1:13" x14ac:dyDescent="0.2">
      <c r="A3107" s="228" t="str">
        <f>$A$2</f>
        <v>Tabela Referencial de Preços - DER-ES</v>
      </c>
      <c r="B3107" s="229"/>
      <c r="C3107" s="199"/>
      <c r="D3107" s="199"/>
      <c r="E3107" s="199"/>
      <c r="F3107" s="199"/>
      <c r="G3107" s="199"/>
      <c r="H3107" s="199"/>
      <c r="I3107" s="414" t="str">
        <f>$I$2</f>
        <v>Data Base: novembro/2020</v>
      </c>
    </row>
    <row r="3108" spans="1:13" x14ac:dyDescent="0.2">
      <c r="A3108" s="1117" t="str">
        <f>+CONCATENATE("Serviço: ",J3108," ",VLOOKUP(J3108,'DER 11-20'!$A:$D,2,FALSE))</f>
        <v>Serviço: 40677 Descida d'água concreto simples (calha) c/ caiação (DSA-01) dispersor</v>
      </c>
      <c r="B3108" s="1117"/>
      <c r="C3108" s="1117"/>
      <c r="D3108" s="1117"/>
      <c r="E3108" s="1117"/>
      <c r="F3108" s="1117"/>
      <c r="G3108" s="1117"/>
      <c r="H3108" s="1117"/>
      <c r="I3108" s="1119" t="str">
        <f>CONCATENATE("Unidade: ", VLOOKUP(J3108,'DER 11-20'!$A:$E,3,FALSE))</f>
        <v>Unidade: Ud</v>
      </c>
      <c r="J3108" s="400">
        <v>40677</v>
      </c>
      <c r="K3108" s="400">
        <f>VLOOKUP("Preço Unitário Total",F3109:I3698,4,FALSE)</f>
        <v>745.83</v>
      </c>
      <c r="L3108" s="295">
        <f>VLOOKUP(J3108,'DER 11-20'!A:E,5,FALSE)</f>
        <v>0</v>
      </c>
      <c r="M3108" s="295" t="str">
        <f>VLOOKUP(J3108,'DER 11-20'!$A:$D,2,FALSE)</f>
        <v>Descida d'água concreto simples (calha) c/ caiação (DSA-01) dispersor</v>
      </c>
    </row>
    <row r="3109" spans="1:13" ht="14.25" customHeight="1" x14ac:dyDescent="0.2">
      <c r="A3109" s="1118"/>
      <c r="B3109" s="1118"/>
      <c r="C3109" s="1118"/>
      <c r="D3109" s="1118"/>
      <c r="E3109" s="1118"/>
      <c r="F3109" s="1118"/>
      <c r="G3109" s="1118"/>
      <c r="H3109" s="1118"/>
      <c r="I3109" s="1120"/>
    </row>
    <row r="3110" spans="1:13" ht="22.5" x14ac:dyDescent="0.2">
      <c r="A3110" s="231" t="s">
        <v>177</v>
      </c>
      <c r="B3110" s="232" t="s">
        <v>59</v>
      </c>
      <c r="C3110" s="232" t="s">
        <v>178</v>
      </c>
      <c r="D3110" s="232" t="s">
        <v>179</v>
      </c>
      <c r="E3110" s="232" t="s">
        <v>180</v>
      </c>
      <c r="F3110" s="232" t="s">
        <v>181</v>
      </c>
      <c r="G3110" s="232" t="s">
        <v>182</v>
      </c>
      <c r="H3110" s="232" t="s">
        <v>89</v>
      </c>
      <c r="I3110" s="434" t="s">
        <v>183</v>
      </c>
    </row>
    <row r="3111" spans="1:13" x14ac:dyDescent="0.2">
      <c r="A3111" s="233"/>
      <c r="B3111" s="234"/>
      <c r="C3111" s="235"/>
      <c r="D3111" s="236"/>
      <c r="E3111" s="203"/>
      <c r="F3111" s="237"/>
      <c r="G3111" s="237"/>
      <c r="H3111" s="238"/>
      <c r="I3111" s="418"/>
    </row>
    <row r="3112" spans="1:13" x14ac:dyDescent="0.2">
      <c r="A3112" s="199"/>
      <c r="B3112" s="229"/>
      <c r="C3112" s="229"/>
      <c r="D3112" s="199"/>
      <c r="E3112" s="199"/>
      <c r="F3112" s="230" t="s">
        <v>184</v>
      </c>
      <c r="G3112" s="240"/>
      <c r="H3112" s="241"/>
      <c r="I3112" s="438">
        <f>SUM(I3111:I3111)</f>
        <v>0</v>
      </c>
      <c r="J3112" s="295"/>
      <c r="K3112" s="295"/>
    </row>
    <row r="3113" spans="1:13" x14ac:dyDescent="0.2">
      <c r="A3113" s="199"/>
      <c r="B3113" s="229"/>
      <c r="C3113" s="229"/>
      <c r="D3113" s="199"/>
      <c r="E3113" s="199"/>
      <c r="F3113" s="199"/>
      <c r="G3113" s="199"/>
      <c r="H3113" s="199"/>
      <c r="I3113" s="439"/>
      <c r="J3113" s="295"/>
      <c r="K3113" s="295"/>
    </row>
    <row r="3114" spans="1:13" x14ac:dyDescent="0.2">
      <c r="A3114" s="242" t="s">
        <v>185</v>
      </c>
      <c r="B3114" s="243" t="s">
        <v>59</v>
      </c>
      <c r="C3114" s="232" t="s">
        <v>357</v>
      </c>
      <c r="D3114" s="243" t="s">
        <v>187</v>
      </c>
      <c r="E3114" s="1111" t="s">
        <v>89</v>
      </c>
      <c r="F3114" s="1112"/>
      <c r="G3114" s="1113"/>
      <c r="H3114" s="1121" t="s">
        <v>183</v>
      </c>
      <c r="I3114" s="1115"/>
      <c r="J3114" s="295"/>
      <c r="K3114" s="295"/>
    </row>
    <row r="3115" spans="1:13" x14ac:dyDescent="0.2">
      <c r="A3115" s="244"/>
      <c r="B3115" s="234"/>
      <c r="C3115" s="239"/>
      <c r="D3115" s="239"/>
      <c r="E3115" s="255"/>
      <c r="F3115" s="253"/>
      <c r="G3115" s="293"/>
      <c r="H3115" s="240"/>
      <c r="I3115" s="427"/>
      <c r="J3115" s="295"/>
      <c r="K3115" s="295"/>
    </row>
    <row r="3116" spans="1:13" x14ac:dyDescent="0.2">
      <c r="A3116" s="199"/>
      <c r="B3116" s="229"/>
      <c r="C3116" s="229"/>
      <c r="D3116" s="199"/>
      <c r="E3116" s="199"/>
      <c r="F3116" s="230" t="s">
        <v>188</v>
      </c>
      <c r="G3116" s="240"/>
      <c r="H3116" s="241"/>
      <c r="I3116" s="438">
        <f>SUM(I3115:I3115)</f>
        <v>0</v>
      </c>
      <c r="J3116" s="295"/>
      <c r="K3116" s="295"/>
    </row>
    <row r="3117" spans="1:13" x14ac:dyDescent="0.2">
      <c r="A3117" s="199"/>
      <c r="B3117" s="229"/>
      <c r="C3117" s="229"/>
      <c r="D3117" s="199"/>
      <c r="E3117" s="199"/>
      <c r="F3117" s="199"/>
      <c r="G3117" s="199"/>
      <c r="H3117" s="199"/>
      <c r="I3117" s="439"/>
      <c r="J3117" s="295"/>
      <c r="K3117" s="295"/>
    </row>
    <row r="3118" spans="1:13" x14ac:dyDescent="0.2">
      <c r="A3118" s="245" t="s">
        <v>189</v>
      </c>
      <c r="B3118" s="243" t="s">
        <v>59</v>
      </c>
      <c r="C3118" s="635" t="s">
        <v>17</v>
      </c>
      <c r="D3118" s="243" t="s">
        <v>190</v>
      </c>
      <c r="E3118" s="243" t="s">
        <v>191</v>
      </c>
      <c r="F3118" s="243" t="s">
        <v>192</v>
      </c>
      <c r="G3118" s="1121" t="s">
        <v>94</v>
      </c>
      <c r="H3118" s="1114"/>
      <c r="I3118" s="1115"/>
      <c r="J3118" s="295"/>
      <c r="K3118" s="295"/>
    </row>
    <row r="3119" spans="1:13" x14ac:dyDescent="0.2">
      <c r="A3119" s="244"/>
      <c r="B3119" s="234"/>
      <c r="C3119" s="239"/>
      <c r="D3119" s="235"/>
      <c r="E3119" s="246"/>
      <c r="F3119" s="246"/>
      <c r="G3119" s="240"/>
      <c r="H3119" s="241"/>
      <c r="I3119" s="427">
        <f>TRUNC(C3119/100*I3116,2)</f>
        <v>0</v>
      </c>
      <c r="J3119" s="295"/>
      <c r="K3119" s="295"/>
    </row>
    <row r="3120" spans="1:13" x14ac:dyDescent="0.2">
      <c r="A3120" s="199"/>
      <c r="B3120" s="229"/>
      <c r="C3120" s="199"/>
      <c r="D3120" s="199"/>
      <c r="E3120" s="199"/>
      <c r="F3120" s="230" t="s">
        <v>327</v>
      </c>
      <c r="G3120" s="240"/>
      <c r="H3120" s="241"/>
      <c r="I3120" s="438">
        <f>SUM(I3119)</f>
        <v>0</v>
      </c>
      <c r="J3120" s="295"/>
      <c r="K3120" s="295"/>
    </row>
    <row r="3121" spans="1:17" x14ac:dyDescent="0.2">
      <c r="A3121" s="199"/>
      <c r="B3121" s="229"/>
      <c r="C3121" s="199"/>
      <c r="D3121" s="199"/>
      <c r="E3121" s="199"/>
      <c r="F3121" s="199"/>
      <c r="G3121" s="199"/>
      <c r="H3121" s="199"/>
      <c r="I3121" s="439"/>
      <c r="J3121" s="295"/>
      <c r="K3121" s="295"/>
    </row>
    <row r="3122" spans="1:17" x14ac:dyDescent="0.2">
      <c r="A3122" s="247"/>
      <c r="B3122" s="248"/>
      <c r="C3122" s="249"/>
      <c r="D3122" s="249"/>
      <c r="E3122" s="249"/>
      <c r="F3122" s="250" t="s">
        <v>193</v>
      </c>
      <c r="G3122" s="401"/>
      <c r="H3122" s="249"/>
      <c r="I3122" s="445">
        <f>+I3112+I3116+I3120</f>
        <v>0</v>
      </c>
      <c r="J3122" s="295"/>
      <c r="K3122" s="295"/>
    </row>
    <row r="3123" spans="1:17" x14ac:dyDescent="0.2">
      <c r="A3123" s="251"/>
      <c r="B3123" s="252"/>
      <c r="C3123" s="253"/>
      <c r="D3123" s="253"/>
      <c r="E3123" s="253"/>
      <c r="F3123" s="254" t="s">
        <v>194</v>
      </c>
      <c r="G3123" s="255"/>
      <c r="H3123" s="253"/>
      <c r="I3123" s="446">
        <v>1</v>
      </c>
      <c r="J3123" s="295"/>
      <c r="K3123" s="295"/>
    </row>
    <row r="3124" spans="1:17" x14ac:dyDescent="0.2">
      <c r="A3124" s="233"/>
      <c r="B3124" s="256"/>
      <c r="C3124" s="241"/>
      <c r="D3124" s="241"/>
      <c r="E3124" s="241"/>
      <c r="F3124" s="257" t="s">
        <v>216</v>
      </c>
      <c r="G3124" s="240"/>
      <c r="H3124" s="241"/>
      <c r="I3124" s="447">
        <f>TRUNC(I3122/I3123,2)</f>
        <v>0</v>
      </c>
      <c r="J3124" s="295"/>
      <c r="K3124" s="295"/>
    </row>
    <row r="3125" spans="1:17" x14ac:dyDescent="0.2">
      <c r="A3125" s="636"/>
      <c r="B3125" s="229"/>
      <c r="C3125" s="199"/>
      <c r="D3125" s="199"/>
      <c r="E3125" s="199"/>
      <c r="F3125" s="258"/>
      <c r="G3125" s="199"/>
      <c r="H3125" s="199"/>
      <c r="I3125" s="450"/>
      <c r="J3125" s="295"/>
      <c r="K3125" s="295"/>
    </row>
    <row r="3126" spans="1:17" x14ac:dyDescent="0.2">
      <c r="A3126" s="242" t="s">
        <v>195</v>
      </c>
      <c r="B3126" s="243" t="s">
        <v>59</v>
      </c>
      <c r="C3126" s="243" t="s">
        <v>196</v>
      </c>
      <c r="D3126" s="243" t="s">
        <v>217</v>
      </c>
      <c r="E3126" s="1121" t="s">
        <v>89</v>
      </c>
      <c r="F3126" s="1114"/>
      <c r="G3126" s="1115"/>
      <c r="H3126" s="1121" t="s">
        <v>183</v>
      </c>
      <c r="I3126" s="1115"/>
      <c r="J3126" s="295"/>
      <c r="K3126" s="295"/>
    </row>
    <row r="3127" spans="1:17" x14ac:dyDescent="0.2">
      <c r="A3127" s="259"/>
      <c r="B3127" s="234"/>
      <c r="C3127" s="260"/>
      <c r="D3127" s="261"/>
      <c r="E3127" s="255"/>
      <c r="F3127" s="253"/>
      <c r="G3127" s="293"/>
      <c r="H3127" s="255"/>
      <c r="I3127" s="423"/>
      <c r="J3127" s="295"/>
      <c r="K3127" s="295"/>
    </row>
    <row r="3128" spans="1:17" x14ac:dyDescent="0.2">
      <c r="A3128" s="199"/>
      <c r="B3128" s="229"/>
      <c r="C3128" s="199"/>
      <c r="D3128" s="199"/>
      <c r="E3128" s="199"/>
      <c r="F3128" s="230" t="s">
        <v>197</v>
      </c>
      <c r="G3128" s="240"/>
      <c r="H3128" s="241"/>
      <c r="I3128" s="438">
        <f>SUM(I3127:I3127)</f>
        <v>0</v>
      </c>
    </row>
    <row r="3129" spans="1:17" ht="29.25" customHeight="1" x14ac:dyDescent="0.2">
      <c r="A3129" s="199"/>
      <c r="B3129" s="229"/>
      <c r="C3129" s="199"/>
      <c r="D3129" s="199"/>
      <c r="E3129" s="199"/>
      <c r="F3129" s="199"/>
      <c r="G3129" s="262"/>
      <c r="H3129" s="199"/>
      <c r="I3129" s="439"/>
    </row>
    <row r="3130" spans="1:17" x14ac:dyDescent="0.2">
      <c r="A3130" s="263" t="s">
        <v>198</v>
      </c>
      <c r="B3130" s="243" t="s">
        <v>59</v>
      </c>
      <c r="C3130" s="243" t="s">
        <v>196</v>
      </c>
      <c r="D3130" s="635" t="s">
        <v>217</v>
      </c>
      <c r="E3130" s="1111" t="s">
        <v>89</v>
      </c>
      <c r="F3130" s="1112"/>
      <c r="G3130" s="1113"/>
      <c r="H3130" s="1114" t="s">
        <v>183</v>
      </c>
      <c r="I3130" s="1115"/>
    </row>
    <row r="3131" spans="1:17" x14ac:dyDescent="0.2">
      <c r="A3131" s="244" t="str">
        <f>VLOOKUP(B3131,'DER 11-20'!$A:$E,2,FALSE)</f>
        <v>Caiação de meio fios, sarjetas, etc</v>
      </c>
      <c r="B3131" s="234">
        <v>40658</v>
      </c>
      <c r="C3131" s="234" t="str">
        <f>VLOOKUP(B3131,'DER 11-20'!$A:$E,3,FALSE)</f>
        <v>M2</v>
      </c>
      <c r="D3131" s="418">
        <f>TRUNC(VLOOKUP(B3131,'DER 11-20'!$A:$F,6,FALSE)/(1+$I$4),2)</f>
        <v>5.0599999999999996</v>
      </c>
      <c r="E3131" s="255"/>
      <c r="F3131" s="253"/>
      <c r="G3131" s="293">
        <v>3.87</v>
      </c>
      <c r="H3131" s="240"/>
      <c r="I3131" s="423">
        <f>TRUNC(D3131*G3131,2)</f>
        <v>19.579999999999998</v>
      </c>
    </row>
    <row r="3132" spans="1:17" ht="25.5" customHeight="1" x14ac:dyDescent="0.2">
      <c r="A3132" s="416" t="str">
        <f>VLOOKUP(B3132,'DER 11-20'!$A:$E,2,FALSE)</f>
        <v>Concreto estrutural fck = 15,0 MPa, tudo incluído</v>
      </c>
      <c r="B3132" s="417">
        <v>40358</v>
      </c>
      <c r="C3132" s="417" t="str">
        <f>VLOOKUP(B3132,'DER 11-20'!$A:$E,3,FALSE)</f>
        <v>M3</v>
      </c>
      <c r="D3132" s="418">
        <f>TRUNC(VLOOKUP(B3132,'DER 11-20'!$A:$F,6,FALSE)/(1+$I$4),2)</f>
        <v>547.26</v>
      </c>
      <c r="E3132" s="419"/>
      <c r="F3132" s="420"/>
      <c r="G3132" s="421">
        <v>0.66</v>
      </c>
      <c r="H3132" s="422"/>
      <c r="I3132" s="423">
        <f>TRUNC(D3132*G3132,2)</f>
        <v>361.19</v>
      </c>
      <c r="J3132" s="415"/>
      <c r="K3132" s="415"/>
      <c r="L3132" s="198"/>
      <c r="M3132" s="198"/>
      <c r="N3132" s="198"/>
      <c r="O3132" s="198"/>
      <c r="P3132" s="198"/>
      <c r="Q3132" s="198"/>
    </row>
    <row r="3133" spans="1:17" ht="22.5" x14ac:dyDescent="0.2">
      <c r="A3133" s="416" t="str">
        <f>VLOOKUP(B3133,'DER 11-20'!$A:$E,2,FALSE)</f>
        <v>Escavação manual em mat. 1ª cat. H= 0,00 a 1,50 m</v>
      </c>
      <c r="B3133" s="417">
        <v>40258</v>
      </c>
      <c r="C3133" s="417" t="str">
        <f>VLOOKUP(B3133,'DER 11-20'!$A:$E,3,FALSE)</f>
        <v>M3</v>
      </c>
      <c r="D3133" s="418">
        <f>TRUNC(VLOOKUP(B3133,'DER 11-20'!$A:$F,6,FALSE)/(1+$I$4),2)</f>
        <v>56.6</v>
      </c>
      <c r="E3133" s="419"/>
      <c r="F3133" s="420"/>
      <c r="G3133" s="421">
        <v>0.83</v>
      </c>
      <c r="H3133" s="422"/>
      <c r="I3133" s="423">
        <f>TRUNC(D3133*G3133,2)</f>
        <v>46.97</v>
      </c>
      <c r="J3133" s="415"/>
      <c r="K3133" s="415"/>
      <c r="L3133" s="198"/>
      <c r="M3133" s="198"/>
      <c r="N3133" s="198"/>
      <c r="O3133" s="198"/>
      <c r="P3133" s="198"/>
      <c r="Q3133" s="198"/>
    </row>
    <row r="3134" spans="1:17" ht="45" x14ac:dyDescent="0.2">
      <c r="A3134" s="416" t="str">
        <f>VLOOKUP(B3134,'DER 11-20'!$A:$E,2,FALSE)</f>
        <v>Formas planas de madeira com 02 (dois) reaproveitamentos, inclusive fornecimento e transporte das madeiras</v>
      </c>
      <c r="B3134" s="417">
        <v>40312</v>
      </c>
      <c r="C3134" s="417" t="str">
        <f>VLOOKUP(B3134,'DER 11-20'!$A:$E,3,FALSE)</f>
        <v>M2</v>
      </c>
      <c r="D3134" s="418">
        <f>TRUNC(VLOOKUP(B3134,'DER 11-20'!$A:$F,6,FALSE)/(1+$I$4),2)</f>
        <v>84.31</v>
      </c>
      <c r="E3134" s="419"/>
      <c r="F3134" s="420"/>
      <c r="G3134" s="421">
        <v>2.1</v>
      </c>
      <c r="H3134" s="422"/>
      <c r="I3134" s="423">
        <f>TRUNC(D3134*G3134,2)</f>
        <v>177.05</v>
      </c>
      <c r="J3134" s="415"/>
      <c r="K3134" s="415"/>
      <c r="L3134" s="198"/>
      <c r="M3134" s="198"/>
      <c r="N3134" s="198"/>
      <c r="O3134" s="198"/>
      <c r="P3134" s="198"/>
      <c r="Q3134" s="198"/>
    </row>
    <row r="3135" spans="1:17" x14ac:dyDescent="0.2">
      <c r="A3135" s="200"/>
      <c r="B3135" s="264"/>
      <c r="C3135" s="200"/>
      <c r="D3135" s="200"/>
      <c r="E3135" s="200"/>
      <c r="F3135" s="265" t="s">
        <v>199</v>
      </c>
      <c r="G3135" s="255"/>
      <c r="H3135" s="266"/>
      <c r="I3135" s="441">
        <f>SUM(I3131:I3134)</f>
        <v>604.79</v>
      </c>
    </row>
    <row r="3136" spans="1:17" s="198" customFormat="1" x14ac:dyDescent="0.2">
      <c r="A3136" s="200"/>
      <c r="B3136" s="264"/>
      <c r="C3136" s="200"/>
      <c r="D3136" s="200"/>
      <c r="E3136" s="200"/>
      <c r="F3136" s="200"/>
      <c r="G3136" s="200"/>
      <c r="H3136" s="200"/>
      <c r="I3136" s="440"/>
      <c r="J3136" s="400"/>
      <c r="K3136" s="400"/>
      <c r="L3136" s="295"/>
      <c r="M3136" s="295"/>
      <c r="N3136" s="295"/>
      <c r="O3136" s="295"/>
      <c r="P3136" s="295"/>
      <c r="Q3136" s="295"/>
    </row>
    <row r="3137" spans="1:13" x14ac:dyDescent="0.2">
      <c r="A3137" s="267" t="s">
        <v>200</v>
      </c>
      <c r="B3137" s="268" t="s">
        <v>59</v>
      </c>
      <c r="C3137" s="268" t="s">
        <v>196</v>
      </c>
      <c r="D3137" s="268" t="s">
        <v>201</v>
      </c>
      <c r="E3137" s="268" t="s">
        <v>202</v>
      </c>
      <c r="F3137" s="268" t="s">
        <v>203</v>
      </c>
      <c r="G3137" s="268" t="s">
        <v>94</v>
      </c>
      <c r="H3137" s="268" t="s">
        <v>89</v>
      </c>
      <c r="I3137" s="442" t="s">
        <v>204</v>
      </c>
    </row>
    <row r="3138" spans="1:13" x14ac:dyDescent="0.2">
      <c r="A3138" s="244"/>
      <c r="B3138" s="234"/>
      <c r="C3138" s="234"/>
      <c r="D3138" s="269"/>
      <c r="E3138" s="270"/>
      <c r="F3138" s="270"/>
      <c r="G3138" s="239"/>
      <c r="H3138" s="271"/>
      <c r="I3138" s="418"/>
    </row>
    <row r="3139" spans="1:13" x14ac:dyDescent="0.2">
      <c r="A3139" s="200"/>
      <c r="B3139" s="264"/>
      <c r="C3139" s="200"/>
      <c r="D3139" s="200"/>
      <c r="E3139" s="200"/>
      <c r="F3139" s="265" t="s">
        <v>205</v>
      </c>
      <c r="G3139" s="240"/>
      <c r="H3139" s="272"/>
      <c r="I3139" s="443">
        <f>SUM(I3138:I3138)</f>
        <v>0</v>
      </c>
    </row>
    <row r="3140" spans="1:13" x14ac:dyDescent="0.2">
      <c r="A3140" s="200"/>
      <c r="B3140" s="264"/>
      <c r="C3140" s="200"/>
      <c r="D3140" s="200"/>
      <c r="E3140" s="200"/>
      <c r="F3140" s="200"/>
      <c r="G3140" s="200"/>
      <c r="H3140" s="200"/>
      <c r="I3140" s="444"/>
    </row>
    <row r="3141" spans="1:13" x14ac:dyDescent="0.2">
      <c r="A3141" s="273"/>
      <c r="B3141" s="274"/>
      <c r="C3141" s="275"/>
      <c r="D3141" s="275"/>
      <c r="E3141" s="275"/>
      <c r="F3141" s="276" t="s">
        <v>206</v>
      </c>
      <c r="G3141" s="273"/>
      <c r="H3141" s="249"/>
      <c r="I3141" s="445">
        <f>+I3124+I3128+I3135+I3139</f>
        <v>604.79</v>
      </c>
    </row>
    <row r="3142" spans="1:13" x14ac:dyDescent="0.2">
      <c r="A3142" s="255"/>
      <c r="B3142" s="277"/>
      <c r="C3142" s="266"/>
      <c r="D3142" s="266"/>
      <c r="E3142" s="266"/>
      <c r="F3142" s="278" t="str">
        <f>CONCATENATE($H$3," ",$I$3)</f>
        <v>BDI: 23,32</v>
      </c>
      <c r="G3142" s="403"/>
      <c r="H3142" s="253"/>
      <c r="I3142" s="446">
        <f>+ROUND(I3141*$I$4,2)</f>
        <v>141.04</v>
      </c>
    </row>
    <row r="3143" spans="1:13" x14ac:dyDescent="0.2">
      <c r="A3143" s="240"/>
      <c r="B3143" s="279"/>
      <c r="C3143" s="272"/>
      <c r="D3143" s="272"/>
      <c r="E3143" s="272"/>
      <c r="F3143" s="280" t="s">
        <v>207</v>
      </c>
      <c r="G3143" s="404"/>
      <c r="H3143" s="241"/>
      <c r="I3143" s="720">
        <f>+I3141+I3142</f>
        <v>745.83</v>
      </c>
    </row>
    <row r="3144" spans="1:13" x14ac:dyDescent="0.2">
      <c r="A3144" s="1116" t="str">
        <f>$A$1</f>
        <v>COMPOSIÇÃO DE CUSTOS UNITÁRIOS</v>
      </c>
      <c r="B3144" s="1116"/>
      <c r="C3144" s="1116"/>
      <c r="D3144" s="1116"/>
      <c r="E3144" s="1116"/>
      <c r="F3144" s="1116"/>
      <c r="G3144" s="1116"/>
      <c r="H3144" s="1116"/>
      <c r="I3144" s="1116"/>
    </row>
    <row r="3145" spans="1:13" x14ac:dyDescent="0.2">
      <c r="A3145" s="228" t="str">
        <f>$A$2</f>
        <v>Tabela Referencial de Preços - DER-ES</v>
      </c>
      <c r="B3145" s="229"/>
      <c r="C3145" s="199"/>
      <c r="D3145" s="199"/>
      <c r="E3145" s="199"/>
      <c r="F3145" s="199"/>
      <c r="G3145" s="199"/>
      <c r="H3145" s="199"/>
      <c r="I3145" s="414" t="str">
        <f>$I$2</f>
        <v>Data Base: novembro/2020</v>
      </c>
    </row>
    <row r="3146" spans="1:13" x14ac:dyDescent="0.2">
      <c r="A3146" s="1117" t="str">
        <f>+CONCATENATE("Serviço: ",J3146," ",VLOOKUP(J3146,'DER 11-20'!$A:$D,2,FALSE))</f>
        <v>Serviço: 40681 Descida d'água concreto simples (degraus) c/ caiação (DSA-03) apoio</v>
      </c>
      <c r="B3146" s="1117"/>
      <c r="C3146" s="1117"/>
      <c r="D3146" s="1117"/>
      <c r="E3146" s="1117"/>
      <c r="F3146" s="1117"/>
      <c r="G3146" s="1117"/>
      <c r="H3146" s="1117"/>
      <c r="I3146" s="1119" t="str">
        <f>CONCATENATE("Unidade: ", VLOOKUP(J3146,'DER 11-20'!$A:$E,3,FALSE))</f>
        <v>Unidade: Ud</v>
      </c>
      <c r="J3146" s="400">
        <v>40681</v>
      </c>
      <c r="K3146" s="400">
        <f>VLOOKUP("Preço Unitário Total",F3147:I3698,4,FALSE)</f>
        <v>838.72</v>
      </c>
      <c r="L3146" s="295">
        <f>VLOOKUP(J3146,'DER 11-20'!A:E,5,FALSE)</f>
        <v>0</v>
      </c>
      <c r="M3146" s="295" t="str">
        <f>VLOOKUP(J3146,'DER 11-20'!$A:$D,2,FALSE)</f>
        <v>Descida d'água concreto simples (degraus) c/ caiação (DSA-03) apoio</v>
      </c>
    </row>
    <row r="3147" spans="1:13" x14ac:dyDescent="0.2">
      <c r="A3147" s="1118"/>
      <c r="B3147" s="1118"/>
      <c r="C3147" s="1118"/>
      <c r="D3147" s="1118"/>
      <c r="E3147" s="1118"/>
      <c r="F3147" s="1118"/>
      <c r="G3147" s="1118"/>
      <c r="H3147" s="1118"/>
      <c r="I3147" s="1120"/>
    </row>
    <row r="3148" spans="1:13" ht="22.5" x14ac:dyDescent="0.2">
      <c r="A3148" s="231" t="s">
        <v>177</v>
      </c>
      <c r="B3148" s="232" t="s">
        <v>59</v>
      </c>
      <c r="C3148" s="232" t="s">
        <v>178</v>
      </c>
      <c r="D3148" s="232" t="s">
        <v>179</v>
      </c>
      <c r="E3148" s="232" t="s">
        <v>180</v>
      </c>
      <c r="F3148" s="232" t="s">
        <v>181</v>
      </c>
      <c r="G3148" s="232" t="s">
        <v>182</v>
      </c>
      <c r="H3148" s="232" t="s">
        <v>89</v>
      </c>
      <c r="I3148" s="434" t="s">
        <v>183</v>
      </c>
    </row>
    <row r="3149" spans="1:13" x14ac:dyDescent="0.2">
      <c r="A3149" s="199"/>
      <c r="B3149" s="229"/>
      <c r="C3149" s="229"/>
      <c r="D3149" s="199"/>
      <c r="E3149" s="199"/>
      <c r="F3149" s="230" t="s">
        <v>184</v>
      </c>
      <c r="G3149" s="240"/>
      <c r="H3149" s="241"/>
      <c r="I3149" s="438">
        <v>0</v>
      </c>
    </row>
    <row r="3150" spans="1:13" x14ac:dyDescent="0.2">
      <c r="A3150" s="199"/>
      <c r="B3150" s="229"/>
      <c r="C3150" s="229"/>
      <c r="D3150" s="199"/>
      <c r="E3150" s="199"/>
      <c r="F3150" s="199"/>
      <c r="G3150" s="199"/>
      <c r="H3150" s="199"/>
      <c r="I3150" s="439"/>
    </row>
    <row r="3151" spans="1:13" x14ac:dyDescent="0.2">
      <c r="A3151" s="242" t="s">
        <v>185</v>
      </c>
      <c r="B3151" s="243" t="s">
        <v>59</v>
      </c>
      <c r="C3151" s="232" t="s">
        <v>357</v>
      </c>
      <c r="D3151" s="243" t="s">
        <v>187</v>
      </c>
      <c r="E3151" s="1121" t="s">
        <v>89</v>
      </c>
      <c r="F3151" s="1114"/>
      <c r="G3151" s="1115"/>
      <c r="H3151" s="1121" t="s">
        <v>183</v>
      </c>
      <c r="I3151" s="1115"/>
    </row>
    <row r="3152" spans="1:13" x14ac:dyDescent="0.2">
      <c r="A3152" s="199"/>
      <c r="B3152" s="229"/>
      <c r="C3152" s="229"/>
      <c r="D3152" s="199"/>
      <c r="E3152" s="199"/>
      <c r="F3152" s="230" t="s">
        <v>188</v>
      </c>
      <c r="G3152" s="240"/>
      <c r="H3152" s="241"/>
      <c r="I3152" s="438">
        <v>0</v>
      </c>
    </row>
    <row r="3153" spans="1:11" x14ac:dyDescent="0.2">
      <c r="A3153" s="199"/>
      <c r="B3153" s="229"/>
      <c r="C3153" s="229"/>
      <c r="D3153" s="199"/>
      <c r="E3153" s="199"/>
      <c r="F3153" s="199"/>
      <c r="G3153" s="199"/>
      <c r="H3153" s="199"/>
      <c r="I3153" s="439"/>
    </row>
    <row r="3154" spans="1:11" x14ac:dyDescent="0.2">
      <c r="A3154" s="263" t="s">
        <v>189</v>
      </c>
      <c r="B3154" s="243" t="s">
        <v>59</v>
      </c>
      <c r="C3154" s="635" t="s">
        <v>17</v>
      </c>
      <c r="D3154" s="243" t="s">
        <v>190</v>
      </c>
      <c r="E3154" s="243" t="s">
        <v>191</v>
      </c>
      <c r="F3154" s="243" t="s">
        <v>192</v>
      </c>
      <c r="G3154" s="1121" t="s">
        <v>94</v>
      </c>
      <c r="H3154" s="1114"/>
      <c r="I3154" s="1115"/>
    </row>
    <row r="3155" spans="1:11" ht="14.25" customHeight="1" x14ac:dyDescent="0.2">
      <c r="A3155" s="199"/>
      <c r="B3155" s="229"/>
      <c r="C3155" s="199"/>
      <c r="D3155" s="199"/>
      <c r="E3155" s="199"/>
      <c r="F3155" s="230" t="s">
        <v>327</v>
      </c>
      <c r="G3155" s="240"/>
      <c r="H3155" s="241"/>
      <c r="I3155" s="438">
        <v>0</v>
      </c>
      <c r="J3155" s="295"/>
      <c r="K3155" s="295"/>
    </row>
    <row r="3156" spans="1:11" x14ac:dyDescent="0.2">
      <c r="A3156" s="199"/>
      <c r="B3156" s="229"/>
      <c r="C3156" s="199"/>
      <c r="D3156" s="199"/>
      <c r="E3156" s="199"/>
      <c r="F3156" s="199"/>
      <c r="G3156" s="199"/>
      <c r="H3156" s="199"/>
      <c r="I3156" s="439"/>
      <c r="J3156" s="295"/>
      <c r="K3156" s="295"/>
    </row>
    <row r="3157" spans="1:11" x14ac:dyDescent="0.2">
      <c r="A3157" s="247"/>
      <c r="B3157" s="248"/>
      <c r="C3157" s="249"/>
      <c r="D3157" s="249"/>
      <c r="E3157" s="249"/>
      <c r="F3157" s="250" t="s">
        <v>193</v>
      </c>
      <c r="G3157" s="401"/>
      <c r="H3157" s="249"/>
      <c r="I3157" s="445">
        <f>+I3149+I3152+I3155</f>
        <v>0</v>
      </c>
      <c r="J3157" s="295"/>
      <c r="K3157" s="295"/>
    </row>
    <row r="3158" spans="1:11" x14ac:dyDescent="0.2">
      <c r="A3158" s="251"/>
      <c r="B3158" s="252"/>
      <c r="C3158" s="253"/>
      <c r="D3158" s="253"/>
      <c r="E3158" s="253"/>
      <c r="F3158" s="254" t="s">
        <v>194</v>
      </c>
      <c r="G3158" s="255"/>
      <c r="H3158" s="253"/>
      <c r="I3158" s="446">
        <v>1</v>
      </c>
      <c r="J3158" s="295"/>
      <c r="K3158" s="295"/>
    </row>
    <row r="3159" spans="1:11" x14ac:dyDescent="0.2">
      <c r="A3159" s="233"/>
      <c r="B3159" s="256"/>
      <c r="C3159" s="241"/>
      <c r="D3159" s="241"/>
      <c r="E3159" s="241"/>
      <c r="F3159" s="257" t="s">
        <v>216</v>
      </c>
      <c r="G3159" s="240"/>
      <c r="H3159" s="241"/>
      <c r="I3159" s="447">
        <f>TRUNC(I3157/I3158,2)</f>
        <v>0</v>
      </c>
      <c r="J3159" s="295"/>
      <c r="K3159" s="295"/>
    </row>
    <row r="3160" spans="1:11" x14ac:dyDescent="0.2">
      <c r="A3160" s="636"/>
      <c r="B3160" s="229"/>
      <c r="C3160" s="199"/>
      <c r="D3160" s="199"/>
      <c r="E3160" s="199"/>
      <c r="F3160" s="258"/>
      <c r="G3160" s="199"/>
      <c r="H3160" s="199"/>
      <c r="I3160" s="450"/>
      <c r="J3160" s="295"/>
      <c r="K3160" s="295"/>
    </row>
    <row r="3161" spans="1:11" x14ac:dyDescent="0.2">
      <c r="A3161" s="242" t="s">
        <v>195</v>
      </c>
      <c r="B3161" s="243" t="s">
        <v>59</v>
      </c>
      <c r="C3161" s="243" t="s">
        <v>196</v>
      </c>
      <c r="D3161" s="243" t="s">
        <v>217</v>
      </c>
      <c r="E3161" s="1121" t="s">
        <v>89</v>
      </c>
      <c r="F3161" s="1114"/>
      <c r="G3161" s="1115"/>
      <c r="H3161" s="1121" t="s">
        <v>183</v>
      </c>
      <c r="I3161" s="1115"/>
      <c r="J3161" s="295"/>
      <c r="K3161" s="295"/>
    </row>
    <row r="3162" spans="1:11" x14ac:dyDescent="0.2">
      <c r="A3162" s="199"/>
      <c r="B3162" s="229"/>
      <c r="C3162" s="199"/>
      <c r="D3162" s="199"/>
      <c r="E3162" s="199"/>
      <c r="F3162" s="230" t="s">
        <v>197</v>
      </c>
      <c r="G3162" s="240"/>
      <c r="H3162" s="241"/>
      <c r="I3162" s="438">
        <v>0</v>
      </c>
      <c r="J3162" s="295"/>
      <c r="K3162" s="295"/>
    </row>
    <row r="3163" spans="1:11" x14ac:dyDescent="0.2">
      <c r="A3163" s="199"/>
      <c r="B3163" s="229"/>
      <c r="C3163" s="199"/>
      <c r="D3163" s="199"/>
      <c r="E3163" s="199"/>
      <c r="F3163" s="199"/>
      <c r="G3163" s="262"/>
      <c r="H3163" s="199"/>
      <c r="I3163" s="439"/>
      <c r="J3163" s="295"/>
      <c r="K3163" s="295"/>
    </row>
    <row r="3164" spans="1:11" x14ac:dyDescent="0.2">
      <c r="A3164" s="263" t="s">
        <v>198</v>
      </c>
      <c r="B3164" s="243" t="s">
        <v>59</v>
      </c>
      <c r="C3164" s="243" t="s">
        <v>196</v>
      </c>
      <c r="D3164" s="635" t="s">
        <v>217</v>
      </c>
      <c r="E3164" s="1121" t="s">
        <v>89</v>
      </c>
      <c r="F3164" s="1114"/>
      <c r="G3164" s="1115"/>
      <c r="H3164" s="1121" t="s">
        <v>183</v>
      </c>
      <c r="I3164" s="1115"/>
      <c r="J3164" s="295"/>
      <c r="K3164" s="295"/>
    </row>
    <row r="3165" spans="1:11" x14ac:dyDescent="0.2">
      <c r="A3165" s="244" t="str">
        <f>VLOOKUP(B3165,'DER 11-20'!$A:$E,2,FALSE)</f>
        <v>Caiação de meio fios, sarjetas, etc</v>
      </c>
      <c r="B3165" s="234">
        <v>40658</v>
      </c>
      <c r="C3165" s="234" t="str">
        <f>VLOOKUP(B3165,'DER 11-20'!$A:$E,3,FALSE)</f>
        <v>M2</v>
      </c>
      <c r="D3165" s="418">
        <f>TRUNC(VLOOKUP(B3165,'DER 11-20'!$A:$F,6,FALSE)/(1+$I$4),2)</f>
        <v>5.0599999999999996</v>
      </c>
      <c r="E3165" s="255"/>
      <c r="F3165" s="253"/>
      <c r="G3165" s="293">
        <v>3.5</v>
      </c>
      <c r="H3165" s="240"/>
      <c r="I3165" s="423">
        <f>TRUNC(D3165*G3165,2)</f>
        <v>17.71</v>
      </c>
      <c r="J3165" s="295"/>
      <c r="K3165" s="295"/>
    </row>
    <row r="3166" spans="1:11" ht="22.5" x14ac:dyDescent="0.2">
      <c r="A3166" s="244" t="str">
        <f>VLOOKUP(B3166,'DER 11-20'!$A:$E,2,FALSE)</f>
        <v>Concreto estrutural fck = 15,0 MPa, tudo incluído</v>
      </c>
      <c r="B3166" s="234">
        <v>40358</v>
      </c>
      <c r="C3166" s="234" t="str">
        <f>VLOOKUP(B3166,'DER 11-20'!$A:$E,3,FALSE)</f>
        <v>M3</v>
      </c>
      <c r="D3166" s="418">
        <f>TRUNC(VLOOKUP(B3166,'DER 11-20'!$A:$F,6,FALSE)/(1+$I$4),2)</f>
        <v>547.26</v>
      </c>
      <c r="E3166" s="255"/>
      <c r="F3166" s="253"/>
      <c r="G3166" s="293">
        <v>0.96</v>
      </c>
      <c r="H3166" s="240"/>
      <c r="I3166" s="423">
        <f>TRUNC(D3166*G3166,2)</f>
        <v>525.36</v>
      </c>
      <c r="J3166" s="295"/>
      <c r="K3166" s="295"/>
    </row>
    <row r="3167" spans="1:11" ht="22.5" x14ac:dyDescent="0.2">
      <c r="A3167" s="244" t="str">
        <f>VLOOKUP(B3167,'DER 11-20'!$A:$E,2,FALSE)</f>
        <v>Escavação manual em mat. 1ª cat. H= 0,00 a 1,50 m</v>
      </c>
      <c r="B3167" s="234">
        <v>40258</v>
      </c>
      <c r="C3167" s="234" t="str">
        <f>VLOOKUP(B3167,'DER 11-20'!$A:$E,3,FALSE)</f>
        <v>M3</v>
      </c>
      <c r="D3167" s="418">
        <f>TRUNC(VLOOKUP(B3167,'DER 11-20'!$A:$F,6,FALSE)/(1+$I$4),2)</f>
        <v>56.6</v>
      </c>
      <c r="E3167" s="255"/>
      <c r="F3167" s="253"/>
      <c r="G3167" s="293">
        <v>0.78300000000000003</v>
      </c>
      <c r="H3167" s="240"/>
      <c r="I3167" s="423">
        <f>TRUNC(D3167*G3167,2)</f>
        <v>44.31</v>
      </c>
      <c r="J3167" s="295"/>
      <c r="K3167" s="295"/>
    </row>
    <row r="3168" spans="1:11" ht="45" x14ac:dyDescent="0.2">
      <c r="A3168" s="244" t="str">
        <f>VLOOKUP(B3168,'DER 11-20'!$A:$E,2,FALSE)</f>
        <v>Formas planas de madeira com 02 (dois) reaproveitamentos, inclusive fornecimento e transporte das madeiras</v>
      </c>
      <c r="B3168" s="234">
        <v>40312</v>
      </c>
      <c r="C3168" s="234" t="str">
        <f>VLOOKUP(B3168,'DER 11-20'!$A:$E,3,FALSE)</f>
        <v>M2</v>
      </c>
      <c r="D3168" s="418">
        <f>TRUNC(VLOOKUP(B3168,'DER 11-20'!$A:$F,6,FALSE)/(1+$I$4),2)</f>
        <v>84.31</v>
      </c>
      <c r="E3168" s="255"/>
      <c r="F3168" s="253"/>
      <c r="G3168" s="293">
        <v>1.1000000000000001</v>
      </c>
      <c r="H3168" s="240"/>
      <c r="I3168" s="423">
        <f>TRUNC(D3168*G3168,2)</f>
        <v>92.74</v>
      </c>
      <c r="J3168" s="295"/>
      <c r="K3168" s="295"/>
    </row>
    <row r="3169" spans="1:13" x14ac:dyDescent="0.2">
      <c r="A3169" s="200"/>
      <c r="B3169" s="264"/>
      <c r="C3169" s="200"/>
      <c r="D3169" s="200"/>
      <c r="E3169" s="200"/>
      <c r="F3169" s="265" t="s">
        <v>199</v>
      </c>
      <c r="G3169" s="255"/>
      <c r="H3169" s="266"/>
      <c r="I3169" s="441">
        <f>SUM(I3165:I3168)</f>
        <v>680.12</v>
      </c>
      <c r="J3169" s="295"/>
      <c r="K3169" s="295"/>
    </row>
    <row r="3170" spans="1:13" x14ac:dyDescent="0.2">
      <c r="A3170" s="200"/>
      <c r="B3170" s="264"/>
      <c r="C3170" s="200"/>
      <c r="D3170" s="200"/>
      <c r="E3170" s="200"/>
      <c r="F3170" s="200"/>
      <c r="G3170" s="200"/>
      <c r="H3170" s="200"/>
      <c r="I3170" s="440"/>
      <c r="J3170" s="295"/>
      <c r="K3170" s="295"/>
    </row>
    <row r="3171" spans="1:13" x14ac:dyDescent="0.2">
      <c r="A3171" s="406" t="s">
        <v>200</v>
      </c>
      <c r="B3171" s="268" t="s">
        <v>59</v>
      </c>
      <c r="C3171" s="268" t="s">
        <v>196</v>
      </c>
      <c r="D3171" s="268" t="s">
        <v>201</v>
      </c>
      <c r="E3171" s="268" t="s">
        <v>202</v>
      </c>
      <c r="F3171" s="268" t="s">
        <v>203</v>
      </c>
      <c r="G3171" s="268" t="s">
        <v>94</v>
      </c>
      <c r="H3171" s="268" t="s">
        <v>89</v>
      </c>
      <c r="I3171" s="442" t="s">
        <v>204</v>
      </c>
    </row>
    <row r="3172" spans="1:13" x14ac:dyDescent="0.2">
      <c r="A3172" s="244"/>
      <c r="B3172" s="234"/>
      <c r="C3172" s="234"/>
      <c r="D3172" s="269"/>
      <c r="E3172" s="270"/>
      <c r="F3172" s="270"/>
      <c r="G3172" s="239"/>
      <c r="H3172" s="271"/>
      <c r="I3172" s="418"/>
    </row>
    <row r="3173" spans="1:13" x14ac:dyDescent="0.2">
      <c r="A3173" s="200"/>
      <c r="B3173" s="264"/>
      <c r="C3173" s="200"/>
      <c r="D3173" s="200"/>
      <c r="E3173" s="200"/>
      <c r="F3173" s="265" t="s">
        <v>205</v>
      </c>
      <c r="G3173" s="240"/>
      <c r="H3173" s="272"/>
      <c r="I3173" s="443">
        <f>SUM(I3172:I3172)</f>
        <v>0</v>
      </c>
    </row>
    <row r="3174" spans="1:13" x14ac:dyDescent="0.2">
      <c r="A3174" s="200"/>
      <c r="B3174" s="264"/>
      <c r="C3174" s="200"/>
      <c r="D3174" s="200"/>
      <c r="E3174" s="200"/>
      <c r="F3174" s="200"/>
      <c r="G3174" s="200"/>
      <c r="H3174" s="200"/>
      <c r="I3174" s="444"/>
    </row>
    <row r="3175" spans="1:13" x14ac:dyDescent="0.2">
      <c r="A3175" s="273"/>
      <c r="B3175" s="274"/>
      <c r="C3175" s="275"/>
      <c r="D3175" s="275"/>
      <c r="E3175" s="275"/>
      <c r="F3175" s="276" t="s">
        <v>206</v>
      </c>
      <c r="G3175" s="273"/>
      <c r="H3175" s="249"/>
      <c r="I3175" s="445">
        <f>+I3159+I3162+I3169+I3173</f>
        <v>680.12</v>
      </c>
    </row>
    <row r="3176" spans="1:13" x14ac:dyDescent="0.2">
      <c r="A3176" s="255"/>
      <c r="B3176" s="277"/>
      <c r="C3176" s="266"/>
      <c r="D3176" s="266"/>
      <c r="E3176" s="266"/>
      <c r="F3176" s="278" t="str">
        <f>CONCATENATE($H$3," ",$I$3)</f>
        <v>BDI: 23,32</v>
      </c>
      <c r="G3176" s="403"/>
      <c r="H3176" s="253"/>
      <c r="I3176" s="446">
        <f>+ROUND(I3175*$I$4,2)</f>
        <v>158.6</v>
      </c>
    </row>
    <row r="3177" spans="1:13" x14ac:dyDescent="0.2">
      <c r="A3177" s="240"/>
      <c r="B3177" s="279"/>
      <c r="C3177" s="272"/>
      <c r="D3177" s="272"/>
      <c r="E3177" s="272"/>
      <c r="F3177" s="280" t="s">
        <v>207</v>
      </c>
      <c r="G3177" s="404"/>
      <c r="H3177" s="241"/>
      <c r="I3177" s="720">
        <f>+I3175+I3176</f>
        <v>838.72</v>
      </c>
    </row>
    <row r="3178" spans="1:13" x14ac:dyDescent="0.2">
      <c r="A3178" s="1116" t="str">
        <f>$A$1</f>
        <v>COMPOSIÇÃO DE CUSTOS UNITÁRIOS</v>
      </c>
      <c r="B3178" s="1116"/>
      <c r="C3178" s="1116"/>
      <c r="D3178" s="1116"/>
      <c r="E3178" s="1116"/>
      <c r="F3178" s="1116"/>
      <c r="G3178" s="1116"/>
      <c r="H3178" s="1116"/>
      <c r="I3178" s="1116"/>
    </row>
    <row r="3179" spans="1:13" x14ac:dyDescent="0.2">
      <c r="A3179" s="228" t="str">
        <f>$A$2</f>
        <v>Tabela Referencial de Preços - DER-ES</v>
      </c>
      <c r="B3179" s="229"/>
      <c r="C3179" s="199"/>
      <c r="D3179" s="199"/>
      <c r="E3179" s="199"/>
      <c r="F3179" s="199"/>
      <c r="G3179" s="199"/>
      <c r="H3179" s="199"/>
      <c r="I3179" s="414" t="str">
        <f>$I$2</f>
        <v>Data Base: novembro/2020</v>
      </c>
    </row>
    <row r="3180" spans="1:13" x14ac:dyDescent="0.2">
      <c r="A3180" s="1117" t="str">
        <f>+CONCATENATE("Serviço: ",J3180," ",VLOOKUP(J3180,'DER 11-20'!$A:$D,2,FALSE))</f>
        <v>Serviço: 40680 Descida d'água concreto simples (degraus) c/ caiação (DSA-03) degrau</v>
      </c>
      <c r="B3180" s="1117"/>
      <c r="C3180" s="1117"/>
      <c r="D3180" s="1117"/>
      <c r="E3180" s="1117"/>
      <c r="F3180" s="1117"/>
      <c r="G3180" s="1117"/>
      <c r="H3180" s="1117"/>
      <c r="I3180" s="1119" t="str">
        <f>CONCATENATE("Unidade: ", VLOOKUP(J3180,'DER 11-20'!$A:$E,3,FALSE))</f>
        <v>Unidade: M</v>
      </c>
      <c r="J3180" s="400">
        <v>40680</v>
      </c>
      <c r="K3180" s="400">
        <f>VLOOKUP("Preço Unitário Total",F3181:I3938,4,FALSE)</f>
        <v>421.13</v>
      </c>
      <c r="L3180" s="295">
        <f>VLOOKUP(J3180,'DER 11-20'!A:E,5,FALSE)</f>
        <v>0</v>
      </c>
      <c r="M3180" s="295" t="str">
        <f>VLOOKUP(J3180,'DER 11-20'!$A:$D,2,FALSE)</f>
        <v>Descida d'água concreto simples (degraus) c/ caiação (DSA-03) degrau</v>
      </c>
    </row>
    <row r="3181" spans="1:13" x14ac:dyDescent="0.2">
      <c r="A3181" s="1118"/>
      <c r="B3181" s="1118"/>
      <c r="C3181" s="1118"/>
      <c r="D3181" s="1118"/>
      <c r="E3181" s="1118"/>
      <c r="F3181" s="1118"/>
      <c r="G3181" s="1118"/>
      <c r="H3181" s="1118"/>
      <c r="I3181" s="1120"/>
    </row>
    <row r="3182" spans="1:13" ht="22.5" x14ac:dyDescent="0.2">
      <c r="A3182" s="231" t="s">
        <v>177</v>
      </c>
      <c r="B3182" s="232" t="s">
        <v>59</v>
      </c>
      <c r="C3182" s="232" t="s">
        <v>178</v>
      </c>
      <c r="D3182" s="232" t="s">
        <v>179</v>
      </c>
      <c r="E3182" s="232" t="s">
        <v>180</v>
      </c>
      <c r="F3182" s="232" t="s">
        <v>181</v>
      </c>
      <c r="G3182" s="232" t="s">
        <v>182</v>
      </c>
      <c r="H3182" s="232" t="s">
        <v>89</v>
      </c>
      <c r="I3182" s="434" t="s">
        <v>183</v>
      </c>
    </row>
    <row r="3183" spans="1:13" x14ac:dyDescent="0.2">
      <c r="A3183" s="199"/>
      <c r="B3183" s="229"/>
      <c r="C3183" s="229"/>
      <c r="D3183" s="199"/>
      <c r="E3183" s="199"/>
      <c r="F3183" s="230" t="s">
        <v>184</v>
      </c>
      <c r="G3183" s="240"/>
      <c r="H3183" s="241"/>
      <c r="I3183" s="438">
        <v>0</v>
      </c>
    </row>
    <row r="3184" spans="1:13" x14ac:dyDescent="0.2">
      <c r="A3184" s="199"/>
      <c r="B3184" s="229"/>
      <c r="C3184" s="229"/>
      <c r="D3184" s="199"/>
      <c r="E3184" s="199"/>
      <c r="F3184" s="199"/>
      <c r="G3184" s="199"/>
      <c r="H3184" s="199"/>
      <c r="I3184" s="439"/>
    </row>
    <row r="3185" spans="1:11" x14ac:dyDescent="0.2">
      <c r="A3185" s="242" t="s">
        <v>185</v>
      </c>
      <c r="B3185" s="243" t="s">
        <v>59</v>
      </c>
      <c r="C3185" s="232" t="s">
        <v>357</v>
      </c>
      <c r="D3185" s="243" t="s">
        <v>187</v>
      </c>
      <c r="E3185" s="1121" t="s">
        <v>89</v>
      </c>
      <c r="F3185" s="1114"/>
      <c r="G3185" s="1115"/>
      <c r="H3185" s="1121" t="s">
        <v>183</v>
      </c>
      <c r="I3185" s="1115"/>
    </row>
    <row r="3186" spans="1:11" x14ac:dyDescent="0.2">
      <c r="A3186" s="199"/>
      <c r="B3186" s="229"/>
      <c r="C3186" s="229"/>
      <c r="D3186" s="199"/>
      <c r="E3186" s="199"/>
      <c r="F3186" s="230" t="s">
        <v>188</v>
      </c>
      <c r="G3186" s="240"/>
      <c r="H3186" s="241"/>
      <c r="I3186" s="438">
        <v>0</v>
      </c>
      <c r="J3186" s="295"/>
      <c r="K3186" s="295"/>
    </row>
    <row r="3187" spans="1:11" x14ac:dyDescent="0.2">
      <c r="A3187" s="199"/>
      <c r="B3187" s="229"/>
      <c r="C3187" s="229"/>
      <c r="D3187" s="199"/>
      <c r="E3187" s="199"/>
      <c r="F3187" s="199"/>
      <c r="G3187" s="199"/>
      <c r="H3187" s="199"/>
      <c r="I3187" s="439"/>
      <c r="J3187" s="295"/>
      <c r="K3187" s="295"/>
    </row>
    <row r="3188" spans="1:11" x14ac:dyDescent="0.2">
      <c r="A3188" s="263" t="s">
        <v>189</v>
      </c>
      <c r="B3188" s="243" t="s">
        <v>59</v>
      </c>
      <c r="C3188" s="635" t="s">
        <v>17</v>
      </c>
      <c r="D3188" s="243" t="s">
        <v>190</v>
      </c>
      <c r="E3188" s="243" t="s">
        <v>191</v>
      </c>
      <c r="F3188" s="243" t="s">
        <v>192</v>
      </c>
      <c r="G3188" s="1121" t="s">
        <v>94</v>
      </c>
      <c r="H3188" s="1114"/>
      <c r="I3188" s="1115"/>
      <c r="J3188" s="295"/>
      <c r="K3188" s="295"/>
    </row>
    <row r="3189" spans="1:11" x14ac:dyDescent="0.2">
      <c r="A3189" s="199"/>
      <c r="B3189" s="229"/>
      <c r="C3189" s="199"/>
      <c r="D3189" s="199"/>
      <c r="E3189" s="199"/>
      <c r="F3189" s="230" t="s">
        <v>327</v>
      </c>
      <c r="G3189" s="240"/>
      <c r="H3189" s="241"/>
      <c r="I3189" s="438">
        <v>0</v>
      </c>
      <c r="J3189" s="295"/>
      <c r="K3189" s="295"/>
    </row>
    <row r="3190" spans="1:11" x14ac:dyDescent="0.2">
      <c r="A3190" s="199"/>
      <c r="B3190" s="229"/>
      <c r="C3190" s="199"/>
      <c r="D3190" s="199"/>
      <c r="E3190" s="199"/>
      <c r="F3190" s="199"/>
      <c r="G3190" s="199"/>
      <c r="H3190" s="199"/>
      <c r="I3190" s="439"/>
      <c r="J3190" s="295"/>
      <c r="K3190" s="295"/>
    </row>
    <row r="3191" spans="1:11" x14ac:dyDescent="0.2">
      <c r="A3191" s="247"/>
      <c r="B3191" s="248"/>
      <c r="C3191" s="249"/>
      <c r="D3191" s="249"/>
      <c r="E3191" s="249"/>
      <c r="F3191" s="250" t="s">
        <v>193</v>
      </c>
      <c r="G3191" s="401"/>
      <c r="H3191" s="249"/>
      <c r="I3191" s="445">
        <f>+I3183+I3186+I3189</f>
        <v>0</v>
      </c>
      <c r="J3191" s="295"/>
      <c r="K3191" s="295"/>
    </row>
    <row r="3192" spans="1:11" x14ac:dyDescent="0.2">
      <c r="A3192" s="251"/>
      <c r="B3192" s="252"/>
      <c r="C3192" s="253"/>
      <c r="D3192" s="253"/>
      <c r="E3192" s="253"/>
      <c r="F3192" s="254" t="s">
        <v>194</v>
      </c>
      <c r="G3192" s="255"/>
      <c r="H3192" s="253"/>
      <c r="I3192" s="446">
        <v>1</v>
      </c>
      <c r="J3192" s="295"/>
      <c r="K3192" s="295"/>
    </row>
    <row r="3193" spans="1:11" x14ac:dyDescent="0.2">
      <c r="A3193" s="233"/>
      <c r="B3193" s="256"/>
      <c r="C3193" s="241"/>
      <c r="D3193" s="241"/>
      <c r="E3193" s="241"/>
      <c r="F3193" s="257" t="s">
        <v>216</v>
      </c>
      <c r="G3193" s="240"/>
      <c r="H3193" s="241"/>
      <c r="I3193" s="447">
        <f>TRUNC(I3191/I3192,2)</f>
        <v>0</v>
      </c>
      <c r="J3193" s="295"/>
      <c r="K3193" s="295"/>
    </row>
    <row r="3194" spans="1:11" x14ac:dyDescent="0.2">
      <c r="A3194" s="636"/>
      <c r="B3194" s="229"/>
      <c r="C3194" s="199"/>
      <c r="D3194" s="199"/>
      <c r="E3194" s="199"/>
      <c r="F3194" s="258"/>
      <c r="G3194" s="199"/>
      <c r="H3194" s="199"/>
      <c r="I3194" s="450"/>
      <c r="J3194" s="295"/>
      <c r="K3194" s="295"/>
    </row>
    <row r="3195" spans="1:11" x14ac:dyDescent="0.2">
      <c r="A3195" s="242" t="s">
        <v>195</v>
      </c>
      <c r="B3195" s="243" t="s">
        <v>59</v>
      </c>
      <c r="C3195" s="243" t="s">
        <v>196</v>
      </c>
      <c r="D3195" s="243" t="s">
        <v>217</v>
      </c>
      <c r="E3195" s="1121" t="s">
        <v>89</v>
      </c>
      <c r="F3195" s="1114"/>
      <c r="G3195" s="1115"/>
      <c r="H3195" s="1121" t="s">
        <v>183</v>
      </c>
      <c r="I3195" s="1115"/>
      <c r="J3195" s="295"/>
      <c r="K3195" s="295"/>
    </row>
    <row r="3196" spans="1:11" x14ac:dyDescent="0.2">
      <c r="A3196" s="199"/>
      <c r="B3196" s="229"/>
      <c r="C3196" s="199"/>
      <c r="D3196" s="199"/>
      <c r="E3196" s="199"/>
      <c r="F3196" s="230" t="s">
        <v>197</v>
      </c>
      <c r="G3196" s="240"/>
      <c r="H3196" s="241"/>
      <c r="I3196" s="438">
        <v>0</v>
      </c>
      <c r="J3196" s="295"/>
      <c r="K3196" s="295"/>
    </row>
    <row r="3197" spans="1:11" x14ac:dyDescent="0.2">
      <c r="A3197" s="199"/>
      <c r="B3197" s="229"/>
      <c r="C3197" s="199"/>
      <c r="D3197" s="199"/>
      <c r="E3197" s="199"/>
      <c r="F3197" s="199"/>
      <c r="G3197" s="262"/>
      <c r="H3197" s="199"/>
      <c r="I3197" s="439"/>
      <c r="J3197" s="295"/>
      <c r="K3197" s="295"/>
    </row>
    <row r="3198" spans="1:11" x14ac:dyDescent="0.2">
      <c r="A3198" s="263" t="s">
        <v>198</v>
      </c>
      <c r="B3198" s="243" t="s">
        <v>59</v>
      </c>
      <c r="C3198" s="243" t="s">
        <v>196</v>
      </c>
      <c r="D3198" s="635" t="s">
        <v>217</v>
      </c>
      <c r="E3198" s="1121" t="s">
        <v>89</v>
      </c>
      <c r="F3198" s="1114"/>
      <c r="G3198" s="1115"/>
      <c r="H3198" s="1121" t="s">
        <v>183</v>
      </c>
      <c r="I3198" s="1115"/>
      <c r="K3198" s="295"/>
    </row>
    <row r="3199" spans="1:11" x14ac:dyDescent="0.2">
      <c r="A3199" s="244" t="str">
        <f>VLOOKUP(B3199,'DER 11-20'!$A:$E,2,FALSE)</f>
        <v>Caiação de meio fios, sarjetas, etc</v>
      </c>
      <c r="B3199" s="234">
        <v>40658</v>
      </c>
      <c r="C3199" s="234" t="str">
        <f>VLOOKUP(B3199,'DER 11-20'!$A:$E,3,FALSE)</f>
        <v>M2</v>
      </c>
      <c r="D3199" s="418">
        <f>TRUNC(VLOOKUP(B3199,'DER 11-20'!$A:$F,6,FALSE)/(1+$I$4),2)</f>
        <v>5.0599999999999996</v>
      </c>
      <c r="E3199" s="255"/>
      <c r="F3199" s="253"/>
      <c r="G3199" s="293">
        <v>2.44</v>
      </c>
      <c r="H3199" s="240"/>
      <c r="I3199" s="423">
        <f>TRUNC(D3199*G3199,2)</f>
        <v>12.34</v>
      </c>
      <c r="K3199" s="295"/>
    </row>
    <row r="3200" spans="1:11" ht="22.5" x14ac:dyDescent="0.2">
      <c r="A3200" s="244" t="str">
        <f>VLOOKUP(B3200,'DER 11-20'!$A:$E,2,FALSE)</f>
        <v>Concreto estrutural fck = 15,0 MPa, tudo incluído</v>
      </c>
      <c r="B3200" s="234">
        <v>40358</v>
      </c>
      <c r="C3200" s="234" t="str">
        <f>VLOOKUP(B3200,'DER 11-20'!$A:$E,3,FALSE)</f>
        <v>M3</v>
      </c>
      <c r="D3200" s="418">
        <f>TRUNC(VLOOKUP(B3200,'DER 11-20'!$A:$F,6,FALSE)/(1+$I$4),2)</f>
        <v>547.26</v>
      </c>
      <c r="E3200" s="255"/>
      <c r="F3200" s="253"/>
      <c r="G3200" s="293">
        <v>0.33</v>
      </c>
      <c r="H3200" s="240"/>
      <c r="I3200" s="423">
        <f>TRUNC(D3200*G3200,2)</f>
        <v>180.59</v>
      </c>
      <c r="K3200" s="295"/>
    </row>
    <row r="3201" spans="1:13" ht="22.5" x14ac:dyDescent="0.2">
      <c r="A3201" s="244" t="str">
        <f>VLOOKUP(B3201,'DER 11-20'!$A:$E,2,FALSE)</f>
        <v>Escavação manual em mat. 1ª cat. H= 0,00 a 1,50 m</v>
      </c>
      <c r="B3201" s="234">
        <v>40258</v>
      </c>
      <c r="C3201" s="234" t="str">
        <f>VLOOKUP(B3201,'DER 11-20'!$A:$E,3,FALSE)</f>
        <v>M3</v>
      </c>
      <c r="D3201" s="418">
        <f>TRUNC(VLOOKUP(B3201,'DER 11-20'!$A:$F,6,FALSE)/(1+$I$4),2)</f>
        <v>56.6</v>
      </c>
      <c r="E3201" s="255"/>
      <c r="F3201" s="253"/>
      <c r="G3201" s="293">
        <v>1.18</v>
      </c>
      <c r="H3201" s="240"/>
      <c r="I3201" s="423">
        <f>TRUNC(D3201*G3201,2)</f>
        <v>66.78</v>
      </c>
      <c r="K3201" s="295"/>
    </row>
    <row r="3202" spans="1:13" ht="45" x14ac:dyDescent="0.2">
      <c r="A3202" s="244" t="str">
        <f>VLOOKUP(B3202,'DER 11-20'!$A:$E,2,FALSE)</f>
        <v>Formas planas de madeira com 02 (dois) reaproveitamentos, inclusive fornecimento e transporte das madeiras</v>
      </c>
      <c r="B3202" s="234">
        <v>40312</v>
      </c>
      <c r="C3202" s="234" t="str">
        <f>VLOOKUP(B3202,'DER 11-20'!$A:$E,3,FALSE)</f>
        <v>M2</v>
      </c>
      <c r="D3202" s="418">
        <f>TRUNC(VLOOKUP(B3202,'DER 11-20'!$A:$F,6,FALSE)/(1+$I$4),2)</f>
        <v>84.31</v>
      </c>
      <c r="E3202" s="255"/>
      <c r="F3202" s="253"/>
      <c r="G3202" s="293">
        <v>0.97</v>
      </c>
      <c r="H3202" s="240"/>
      <c r="I3202" s="423">
        <f>TRUNC(D3202*G3202,2)</f>
        <v>81.78</v>
      </c>
      <c r="K3202" s="295"/>
    </row>
    <row r="3203" spans="1:13" x14ac:dyDescent="0.2">
      <c r="A3203" s="200"/>
      <c r="B3203" s="264"/>
      <c r="C3203" s="200"/>
      <c r="D3203" s="200"/>
      <c r="E3203" s="200"/>
      <c r="F3203" s="265" t="s">
        <v>199</v>
      </c>
      <c r="G3203" s="255"/>
      <c r="H3203" s="266"/>
      <c r="I3203" s="441">
        <f>SUM(I3199:I3202)</f>
        <v>341.49</v>
      </c>
      <c r="K3203" s="295"/>
    </row>
    <row r="3204" spans="1:13" x14ac:dyDescent="0.2">
      <c r="A3204" s="200"/>
      <c r="B3204" s="264"/>
      <c r="C3204" s="200"/>
      <c r="D3204" s="200"/>
      <c r="E3204" s="200"/>
      <c r="F3204" s="200"/>
      <c r="G3204" s="200"/>
      <c r="H3204" s="200"/>
      <c r="I3204" s="440"/>
      <c r="K3204" s="295"/>
    </row>
    <row r="3205" spans="1:13" x14ac:dyDescent="0.2">
      <c r="A3205" s="406" t="s">
        <v>200</v>
      </c>
      <c r="B3205" s="268" t="s">
        <v>59</v>
      </c>
      <c r="C3205" s="268" t="s">
        <v>196</v>
      </c>
      <c r="D3205" s="268" t="s">
        <v>201</v>
      </c>
      <c r="E3205" s="268" t="s">
        <v>202</v>
      </c>
      <c r="F3205" s="268" t="s">
        <v>203</v>
      </c>
      <c r="G3205" s="268" t="s">
        <v>94</v>
      </c>
      <c r="H3205" s="268" t="s">
        <v>89</v>
      </c>
      <c r="I3205" s="442" t="s">
        <v>204</v>
      </c>
      <c r="K3205" s="295"/>
    </row>
    <row r="3206" spans="1:13" x14ac:dyDescent="0.2">
      <c r="A3206" s="244"/>
      <c r="B3206" s="234"/>
      <c r="C3206" s="234"/>
      <c r="D3206" s="269"/>
      <c r="E3206" s="270"/>
      <c r="F3206" s="270"/>
      <c r="G3206" s="239"/>
      <c r="H3206" s="271"/>
      <c r="I3206" s="418"/>
      <c r="K3206" s="295"/>
    </row>
    <row r="3207" spans="1:13" x14ac:dyDescent="0.2">
      <c r="A3207" s="200"/>
      <c r="B3207" s="264"/>
      <c r="C3207" s="200"/>
      <c r="D3207" s="200"/>
      <c r="E3207" s="200"/>
      <c r="F3207" s="265" t="s">
        <v>205</v>
      </c>
      <c r="G3207" s="240"/>
      <c r="H3207" s="272"/>
      <c r="I3207" s="443">
        <f>SUM(I3206:I3206)</f>
        <v>0</v>
      </c>
      <c r="K3207" s="295"/>
    </row>
    <row r="3208" spans="1:13" x14ac:dyDescent="0.2">
      <c r="A3208" s="200"/>
      <c r="B3208" s="264"/>
      <c r="C3208" s="200"/>
      <c r="D3208" s="200"/>
      <c r="E3208" s="200"/>
      <c r="F3208" s="200"/>
      <c r="G3208" s="200"/>
      <c r="H3208" s="200"/>
      <c r="I3208" s="444"/>
      <c r="K3208" s="295"/>
    </row>
    <row r="3209" spans="1:13" x14ac:dyDescent="0.2">
      <c r="A3209" s="273"/>
      <c r="B3209" s="274"/>
      <c r="C3209" s="275"/>
      <c r="D3209" s="275"/>
      <c r="E3209" s="275"/>
      <c r="F3209" s="276" t="s">
        <v>206</v>
      </c>
      <c r="G3209" s="273"/>
      <c r="H3209" s="249"/>
      <c r="I3209" s="445">
        <f>+I3193+I3196+I3203+I3207</f>
        <v>341.49</v>
      </c>
      <c r="K3209" s="295"/>
    </row>
    <row r="3210" spans="1:13" x14ac:dyDescent="0.2">
      <c r="A3210" s="255"/>
      <c r="B3210" s="277"/>
      <c r="C3210" s="266"/>
      <c r="D3210" s="266"/>
      <c r="E3210" s="266"/>
      <c r="F3210" s="278" t="str">
        <f>CONCATENATE($H$3," ",$I$3)</f>
        <v>BDI: 23,32</v>
      </c>
      <c r="G3210" s="403"/>
      <c r="H3210" s="253"/>
      <c r="I3210" s="446">
        <f>+ROUND(I3209*$I$4,2)</f>
        <v>79.64</v>
      </c>
      <c r="K3210" s="295"/>
    </row>
    <row r="3211" spans="1:13" x14ac:dyDescent="0.2">
      <c r="A3211" s="240"/>
      <c r="B3211" s="279"/>
      <c r="C3211" s="272"/>
      <c r="D3211" s="272"/>
      <c r="E3211" s="272"/>
      <c r="F3211" s="280" t="s">
        <v>207</v>
      </c>
      <c r="G3211" s="404"/>
      <c r="H3211" s="241"/>
      <c r="I3211" s="720">
        <f>+I3209+I3210</f>
        <v>421.13</v>
      </c>
      <c r="K3211" s="295"/>
    </row>
    <row r="3212" spans="1:13" x14ac:dyDescent="0.2">
      <c r="A3212" s="1116" t="str">
        <f>$A$1</f>
        <v>COMPOSIÇÃO DE CUSTOS UNITÁRIOS</v>
      </c>
      <c r="B3212" s="1116"/>
      <c r="C3212" s="1116"/>
      <c r="D3212" s="1116"/>
      <c r="E3212" s="1116"/>
      <c r="F3212" s="1116"/>
      <c r="G3212" s="1116"/>
      <c r="H3212" s="1116"/>
      <c r="I3212" s="1116"/>
    </row>
    <row r="3213" spans="1:13" x14ac:dyDescent="0.2">
      <c r="A3213" s="228" t="str">
        <f>$A$2</f>
        <v>Tabela Referencial de Preços - DER-ES</v>
      </c>
      <c r="B3213" s="229"/>
      <c r="C3213" s="199"/>
      <c r="D3213" s="199"/>
      <c r="E3213" s="199"/>
      <c r="F3213" s="199"/>
      <c r="G3213" s="199"/>
      <c r="H3213" s="199"/>
      <c r="I3213" s="414" t="str">
        <f>$I$2</f>
        <v>Data Base: novembro/2020</v>
      </c>
    </row>
    <row r="3214" spans="1:13" x14ac:dyDescent="0.2">
      <c r="A3214" s="1117" t="str">
        <f>+CONCATENATE("Serviço: ",J3214," ",VLOOKUP(J3214,'DER 11-20'!$A:$D,2,FALSE))</f>
        <v>Serviço: 40682 Descida d'água concreto simples (degraus) c/ caiação (DSA-03) dispersor</v>
      </c>
      <c r="B3214" s="1117"/>
      <c r="C3214" s="1117"/>
      <c r="D3214" s="1117"/>
      <c r="E3214" s="1117"/>
      <c r="F3214" s="1117"/>
      <c r="G3214" s="1117"/>
      <c r="H3214" s="1117"/>
      <c r="I3214" s="1119" t="str">
        <f>CONCATENATE("Unidade: ", VLOOKUP(J3214,'DER 11-20'!$A:$E,3,FALSE))</f>
        <v>Unidade: Ud</v>
      </c>
      <c r="J3214" s="400">
        <v>40682</v>
      </c>
      <c r="K3214" s="400">
        <f>VLOOKUP("Preço Unitário Total",F3215:I3245,4,FALSE)</f>
        <v>741.36</v>
      </c>
      <c r="L3214" s="295">
        <f>VLOOKUP(J3214,'DER 11-20'!A:E,5,FALSE)</f>
        <v>0</v>
      </c>
      <c r="M3214" s="295" t="str">
        <f>VLOOKUP(J3214,'DER 11-20'!$A:$D,2,FALSE)</f>
        <v>Descida d'água concreto simples (degraus) c/ caiação (DSA-03) dispersor</v>
      </c>
    </row>
    <row r="3215" spans="1:13" x14ac:dyDescent="0.2">
      <c r="A3215" s="1118"/>
      <c r="B3215" s="1118"/>
      <c r="C3215" s="1118"/>
      <c r="D3215" s="1118"/>
      <c r="E3215" s="1118"/>
      <c r="F3215" s="1118"/>
      <c r="G3215" s="1118"/>
      <c r="H3215" s="1118"/>
      <c r="I3215" s="1120"/>
    </row>
    <row r="3216" spans="1:13" ht="22.5" x14ac:dyDescent="0.2">
      <c r="A3216" s="231" t="s">
        <v>177</v>
      </c>
      <c r="B3216" s="232" t="s">
        <v>59</v>
      </c>
      <c r="C3216" s="232" t="s">
        <v>178</v>
      </c>
      <c r="D3216" s="232" t="s">
        <v>179</v>
      </c>
      <c r="E3216" s="232" t="s">
        <v>180</v>
      </c>
      <c r="F3216" s="232" t="s">
        <v>181</v>
      </c>
      <c r="G3216" s="232" t="s">
        <v>182</v>
      </c>
      <c r="H3216" s="232" t="s">
        <v>89</v>
      </c>
      <c r="I3216" s="434" t="s">
        <v>183</v>
      </c>
    </row>
    <row r="3217" spans="1:9" x14ac:dyDescent="0.2">
      <c r="A3217" s="199"/>
      <c r="B3217" s="229"/>
      <c r="C3217" s="229"/>
      <c r="D3217" s="199"/>
      <c r="E3217" s="199"/>
      <c r="F3217" s="230" t="s">
        <v>184</v>
      </c>
      <c r="G3217" s="240"/>
      <c r="H3217" s="241"/>
      <c r="I3217" s="438">
        <v>0</v>
      </c>
    </row>
    <row r="3218" spans="1:9" x14ac:dyDescent="0.2">
      <c r="A3218" s="199"/>
      <c r="B3218" s="229"/>
      <c r="C3218" s="229"/>
      <c r="D3218" s="199"/>
      <c r="E3218" s="199"/>
      <c r="F3218" s="199"/>
      <c r="G3218" s="199"/>
      <c r="H3218" s="199"/>
      <c r="I3218" s="439"/>
    </row>
    <row r="3219" spans="1:9" x14ac:dyDescent="0.2">
      <c r="A3219" s="242" t="s">
        <v>185</v>
      </c>
      <c r="B3219" s="243" t="s">
        <v>59</v>
      </c>
      <c r="C3219" s="232" t="s">
        <v>357</v>
      </c>
      <c r="D3219" s="243" t="s">
        <v>187</v>
      </c>
      <c r="E3219" s="1111" t="s">
        <v>89</v>
      </c>
      <c r="F3219" s="1112"/>
      <c r="G3219" s="1113"/>
      <c r="H3219" s="1121" t="s">
        <v>183</v>
      </c>
      <c r="I3219" s="1115"/>
    </row>
    <row r="3220" spans="1:9" x14ac:dyDescent="0.2">
      <c r="A3220" s="199"/>
      <c r="B3220" s="229"/>
      <c r="C3220" s="229"/>
      <c r="D3220" s="199"/>
      <c r="E3220" s="199"/>
      <c r="F3220" s="230" t="s">
        <v>188</v>
      </c>
      <c r="G3220" s="240"/>
      <c r="H3220" s="241"/>
      <c r="I3220" s="438">
        <v>0</v>
      </c>
    </row>
    <row r="3221" spans="1:9" x14ac:dyDescent="0.2">
      <c r="A3221" s="199"/>
      <c r="B3221" s="229"/>
      <c r="C3221" s="229"/>
      <c r="D3221" s="199"/>
      <c r="E3221" s="199"/>
      <c r="F3221" s="199"/>
      <c r="G3221" s="199"/>
      <c r="H3221" s="199"/>
      <c r="I3221" s="439"/>
    </row>
    <row r="3222" spans="1:9" x14ac:dyDescent="0.2">
      <c r="A3222" s="245" t="s">
        <v>189</v>
      </c>
      <c r="B3222" s="243" t="s">
        <v>59</v>
      </c>
      <c r="C3222" s="635" t="s">
        <v>17</v>
      </c>
      <c r="D3222" s="243" t="s">
        <v>190</v>
      </c>
      <c r="E3222" s="243" t="s">
        <v>191</v>
      </c>
      <c r="F3222" s="243" t="s">
        <v>192</v>
      </c>
      <c r="G3222" s="1121" t="s">
        <v>94</v>
      </c>
      <c r="H3222" s="1114"/>
      <c r="I3222" s="1115"/>
    </row>
    <row r="3223" spans="1:9" x14ac:dyDescent="0.2">
      <c r="A3223" s="199"/>
      <c r="B3223" s="229"/>
      <c r="C3223" s="199"/>
      <c r="D3223" s="199"/>
      <c r="E3223" s="199"/>
      <c r="F3223" s="230" t="s">
        <v>327</v>
      </c>
      <c r="G3223" s="240"/>
      <c r="H3223" s="241"/>
      <c r="I3223" s="438">
        <v>0</v>
      </c>
    </row>
    <row r="3224" spans="1:9" ht="21" customHeight="1" x14ac:dyDescent="0.2">
      <c r="A3224" s="199"/>
      <c r="B3224" s="229"/>
      <c r="C3224" s="199"/>
      <c r="D3224" s="199"/>
      <c r="E3224" s="199"/>
      <c r="F3224" s="199"/>
      <c r="G3224" s="199"/>
      <c r="H3224" s="199"/>
      <c r="I3224" s="439"/>
    </row>
    <row r="3225" spans="1:9" x14ac:dyDescent="0.2">
      <c r="A3225" s="247"/>
      <c r="B3225" s="248"/>
      <c r="C3225" s="249"/>
      <c r="D3225" s="249"/>
      <c r="E3225" s="249"/>
      <c r="F3225" s="250" t="s">
        <v>193</v>
      </c>
      <c r="G3225" s="401"/>
      <c r="H3225" s="249"/>
      <c r="I3225" s="445">
        <f>+I3217+I3220+I3223</f>
        <v>0</v>
      </c>
    </row>
    <row r="3226" spans="1:9" x14ac:dyDescent="0.2">
      <c r="A3226" s="251"/>
      <c r="B3226" s="252"/>
      <c r="C3226" s="253"/>
      <c r="D3226" s="253"/>
      <c r="E3226" s="253"/>
      <c r="F3226" s="254" t="s">
        <v>194</v>
      </c>
      <c r="G3226" s="255"/>
      <c r="H3226" s="253"/>
      <c r="I3226" s="446">
        <v>1</v>
      </c>
    </row>
    <row r="3227" spans="1:9" x14ac:dyDescent="0.2">
      <c r="A3227" s="233"/>
      <c r="B3227" s="256"/>
      <c r="C3227" s="241"/>
      <c r="D3227" s="241"/>
      <c r="E3227" s="241"/>
      <c r="F3227" s="257" t="s">
        <v>216</v>
      </c>
      <c r="G3227" s="240"/>
      <c r="H3227" s="241"/>
      <c r="I3227" s="447">
        <f>TRUNC(I3225/I3226,2)</f>
        <v>0</v>
      </c>
    </row>
    <row r="3228" spans="1:9" ht="26.25" customHeight="1" x14ac:dyDescent="0.2">
      <c r="A3228" s="636"/>
      <c r="B3228" s="229"/>
      <c r="C3228" s="199"/>
      <c r="D3228" s="199"/>
      <c r="E3228" s="199"/>
      <c r="F3228" s="258"/>
      <c r="G3228" s="199"/>
      <c r="H3228" s="199"/>
      <c r="I3228" s="450"/>
    </row>
    <row r="3229" spans="1:9" x14ac:dyDescent="0.2">
      <c r="A3229" s="242" t="s">
        <v>195</v>
      </c>
      <c r="B3229" s="243" t="s">
        <v>59</v>
      </c>
      <c r="C3229" s="243" t="s">
        <v>196</v>
      </c>
      <c r="D3229" s="243" t="s">
        <v>217</v>
      </c>
      <c r="E3229" s="1121" t="s">
        <v>89</v>
      </c>
      <c r="F3229" s="1114"/>
      <c r="G3229" s="1115"/>
      <c r="H3229" s="1121" t="s">
        <v>183</v>
      </c>
      <c r="I3229" s="1115"/>
    </row>
    <row r="3230" spans="1:9" x14ac:dyDescent="0.2">
      <c r="A3230" s="199"/>
      <c r="B3230" s="229"/>
      <c r="C3230" s="199"/>
      <c r="D3230" s="199"/>
      <c r="E3230" s="199"/>
      <c r="F3230" s="230" t="s">
        <v>197</v>
      </c>
      <c r="G3230" s="240"/>
      <c r="H3230" s="241"/>
      <c r="I3230" s="438">
        <v>0</v>
      </c>
    </row>
    <row r="3231" spans="1:9" x14ac:dyDescent="0.2">
      <c r="A3231" s="199"/>
      <c r="B3231" s="229"/>
      <c r="C3231" s="199"/>
      <c r="D3231" s="199"/>
      <c r="E3231" s="199"/>
      <c r="F3231" s="199"/>
      <c r="G3231" s="262"/>
      <c r="H3231" s="199"/>
      <c r="I3231" s="439"/>
    </row>
    <row r="3232" spans="1:9" x14ac:dyDescent="0.2">
      <c r="A3232" s="263" t="s">
        <v>198</v>
      </c>
      <c r="B3232" s="243" t="s">
        <v>59</v>
      </c>
      <c r="C3232" s="243" t="s">
        <v>196</v>
      </c>
      <c r="D3232" s="635" t="s">
        <v>217</v>
      </c>
      <c r="E3232" s="1111" t="s">
        <v>89</v>
      </c>
      <c r="F3232" s="1112"/>
      <c r="G3232" s="1113"/>
      <c r="H3232" s="1114" t="s">
        <v>183</v>
      </c>
      <c r="I3232" s="1115"/>
    </row>
    <row r="3233" spans="1:17" x14ac:dyDescent="0.2">
      <c r="A3233" s="244" t="str">
        <f>VLOOKUP(B3233,'DER 11-20'!$A:$E,2,FALSE)</f>
        <v>Caiação de meio fios, sarjetas, etc</v>
      </c>
      <c r="B3233" s="234">
        <v>40658</v>
      </c>
      <c r="C3233" s="234" t="str">
        <f>VLOOKUP(B3233,'DER 11-20'!$A:$E,3,FALSE)</f>
        <v>M2</v>
      </c>
      <c r="D3233" s="418">
        <f>TRUNC(VLOOKUP(B3233,'DER 11-20'!$A:$F,6,FALSE)/(1+$I$4),2)</f>
        <v>5.0599999999999996</v>
      </c>
      <c r="E3233" s="255"/>
      <c r="F3233" s="253"/>
      <c r="G3233" s="293">
        <v>4.5</v>
      </c>
      <c r="H3233" s="240"/>
      <c r="I3233" s="423">
        <f>TRUNC(D3233*G3233,2)</f>
        <v>22.77</v>
      </c>
      <c r="K3233" s="295"/>
    </row>
    <row r="3234" spans="1:17" ht="22.5" x14ac:dyDescent="0.2">
      <c r="A3234" s="244" t="str">
        <f>VLOOKUP(B3234,'DER 11-20'!$A:$E,2,FALSE)</f>
        <v>Concreto estrutural fck = 15,0 MPa, tudo incluído</v>
      </c>
      <c r="B3234" s="234">
        <v>40358</v>
      </c>
      <c r="C3234" s="234" t="str">
        <f>VLOOKUP(B3234,'DER 11-20'!$A:$E,3,FALSE)</f>
        <v>M3</v>
      </c>
      <c r="D3234" s="418">
        <f>TRUNC(VLOOKUP(B3234,'DER 11-20'!$A:$F,6,FALSE)/(1+$I$4),2)</f>
        <v>547.26</v>
      </c>
      <c r="E3234" s="255"/>
      <c r="F3234" s="253"/>
      <c r="G3234" s="293">
        <v>0.66</v>
      </c>
      <c r="H3234" s="240"/>
      <c r="I3234" s="423">
        <f>TRUNC(D3234*G3234,2)</f>
        <v>361.19</v>
      </c>
      <c r="K3234" s="295"/>
    </row>
    <row r="3235" spans="1:17" ht="22.5" x14ac:dyDescent="0.2">
      <c r="A3235" s="244" t="str">
        <f>VLOOKUP(B3235,'DER 11-20'!$A:$E,2,FALSE)</f>
        <v>Escavação manual em mat. 1ª cat. H= 0,00 a 1,50 m</v>
      </c>
      <c r="B3235" s="234">
        <v>40258</v>
      </c>
      <c r="C3235" s="234" t="str">
        <f>VLOOKUP(B3235,'DER 11-20'!$A:$E,3,FALSE)</f>
        <v>M3</v>
      </c>
      <c r="D3235" s="418">
        <f>TRUNC(VLOOKUP(B3235,'DER 11-20'!$A:$F,6,FALSE)/(1+$I$4),2)</f>
        <v>56.6</v>
      </c>
      <c r="E3235" s="255"/>
      <c r="F3235" s="253"/>
      <c r="G3235" s="293">
        <v>1.2310000000000001</v>
      </c>
      <c r="H3235" s="240"/>
      <c r="I3235" s="423">
        <f>TRUNC(D3235*G3235,2)</f>
        <v>69.67</v>
      </c>
      <c r="K3235" s="295"/>
    </row>
    <row r="3236" spans="1:17" ht="45" x14ac:dyDescent="0.2">
      <c r="A3236" s="244" t="str">
        <f>VLOOKUP(B3236,'DER 11-20'!$A:$E,2,FALSE)</f>
        <v>Formas planas de madeira com 02 (dois) reaproveitamentos, inclusive fornecimento e transporte das madeiras</v>
      </c>
      <c r="B3236" s="234">
        <v>40312</v>
      </c>
      <c r="C3236" s="234" t="str">
        <f>VLOOKUP(B3236,'DER 11-20'!$A:$E,3,FALSE)</f>
        <v>M2</v>
      </c>
      <c r="D3236" s="418">
        <f>TRUNC(VLOOKUP(B3236,'DER 11-20'!$A:$F,6,FALSE)/(1+$I$4),2)</f>
        <v>84.31</v>
      </c>
      <c r="E3236" s="255"/>
      <c r="F3236" s="253"/>
      <c r="G3236" s="293">
        <v>1.75</v>
      </c>
      <c r="H3236" s="240"/>
      <c r="I3236" s="423">
        <f>TRUNC(D3236*G3236,2)</f>
        <v>147.54</v>
      </c>
      <c r="K3236" s="295"/>
    </row>
    <row r="3237" spans="1:17" x14ac:dyDescent="0.2">
      <c r="A3237" s="200"/>
      <c r="B3237" s="264"/>
      <c r="C3237" s="200"/>
      <c r="D3237" s="200"/>
      <c r="E3237" s="200"/>
      <c r="F3237" s="265" t="s">
        <v>199</v>
      </c>
      <c r="G3237" s="255"/>
      <c r="H3237" s="266"/>
      <c r="I3237" s="441">
        <f>SUM(I3233:I3236)</f>
        <v>601.16999999999996</v>
      </c>
    </row>
    <row r="3238" spans="1:17" x14ac:dyDescent="0.2">
      <c r="A3238" s="200"/>
      <c r="B3238" s="264"/>
      <c r="C3238" s="200"/>
      <c r="D3238" s="200"/>
      <c r="E3238" s="200"/>
      <c r="F3238" s="200"/>
      <c r="G3238" s="200"/>
      <c r="H3238" s="200"/>
      <c r="I3238" s="440"/>
    </row>
    <row r="3239" spans="1:17" x14ac:dyDescent="0.2">
      <c r="A3239" s="267" t="s">
        <v>200</v>
      </c>
      <c r="B3239" s="268" t="s">
        <v>59</v>
      </c>
      <c r="C3239" s="268" t="s">
        <v>196</v>
      </c>
      <c r="D3239" s="268" t="s">
        <v>201</v>
      </c>
      <c r="E3239" s="268" t="s">
        <v>202</v>
      </c>
      <c r="F3239" s="268" t="s">
        <v>203</v>
      </c>
      <c r="G3239" s="268" t="s">
        <v>94</v>
      </c>
      <c r="H3239" s="268" t="s">
        <v>89</v>
      </c>
      <c r="I3239" s="442" t="s">
        <v>204</v>
      </c>
    </row>
    <row r="3240" spans="1:17" x14ac:dyDescent="0.2">
      <c r="A3240" s="244"/>
      <c r="B3240" s="234"/>
      <c r="C3240" s="234"/>
      <c r="D3240" s="402"/>
      <c r="E3240" s="270"/>
      <c r="F3240" s="270"/>
      <c r="G3240" s="239"/>
      <c r="H3240" s="271"/>
      <c r="I3240" s="418"/>
    </row>
    <row r="3241" spans="1:17" x14ac:dyDescent="0.2">
      <c r="A3241" s="200"/>
      <c r="B3241" s="264"/>
      <c r="C3241" s="200"/>
      <c r="D3241" s="200"/>
      <c r="E3241" s="200"/>
      <c r="F3241" s="265" t="s">
        <v>205</v>
      </c>
      <c r="G3241" s="240"/>
      <c r="H3241" s="272"/>
      <c r="I3241" s="443">
        <f>SUM(I3240:I3240)</f>
        <v>0</v>
      </c>
    </row>
    <row r="3242" spans="1:17" x14ac:dyDescent="0.2">
      <c r="A3242" s="200"/>
      <c r="B3242" s="264"/>
      <c r="C3242" s="200"/>
      <c r="D3242" s="200"/>
      <c r="E3242" s="200"/>
      <c r="F3242" s="200"/>
      <c r="G3242" s="200"/>
      <c r="H3242" s="200"/>
      <c r="I3242" s="444"/>
    </row>
    <row r="3243" spans="1:17" x14ac:dyDescent="0.2">
      <c r="A3243" s="273"/>
      <c r="B3243" s="274"/>
      <c r="C3243" s="275"/>
      <c r="D3243" s="275"/>
      <c r="E3243" s="275"/>
      <c r="F3243" s="276" t="s">
        <v>206</v>
      </c>
      <c r="G3243" s="273"/>
      <c r="H3243" s="249"/>
      <c r="I3243" s="445">
        <f>+I3227+I3230+I3237+I3241</f>
        <v>601.16999999999996</v>
      </c>
    </row>
    <row r="3244" spans="1:17" s="198" customFormat="1" x14ac:dyDescent="0.2">
      <c r="A3244" s="255"/>
      <c r="B3244" s="277"/>
      <c r="C3244" s="266"/>
      <c r="D3244" s="266"/>
      <c r="E3244" s="266"/>
      <c r="F3244" s="278" t="str">
        <f>CONCATENATE($H$3," ",$I$3)</f>
        <v>BDI: 23,32</v>
      </c>
      <c r="G3244" s="403"/>
      <c r="H3244" s="253"/>
      <c r="I3244" s="446">
        <f>+ROUND(I3243*$I$4,2)</f>
        <v>140.19</v>
      </c>
      <c r="J3244" s="400"/>
      <c r="K3244" s="400"/>
      <c r="L3244" s="295"/>
      <c r="M3244" s="295"/>
      <c r="N3244" s="295"/>
      <c r="O3244" s="295"/>
      <c r="P3244" s="295"/>
      <c r="Q3244" s="295"/>
    </row>
    <row r="3245" spans="1:17" s="198" customFormat="1" x14ac:dyDescent="0.2">
      <c r="A3245" s="240"/>
      <c r="B3245" s="279"/>
      <c r="C3245" s="272"/>
      <c r="D3245" s="272"/>
      <c r="E3245" s="272"/>
      <c r="F3245" s="280" t="s">
        <v>207</v>
      </c>
      <c r="G3245" s="404"/>
      <c r="H3245" s="241"/>
      <c r="I3245" s="720">
        <f>+I3243+I3244</f>
        <v>741.36</v>
      </c>
      <c r="J3245" s="400"/>
      <c r="K3245" s="400"/>
      <c r="L3245" s="295"/>
      <c r="M3245" s="295"/>
      <c r="N3245" s="295"/>
      <c r="O3245" s="295"/>
      <c r="P3245" s="295"/>
      <c r="Q3245" s="295"/>
    </row>
    <row r="3246" spans="1:17" s="198" customFormat="1" x14ac:dyDescent="0.2">
      <c r="A3246" s="1116" t="str">
        <f>$A$1</f>
        <v>COMPOSIÇÃO DE CUSTOS UNITÁRIOS</v>
      </c>
      <c r="B3246" s="1116"/>
      <c r="C3246" s="1116"/>
      <c r="D3246" s="1116"/>
      <c r="E3246" s="1116"/>
      <c r="F3246" s="1116"/>
      <c r="G3246" s="1116"/>
      <c r="H3246" s="1116"/>
      <c r="I3246" s="1116"/>
      <c r="J3246" s="400"/>
      <c r="K3246" s="295"/>
      <c r="L3246" s="295"/>
      <c r="M3246" s="295"/>
      <c r="N3246" s="295"/>
      <c r="O3246" s="295"/>
      <c r="P3246" s="295"/>
      <c r="Q3246" s="295"/>
    </row>
    <row r="3247" spans="1:17" x14ac:dyDescent="0.2">
      <c r="A3247" s="228" t="str">
        <f>$A$2</f>
        <v>Tabela Referencial de Preços - DER-ES</v>
      </c>
      <c r="B3247" s="229"/>
      <c r="C3247" s="199"/>
      <c r="D3247" s="199"/>
      <c r="E3247" s="199"/>
      <c r="F3247" s="199"/>
      <c r="G3247" s="199"/>
      <c r="H3247" s="199"/>
      <c r="I3247" s="414" t="str">
        <f>$I$2</f>
        <v>Data Base: novembro/2020</v>
      </c>
      <c r="K3247" s="295"/>
    </row>
    <row r="3248" spans="1:17" x14ac:dyDescent="0.2">
      <c r="A3248" s="1117" t="str">
        <f>+CONCATENATE("Serviço: ",J3248," ",VLOOKUP(J3248,'DER 11-20'!$A:$D,2,FALSE))</f>
        <v>Serviço: 40646 Dreno profundo D = 0,20 m com enchimento de areia, escavação em material 1ª categoria ( DPS-01), inclusive transporte da areia e do tubo</v>
      </c>
      <c r="B3248" s="1117"/>
      <c r="C3248" s="1117"/>
      <c r="D3248" s="1117"/>
      <c r="E3248" s="1117"/>
      <c r="F3248" s="1117"/>
      <c r="G3248" s="1117"/>
      <c r="H3248" s="1117"/>
      <c r="I3248" s="1119" t="str">
        <f>CONCATENATE("Unidade: ", VLOOKUP(J3248,'DER 11-20'!$A:$E,3,FALSE))</f>
        <v>Unidade: M</v>
      </c>
      <c r="J3248" s="400">
        <v>40646</v>
      </c>
      <c r="K3248" s="400">
        <f>VLOOKUP("Preço Unitário Total",F3249:I3698,4,FALSE)</f>
        <v>156.58000000000001</v>
      </c>
      <c r="L3248" s="295" t="str">
        <f>VLOOKUP(J3248,'DER 11-20'!A:E,5,FALSE)</f>
        <v>A incluir</v>
      </c>
      <c r="M3248" s="295" t="str">
        <f>VLOOKUP(J3248,'DER 11-20'!$A:$D,2,FALSE)</f>
        <v>Dreno profundo D = 0,20 m com enchimento de areia, escavação em material 1ª categoria ( DPS-01), inclusive transporte da areia e do tubo</v>
      </c>
    </row>
    <row r="3249" spans="1:17" x14ac:dyDescent="0.2">
      <c r="A3249" s="1118"/>
      <c r="B3249" s="1118"/>
      <c r="C3249" s="1118"/>
      <c r="D3249" s="1118"/>
      <c r="E3249" s="1118"/>
      <c r="F3249" s="1118"/>
      <c r="G3249" s="1118"/>
      <c r="H3249" s="1118"/>
      <c r="I3249" s="1120"/>
    </row>
    <row r="3250" spans="1:17" ht="22.5" x14ac:dyDescent="0.2">
      <c r="A3250" s="231" t="s">
        <v>177</v>
      </c>
      <c r="B3250" s="232" t="s">
        <v>59</v>
      </c>
      <c r="C3250" s="232" t="s">
        <v>178</v>
      </c>
      <c r="D3250" s="232" t="s">
        <v>179</v>
      </c>
      <c r="E3250" s="232" t="s">
        <v>180</v>
      </c>
      <c r="F3250" s="232" t="s">
        <v>181</v>
      </c>
      <c r="G3250" s="232" t="s">
        <v>182</v>
      </c>
      <c r="H3250" s="232" t="s">
        <v>89</v>
      </c>
      <c r="I3250" s="434" t="s">
        <v>183</v>
      </c>
    </row>
    <row r="3251" spans="1:17" x14ac:dyDescent="0.2">
      <c r="A3251" s="231"/>
      <c r="B3251" s="232"/>
      <c r="C3251" s="232"/>
      <c r="D3251" s="232"/>
      <c r="E3251" s="232"/>
      <c r="F3251" s="232"/>
      <c r="G3251" s="232"/>
      <c r="H3251" s="232"/>
      <c r="I3251" s="434"/>
    </row>
    <row r="3252" spans="1:17" x14ac:dyDescent="0.2">
      <c r="A3252" s="199"/>
      <c r="B3252" s="229"/>
      <c r="C3252" s="229"/>
      <c r="D3252" s="199"/>
      <c r="E3252" s="199"/>
      <c r="F3252" s="230" t="s">
        <v>184</v>
      </c>
      <c r="G3252" s="240"/>
      <c r="H3252" s="241"/>
      <c r="I3252" s="438"/>
    </row>
    <row r="3253" spans="1:17" s="198" customFormat="1" x14ac:dyDescent="0.2">
      <c r="A3253" s="199"/>
      <c r="B3253" s="229"/>
      <c r="C3253" s="229"/>
      <c r="D3253" s="199"/>
      <c r="E3253" s="199"/>
      <c r="F3253" s="199"/>
      <c r="G3253" s="199"/>
      <c r="H3253" s="199"/>
      <c r="I3253" s="439"/>
      <c r="J3253" s="400"/>
      <c r="K3253" s="400"/>
      <c r="L3253" s="295"/>
      <c r="M3253" s="295"/>
      <c r="N3253" s="295"/>
      <c r="O3253" s="295"/>
      <c r="P3253" s="295"/>
      <c r="Q3253" s="295"/>
    </row>
    <row r="3254" spans="1:17" x14ac:dyDescent="0.2">
      <c r="A3254" s="242" t="s">
        <v>185</v>
      </c>
      <c r="B3254" s="243" t="s">
        <v>59</v>
      </c>
      <c r="C3254" s="232" t="s">
        <v>357</v>
      </c>
      <c r="D3254" s="243" t="s">
        <v>187</v>
      </c>
      <c r="E3254" s="1111" t="s">
        <v>89</v>
      </c>
      <c r="F3254" s="1112"/>
      <c r="G3254" s="1113"/>
      <c r="H3254" s="1121" t="s">
        <v>183</v>
      </c>
      <c r="I3254" s="1115"/>
    </row>
    <row r="3255" spans="1:17" x14ac:dyDescent="0.2">
      <c r="A3255" s="244" t="str">
        <f>VLOOKUP(B3255,m.o.!$A:$H,2,FALSE)</f>
        <v>Encarregado de O.A.C.</v>
      </c>
      <c r="B3255" s="234">
        <v>20060</v>
      </c>
      <c r="C3255" s="239">
        <f>VLOOKUP(B3255,m.o.!$A:$F,4,FALSE)</f>
        <v>2.2599999999999998</v>
      </c>
      <c r="D3255" s="239">
        <f>VLOOKUP(B3255,m.o.!$A:$G,7,FALSE)</f>
        <v>28.31</v>
      </c>
      <c r="E3255" s="255"/>
      <c r="F3255" s="253"/>
      <c r="G3255" s="293">
        <v>0.3</v>
      </c>
      <c r="H3255" s="240"/>
      <c r="I3255" s="427">
        <f>TRUNC(D3255*G3255,2)</f>
        <v>8.49</v>
      </c>
    </row>
    <row r="3256" spans="1:17" x14ac:dyDescent="0.2">
      <c r="A3256" s="259" t="str">
        <f>VLOOKUP(B3256,m.o.!$A:$H,2,FALSE)</f>
        <v>Pedreiro de O.A.C.</v>
      </c>
      <c r="B3256" s="234">
        <v>20109</v>
      </c>
      <c r="C3256" s="261">
        <f>VLOOKUP(B3256,m.o.!$A:$F,4,FALSE)</f>
        <v>1.24</v>
      </c>
      <c r="D3256" s="261">
        <f>VLOOKUP(B3256,m.o.!$A:$G,7,FALSE)</f>
        <v>15.53</v>
      </c>
      <c r="E3256" s="255"/>
      <c r="F3256" s="253"/>
      <c r="G3256" s="405">
        <v>0.45</v>
      </c>
      <c r="H3256" s="255"/>
      <c r="I3256" s="423">
        <f>TRUNC(D3256*G3256,2)</f>
        <v>6.98</v>
      </c>
    </row>
    <row r="3257" spans="1:17" x14ac:dyDescent="0.2">
      <c r="A3257" s="259" t="str">
        <f>VLOOKUP(B3257,m.o.!$A:$H,2,FALSE)</f>
        <v>Servente</v>
      </c>
      <c r="B3257" s="234">
        <v>20002</v>
      </c>
      <c r="C3257" s="261">
        <f>VLOOKUP(B3257,m.o.!$A:$F,4,FALSE)</f>
        <v>1</v>
      </c>
      <c r="D3257" s="261">
        <f>VLOOKUP(B3257,m.o.!$A:$G,7,FALSE)</f>
        <v>12.52</v>
      </c>
      <c r="E3257" s="255"/>
      <c r="F3257" s="253"/>
      <c r="G3257" s="405">
        <v>1.2</v>
      </c>
      <c r="H3257" s="255"/>
      <c r="I3257" s="423">
        <f>TRUNC(D3257*G3257,2)</f>
        <v>15.02</v>
      </c>
    </row>
    <row r="3258" spans="1:17" x14ac:dyDescent="0.2">
      <c r="A3258" s="199"/>
      <c r="B3258" s="229"/>
      <c r="C3258" s="229"/>
      <c r="D3258" s="199"/>
      <c r="E3258" s="199"/>
      <c r="F3258" s="230" t="s">
        <v>188</v>
      </c>
      <c r="G3258" s="240"/>
      <c r="H3258" s="241"/>
      <c r="I3258" s="438">
        <f>SUM(I3255:I3257)</f>
        <v>30.49</v>
      </c>
      <c r="J3258" s="295"/>
      <c r="K3258" s="295"/>
    </row>
    <row r="3259" spans="1:17" x14ac:dyDescent="0.2">
      <c r="A3259" s="199"/>
      <c r="B3259" s="229"/>
      <c r="C3259" s="229"/>
      <c r="D3259" s="199"/>
      <c r="E3259" s="199"/>
      <c r="F3259" s="199"/>
      <c r="G3259" s="199"/>
      <c r="H3259" s="199"/>
      <c r="I3259" s="439"/>
      <c r="J3259" s="295"/>
      <c r="K3259" s="295"/>
    </row>
    <row r="3260" spans="1:17" x14ac:dyDescent="0.2">
      <c r="A3260" s="245" t="s">
        <v>189</v>
      </c>
      <c r="B3260" s="243" t="s">
        <v>59</v>
      </c>
      <c r="C3260" s="635" t="s">
        <v>17</v>
      </c>
      <c r="D3260" s="243" t="s">
        <v>190</v>
      </c>
      <c r="E3260" s="243" t="s">
        <v>191</v>
      </c>
      <c r="F3260" s="243" t="s">
        <v>192</v>
      </c>
      <c r="G3260" s="1121" t="s">
        <v>94</v>
      </c>
      <c r="H3260" s="1114"/>
      <c r="I3260" s="1115"/>
      <c r="J3260" s="295"/>
      <c r="K3260" s="295"/>
    </row>
    <row r="3261" spans="1:17" s="198" customFormat="1" x14ac:dyDescent="0.2">
      <c r="A3261" s="244" t="s">
        <v>127</v>
      </c>
      <c r="B3261" s="234">
        <v>2000</v>
      </c>
      <c r="C3261" s="239">
        <v>5</v>
      </c>
      <c r="D3261" s="235" t="s">
        <v>208</v>
      </c>
      <c r="E3261" s="246"/>
      <c r="F3261" s="246"/>
      <c r="G3261" s="240"/>
      <c r="H3261" s="241"/>
      <c r="I3261" s="427">
        <f>TRUNC(C3261/100*I3258,2)</f>
        <v>1.52</v>
      </c>
      <c r="J3261" s="295"/>
      <c r="K3261" s="295"/>
      <c r="L3261" s="295"/>
      <c r="M3261" s="295"/>
      <c r="N3261" s="295"/>
      <c r="O3261" s="295"/>
      <c r="P3261" s="295"/>
      <c r="Q3261" s="295"/>
    </row>
    <row r="3262" spans="1:17" x14ac:dyDescent="0.2">
      <c r="A3262" s="199"/>
      <c r="B3262" s="229"/>
      <c r="C3262" s="199"/>
      <c r="D3262" s="199"/>
      <c r="E3262" s="199"/>
      <c r="F3262" s="230" t="s">
        <v>327</v>
      </c>
      <c r="G3262" s="240"/>
      <c r="H3262" s="241"/>
      <c r="I3262" s="438">
        <f>SUM(I3261)</f>
        <v>1.52</v>
      </c>
      <c r="J3262" s="295"/>
      <c r="K3262" s="295"/>
    </row>
    <row r="3263" spans="1:17" x14ac:dyDescent="0.2">
      <c r="A3263" s="199"/>
      <c r="B3263" s="229"/>
      <c r="C3263" s="199"/>
      <c r="D3263" s="199"/>
      <c r="E3263" s="199"/>
      <c r="F3263" s="199"/>
      <c r="G3263" s="199"/>
      <c r="H3263" s="199"/>
      <c r="I3263" s="439"/>
      <c r="J3263" s="295"/>
      <c r="K3263" s="295"/>
    </row>
    <row r="3264" spans="1:17" x14ac:dyDescent="0.2">
      <c r="A3264" s="247"/>
      <c r="B3264" s="248"/>
      <c r="C3264" s="249"/>
      <c r="D3264" s="249"/>
      <c r="E3264" s="249"/>
      <c r="F3264" s="250" t="s">
        <v>193</v>
      </c>
      <c r="G3264" s="401"/>
      <c r="H3264" s="249"/>
      <c r="I3264" s="445">
        <f>+I59589+I3258+I3262</f>
        <v>32.01</v>
      </c>
      <c r="J3264" s="295"/>
      <c r="K3264" s="295"/>
    </row>
    <row r="3265" spans="1:11" x14ac:dyDescent="0.2">
      <c r="A3265" s="251"/>
      <c r="B3265" s="252"/>
      <c r="C3265" s="253"/>
      <c r="D3265" s="253"/>
      <c r="E3265" s="253"/>
      <c r="F3265" s="254" t="s">
        <v>194</v>
      </c>
      <c r="G3265" s="255"/>
      <c r="H3265" s="253"/>
      <c r="I3265" s="446">
        <v>1</v>
      </c>
      <c r="J3265" s="295"/>
      <c r="K3265" s="295"/>
    </row>
    <row r="3266" spans="1:11" x14ac:dyDescent="0.2">
      <c r="A3266" s="233"/>
      <c r="B3266" s="256"/>
      <c r="C3266" s="241"/>
      <c r="D3266" s="241"/>
      <c r="E3266" s="241"/>
      <c r="F3266" s="257" t="s">
        <v>216</v>
      </c>
      <c r="G3266" s="240"/>
      <c r="H3266" s="241"/>
      <c r="I3266" s="447">
        <f>TRUNC(I3264/I3265,2)</f>
        <v>32.01</v>
      </c>
      <c r="J3266" s="295"/>
      <c r="K3266" s="295"/>
    </row>
    <row r="3267" spans="1:11" x14ac:dyDescent="0.2">
      <c r="A3267" s="636"/>
      <c r="B3267" s="229"/>
      <c r="C3267" s="199"/>
      <c r="D3267" s="199"/>
      <c r="E3267" s="199"/>
      <c r="F3267" s="258"/>
      <c r="G3267" s="199"/>
      <c r="H3267" s="199"/>
      <c r="I3267" s="450"/>
      <c r="J3267" s="295"/>
      <c r="K3267" s="295"/>
    </row>
    <row r="3268" spans="1:11" x14ac:dyDescent="0.2">
      <c r="A3268" s="242" t="s">
        <v>195</v>
      </c>
      <c r="B3268" s="243" t="s">
        <v>59</v>
      </c>
      <c r="C3268" s="243" t="s">
        <v>196</v>
      </c>
      <c r="D3268" s="243" t="s">
        <v>217</v>
      </c>
      <c r="E3268" s="1121" t="s">
        <v>89</v>
      </c>
      <c r="F3268" s="1114"/>
      <c r="G3268" s="1115"/>
      <c r="H3268" s="1121" t="s">
        <v>183</v>
      </c>
      <c r="I3268" s="1115"/>
      <c r="J3268" s="295"/>
      <c r="K3268" s="295"/>
    </row>
    <row r="3269" spans="1:11" ht="22.5" x14ac:dyDescent="0.2">
      <c r="A3269" s="259" t="str">
        <f>VLOOKUP(B3269,mat.!$A:$D,2,FALSE)</f>
        <v>Areia grossa jazida com carregamento mecânico</v>
      </c>
      <c r="B3269" s="234">
        <v>10109</v>
      </c>
      <c r="C3269" s="260" t="str">
        <f>VLOOKUP(B3269,mat.!$A:$D,3,FALSE)</f>
        <v>m3</v>
      </c>
      <c r="D3269" s="261">
        <f>VLOOKUP(B3269,mat.!$A:$D,4,FALSE)</f>
        <v>60</v>
      </c>
      <c r="E3269" s="255"/>
      <c r="F3269" s="253"/>
      <c r="G3269" s="293">
        <v>0.59</v>
      </c>
      <c r="H3269" s="255"/>
      <c r="I3269" s="423">
        <f>TRUNC(D3269*G3269,2)</f>
        <v>35.4</v>
      </c>
      <c r="J3269" s="295"/>
      <c r="K3269" s="295"/>
    </row>
    <row r="3270" spans="1:11" x14ac:dyDescent="0.2">
      <c r="A3270" s="259" t="str">
        <f>VLOOKUP(B3270,mat.!$A:$D,2,FALSE)</f>
        <v>Tubo de concreto poroso D=0,20 m</v>
      </c>
      <c r="B3270" s="234">
        <v>10249</v>
      </c>
      <c r="C3270" s="260" t="str">
        <f>VLOOKUP(B3270,mat.!$A:$D,3,FALSE)</f>
        <v>M</v>
      </c>
      <c r="D3270" s="261">
        <f>VLOOKUP(B3270,mat.!$A:$D,4,FALSE)</f>
        <v>21.72</v>
      </c>
      <c r="E3270" s="255"/>
      <c r="F3270" s="253"/>
      <c r="G3270" s="293">
        <v>1</v>
      </c>
      <c r="H3270" s="255"/>
      <c r="I3270" s="423">
        <f>TRUNC(D3270*G3270,2)</f>
        <v>21.72</v>
      </c>
      <c r="J3270" s="295"/>
      <c r="K3270" s="295"/>
    </row>
    <row r="3271" spans="1:11" x14ac:dyDescent="0.2">
      <c r="A3271" s="199"/>
      <c r="B3271" s="229"/>
      <c r="C3271" s="199"/>
      <c r="D3271" s="199"/>
      <c r="E3271" s="199"/>
      <c r="F3271" s="230" t="s">
        <v>197</v>
      </c>
      <c r="G3271" s="240"/>
      <c r="H3271" s="241"/>
      <c r="I3271" s="438">
        <f>SUM(I3269:I3270)</f>
        <v>57.12</v>
      </c>
      <c r="J3271" s="295"/>
      <c r="K3271" s="295"/>
    </row>
    <row r="3272" spans="1:11" x14ac:dyDescent="0.2">
      <c r="A3272" s="199"/>
      <c r="B3272" s="229"/>
      <c r="C3272" s="199"/>
      <c r="D3272" s="199"/>
      <c r="E3272" s="199"/>
      <c r="F3272" s="199"/>
      <c r="G3272" s="262"/>
      <c r="H3272" s="199"/>
      <c r="I3272" s="439"/>
      <c r="J3272" s="295"/>
      <c r="K3272" s="295"/>
    </row>
    <row r="3273" spans="1:11" x14ac:dyDescent="0.2">
      <c r="A3273" s="263" t="s">
        <v>198</v>
      </c>
      <c r="B3273" s="243" t="s">
        <v>59</v>
      </c>
      <c r="C3273" s="243" t="s">
        <v>196</v>
      </c>
      <c r="D3273" s="635" t="s">
        <v>217</v>
      </c>
      <c r="E3273" s="1111" t="s">
        <v>89</v>
      </c>
      <c r="F3273" s="1112"/>
      <c r="G3273" s="1113"/>
      <c r="H3273" s="1114" t="s">
        <v>183</v>
      </c>
      <c r="I3273" s="1115"/>
    </row>
    <row r="3274" spans="1:11" ht="22.5" x14ac:dyDescent="0.2">
      <c r="A3274" s="416" t="str">
        <f>VLOOKUP(B3274,'DER 11-20'!$A:$E,2,FALSE)</f>
        <v>Escavação mecânica em material de 1ª cat. H= 0,00 a 1,50 m</v>
      </c>
      <c r="B3274" s="417">
        <v>40282</v>
      </c>
      <c r="C3274" s="417" t="str">
        <f>VLOOKUP(B3274,'DER 11-20'!$A:$E,3,FALSE)</f>
        <v>M3</v>
      </c>
      <c r="D3274" s="418">
        <f>TRUNC(VLOOKUP(B3274,'DER 11-20'!$A:$F,6,FALSE)/(1+$I$4),2)</f>
        <v>11.56</v>
      </c>
      <c r="E3274" s="419"/>
      <c r="F3274" s="420"/>
      <c r="G3274" s="421">
        <v>0.75</v>
      </c>
      <c r="H3274" s="422"/>
      <c r="I3274" s="423">
        <f>TRUNC(D3274*G3274,2)</f>
        <v>8.67</v>
      </c>
    </row>
    <row r="3275" spans="1:11" ht="22.5" x14ac:dyDescent="0.2">
      <c r="A3275" s="416" t="str">
        <f>VLOOKUP(B3275,'DER 11-20'!$A:$E,2,FALSE)</f>
        <v>Reaterro de cavas c/ compactação mecânica (compactador manual)</v>
      </c>
      <c r="B3275" s="417">
        <v>40303</v>
      </c>
      <c r="C3275" s="417" t="str">
        <f>VLOOKUP(B3275,'DER 11-20'!$A:$E,3,FALSE)</f>
        <v>M3</v>
      </c>
      <c r="D3275" s="418">
        <f>TRUNC(VLOOKUP(B3275,'DER 11-20'!$A:$F,6,FALSE)/(1+$I$4),2)</f>
        <v>37.479999999999997</v>
      </c>
      <c r="E3275" s="419"/>
      <c r="F3275" s="420"/>
      <c r="G3275" s="421">
        <v>0.1</v>
      </c>
      <c r="H3275" s="422"/>
      <c r="I3275" s="423">
        <f>TRUNC(D3275*G3275,2)</f>
        <v>3.74</v>
      </c>
    </row>
    <row r="3276" spans="1:11" x14ac:dyDescent="0.2">
      <c r="A3276" s="200"/>
      <c r="B3276" s="264"/>
      <c r="C3276" s="200"/>
      <c r="D3276" s="200"/>
      <c r="E3276" s="200"/>
      <c r="F3276" s="265" t="s">
        <v>199</v>
      </c>
      <c r="G3276" s="255"/>
      <c r="H3276" s="266"/>
      <c r="I3276" s="441">
        <f>SUM(I3274:I3275)</f>
        <v>12.41</v>
      </c>
    </row>
    <row r="3277" spans="1:11" x14ac:dyDescent="0.2">
      <c r="A3277" s="200"/>
      <c r="B3277" s="264"/>
      <c r="C3277" s="200"/>
      <c r="D3277" s="200"/>
      <c r="E3277" s="200"/>
      <c r="F3277" s="200"/>
      <c r="G3277" s="200"/>
      <c r="H3277" s="200"/>
      <c r="I3277" s="440"/>
    </row>
    <row r="3278" spans="1:11" ht="21.75" customHeight="1" x14ac:dyDescent="0.2">
      <c r="A3278" s="267" t="s">
        <v>200</v>
      </c>
      <c r="B3278" s="268" t="s">
        <v>59</v>
      </c>
      <c r="C3278" s="268" t="s">
        <v>196</v>
      </c>
      <c r="D3278" s="268" t="s">
        <v>201</v>
      </c>
      <c r="E3278" s="268" t="s">
        <v>202</v>
      </c>
      <c r="F3278" s="268" t="s">
        <v>203</v>
      </c>
      <c r="G3278" s="268" t="s">
        <v>94</v>
      </c>
      <c r="H3278" s="268" t="s">
        <v>89</v>
      </c>
      <c r="I3278" s="442" t="s">
        <v>204</v>
      </c>
    </row>
    <row r="3279" spans="1:11" ht="22.5" x14ac:dyDescent="0.2">
      <c r="A3279" s="244" t="str">
        <f>VLOOKUP(B3279,transp.!A:D,2,FALSE)</f>
        <v>Transp. de Areia grossa jazida c/ carreg.mecânico</v>
      </c>
      <c r="B3279" s="234">
        <v>1026</v>
      </c>
      <c r="C3279" s="234" t="str">
        <f>VLOOKUP(B3279,transp.!$A:$J,3,FALSE)</f>
        <v xml:space="preserve"> t  </v>
      </c>
      <c r="D3279" s="269" t="str">
        <f>VLOOKUP(B3279,transp.!$A:$J,4,FALSE)</f>
        <v>0,719XP + 0,749XR + 2,997</v>
      </c>
      <c r="E3279" s="270">
        <f>VLOOKUP(J3279,Dis!$B:$F,4,FALSE)</f>
        <v>29.1</v>
      </c>
      <c r="F3279" s="270">
        <f>VLOOKUP(J3279,Dis!$B:$F,5,FALSE)</f>
        <v>5.5</v>
      </c>
      <c r="G3279" s="239">
        <f>TRUNC(VLOOKUP(B3279,transp.!$A:$J,5,FALSE)*E3279+VLOOKUP(B3279,transp.!$A:$J,6,FALSE)*F3279+VLOOKUP(B3279,transp.!$A:$J,7,FALSE),2)</f>
        <v>28.03</v>
      </c>
      <c r="H3279" s="271">
        <v>0.88500000000000001</v>
      </c>
      <c r="I3279" s="418">
        <f>TRUNC(G3279*H3279,2)</f>
        <v>24.8</v>
      </c>
      <c r="J3279" s="400" t="s">
        <v>113</v>
      </c>
    </row>
    <row r="3280" spans="1:11" ht="22.5" x14ac:dyDescent="0.2">
      <c r="A3280" s="244" t="str">
        <f>VLOOKUP(B3280,transp.!A:D,2,FALSE)</f>
        <v>Transp. de Tubo poroso D=0,20 m (preço médio)</v>
      </c>
      <c r="B3280" s="234">
        <v>1083</v>
      </c>
      <c r="C3280" s="234" t="str">
        <f>VLOOKUP(B3280,transp.!$A:$J,3,FALSE)</f>
        <v xml:space="preserve"> t  </v>
      </c>
      <c r="D3280" s="269" t="str">
        <f>VLOOKUP(B3280,transp.!$A:$J,4,FALSE)</f>
        <v>0,716XP + 0,745XR</v>
      </c>
      <c r="E3280" s="270">
        <f>VLOOKUP(J3280,Dis!$B:$F,4,FALSE)</f>
        <v>27</v>
      </c>
      <c r="F3280" s="270">
        <f>VLOOKUP(J3280,Dis!$B:$F,5,FALSE)</f>
        <v>2.34</v>
      </c>
      <c r="G3280" s="239">
        <f>TRUNC(VLOOKUP(B3280,transp.!$A:$J,5,FALSE)*E3280+VLOOKUP(B3280,transp.!$A:$J,6,FALSE)*F3280+VLOOKUP(B3280,transp.!$A:$J,7,FALSE),2)</f>
        <v>21.07</v>
      </c>
      <c r="H3280" s="271">
        <v>0.03</v>
      </c>
      <c r="I3280" s="418">
        <f>TRUNC(G3280*H3280,2)</f>
        <v>0.63</v>
      </c>
      <c r="J3280" s="400" t="s">
        <v>114</v>
      </c>
    </row>
    <row r="3281" spans="1:17" x14ac:dyDescent="0.2">
      <c r="A3281" s="200"/>
      <c r="B3281" s="264"/>
      <c r="C3281" s="200"/>
      <c r="D3281" s="200"/>
      <c r="E3281" s="200"/>
      <c r="F3281" s="265" t="s">
        <v>205</v>
      </c>
      <c r="G3281" s="240"/>
      <c r="H3281" s="272"/>
      <c r="I3281" s="443">
        <f>SUM(I3279:I3280)</f>
        <v>25.43</v>
      </c>
    </row>
    <row r="3282" spans="1:17" x14ac:dyDescent="0.2">
      <c r="A3282" s="200"/>
      <c r="B3282" s="264"/>
      <c r="C3282" s="200"/>
      <c r="D3282" s="200"/>
      <c r="E3282" s="200"/>
      <c r="F3282" s="200"/>
      <c r="G3282" s="200"/>
      <c r="H3282" s="200"/>
      <c r="I3282" s="444"/>
    </row>
    <row r="3283" spans="1:17" x14ac:dyDescent="0.2">
      <c r="A3283" s="273"/>
      <c r="B3283" s="274"/>
      <c r="C3283" s="275"/>
      <c r="D3283" s="275"/>
      <c r="E3283" s="275"/>
      <c r="F3283" s="276" t="s">
        <v>206</v>
      </c>
      <c r="G3283" s="273"/>
      <c r="H3283" s="249"/>
      <c r="I3283" s="445">
        <f>+I3266+I3271+I3276+I3281</f>
        <v>126.97</v>
      </c>
    </row>
    <row r="3284" spans="1:17" s="198" customFormat="1" x14ac:dyDescent="0.2">
      <c r="A3284" s="255"/>
      <c r="B3284" s="277"/>
      <c r="C3284" s="266"/>
      <c r="D3284" s="266"/>
      <c r="E3284" s="266"/>
      <c r="F3284" s="278" t="str">
        <f>CONCATENATE($H$3," ",$I$3)</f>
        <v>BDI: 23,32</v>
      </c>
      <c r="G3284" s="403"/>
      <c r="H3284" s="253"/>
      <c r="I3284" s="446">
        <f>+ROUND(I3283*$I$4,2)</f>
        <v>29.61</v>
      </c>
      <c r="J3284" s="400"/>
      <c r="K3284" s="400"/>
      <c r="L3284" s="295"/>
      <c r="M3284" s="295"/>
      <c r="N3284" s="295"/>
      <c r="O3284" s="295"/>
      <c r="P3284" s="295"/>
      <c r="Q3284" s="295"/>
    </row>
    <row r="3285" spans="1:17" x14ac:dyDescent="0.2">
      <c r="A3285" s="240"/>
      <c r="B3285" s="279"/>
      <c r="C3285" s="272"/>
      <c r="D3285" s="272"/>
      <c r="E3285" s="272"/>
      <c r="F3285" s="280" t="s">
        <v>207</v>
      </c>
      <c r="G3285" s="404"/>
      <c r="H3285" s="241"/>
      <c r="I3285" s="720">
        <f>+I3283+I3284</f>
        <v>156.58000000000001</v>
      </c>
    </row>
    <row r="3286" spans="1:17" s="198" customFormat="1" x14ac:dyDescent="0.2">
      <c r="A3286" s="1116" t="str">
        <f>$A$1</f>
        <v>COMPOSIÇÃO DE CUSTOS UNITÁRIOS</v>
      </c>
      <c r="B3286" s="1116"/>
      <c r="C3286" s="1116"/>
      <c r="D3286" s="1116"/>
      <c r="E3286" s="1116"/>
      <c r="F3286" s="1116"/>
      <c r="G3286" s="1116"/>
      <c r="H3286" s="1116"/>
      <c r="I3286" s="1116"/>
      <c r="J3286" s="400"/>
      <c r="K3286" s="295"/>
      <c r="L3286" s="295"/>
      <c r="M3286" s="295"/>
      <c r="N3286" s="295"/>
      <c r="O3286" s="295"/>
      <c r="P3286" s="295"/>
      <c r="Q3286" s="295"/>
    </row>
    <row r="3287" spans="1:17" x14ac:dyDescent="0.2">
      <c r="A3287" s="228" t="str">
        <f>$A$2</f>
        <v>Tabela Referencial de Preços - DER-ES</v>
      </c>
      <c r="B3287" s="229"/>
      <c r="C3287" s="199"/>
      <c r="D3287" s="199"/>
      <c r="E3287" s="199"/>
      <c r="F3287" s="199"/>
      <c r="G3287" s="199"/>
      <c r="H3287" s="199"/>
      <c r="I3287" s="414" t="str">
        <f>$I$2</f>
        <v>Data Base: novembro/2020</v>
      </c>
      <c r="K3287" s="295"/>
    </row>
    <row r="3288" spans="1:17" x14ac:dyDescent="0.2">
      <c r="A3288" s="1117" t="str">
        <f>+CONCATENATE("Serviço: ",J3288," ",VLOOKUP(J3288,'DER 11-20'!$A:$D,2,FALSE))</f>
        <v>Serviço: 40656 Boca de saída de dreno profundo BSD-01</v>
      </c>
      <c r="B3288" s="1117"/>
      <c r="C3288" s="1117"/>
      <c r="D3288" s="1117"/>
      <c r="E3288" s="1117"/>
      <c r="F3288" s="1117"/>
      <c r="G3288" s="1117"/>
      <c r="H3288" s="1117"/>
      <c r="I3288" s="1119" t="str">
        <f>CONCATENATE("Unidade: ", VLOOKUP(J3288,'DER 11-20'!$A:$E,3,FALSE))</f>
        <v>Unidade: Ud</v>
      </c>
      <c r="J3288" s="400">
        <v>40656</v>
      </c>
      <c r="K3288" s="400">
        <f>VLOOKUP("Preço Unitário Total",F3289:I3388,4,FALSE)</f>
        <v>288.26</v>
      </c>
      <c r="L3288" s="295" t="str">
        <f>VLOOKUP(J3288,'DER 11-20'!A:E,5,FALSE)</f>
        <v>A incluir</v>
      </c>
      <c r="M3288" s="295" t="str">
        <f>VLOOKUP(J3288,'DER 11-20'!$A:$D,2,FALSE)</f>
        <v>Boca de saída de dreno profundo BSD-01</v>
      </c>
    </row>
    <row r="3289" spans="1:17" x14ac:dyDescent="0.2">
      <c r="A3289" s="1118"/>
      <c r="B3289" s="1118"/>
      <c r="C3289" s="1118"/>
      <c r="D3289" s="1118"/>
      <c r="E3289" s="1118"/>
      <c r="F3289" s="1118"/>
      <c r="G3289" s="1118"/>
      <c r="H3289" s="1118"/>
      <c r="I3289" s="1120"/>
    </row>
    <row r="3290" spans="1:17" ht="22.5" x14ac:dyDescent="0.2">
      <c r="A3290" s="231" t="s">
        <v>177</v>
      </c>
      <c r="B3290" s="232" t="s">
        <v>59</v>
      </c>
      <c r="C3290" s="232" t="s">
        <v>178</v>
      </c>
      <c r="D3290" s="232" t="s">
        <v>179</v>
      </c>
      <c r="E3290" s="232" t="s">
        <v>180</v>
      </c>
      <c r="F3290" s="232" t="s">
        <v>181</v>
      </c>
      <c r="G3290" s="232" t="s">
        <v>182</v>
      </c>
      <c r="H3290" s="232" t="s">
        <v>89</v>
      </c>
      <c r="I3290" s="434" t="s">
        <v>183</v>
      </c>
    </row>
    <row r="3291" spans="1:17" x14ac:dyDescent="0.2">
      <c r="A3291" s="199"/>
      <c r="B3291" s="229"/>
      <c r="C3291" s="229"/>
      <c r="D3291" s="199"/>
      <c r="E3291" s="199"/>
      <c r="F3291" s="230" t="s">
        <v>184</v>
      </c>
      <c r="G3291" s="240"/>
      <c r="H3291" s="241"/>
      <c r="I3291" s="438">
        <v>0</v>
      </c>
    </row>
    <row r="3292" spans="1:17" s="198" customFormat="1" x14ac:dyDescent="0.2">
      <c r="A3292" s="199"/>
      <c r="B3292" s="229"/>
      <c r="C3292" s="229"/>
      <c r="D3292" s="199"/>
      <c r="E3292" s="199"/>
      <c r="F3292" s="199"/>
      <c r="G3292" s="199"/>
      <c r="H3292" s="199"/>
      <c r="I3292" s="439"/>
      <c r="J3292" s="400"/>
      <c r="K3292" s="400"/>
      <c r="L3292" s="295"/>
      <c r="M3292" s="295"/>
      <c r="N3292" s="295"/>
      <c r="O3292" s="295"/>
      <c r="P3292" s="295"/>
      <c r="Q3292" s="295"/>
    </row>
    <row r="3293" spans="1:17" x14ac:dyDescent="0.2">
      <c r="A3293" s="242" t="s">
        <v>185</v>
      </c>
      <c r="B3293" s="243" t="s">
        <v>59</v>
      </c>
      <c r="C3293" s="232" t="s">
        <v>357</v>
      </c>
      <c r="D3293" s="243" t="s">
        <v>187</v>
      </c>
      <c r="E3293" s="1111" t="s">
        <v>89</v>
      </c>
      <c r="F3293" s="1112"/>
      <c r="G3293" s="1113"/>
      <c r="H3293" s="1121" t="s">
        <v>183</v>
      </c>
      <c r="I3293" s="1115"/>
    </row>
    <row r="3294" spans="1:17" x14ac:dyDescent="0.2">
      <c r="A3294" s="199"/>
      <c r="B3294" s="229"/>
      <c r="C3294" s="229"/>
      <c r="D3294" s="199"/>
      <c r="E3294" s="199"/>
      <c r="F3294" s="230" t="s">
        <v>188</v>
      </c>
      <c r="G3294" s="240"/>
      <c r="H3294" s="241"/>
      <c r="I3294" s="438">
        <v>0</v>
      </c>
      <c r="J3294" s="295"/>
      <c r="K3294" s="295"/>
    </row>
    <row r="3295" spans="1:17" x14ac:dyDescent="0.2">
      <c r="A3295" s="199"/>
      <c r="B3295" s="229"/>
      <c r="C3295" s="229"/>
      <c r="D3295" s="199"/>
      <c r="E3295" s="199"/>
      <c r="F3295" s="199"/>
      <c r="G3295" s="199"/>
      <c r="H3295" s="199"/>
      <c r="I3295" s="439"/>
      <c r="J3295" s="295"/>
      <c r="K3295" s="295"/>
    </row>
    <row r="3296" spans="1:17" x14ac:dyDescent="0.2">
      <c r="A3296" s="245" t="s">
        <v>189</v>
      </c>
      <c r="B3296" s="243" t="s">
        <v>59</v>
      </c>
      <c r="C3296" s="833" t="s">
        <v>17</v>
      </c>
      <c r="D3296" s="243" t="s">
        <v>190</v>
      </c>
      <c r="E3296" s="243" t="s">
        <v>191</v>
      </c>
      <c r="F3296" s="243" t="s">
        <v>192</v>
      </c>
      <c r="G3296" s="1121" t="s">
        <v>94</v>
      </c>
      <c r="H3296" s="1114"/>
      <c r="I3296" s="1115"/>
      <c r="J3296" s="295"/>
      <c r="K3296" s="295"/>
    </row>
    <row r="3297" spans="1:11" x14ac:dyDescent="0.2">
      <c r="A3297" s="199"/>
      <c r="B3297" s="229"/>
      <c r="C3297" s="199"/>
      <c r="D3297" s="199"/>
      <c r="E3297" s="199"/>
      <c r="F3297" s="230" t="s">
        <v>327</v>
      </c>
      <c r="G3297" s="240"/>
      <c r="H3297" s="241"/>
      <c r="I3297" s="438">
        <v>0</v>
      </c>
      <c r="J3297" s="295"/>
      <c r="K3297" s="295"/>
    </row>
    <row r="3298" spans="1:11" x14ac:dyDescent="0.2">
      <c r="A3298" s="199"/>
      <c r="B3298" s="229"/>
      <c r="C3298" s="199"/>
      <c r="D3298" s="199"/>
      <c r="E3298" s="199"/>
      <c r="F3298" s="199"/>
      <c r="G3298" s="199"/>
      <c r="H3298" s="199"/>
      <c r="I3298" s="439"/>
      <c r="J3298" s="295"/>
      <c r="K3298" s="295"/>
    </row>
    <row r="3299" spans="1:11" x14ac:dyDescent="0.2">
      <c r="A3299" s="247"/>
      <c r="B3299" s="248"/>
      <c r="C3299" s="249"/>
      <c r="D3299" s="249"/>
      <c r="E3299" s="249"/>
      <c r="F3299" s="250" t="s">
        <v>193</v>
      </c>
      <c r="G3299" s="401"/>
      <c r="H3299" s="249"/>
      <c r="I3299" s="445">
        <f>+I59629+I3294+I3297</f>
        <v>0</v>
      </c>
      <c r="J3299" s="295"/>
      <c r="K3299" s="295"/>
    </row>
    <row r="3300" spans="1:11" x14ac:dyDescent="0.2">
      <c r="A3300" s="251"/>
      <c r="B3300" s="252"/>
      <c r="C3300" s="253"/>
      <c r="D3300" s="253"/>
      <c r="E3300" s="253"/>
      <c r="F3300" s="254" t="s">
        <v>194</v>
      </c>
      <c r="G3300" s="255"/>
      <c r="H3300" s="253"/>
      <c r="I3300" s="446">
        <v>1</v>
      </c>
      <c r="J3300" s="295"/>
      <c r="K3300" s="295"/>
    </row>
    <row r="3301" spans="1:11" x14ac:dyDescent="0.2">
      <c r="A3301" s="233"/>
      <c r="B3301" s="256"/>
      <c r="C3301" s="241"/>
      <c r="D3301" s="241"/>
      <c r="E3301" s="241"/>
      <c r="F3301" s="257" t="s">
        <v>216</v>
      </c>
      <c r="G3301" s="240"/>
      <c r="H3301" s="241"/>
      <c r="I3301" s="447">
        <f>TRUNC(I3299/I3300,2)</f>
        <v>0</v>
      </c>
      <c r="J3301" s="295"/>
      <c r="K3301" s="295"/>
    </row>
    <row r="3302" spans="1:11" x14ac:dyDescent="0.2">
      <c r="A3302" s="834"/>
      <c r="B3302" s="229"/>
      <c r="C3302" s="199"/>
      <c r="D3302" s="199"/>
      <c r="E3302" s="199"/>
      <c r="F3302" s="258"/>
      <c r="G3302" s="199"/>
      <c r="H3302" s="199"/>
      <c r="I3302" s="450"/>
      <c r="J3302" s="295"/>
      <c r="K3302" s="295"/>
    </row>
    <row r="3303" spans="1:11" x14ac:dyDescent="0.2">
      <c r="A3303" s="242" t="s">
        <v>195</v>
      </c>
      <c r="B3303" s="243" t="s">
        <v>59</v>
      </c>
      <c r="C3303" s="243" t="s">
        <v>196</v>
      </c>
      <c r="D3303" s="243" t="s">
        <v>217</v>
      </c>
      <c r="E3303" s="1121" t="s">
        <v>89</v>
      </c>
      <c r="F3303" s="1114"/>
      <c r="G3303" s="1115"/>
      <c r="H3303" s="1121" t="s">
        <v>183</v>
      </c>
      <c r="I3303" s="1115"/>
      <c r="J3303" s="295"/>
      <c r="K3303" s="295"/>
    </row>
    <row r="3304" spans="1:11" x14ac:dyDescent="0.2">
      <c r="A3304" s="199"/>
      <c r="B3304" s="229"/>
      <c r="C3304" s="199"/>
      <c r="D3304" s="199"/>
      <c r="E3304" s="199"/>
      <c r="F3304" s="230" t="s">
        <v>197</v>
      </c>
      <c r="G3304" s="240"/>
      <c r="H3304" s="241"/>
      <c r="I3304" s="438">
        <v>0</v>
      </c>
      <c r="J3304" s="295"/>
      <c r="K3304" s="295"/>
    </row>
    <row r="3305" spans="1:11" x14ac:dyDescent="0.2">
      <c r="A3305" s="199"/>
      <c r="B3305" s="229"/>
      <c r="C3305" s="199"/>
      <c r="D3305" s="199"/>
      <c r="E3305" s="199"/>
      <c r="F3305" s="199"/>
      <c r="G3305" s="262"/>
      <c r="H3305" s="199"/>
      <c r="I3305" s="439"/>
      <c r="J3305" s="295"/>
      <c r="K3305" s="295"/>
    </row>
    <row r="3306" spans="1:11" x14ac:dyDescent="0.2">
      <c r="A3306" s="263" t="s">
        <v>198</v>
      </c>
      <c r="B3306" s="243" t="s">
        <v>59</v>
      </c>
      <c r="C3306" s="243" t="s">
        <v>196</v>
      </c>
      <c r="D3306" s="833" t="s">
        <v>217</v>
      </c>
      <c r="E3306" s="1111" t="s">
        <v>89</v>
      </c>
      <c r="F3306" s="1112"/>
      <c r="G3306" s="1113"/>
      <c r="H3306" s="1114" t="s">
        <v>183</v>
      </c>
      <c r="I3306" s="1115"/>
    </row>
    <row r="3307" spans="1:11" ht="22.5" x14ac:dyDescent="0.2">
      <c r="A3307" s="416" t="str">
        <f>VLOOKUP(B3307,'DER 11-20'!$A:$E,2,FALSE)</f>
        <v>Concreto estrutural fck = 15,0 MPa, tudo incluído</v>
      </c>
      <c r="B3307" s="417">
        <v>40358</v>
      </c>
      <c r="C3307" s="417" t="str">
        <f>VLOOKUP(B3307,'DER 11-20'!$A:$E,3,FALSE)</f>
        <v>M3</v>
      </c>
      <c r="D3307" s="418">
        <f>TRUNC(VLOOKUP(B3307,'DER 11-20'!$A:$F,6,FALSE)/(1+$I$4),2)</f>
        <v>547.26</v>
      </c>
      <c r="E3307" s="419"/>
      <c r="F3307" s="420"/>
      <c r="G3307" s="421">
        <v>0.156</v>
      </c>
      <c r="H3307" s="422"/>
      <c r="I3307" s="423">
        <f>TRUNC(D3307*G3307,2)</f>
        <v>85.37</v>
      </c>
    </row>
    <row r="3308" spans="1:11" ht="45" x14ac:dyDescent="0.2">
      <c r="A3308" s="416" t="str">
        <f>VLOOKUP(B3308,'DER 11-20'!$A:$E,2,FALSE)</f>
        <v>Formas planas de madeira com 02 (dois) reaproveitamentos, inclusive fornecimento e transporte das madeiras</v>
      </c>
      <c r="B3308" s="417">
        <v>40312</v>
      </c>
      <c r="C3308" s="417" t="str">
        <f>VLOOKUP(B3308,'DER 11-20'!$A:$E,3,FALSE)</f>
        <v>M2</v>
      </c>
      <c r="D3308" s="418">
        <f>TRUNC(VLOOKUP(B3308,'DER 11-20'!$A:$F,6,FALSE)/(1+$I$4),2)</f>
        <v>84.31</v>
      </c>
      <c r="E3308" s="419"/>
      <c r="F3308" s="420"/>
      <c r="G3308" s="421">
        <v>1.76</v>
      </c>
      <c r="H3308" s="422"/>
      <c r="I3308" s="423">
        <f>TRUNC(D3308*G3308,2)</f>
        <v>148.38</v>
      </c>
    </row>
    <row r="3309" spans="1:11" x14ac:dyDescent="0.2">
      <c r="A3309" s="200"/>
      <c r="B3309" s="264"/>
      <c r="C3309" s="200"/>
      <c r="D3309" s="200"/>
      <c r="E3309" s="200"/>
      <c r="F3309" s="265" t="s">
        <v>199</v>
      </c>
      <c r="G3309" s="255"/>
      <c r="H3309" s="266"/>
      <c r="I3309" s="441">
        <f>SUM(I3307:I3308)</f>
        <v>233.75</v>
      </c>
    </row>
    <row r="3310" spans="1:11" x14ac:dyDescent="0.2">
      <c r="A3310" s="200"/>
      <c r="B3310" s="264"/>
      <c r="C3310" s="200"/>
      <c r="D3310" s="200"/>
      <c r="E3310" s="200"/>
      <c r="F3310" s="200"/>
      <c r="G3310" s="200"/>
      <c r="H3310" s="200"/>
      <c r="I3310" s="440"/>
    </row>
    <row r="3311" spans="1:11" ht="21.75" customHeight="1" x14ac:dyDescent="0.2">
      <c r="A3311" s="267" t="s">
        <v>200</v>
      </c>
      <c r="B3311" s="268" t="s">
        <v>59</v>
      </c>
      <c r="C3311" s="268" t="s">
        <v>196</v>
      </c>
      <c r="D3311" s="268" t="s">
        <v>201</v>
      </c>
      <c r="E3311" s="268" t="s">
        <v>202</v>
      </c>
      <c r="F3311" s="268" t="s">
        <v>203</v>
      </c>
      <c r="G3311" s="268" t="s">
        <v>94</v>
      </c>
      <c r="H3311" s="268" t="s">
        <v>89</v>
      </c>
      <c r="I3311" s="442" t="s">
        <v>204</v>
      </c>
    </row>
    <row r="3312" spans="1:11" x14ac:dyDescent="0.2">
      <c r="A3312" s="200"/>
      <c r="B3312" s="264"/>
      <c r="C3312" s="200"/>
      <c r="D3312" s="200"/>
      <c r="E3312" s="200"/>
      <c r="F3312" s="265" t="s">
        <v>205</v>
      </c>
      <c r="G3312" s="240"/>
      <c r="H3312" s="272"/>
      <c r="I3312" s="443">
        <v>0</v>
      </c>
    </row>
    <row r="3313" spans="1:17" x14ac:dyDescent="0.2">
      <c r="A3313" s="200"/>
      <c r="B3313" s="264"/>
      <c r="C3313" s="200"/>
      <c r="D3313" s="200"/>
      <c r="E3313" s="200"/>
      <c r="F3313" s="200"/>
      <c r="G3313" s="200"/>
      <c r="H3313" s="200"/>
      <c r="I3313" s="444"/>
    </row>
    <row r="3314" spans="1:17" x14ac:dyDescent="0.2">
      <c r="A3314" s="273"/>
      <c r="B3314" s="274"/>
      <c r="C3314" s="275"/>
      <c r="D3314" s="275"/>
      <c r="E3314" s="275"/>
      <c r="F3314" s="276" t="s">
        <v>206</v>
      </c>
      <c r="G3314" s="273"/>
      <c r="H3314" s="249"/>
      <c r="I3314" s="445">
        <f>+I3301+I3304+I3309+I3312</f>
        <v>233.75</v>
      </c>
    </row>
    <row r="3315" spans="1:17" s="198" customFormat="1" x14ac:dyDescent="0.2">
      <c r="A3315" s="255"/>
      <c r="B3315" s="277"/>
      <c r="C3315" s="266"/>
      <c r="D3315" s="266"/>
      <c r="E3315" s="266"/>
      <c r="F3315" s="278" t="str">
        <f>CONCATENATE($H$3," ",$I$3)</f>
        <v>BDI: 23,32</v>
      </c>
      <c r="G3315" s="403"/>
      <c r="H3315" s="253"/>
      <c r="I3315" s="446">
        <f>+ROUND(I3314*$I$4,2)</f>
        <v>54.51</v>
      </c>
      <c r="J3315" s="400"/>
      <c r="K3315" s="400"/>
      <c r="L3315" s="295"/>
      <c r="M3315" s="295"/>
      <c r="N3315" s="295"/>
      <c r="O3315" s="295"/>
      <c r="P3315" s="295"/>
      <c r="Q3315" s="295"/>
    </row>
    <row r="3316" spans="1:17" x14ac:dyDescent="0.2">
      <c r="A3316" s="240"/>
      <c r="B3316" s="279"/>
      <c r="C3316" s="272"/>
      <c r="D3316" s="272"/>
      <c r="E3316" s="272"/>
      <c r="F3316" s="280" t="s">
        <v>207</v>
      </c>
      <c r="G3316" s="404"/>
      <c r="H3316" s="241"/>
      <c r="I3316" s="720">
        <f>+I3314+I3315</f>
        <v>288.26</v>
      </c>
    </row>
    <row r="3317" spans="1:17" x14ac:dyDescent="0.2">
      <c r="A3317" s="1116" t="str">
        <f>$A$1</f>
        <v>COMPOSIÇÃO DE CUSTOS UNITÁRIOS</v>
      </c>
      <c r="B3317" s="1116"/>
      <c r="C3317" s="1116"/>
      <c r="D3317" s="1116"/>
      <c r="E3317" s="1116"/>
      <c r="F3317" s="1116"/>
      <c r="G3317" s="1116"/>
      <c r="H3317" s="1116"/>
      <c r="I3317" s="1116"/>
    </row>
    <row r="3318" spans="1:17" x14ac:dyDescent="0.2">
      <c r="A3318" s="228" t="str">
        <f>$A$2</f>
        <v>Tabela Referencial de Preços - DER-ES</v>
      </c>
      <c r="B3318" s="229"/>
      <c r="C3318" s="199"/>
      <c r="D3318" s="199"/>
      <c r="E3318" s="199"/>
      <c r="F3318" s="199"/>
      <c r="G3318" s="199"/>
      <c r="H3318" s="199"/>
      <c r="I3318" s="414" t="str">
        <f>$I$2</f>
        <v>Data Base: novembro/2020</v>
      </c>
    </row>
    <row r="3319" spans="1:17" x14ac:dyDescent="0.2">
      <c r="A3319" s="1117" t="str">
        <f>+CONCATENATE("Serviço: ",J3319," ",VLOOKUP(J3319,'DER 11-20'!$A:$D,2,FALSE))</f>
        <v>Serviço: 40929 Defensa metálica (1 lâmina com espessura = 3 mm), fornecimento e colocação</v>
      </c>
      <c r="B3319" s="1117"/>
      <c r="C3319" s="1117"/>
      <c r="D3319" s="1117"/>
      <c r="E3319" s="1117"/>
      <c r="F3319" s="1117"/>
      <c r="G3319" s="1117"/>
      <c r="H3319" s="1117"/>
      <c r="I3319" s="1119" t="str">
        <f>CONCATENATE("Unidade: ", VLOOKUP(J3319,'DER 11-20'!$A:$E,3,FALSE))</f>
        <v>Unidade: M</v>
      </c>
      <c r="J3319" s="400">
        <v>40929</v>
      </c>
      <c r="K3319" s="400">
        <f>VLOOKUP("Preço Unitário Total",F3320:I4223,4,FALSE)</f>
        <v>295.14</v>
      </c>
      <c r="L3319" s="295" t="str">
        <f>VLOOKUP(J3319,'DER 11-20'!A:E,5,FALSE)</f>
        <v>A incluir</v>
      </c>
      <c r="M3319" s="295" t="str">
        <f>VLOOKUP(J3319,'DER 11-20'!$A:$D,2,FALSE)</f>
        <v>Defensa metálica (1 lâmina com espessura = 3 mm), fornecimento e colocação</v>
      </c>
    </row>
    <row r="3320" spans="1:17" x14ac:dyDescent="0.2">
      <c r="A3320" s="1118"/>
      <c r="B3320" s="1118"/>
      <c r="C3320" s="1118"/>
      <c r="D3320" s="1118"/>
      <c r="E3320" s="1118"/>
      <c r="F3320" s="1118"/>
      <c r="G3320" s="1118"/>
      <c r="H3320" s="1118"/>
      <c r="I3320" s="1120"/>
    </row>
    <row r="3321" spans="1:17" ht="22.5" x14ac:dyDescent="0.2">
      <c r="A3321" s="231" t="s">
        <v>177</v>
      </c>
      <c r="B3321" s="232" t="s">
        <v>59</v>
      </c>
      <c r="C3321" s="232" t="s">
        <v>178</v>
      </c>
      <c r="D3321" s="232" t="s">
        <v>179</v>
      </c>
      <c r="E3321" s="232" t="s">
        <v>180</v>
      </c>
      <c r="F3321" s="232" t="s">
        <v>181</v>
      </c>
      <c r="G3321" s="232" t="s">
        <v>182</v>
      </c>
      <c r="H3321" s="232" t="s">
        <v>89</v>
      </c>
      <c r="I3321" s="434" t="s">
        <v>183</v>
      </c>
    </row>
    <row r="3322" spans="1:17" x14ac:dyDescent="0.2">
      <c r="A3322" s="199"/>
      <c r="B3322" s="229"/>
      <c r="C3322" s="229"/>
      <c r="D3322" s="199"/>
      <c r="E3322" s="199"/>
      <c r="F3322" s="230" t="s">
        <v>184</v>
      </c>
      <c r="G3322" s="240"/>
      <c r="H3322" s="241"/>
      <c r="I3322" s="438"/>
    </row>
    <row r="3323" spans="1:17" x14ac:dyDescent="0.2">
      <c r="A3323" s="199"/>
      <c r="B3323" s="229"/>
      <c r="C3323" s="229"/>
      <c r="D3323" s="199"/>
      <c r="E3323" s="199"/>
      <c r="F3323" s="199"/>
      <c r="G3323" s="199"/>
      <c r="H3323" s="199"/>
      <c r="I3323" s="439"/>
    </row>
    <row r="3324" spans="1:17" x14ac:dyDescent="0.2">
      <c r="A3324" s="242" t="s">
        <v>185</v>
      </c>
      <c r="B3324" s="243" t="s">
        <v>59</v>
      </c>
      <c r="C3324" s="232" t="s">
        <v>357</v>
      </c>
      <c r="D3324" s="243" t="s">
        <v>187</v>
      </c>
      <c r="E3324" s="1111" t="s">
        <v>89</v>
      </c>
      <c r="F3324" s="1112"/>
      <c r="G3324" s="1113"/>
      <c r="H3324" s="1121" t="s">
        <v>183</v>
      </c>
      <c r="I3324" s="1115"/>
    </row>
    <row r="3325" spans="1:17" x14ac:dyDescent="0.2">
      <c r="A3325" s="244" t="str">
        <f>VLOOKUP(B3325,m.o.!$A:$H,2,FALSE)</f>
        <v>Encarregado de pavimentação</v>
      </c>
      <c r="B3325" s="234">
        <v>20065</v>
      </c>
      <c r="C3325" s="239">
        <f>VLOOKUP(B3325,m.o.!$A:$F,4,FALSE)</f>
        <v>2.2599999999999998</v>
      </c>
      <c r="D3325" s="239">
        <f>VLOOKUP(B3325,m.o.!$A:$G,7,FALSE)</f>
        <v>28.31</v>
      </c>
      <c r="E3325" s="255"/>
      <c r="F3325" s="253"/>
      <c r="G3325" s="293">
        <v>1</v>
      </c>
      <c r="H3325" s="240"/>
      <c r="I3325" s="427">
        <f>TRUNC(D3325*G3325,2)</f>
        <v>28.31</v>
      </c>
    </row>
    <row r="3326" spans="1:17" s="198" customFormat="1" x14ac:dyDescent="0.2">
      <c r="A3326" s="244" t="str">
        <f>VLOOKUP(B3326,m.o.!$A:$H,2,FALSE)</f>
        <v>Montador</v>
      </c>
      <c r="B3326" s="234">
        <v>20096</v>
      </c>
      <c r="C3326" s="239">
        <f>VLOOKUP(B3326,m.o.!$A:$F,4,FALSE)</f>
        <v>1.96</v>
      </c>
      <c r="D3326" s="239">
        <f>VLOOKUP(B3326,m.o.!$A:$G,7,FALSE)</f>
        <v>24.55</v>
      </c>
      <c r="E3326" s="255"/>
      <c r="F3326" s="253"/>
      <c r="G3326" s="293">
        <v>1</v>
      </c>
      <c r="H3326" s="240"/>
      <c r="I3326" s="427">
        <f>TRUNC(D3326*G3326,2)</f>
        <v>24.55</v>
      </c>
      <c r="J3326" s="400"/>
      <c r="K3326" s="400"/>
      <c r="L3326" s="295"/>
      <c r="M3326" s="295"/>
      <c r="N3326" s="295"/>
      <c r="O3326" s="295"/>
      <c r="P3326" s="295"/>
      <c r="Q3326" s="295"/>
    </row>
    <row r="3327" spans="1:17" s="198" customFormat="1" x14ac:dyDescent="0.2">
      <c r="A3327" s="244" t="str">
        <f>VLOOKUP(B3327,m.o.!$A:$H,2,FALSE)</f>
        <v>Servente</v>
      </c>
      <c r="B3327" s="234">
        <v>20002</v>
      </c>
      <c r="C3327" s="239">
        <f>VLOOKUP(B3327,m.o.!$A:$F,4,FALSE)</f>
        <v>1</v>
      </c>
      <c r="D3327" s="239">
        <f>VLOOKUP(B3327,m.o.!$A:$G,7,FALSE)</f>
        <v>12.52</v>
      </c>
      <c r="E3327" s="255"/>
      <c r="F3327" s="253"/>
      <c r="G3327" s="293">
        <v>2</v>
      </c>
      <c r="H3327" s="240"/>
      <c r="I3327" s="427">
        <f>TRUNC(D3327*G3327,2)</f>
        <v>25.04</v>
      </c>
      <c r="J3327" s="400"/>
      <c r="K3327" s="400"/>
      <c r="L3327" s="295"/>
      <c r="M3327" s="295"/>
      <c r="N3327" s="295"/>
      <c r="O3327" s="295"/>
      <c r="P3327" s="295"/>
      <c r="Q3327" s="295"/>
    </row>
    <row r="3328" spans="1:17" x14ac:dyDescent="0.2">
      <c r="A3328" s="199"/>
      <c r="B3328" s="229"/>
      <c r="C3328" s="229"/>
      <c r="D3328" s="199"/>
      <c r="E3328" s="199"/>
      <c r="F3328" s="230" t="s">
        <v>188</v>
      </c>
      <c r="G3328" s="240"/>
      <c r="H3328" s="241"/>
      <c r="I3328" s="438">
        <f>SUM(I3325:I3327)</f>
        <v>77.900000000000006</v>
      </c>
    </row>
    <row r="3329" spans="1:17" x14ac:dyDescent="0.2">
      <c r="A3329" s="199"/>
      <c r="B3329" s="229"/>
      <c r="C3329" s="229"/>
      <c r="D3329" s="199"/>
      <c r="E3329" s="199"/>
      <c r="F3329" s="199"/>
      <c r="G3329" s="199"/>
      <c r="H3329" s="199"/>
      <c r="I3329" s="439"/>
    </row>
    <row r="3330" spans="1:17" x14ac:dyDescent="0.2">
      <c r="A3330" s="245" t="s">
        <v>189</v>
      </c>
      <c r="B3330" s="243" t="s">
        <v>59</v>
      </c>
      <c r="C3330" s="635" t="s">
        <v>17</v>
      </c>
      <c r="D3330" s="243" t="s">
        <v>190</v>
      </c>
      <c r="E3330" s="243" t="s">
        <v>191</v>
      </c>
      <c r="F3330" s="243" t="s">
        <v>192</v>
      </c>
      <c r="G3330" s="1121" t="s">
        <v>94</v>
      </c>
      <c r="H3330" s="1114"/>
      <c r="I3330" s="1115"/>
    </row>
    <row r="3331" spans="1:17" x14ac:dyDescent="0.2">
      <c r="A3331" s="244" t="s">
        <v>127</v>
      </c>
      <c r="B3331" s="234">
        <v>2000</v>
      </c>
      <c r="C3331" s="239">
        <v>5</v>
      </c>
      <c r="D3331" s="235" t="s">
        <v>208</v>
      </c>
      <c r="E3331" s="246"/>
      <c r="F3331" s="246"/>
      <c r="G3331" s="240"/>
      <c r="H3331" s="241"/>
      <c r="I3331" s="427">
        <f>TRUNC(C3331/100*I3328,2)</f>
        <v>3.89</v>
      </c>
      <c r="J3331" s="415"/>
      <c r="K3331" s="415"/>
      <c r="L3331" s="198"/>
      <c r="M3331" s="198"/>
      <c r="N3331" s="198"/>
      <c r="O3331" s="198"/>
      <c r="P3331" s="198"/>
      <c r="Q3331" s="198"/>
    </row>
    <row r="3332" spans="1:17" x14ac:dyDescent="0.2">
      <c r="A3332" s="199"/>
      <c r="B3332" s="229"/>
      <c r="C3332" s="199"/>
      <c r="D3332" s="199"/>
      <c r="E3332" s="199"/>
      <c r="F3332" s="230" t="s">
        <v>327</v>
      </c>
      <c r="G3332" s="240"/>
      <c r="H3332" s="241"/>
      <c r="I3332" s="438">
        <f>SUM(I3331)</f>
        <v>3.89</v>
      </c>
    </row>
    <row r="3333" spans="1:17" x14ac:dyDescent="0.2">
      <c r="A3333" s="199"/>
      <c r="B3333" s="229"/>
      <c r="C3333" s="199"/>
      <c r="D3333" s="199"/>
      <c r="E3333" s="199"/>
      <c r="F3333" s="199"/>
      <c r="G3333" s="199"/>
      <c r="H3333" s="199"/>
      <c r="I3333" s="439"/>
    </row>
    <row r="3334" spans="1:17" x14ac:dyDescent="0.2">
      <c r="A3334" s="247"/>
      <c r="B3334" s="248"/>
      <c r="C3334" s="249"/>
      <c r="D3334" s="249"/>
      <c r="E3334" s="249"/>
      <c r="F3334" s="250" t="s">
        <v>193</v>
      </c>
      <c r="G3334" s="401"/>
      <c r="H3334" s="249"/>
      <c r="I3334" s="445">
        <f>+I3322+I3328+I3332</f>
        <v>81.790000000000006</v>
      </c>
    </row>
    <row r="3335" spans="1:17" x14ac:dyDescent="0.2">
      <c r="A3335" s="251"/>
      <c r="B3335" s="252"/>
      <c r="C3335" s="253"/>
      <c r="D3335" s="253"/>
      <c r="E3335" s="253"/>
      <c r="F3335" s="254" t="s">
        <v>194</v>
      </c>
      <c r="G3335" s="255"/>
      <c r="H3335" s="253"/>
      <c r="I3335" s="446">
        <v>16</v>
      </c>
    </row>
    <row r="3336" spans="1:17" x14ac:dyDescent="0.2">
      <c r="A3336" s="233"/>
      <c r="B3336" s="256"/>
      <c r="C3336" s="241"/>
      <c r="D3336" s="241"/>
      <c r="E3336" s="241"/>
      <c r="F3336" s="257" t="s">
        <v>216</v>
      </c>
      <c r="G3336" s="240"/>
      <c r="H3336" s="241"/>
      <c r="I3336" s="447">
        <f>TRUNC(I3334/I3335,2)</f>
        <v>5.1100000000000003</v>
      </c>
    </row>
    <row r="3337" spans="1:17" x14ac:dyDescent="0.2">
      <c r="A3337" s="636"/>
      <c r="B3337" s="229"/>
      <c r="C3337" s="199"/>
      <c r="D3337" s="199"/>
      <c r="E3337" s="199"/>
      <c r="F3337" s="258"/>
      <c r="G3337" s="199"/>
      <c r="H3337" s="199"/>
      <c r="I3337" s="450"/>
    </row>
    <row r="3338" spans="1:17" x14ac:dyDescent="0.2">
      <c r="A3338" s="448" t="s">
        <v>195</v>
      </c>
      <c r="B3338" s="432" t="s">
        <v>59</v>
      </c>
      <c r="C3338" s="432" t="s">
        <v>196</v>
      </c>
      <c r="D3338" s="432" t="s">
        <v>217</v>
      </c>
      <c r="E3338" s="1130" t="s">
        <v>89</v>
      </c>
      <c r="F3338" s="1128"/>
      <c r="G3338" s="1129"/>
      <c r="H3338" s="1130" t="s">
        <v>183</v>
      </c>
      <c r="I3338" s="1129"/>
      <c r="J3338" s="415"/>
      <c r="K3338" s="415"/>
      <c r="L3338" s="198"/>
      <c r="M3338" s="198"/>
      <c r="N3338" s="198"/>
      <c r="O3338" s="198"/>
      <c r="P3338" s="198"/>
      <c r="Q3338" s="198"/>
    </row>
    <row r="3339" spans="1:17" ht="22.5" x14ac:dyDescent="0.2">
      <c r="A3339" s="259" t="str">
        <f>VLOOKUP(B3339,mat.!$A:$D,2,FALSE)</f>
        <v>Defensa (lâmina 4 m, espessura = 3 mm) - semi maleável</v>
      </c>
      <c r="B3339" s="234">
        <v>10342</v>
      </c>
      <c r="C3339" s="260" t="str">
        <f>VLOOKUP(B3339,mat.!$A:$D,3,FALSE)</f>
        <v>M</v>
      </c>
      <c r="D3339" s="261">
        <f>VLOOKUP(B3339,mat.!$A:$D,4,FALSE)</f>
        <v>226.48</v>
      </c>
      <c r="E3339" s="255"/>
      <c r="F3339" s="253"/>
      <c r="G3339" s="293">
        <v>1</v>
      </c>
      <c r="H3339" s="255"/>
      <c r="I3339" s="423">
        <f>TRUNC(D3339*G3339,2)</f>
        <v>226.48</v>
      </c>
      <c r="J3339" s="415"/>
      <c r="K3339" s="415"/>
      <c r="L3339" s="198"/>
      <c r="M3339" s="198"/>
      <c r="N3339" s="198"/>
      <c r="O3339" s="198"/>
      <c r="P3339" s="198"/>
      <c r="Q3339" s="198"/>
    </row>
    <row r="3340" spans="1:17" x14ac:dyDescent="0.2">
      <c r="A3340" s="199"/>
      <c r="B3340" s="229"/>
      <c r="C3340" s="199"/>
      <c r="D3340" s="199"/>
      <c r="E3340" s="199"/>
      <c r="F3340" s="230" t="s">
        <v>197</v>
      </c>
      <c r="G3340" s="240"/>
      <c r="H3340" s="241"/>
      <c r="I3340" s="438">
        <f>SUM(I3339:I3339)</f>
        <v>226.48</v>
      </c>
    </row>
    <row r="3341" spans="1:17" x14ac:dyDescent="0.2">
      <c r="A3341" s="199"/>
      <c r="B3341" s="229"/>
      <c r="C3341" s="199"/>
      <c r="D3341" s="199"/>
      <c r="E3341" s="199"/>
      <c r="F3341" s="199"/>
      <c r="G3341" s="262"/>
      <c r="H3341" s="199"/>
      <c r="I3341" s="439"/>
    </row>
    <row r="3342" spans="1:17" x14ac:dyDescent="0.2">
      <c r="A3342" s="263" t="s">
        <v>198</v>
      </c>
      <c r="B3342" s="243" t="s">
        <v>59</v>
      </c>
      <c r="C3342" s="243" t="s">
        <v>196</v>
      </c>
      <c r="D3342" s="635" t="s">
        <v>217</v>
      </c>
      <c r="E3342" s="1111" t="s">
        <v>89</v>
      </c>
      <c r="F3342" s="1112"/>
      <c r="G3342" s="1113"/>
      <c r="H3342" s="1114" t="s">
        <v>183</v>
      </c>
      <c r="I3342" s="1115"/>
    </row>
    <row r="3343" spans="1:17" ht="33.75" x14ac:dyDescent="0.2">
      <c r="A3343" s="416" t="str">
        <f>VLOOKUP(B3343,'DER 11-20'!$A:$E,2,FALSE)</f>
        <v>Escavação manual furos, valetas mat. 1ª cat. H= 0,00 a 1,50 m (dim. reduz.)</v>
      </c>
      <c r="B3343" s="417">
        <v>40256</v>
      </c>
      <c r="C3343" s="417" t="str">
        <f>VLOOKUP(B3343,'DER 11-20'!$A:$E,3,FALSE)</f>
        <v>M3</v>
      </c>
      <c r="D3343" s="418">
        <f>TRUNC(VLOOKUP(B3343,'DER 11-20'!$A:$F,6,FALSE)/(1+$I$4),2)</f>
        <v>83.41</v>
      </c>
      <c r="E3343" s="419"/>
      <c r="F3343" s="420"/>
      <c r="G3343" s="421">
        <v>0.05</v>
      </c>
      <c r="H3343" s="422"/>
      <c r="I3343" s="423">
        <f>TRUNC(D3343*G3343,2)</f>
        <v>4.17</v>
      </c>
    </row>
    <row r="3344" spans="1:17" x14ac:dyDescent="0.2">
      <c r="A3344" s="200"/>
      <c r="B3344" s="264"/>
      <c r="C3344" s="200"/>
      <c r="D3344" s="200"/>
      <c r="E3344" s="200"/>
      <c r="F3344" s="265" t="s">
        <v>199</v>
      </c>
      <c r="G3344" s="255"/>
      <c r="H3344" s="266"/>
      <c r="I3344" s="441">
        <f>I3343</f>
        <v>4.17</v>
      </c>
    </row>
    <row r="3345" spans="1:17" x14ac:dyDescent="0.2">
      <c r="A3345" s="200"/>
      <c r="B3345" s="264"/>
      <c r="C3345" s="200"/>
      <c r="D3345" s="200"/>
      <c r="E3345" s="200"/>
      <c r="F3345" s="200"/>
      <c r="G3345" s="200"/>
      <c r="H3345" s="200"/>
      <c r="I3345" s="440"/>
    </row>
    <row r="3346" spans="1:17" x14ac:dyDescent="0.2">
      <c r="A3346" s="267" t="s">
        <v>200</v>
      </c>
      <c r="B3346" s="268" t="s">
        <v>59</v>
      </c>
      <c r="C3346" s="268" t="s">
        <v>196</v>
      </c>
      <c r="D3346" s="268" t="s">
        <v>201</v>
      </c>
      <c r="E3346" s="268" t="s">
        <v>202</v>
      </c>
      <c r="F3346" s="268" t="s">
        <v>203</v>
      </c>
      <c r="G3346" s="268" t="s">
        <v>94</v>
      </c>
      <c r="H3346" s="268" t="s">
        <v>89</v>
      </c>
      <c r="I3346" s="442" t="s">
        <v>204</v>
      </c>
      <c r="K3346" s="415"/>
      <c r="L3346" s="198"/>
      <c r="M3346" s="198"/>
      <c r="N3346" s="198"/>
      <c r="O3346" s="198"/>
      <c r="P3346" s="198"/>
      <c r="Q3346" s="198"/>
    </row>
    <row r="3347" spans="1:17" ht="22.5" x14ac:dyDescent="0.2">
      <c r="A3347" s="259" t="str">
        <f>VLOOKUP(B3347,transp.!A:D,2,FALSE)</f>
        <v>Transp. de Defensa (lâmina 4 m) - semi maleável</v>
      </c>
      <c r="B3347" s="417">
        <v>1091</v>
      </c>
      <c r="C3347" s="417" t="str">
        <f>VLOOKUP(B3347,transp.!$A:$J,3,FALSE)</f>
        <v xml:space="preserve"> t  </v>
      </c>
      <c r="D3347" s="823" t="str">
        <f>VLOOKUP(B3347,transp.!$A:$J,4,FALSE)</f>
        <v>0,716XP + 0,745XR</v>
      </c>
      <c r="E3347" s="455">
        <f>VLOOKUP(J3347,Dis!$B:$F,4,FALSE)</f>
        <v>396.5</v>
      </c>
      <c r="F3347" s="455">
        <f>VLOOKUP(J3347,Dis!$B:$F,5,FALSE)</f>
        <v>2.34</v>
      </c>
      <c r="G3347" s="418">
        <f>TRUNC(VLOOKUP(B3347,transp.!$A:$J,5,FALSE)*E3347+VLOOKUP(B3347,transp.!$A:$J,6,FALSE)*F3347+VLOOKUP(B3347,transp.!$A:$J,7,FALSE),2)</f>
        <v>285.63</v>
      </c>
      <c r="H3347" s="456">
        <v>1.2500000000000001E-2</v>
      </c>
      <c r="I3347" s="418">
        <f>TRUNC(G3347*H3347,2)</f>
        <v>3.57</v>
      </c>
      <c r="J3347" s="400" t="s">
        <v>653</v>
      </c>
      <c r="K3347" s="415"/>
      <c r="L3347" s="198"/>
      <c r="M3347" s="198"/>
      <c r="N3347" s="198"/>
      <c r="O3347" s="198"/>
      <c r="P3347" s="198"/>
      <c r="Q3347" s="198"/>
    </row>
    <row r="3348" spans="1:17" x14ac:dyDescent="0.2">
      <c r="A3348" s="200"/>
      <c r="B3348" s="264"/>
      <c r="C3348" s="200"/>
      <c r="D3348" s="200"/>
      <c r="E3348" s="200"/>
      <c r="F3348" s="265" t="s">
        <v>205</v>
      </c>
      <c r="G3348" s="240"/>
      <c r="H3348" s="272"/>
      <c r="I3348" s="443">
        <f>SUM(I3347:I3347)</f>
        <v>3.57</v>
      </c>
    </row>
    <row r="3349" spans="1:17" x14ac:dyDescent="0.2">
      <c r="A3349" s="200"/>
      <c r="B3349" s="264"/>
      <c r="C3349" s="200"/>
      <c r="D3349" s="200"/>
      <c r="E3349" s="200"/>
      <c r="F3349" s="200"/>
      <c r="G3349" s="200"/>
      <c r="H3349" s="200"/>
      <c r="I3349" s="444"/>
      <c r="J3349" s="410"/>
    </row>
    <row r="3350" spans="1:17" x14ac:dyDescent="0.2">
      <c r="A3350" s="273"/>
      <c r="B3350" s="274"/>
      <c r="C3350" s="275"/>
      <c r="D3350" s="275"/>
      <c r="E3350" s="275"/>
      <c r="F3350" s="276" t="s">
        <v>206</v>
      </c>
      <c r="G3350" s="273"/>
      <c r="H3350" s="249"/>
      <c r="I3350" s="445">
        <f>+I3336+I3340+I3344+I3348</f>
        <v>239.33</v>
      </c>
    </row>
    <row r="3351" spans="1:17" x14ac:dyDescent="0.2">
      <c r="A3351" s="255"/>
      <c r="B3351" s="277"/>
      <c r="C3351" s="266"/>
      <c r="D3351" s="266"/>
      <c r="E3351" s="266"/>
      <c r="F3351" s="278" t="str">
        <f>CONCATENATE($H$3," ",$I$3)</f>
        <v>BDI: 23,32</v>
      </c>
      <c r="G3351" s="403"/>
      <c r="H3351" s="253"/>
      <c r="I3351" s="446">
        <f>+ROUND(I3350*$I$4,2)</f>
        <v>55.81</v>
      </c>
      <c r="J3351" s="410"/>
      <c r="K3351" s="295"/>
    </row>
    <row r="3352" spans="1:17" x14ac:dyDescent="0.2">
      <c r="A3352" s="240"/>
      <c r="B3352" s="279"/>
      <c r="C3352" s="272"/>
      <c r="D3352" s="272"/>
      <c r="E3352" s="272"/>
      <c r="F3352" s="280" t="s">
        <v>207</v>
      </c>
      <c r="G3352" s="404"/>
      <c r="H3352" s="241"/>
      <c r="I3352" s="720">
        <f>+I3350+I3351</f>
        <v>295.14</v>
      </c>
    </row>
    <row r="3353" spans="1:17" x14ac:dyDescent="0.2">
      <c r="A3353" s="1124" t="str">
        <f>$A$1</f>
        <v>COMPOSIÇÃO DE CUSTOS UNITÁRIOS</v>
      </c>
      <c r="B3353" s="1124"/>
      <c r="C3353" s="1124"/>
      <c r="D3353" s="1124"/>
      <c r="E3353" s="1124"/>
      <c r="F3353" s="1124"/>
      <c r="G3353" s="1124"/>
      <c r="H3353" s="1124"/>
      <c r="I3353" s="1124"/>
      <c r="J3353" s="415"/>
      <c r="K3353" s="415"/>
      <c r="L3353" s="198"/>
      <c r="M3353" s="198"/>
      <c r="N3353" s="198"/>
      <c r="O3353" s="198"/>
      <c r="P3353" s="198"/>
      <c r="Q3353" s="198"/>
    </row>
    <row r="3354" spans="1:17" x14ac:dyDescent="0.2">
      <c r="A3354" s="228" t="str">
        <f>$A$2</f>
        <v>Tabela Referencial de Preços - DER-ES</v>
      </c>
      <c r="B3354" s="229"/>
      <c r="C3354" s="199"/>
      <c r="D3354" s="199"/>
      <c r="E3354" s="199"/>
      <c r="F3354" s="199"/>
      <c r="G3354" s="199"/>
      <c r="H3354" s="199"/>
      <c r="I3354" s="414" t="str">
        <f>$I$2</f>
        <v>Data Base: novembro/2020</v>
      </c>
    </row>
    <row r="3355" spans="1:17" x14ac:dyDescent="0.2">
      <c r="A3355" s="1117" t="str">
        <f>+CONCATENATE("Serviço: ",J3355," ",VLOOKUP(J3355,'DER 11-20'!$A:$D,2,FALSE))</f>
        <v>Serviço: 41109 Demolição de cerca de madeira com 4 fios</v>
      </c>
      <c r="B3355" s="1117"/>
      <c r="C3355" s="1117"/>
      <c r="D3355" s="1117"/>
      <c r="E3355" s="1117"/>
      <c r="F3355" s="1117"/>
      <c r="G3355" s="1117"/>
      <c r="H3355" s="1117"/>
      <c r="I3355" s="1119" t="str">
        <f>CONCATENATE("Unidade: ", VLOOKUP(J3355,'DER 11-20'!$A:$E,3,FALSE))</f>
        <v>Unidade: M</v>
      </c>
      <c r="J3355" s="610">
        <v>41109</v>
      </c>
      <c r="K3355" s="610">
        <f>VLOOKUP("Preço Unitário Total",F3356:I3821,4,FALSE)</f>
        <v>3.03</v>
      </c>
      <c r="L3355" s="611">
        <f>VLOOKUP(J3355,'DER 11-20'!A:E,5,FALSE)</f>
        <v>0</v>
      </c>
      <c r="M3355" s="611" t="str">
        <f>VLOOKUP(J3355,'DER 11-20'!$A:$D,2,FALSE)</f>
        <v>Demolição de cerca de madeira com 4 fios</v>
      </c>
      <c r="N3355" s="611"/>
      <c r="O3355" s="611"/>
      <c r="P3355" s="611"/>
      <c r="Q3355" s="611"/>
    </row>
    <row r="3356" spans="1:17" x14ac:dyDescent="0.2">
      <c r="A3356" s="1118"/>
      <c r="B3356" s="1118"/>
      <c r="C3356" s="1118"/>
      <c r="D3356" s="1118"/>
      <c r="E3356" s="1118"/>
      <c r="F3356" s="1118"/>
      <c r="G3356" s="1118"/>
      <c r="H3356" s="1118"/>
      <c r="I3356" s="1120"/>
    </row>
    <row r="3357" spans="1:17" ht="22.5" x14ac:dyDescent="0.2">
      <c r="A3357" s="231" t="s">
        <v>177</v>
      </c>
      <c r="B3357" s="232" t="s">
        <v>59</v>
      </c>
      <c r="C3357" s="232" t="s">
        <v>178</v>
      </c>
      <c r="D3357" s="232" t="s">
        <v>179</v>
      </c>
      <c r="E3357" s="232" t="s">
        <v>180</v>
      </c>
      <c r="F3357" s="232" t="s">
        <v>181</v>
      </c>
      <c r="G3357" s="232" t="s">
        <v>182</v>
      </c>
      <c r="H3357" s="232" t="s">
        <v>89</v>
      </c>
      <c r="I3357" s="434" t="s">
        <v>183</v>
      </c>
    </row>
    <row r="3358" spans="1:17" x14ac:dyDescent="0.2">
      <c r="A3358" s="199"/>
      <c r="B3358" s="229"/>
      <c r="C3358" s="229"/>
      <c r="D3358" s="199"/>
      <c r="E3358" s="199"/>
      <c r="F3358" s="230" t="s">
        <v>184</v>
      </c>
      <c r="G3358" s="240"/>
      <c r="H3358" s="241"/>
      <c r="I3358" s="438"/>
    </row>
    <row r="3359" spans="1:17" x14ac:dyDescent="0.2">
      <c r="A3359" s="199"/>
      <c r="B3359" s="229"/>
      <c r="C3359" s="229"/>
      <c r="D3359" s="199"/>
      <c r="E3359" s="199"/>
      <c r="F3359" s="199"/>
      <c r="G3359" s="199"/>
      <c r="H3359" s="199"/>
      <c r="I3359" s="439"/>
    </row>
    <row r="3360" spans="1:17" x14ac:dyDescent="0.2">
      <c r="A3360" s="242" t="s">
        <v>185</v>
      </c>
      <c r="B3360" s="243" t="s">
        <v>59</v>
      </c>
      <c r="C3360" s="232" t="s">
        <v>357</v>
      </c>
      <c r="D3360" s="243" t="s">
        <v>187</v>
      </c>
      <c r="E3360" s="1111" t="s">
        <v>89</v>
      </c>
      <c r="F3360" s="1112"/>
      <c r="G3360" s="1113"/>
      <c r="H3360" s="1121" t="s">
        <v>183</v>
      </c>
      <c r="I3360" s="1115"/>
    </row>
    <row r="3361" spans="1:17" x14ac:dyDescent="0.2">
      <c r="A3361" s="244" t="str">
        <f>VLOOKUP(B3361,m.o.!$A:$H,2,FALSE)</f>
        <v>Encarregado de O.A.C.</v>
      </c>
      <c r="B3361" s="234">
        <v>20060</v>
      </c>
      <c r="C3361" s="239">
        <f>VLOOKUP(B3361,m.o.!$A:$F,4,FALSE)</f>
        <v>2.2599999999999998</v>
      </c>
      <c r="D3361" s="239">
        <f>VLOOKUP(B3361,m.o.!$A:$G,7,FALSE)</f>
        <v>28.31</v>
      </c>
      <c r="E3361" s="255"/>
      <c r="F3361" s="253"/>
      <c r="G3361" s="293">
        <v>1</v>
      </c>
      <c r="H3361" s="240"/>
      <c r="I3361" s="427">
        <f>TRUNC(D3361*G3361,2)</f>
        <v>28.31</v>
      </c>
    </row>
    <row r="3362" spans="1:17" x14ac:dyDescent="0.2">
      <c r="A3362" s="259" t="str">
        <f>VLOOKUP(B3362,m.o.!$A:$H,2,FALSE)</f>
        <v>Servente</v>
      </c>
      <c r="B3362" s="234">
        <v>20002</v>
      </c>
      <c r="C3362" s="261">
        <f>VLOOKUP(B3362,m.o.!$A:$F,4,FALSE)</f>
        <v>1</v>
      </c>
      <c r="D3362" s="261">
        <f>VLOOKUP(B3362,m.o.!$A:$G,7,FALSE)</f>
        <v>12.52</v>
      </c>
      <c r="E3362" s="255"/>
      <c r="F3362" s="253"/>
      <c r="G3362" s="405">
        <v>9</v>
      </c>
      <c r="H3362" s="255"/>
      <c r="I3362" s="423">
        <f>TRUNC(D3362*G3362,2)</f>
        <v>112.68</v>
      </c>
    </row>
    <row r="3363" spans="1:17" x14ac:dyDescent="0.2">
      <c r="A3363" s="199"/>
      <c r="B3363" s="229"/>
      <c r="C3363" s="229"/>
      <c r="D3363" s="199"/>
      <c r="E3363" s="199"/>
      <c r="F3363" s="230" t="s">
        <v>188</v>
      </c>
      <c r="G3363" s="240"/>
      <c r="H3363" s="241"/>
      <c r="I3363" s="438">
        <f>SUM(I3361:I3362)</f>
        <v>140.99</v>
      </c>
    </row>
    <row r="3364" spans="1:17" x14ac:dyDescent="0.2">
      <c r="A3364" s="199"/>
      <c r="B3364" s="229"/>
      <c r="C3364" s="229"/>
      <c r="D3364" s="199"/>
      <c r="E3364" s="199"/>
      <c r="F3364" s="199"/>
      <c r="G3364" s="199"/>
      <c r="H3364" s="199"/>
      <c r="I3364" s="439"/>
    </row>
    <row r="3365" spans="1:17" x14ac:dyDescent="0.2">
      <c r="A3365" s="245" t="s">
        <v>189</v>
      </c>
      <c r="B3365" s="243" t="s">
        <v>59</v>
      </c>
      <c r="C3365" s="635" t="s">
        <v>17</v>
      </c>
      <c r="D3365" s="243" t="s">
        <v>190</v>
      </c>
      <c r="E3365" s="243" t="s">
        <v>191</v>
      </c>
      <c r="F3365" s="243" t="s">
        <v>192</v>
      </c>
      <c r="G3365" s="1121" t="s">
        <v>94</v>
      </c>
      <c r="H3365" s="1114"/>
      <c r="I3365" s="1115"/>
    </row>
    <row r="3366" spans="1:17" s="198" customFormat="1" x14ac:dyDescent="0.2">
      <c r="A3366" s="244" t="s">
        <v>127</v>
      </c>
      <c r="B3366" s="234">
        <v>2000</v>
      </c>
      <c r="C3366" s="239">
        <v>5</v>
      </c>
      <c r="D3366" s="235" t="s">
        <v>208</v>
      </c>
      <c r="E3366" s="246"/>
      <c r="F3366" s="246"/>
      <c r="G3366" s="240"/>
      <c r="H3366" s="241"/>
      <c r="I3366" s="427">
        <f>TRUNC(C3366/100*I3363,2)</f>
        <v>7.04</v>
      </c>
      <c r="J3366" s="295"/>
      <c r="K3366" s="295"/>
      <c r="L3366" s="295"/>
      <c r="M3366" s="295"/>
      <c r="N3366" s="295"/>
      <c r="O3366" s="295"/>
      <c r="P3366" s="295"/>
      <c r="Q3366" s="295"/>
    </row>
    <row r="3367" spans="1:17" x14ac:dyDescent="0.2">
      <c r="A3367" s="199"/>
      <c r="B3367" s="229"/>
      <c r="C3367" s="199"/>
      <c r="D3367" s="199"/>
      <c r="E3367" s="199"/>
      <c r="F3367" s="230" t="s">
        <v>327</v>
      </c>
      <c r="G3367" s="240"/>
      <c r="H3367" s="241"/>
      <c r="I3367" s="438">
        <f>I3366</f>
        <v>7.04</v>
      </c>
    </row>
    <row r="3368" spans="1:17" x14ac:dyDescent="0.2">
      <c r="A3368" s="199"/>
      <c r="B3368" s="229"/>
      <c r="C3368" s="199"/>
      <c r="D3368" s="199"/>
      <c r="E3368" s="199"/>
      <c r="F3368" s="199"/>
      <c r="G3368" s="199"/>
      <c r="H3368" s="199"/>
      <c r="I3368" s="439"/>
    </row>
    <row r="3369" spans="1:17" x14ac:dyDescent="0.2">
      <c r="A3369" s="247"/>
      <c r="B3369" s="248"/>
      <c r="C3369" s="249"/>
      <c r="D3369" s="249"/>
      <c r="E3369" s="249"/>
      <c r="F3369" s="250" t="s">
        <v>193</v>
      </c>
      <c r="G3369" s="401"/>
      <c r="H3369" s="249"/>
      <c r="I3369" s="445">
        <f>+I3358+I3363+I3367</f>
        <v>148.03</v>
      </c>
    </row>
    <row r="3370" spans="1:17" x14ac:dyDescent="0.2">
      <c r="A3370" s="251"/>
      <c r="B3370" s="252"/>
      <c r="C3370" s="253"/>
      <c r="D3370" s="253"/>
      <c r="E3370" s="253"/>
      <c r="F3370" s="254" t="s">
        <v>194</v>
      </c>
      <c r="G3370" s="255"/>
      <c r="H3370" s="253"/>
      <c r="I3370" s="446">
        <v>60</v>
      </c>
    </row>
    <row r="3371" spans="1:17" x14ac:dyDescent="0.2">
      <c r="A3371" s="233"/>
      <c r="B3371" s="256"/>
      <c r="C3371" s="241"/>
      <c r="D3371" s="241"/>
      <c r="E3371" s="241"/>
      <c r="F3371" s="257" t="s">
        <v>216</v>
      </c>
      <c r="G3371" s="240"/>
      <c r="H3371" s="241"/>
      <c r="I3371" s="447">
        <f>TRUNC(I3369/I3370,2)</f>
        <v>2.46</v>
      </c>
    </row>
    <row r="3372" spans="1:17" x14ac:dyDescent="0.2">
      <c r="A3372" s="636"/>
      <c r="B3372" s="229"/>
      <c r="C3372" s="199"/>
      <c r="D3372" s="199"/>
      <c r="E3372" s="199"/>
      <c r="F3372" s="258"/>
      <c r="G3372" s="199"/>
      <c r="H3372" s="199"/>
      <c r="I3372" s="450"/>
    </row>
    <row r="3373" spans="1:17" x14ac:dyDescent="0.2">
      <c r="A3373" s="242" t="s">
        <v>195</v>
      </c>
      <c r="B3373" s="243" t="s">
        <v>59</v>
      </c>
      <c r="C3373" s="243" t="s">
        <v>196</v>
      </c>
      <c r="D3373" s="243" t="s">
        <v>217</v>
      </c>
      <c r="E3373" s="1121" t="s">
        <v>89</v>
      </c>
      <c r="F3373" s="1114"/>
      <c r="G3373" s="1115"/>
      <c r="H3373" s="1121" t="s">
        <v>183</v>
      </c>
      <c r="I3373" s="1115"/>
    </row>
    <row r="3374" spans="1:17" x14ac:dyDescent="0.2">
      <c r="A3374" s="199"/>
      <c r="B3374" s="229"/>
      <c r="C3374" s="199"/>
      <c r="D3374" s="199"/>
      <c r="E3374" s="199"/>
      <c r="F3374" s="230" t="s">
        <v>197</v>
      </c>
      <c r="G3374" s="240"/>
      <c r="H3374" s="241"/>
      <c r="I3374" s="438">
        <v>0</v>
      </c>
    </row>
    <row r="3375" spans="1:17" x14ac:dyDescent="0.2">
      <c r="A3375" s="199"/>
      <c r="B3375" s="229"/>
      <c r="C3375" s="199"/>
      <c r="D3375" s="199"/>
      <c r="E3375" s="199"/>
      <c r="F3375" s="199"/>
      <c r="G3375" s="262"/>
      <c r="H3375" s="199"/>
      <c r="I3375" s="439"/>
    </row>
    <row r="3376" spans="1:17" x14ac:dyDescent="0.2">
      <c r="A3376" s="263" t="s">
        <v>198</v>
      </c>
      <c r="B3376" s="243" t="s">
        <v>59</v>
      </c>
      <c r="C3376" s="243" t="s">
        <v>196</v>
      </c>
      <c r="D3376" s="635" t="s">
        <v>217</v>
      </c>
      <c r="E3376" s="1111" t="s">
        <v>89</v>
      </c>
      <c r="F3376" s="1112"/>
      <c r="G3376" s="1113"/>
      <c r="H3376" s="1114" t="s">
        <v>183</v>
      </c>
      <c r="I3376" s="1115"/>
    </row>
    <row r="3377" spans="1:13" x14ac:dyDescent="0.2">
      <c r="A3377" s="200"/>
      <c r="B3377" s="264"/>
      <c r="C3377" s="200"/>
      <c r="D3377" s="200"/>
      <c r="E3377" s="200"/>
      <c r="F3377" s="265" t="s">
        <v>199</v>
      </c>
      <c r="G3377" s="255"/>
      <c r="H3377" s="266"/>
      <c r="I3377" s="441">
        <v>0</v>
      </c>
    </row>
    <row r="3378" spans="1:13" x14ac:dyDescent="0.2">
      <c r="A3378" s="200"/>
      <c r="B3378" s="264"/>
      <c r="C3378" s="200"/>
      <c r="D3378" s="200"/>
      <c r="E3378" s="200"/>
      <c r="F3378" s="200"/>
      <c r="G3378" s="200"/>
      <c r="H3378" s="200"/>
      <c r="I3378" s="440"/>
    </row>
    <row r="3379" spans="1:13" x14ac:dyDescent="0.2">
      <c r="A3379" s="267" t="s">
        <v>200</v>
      </c>
      <c r="B3379" s="268" t="s">
        <v>59</v>
      </c>
      <c r="C3379" s="268" t="s">
        <v>196</v>
      </c>
      <c r="D3379" s="268" t="s">
        <v>201</v>
      </c>
      <c r="E3379" s="268" t="s">
        <v>202</v>
      </c>
      <c r="F3379" s="268" t="s">
        <v>203</v>
      </c>
      <c r="G3379" s="268" t="s">
        <v>94</v>
      </c>
      <c r="H3379" s="268" t="s">
        <v>89</v>
      </c>
      <c r="I3379" s="442" t="s">
        <v>204</v>
      </c>
    </row>
    <row r="3380" spans="1:13" x14ac:dyDescent="0.2">
      <c r="A3380" s="200"/>
      <c r="B3380" s="264"/>
      <c r="C3380" s="200"/>
      <c r="D3380" s="200"/>
      <c r="E3380" s="200"/>
      <c r="F3380" s="265" t="s">
        <v>205</v>
      </c>
      <c r="G3380" s="240"/>
      <c r="H3380" s="272"/>
      <c r="I3380" s="443"/>
    </row>
    <row r="3381" spans="1:13" x14ac:dyDescent="0.2">
      <c r="A3381" s="200"/>
      <c r="B3381" s="264"/>
      <c r="C3381" s="200"/>
      <c r="D3381" s="200"/>
      <c r="E3381" s="200"/>
      <c r="F3381" s="200"/>
      <c r="G3381" s="200"/>
      <c r="H3381" s="200"/>
      <c r="I3381" s="444"/>
    </row>
    <row r="3382" spans="1:13" x14ac:dyDescent="0.2">
      <c r="A3382" s="273"/>
      <c r="B3382" s="274"/>
      <c r="C3382" s="275"/>
      <c r="D3382" s="275"/>
      <c r="E3382" s="275"/>
      <c r="F3382" s="276" t="s">
        <v>206</v>
      </c>
      <c r="G3382" s="273"/>
      <c r="H3382" s="249"/>
      <c r="I3382" s="445">
        <f>+I3371+I3374+I3377+I3380</f>
        <v>2.46</v>
      </c>
      <c r="J3382" s="410"/>
    </row>
    <row r="3383" spans="1:13" x14ac:dyDescent="0.2">
      <c r="A3383" s="255"/>
      <c r="B3383" s="277"/>
      <c r="C3383" s="266"/>
      <c r="D3383" s="266"/>
      <c r="E3383" s="266"/>
      <c r="F3383" s="278" t="str">
        <f>CONCATENATE($H$3," ",$I$3)</f>
        <v>BDI: 23,32</v>
      </c>
      <c r="G3383" s="403"/>
      <c r="H3383" s="253"/>
      <c r="I3383" s="446">
        <f>+ROUND(I3382*$I$4,2)</f>
        <v>0.56999999999999995</v>
      </c>
    </row>
    <row r="3384" spans="1:13" x14ac:dyDescent="0.2">
      <c r="A3384" s="240"/>
      <c r="B3384" s="279"/>
      <c r="C3384" s="272"/>
      <c r="D3384" s="272"/>
      <c r="E3384" s="272"/>
      <c r="F3384" s="280" t="s">
        <v>207</v>
      </c>
      <c r="G3384" s="404"/>
      <c r="H3384" s="241"/>
      <c r="I3384" s="720">
        <f>+I3382+I3383</f>
        <v>3.03</v>
      </c>
      <c r="J3384" s="410"/>
    </row>
    <row r="3385" spans="1:13" x14ac:dyDescent="0.2">
      <c r="A3385" s="1122" t="str">
        <f>$A$1</f>
        <v>COMPOSIÇÃO DE CUSTOS UNITÁRIOS</v>
      </c>
      <c r="B3385" s="1122"/>
      <c r="C3385" s="1122"/>
      <c r="D3385" s="1122"/>
      <c r="E3385" s="1122"/>
      <c r="F3385" s="1122"/>
      <c r="G3385" s="1122"/>
      <c r="H3385" s="1122"/>
      <c r="I3385" s="1122"/>
    </row>
    <row r="3386" spans="1:13" x14ac:dyDescent="0.2">
      <c r="A3386" s="228" t="str">
        <f>$A$2</f>
        <v>Tabela Referencial de Preços - DER-ES</v>
      </c>
      <c r="B3386" s="229"/>
      <c r="C3386" s="199"/>
      <c r="D3386" s="199"/>
      <c r="E3386" s="199"/>
      <c r="F3386" s="199"/>
      <c r="G3386" s="199"/>
      <c r="H3386" s="199"/>
      <c r="I3386" s="414" t="str">
        <f>$I$2</f>
        <v>Data Base: novembro/2020</v>
      </c>
    </row>
    <row r="3387" spans="1:13" x14ac:dyDescent="0.2">
      <c r="A3387" s="1117" t="str">
        <f>+CONCATENATE("Serviço: ",J3387," ",VLOOKUP(J3387,'DER 11-20'!$A:$D,2,FALSE))</f>
        <v>Serviço: 40915 Calçada de concreto fck=15 MP, camurçado c/ argam. cimento e areia 1:4, lastro de brita e 8 cm de concreto, incl. preparo da caixa e transp. da brita</v>
      </c>
      <c r="B3387" s="1117"/>
      <c r="C3387" s="1117"/>
      <c r="D3387" s="1117"/>
      <c r="E3387" s="1117"/>
      <c r="F3387" s="1117"/>
      <c r="G3387" s="1117"/>
      <c r="H3387" s="1117"/>
      <c r="I3387" s="1119" t="str">
        <f>CONCATENATE("Unidade: ", VLOOKUP(J3387,'DER 11-20'!$A:$E,3,FALSE))</f>
        <v>Unidade: M2</v>
      </c>
      <c r="J3387" s="400">
        <v>40915</v>
      </c>
      <c r="K3387" s="400">
        <f>VLOOKUP("Preço Unitário Total",F3388:I5491,4,FALSE)</f>
        <v>112.99</v>
      </c>
      <c r="L3387" s="295" t="str">
        <f>VLOOKUP(J3387,'DER 11-20'!$A:$E,5,FALSE)</f>
        <v>A incluir</v>
      </c>
      <c r="M3387" s="295" t="str">
        <f>VLOOKUP(J3387,'DER 11-20'!$A:$D,2,FALSE)</f>
        <v>Calçada de concreto fck=15 MP, camurçado c/ argam. cimento e areia 1:4, lastro de brita e 8 cm de concreto, incl. preparo da caixa e transp. da brita</v>
      </c>
    </row>
    <row r="3388" spans="1:13" x14ac:dyDescent="0.2">
      <c r="A3388" s="1118"/>
      <c r="B3388" s="1118"/>
      <c r="C3388" s="1118"/>
      <c r="D3388" s="1118"/>
      <c r="E3388" s="1118"/>
      <c r="F3388" s="1118"/>
      <c r="G3388" s="1118"/>
      <c r="H3388" s="1118"/>
      <c r="I3388" s="1120"/>
    </row>
    <row r="3389" spans="1:13" ht="22.5" x14ac:dyDescent="0.2">
      <c r="A3389" s="231" t="s">
        <v>177</v>
      </c>
      <c r="B3389" s="232" t="s">
        <v>59</v>
      </c>
      <c r="C3389" s="232" t="s">
        <v>178</v>
      </c>
      <c r="D3389" s="232" t="s">
        <v>179</v>
      </c>
      <c r="E3389" s="232" t="s">
        <v>180</v>
      </c>
      <c r="F3389" s="232" t="s">
        <v>181</v>
      </c>
      <c r="G3389" s="232" t="s">
        <v>182</v>
      </c>
      <c r="H3389" s="232" t="s">
        <v>89</v>
      </c>
      <c r="I3389" s="434" t="s">
        <v>183</v>
      </c>
    </row>
    <row r="3390" spans="1:13" x14ac:dyDescent="0.2">
      <c r="A3390" s="233"/>
      <c r="B3390" s="234"/>
      <c r="C3390" s="235"/>
      <c r="D3390" s="236"/>
      <c r="E3390" s="203"/>
      <c r="F3390" s="237"/>
      <c r="G3390" s="237"/>
      <c r="H3390" s="238"/>
      <c r="I3390" s="418"/>
    </row>
    <row r="3391" spans="1:13" x14ac:dyDescent="0.2">
      <c r="A3391" s="199"/>
      <c r="B3391" s="229"/>
      <c r="C3391" s="229"/>
      <c r="D3391" s="199"/>
      <c r="E3391" s="199"/>
      <c r="F3391" s="230" t="s">
        <v>184</v>
      </c>
      <c r="G3391" s="240"/>
      <c r="H3391" s="241"/>
      <c r="I3391" s="438">
        <f>SUM(I3390:I3390)</f>
        <v>0</v>
      </c>
    </row>
    <row r="3392" spans="1:13" x14ac:dyDescent="0.2">
      <c r="A3392" s="199"/>
      <c r="B3392" s="229"/>
      <c r="C3392" s="229"/>
      <c r="D3392" s="199"/>
      <c r="E3392" s="199"/>
      <c r="F3392" s="199"/>
      <c r="G3392" s="199"/>
      <c r="H3392" s="199"/>
      <c r="I3392" s="439"/>
    </row>
    <row r="3393" spans="1:11" x14ac:dyDescent="0.2">
      <c r="A3393" s="242" t="s">
        <v>185</v>
      </c>
      <c r="B3393" s="243" t="s">
        <v>59</v>
      </c>
      <c r="C3393" s="232" t="s">
        <v>357</v>
      </c>
      <c r="D3393" s="243" t="s">
        <v>187</v>
      </c>
      <c r="E3393" s="1121" t="s">
        <v>89</v>
      </c>
      <c r="F3393" s="1114"/>
      <c r="G3393" s="1115"/>
      <c r="H3393" s="1121" t="s">
        <v>183</v>
      </c>
      <c r="I3393" s="1115"/>
    </row>
    <row r="3394" spans="1:11" x14ac:dyDescent="0.2">
      <c r="A3394" s="244" t="str">
        <f>VLOOKUP(B3394,m.o.!$A:$H,2,FALSE)</f>
        <v>Pedreiro de O.A.C.</v>
      </c>
      <c r="B3394" s="234">
        <v>20109</v>
      </c>
      <c r="C3394" s="239">
        <f>VLOOKUP(B3394,m.o.!$A:$F,4,FALSE)</f>
        <v>1.24</v>
      </c>
      <c r="D3394" s="239">
        <f>VLOOKUP(B3394,m.o.!$A:$G,7,FALSE)</f>
        <v>15.53</v>
      </c>
      <c r="E3394" s="255"/>
      <c r="F3394" s="253"/>
      <c r="G3394" s="293">
        <v>1</v>
      </c>
      <c r="H3394" s="240"/>
      <c r="I3394" s="427">
        <f>TRUNC(D3394*G3394,2)</f>
        <v>15.53</v>
      </c>
      <c r="J3394" s="295"/>
      <c r="K3394" s="295"/>
    </row>
    <row r="3395" spans="1:11" x14ac:dyDescent="0.2">
      <c r="A3395" s="259" t="str">
        <f>VLOOKUP(B3395,m.o.!$A:$H,2,FALSE)</f>
        <v>Servente</v>
      </c>
      <c r="B3395" s="234">
        <v>20002</v>
      </c>
      <c r="C3395" s="261">
        <f>VLOOKUP(B3395,m.o.!$A:$F,4,FALSE)</f>
        <v>1</v>
      </c>
      <c r="D3395" s="261">
        <f>VLOOKUP(B3395,m.o.!$A:$G,7,FALSE)</f>
        <v>12.52</v>
      </c>
      <c r="E3395" s="255"/>
      <c r="F3395" s="253"/>
      <c r="G3395" s="405">
        <v>1</v>
      </c>
      <c r="H3395" s="255"/>
      <c r="I3395" s="423">
        <f>TRUNC(D3395*G3395,2)</f>
        <v>12.52</v>
      </c>
      <c r="J3395" s="295"/>
      <c r="K3395" s="295"/>
    </row>
    <row r="3396" spans="1:11" x14ac:dyDescent="0.2">
      <c r="A3396" s="199"/>
      <c r="B3396" s="229"/>
      <c r="C3396" s="229"/>
      <c r="D3396" s="199"/>
      <c r="E3396" s="199"/>
      <c r="F3396" s="230" t="s">
        <v>188</v>
      </c>
      <c r="G3396" s="240"/>
      <c r="H3396" s="241"/>
      <c r="I3396" s="438">
        <f>SUM(I3394:I3395)</f>
        <v>28.05</v>
      </c>
      <c r="J3396" s="295"/>
      <c r="K3396" s="295"/>
    </row>
    <row r="3397" spans="1:11" x14ac:dyDescent="0.2">
      <c r="A3397" s="199"/>
      <c r="B3397" s="229"/>
      <c r="C3397" s="229"/>
      <c r="D3397" s="199"/>
      <c r="E3397" s="199"/>
      <c r="F3397" s="199"/>
      <c r="G3397" s="199"/>
      <c r="H3397" s="199"/>
      <c r="I3397" s="439"/>
      <c r="J3397" s="295"/>
      <c r="K3397" s="295"/>
    </row>
    <row r="3398" spans="1:11" x14ac:dyDescent="0.2">
      <c r="A3398" s="245" t="s">
        <v>189</v>
      </c>
      <c r="B3398" s="243" t="s">
        <v>59</v>
      </c>
      <c r="C3398" s="635" t="s">
        <v>17</v>
      </c>
      <c r="D3398" s="243" t="s">
        <v>190</v>
      </c>
      <c r="E3398" s="243" t="s">
        <v>191</v>
      </c>
      <c r="F3398" s="243" t="s">
        <v>192</v>
      </c>
      <c r="G3398" s="1121" t="s">
        <v>94</v>
      </c>
      <c r="H3398" s="1114"/>
      <c r="I3398" s="1115"/>
      <c r="J3398" s="295"/>
      <c r="K3398" s="295"/>
    </row>
    <row r="3399" spans="1:11" x14ac:dyDescent="0.2">
      <c r="A3399" s="244" t="s">
        <v>127</v>
      </c>
      <c r="B3399" s="234">
        <v>2000</v>
      </c>
      <c r="C3399" s="239">
        <v>5</v>
      </c>
      <c r="D3399" s="235" t="s">
        <v>208</v>
      </c>
      <c r="E3399" s="246"/>
      <c r="F3399" s="246"/>
      <c r="G3399" s="240"/>
      <c r="H3399" s="241"/>
      <c r="I3399" s="427">
        <f>TRUNC(C3399/100*I3396,2)</f>
        <v>1.4</v>
      </c>
      <c r="J3399" s="295"/>
      <c r="K3399" s="295"/>
    </row>
    <row r="3400" spans="1:11" x14ac:dyDescent="0.2">
      <c r="A3400" s="199"/>
      <c r="B3400" s="229"/>
      <c r="C3400" s="199"/>
      <c r="D3400" s="199"/>
      <c r="E3400" s="199"/>
      <c r="F3400" s="230" t="s">
        <v>327</v>
      </c>
      <c r="G3400" s="240"/>
      <c r="H3400" s="241"/>
      <c r="I3400" s="438">
        <f>SUM(I3399)</f>
        <v>1.4</v>
      </c>
      <c r="J3400" s="295"/>
      <c r="K3400" s="295"/>
    </row>
    <row r="3401" spans="1:11" x14ac:dyDescent="0.2">
      <c r="A3401" s="199"/>
      <c r="B3401" s="229"/>
      <c r="C3401" s="199"/>
      <c r="D3401" s="199"/>
      <c r="E3401" s="199"/>
      <c r="F3401" s="199"/>
      <c r="G3401" s="199"/>
      <c r="H3401" s="199"/>
      <c r="I3401" s="439"/>
      <c r="J3401" s="295"/>
      <c r="K3401" s="295"/>
    </row>
    <row r="3402" spans="1:11" x14ac:dyDescent="0.2">
      <c r="A3402" s="247"/>
      <c r="B3402" s="248"/>
      <c r="C3402" s="249"/>
      <c r="D3402" s="249"/>
      <c r="E3402" s="249"/>
      <c r="F3402" s="250" t="s">
        <v>193</v>
      </c>
      <c r="G3402" s="401"/>
      <c r="H3402" s="249"/>
      <c r="I3402" s="445">
        <f>+I3391+I3396+I3400</f>
        <v>29.45</v>
      </c>
      <c r="J3402" s="295"/>
      <c r="K3402" s="295"/>
    </row>
    <row r="3403" spans="1:11" x14ac:dyDescent="0.2">
      <c r="A3403" s="251"/>
      <c r="B3403" s="252"/>
      <c r="C3403" s="253"/>
      <c r="D3403" s="253"/>
      <c r="E3403" s="253"/>
      <c r="F3403" s="254" t="s">
        <v>194</v>
      </c>
      <c r="G3403" s="255"/>
      <c r="H3403" s="253"/>
      <c r="I3403" s="446">
        <v>1</v>
      </c>
      <c r="J3403" s="295"/>
      <c r="K3403" s="295"/>
    </row>
    <row r="3404" spans="1:11" x14ac:dyDescent="0.2">
      <c r="A3404" s="233"/>
      <c r="B3404" s="256"/>
      <c r="C3404" s="241"/>
      <c r="D3404" s="241"/>
      <c r="E3404" s="241"/>
      <c r="F3404" s="257" t="s">
        <v>216</v>
      </c>
      <c r="G3404" s="240"/>
      <c r="H3404" s="241"/>
      <c r="I3404" s="447">
        <f>TRUNC(I3402/I3403,2)</f>
        <v>29.45</v>
      </c>
      <c r="J3404" s="295"/>
      <c r="K3404" s="295"/>
    </row>
    <row r="3405" spans="1:11" x14ac:dyDescent="0.2">
      <c r="A3405" s="636"/>
      <c r="B3405" s="229"/>
      <c r="C3405" s="199"/>
      <c r="D3405" s="199"/>
      <c r="E3405" s="199"/>
      <c r="F3405" s="258"/>
      <c r="G3405" s="199"/>
      <c r="H3405" s="199"/>
      <c r="I3405" s="450"/>
      <c r="J3405" s="295"/>
      <c r="K3405" s="295"/>
    </row>
    <row r="3406" spans="1:11" x14ac:dyDescent="0.2">
      <c r="A3406" s="242" t="s">
        <v>195</v>
      </c>
      <c r="B3406" s="243" t="s">
        <v>59</v>
      </c>
      <c r="C3406" s="243" t="s">
        <v>196</v>
      </c>
      <c r="D3406" s="243" t="s">
        <v>217</v>
      </c>
      <c r="E3406" s="1121" t="s">
        <v>89</v>
      </c>
      <c r="F3406" s="1114"/>
      <c r="G3406" s="1115"/>
      <c r="H3406" s="1121" t="s">
        <v>183</v>
      </c>
      <c r="I3406" s="1115"/>
      <c r="J3406" s="295"/>
      <c r="K3406" s="295"/>
    </row>
    <row r="3407" spans="1:11" ht="22.5" x14ac:dyDescent="0.2">
      <c r="A3407" s="259" t="str">
        <f>VLOOKUP(B3407,mat.!$A:$D,2,FALSE)</f>
        <v>Brita graduada, especificada sem pó, sem frete</v>
      </c>
      <c r="B3407" s="234">
        <v>10119</v>
      </c>
      <c r="C3407" s="260" t="str">
        <f>VLOOKUP(B3407,mat.!$A:$D,3,FALSE)</f>
        <v>m3</v>
      </c>
      <c r="D3407" s="261">
        <f>VLOOKUP(B3407,mat.!$A:$D,4,FALSE)</f>
        <v>48.4</v>
      </c>
      <c r="E3407" s="255"/>
      <c r="F3407" s="253"/>
      <c r="G3407" s="293">
        <v>0.04</v>
      </c>
      <c r="H3407" s="255"/>
      <c r="I3407" s="423">
        <f>TRUNC(D3407*G3407,2)</f>
        <v>1.93</v>
      </c>
      <c r="J3407" s="295"/>
      <c r="K3407" s="295"/>
    </row>
    <row r="3408" spans="1:11" x14ac:dyDescent="0.2">
      <c r="A3408" s="259" t="str">
        <f>VLOOKUP(B3408,mat.!$A:$D,2,FALSE)</f>
        <v>Sarrafo 10 X 2,5 cm</v>
      </c>
      <c r="B3408" s="234">
        <v>10067</v>
      </c>
      <c r="C3408" s="260" t="str">
        <f>VLOOKUP(B3408,mat.!$A:$D,3,FALSE)</f>
        <v>M3</v>
      </c>
      <c r="D3408" s="261">
        <f>VLOOKUP(B3408,mat.!$A:$D,4,FALSE)</f>
        <v>1354.54</v>
      </c>
      <c r="E3408" s="255"/>
      <c r="F3408" s="253"/>
      <c r="G3408" s="405">
        <v>5.0000000000000001E-3</v>
      </c>
      <c r="H3408" s="255"/>
      <c r="I3408" s="423">
        <f>TRUNC(D3408*G3408,2)</f>
        <v>6.77</v>
      </c>
      <c r="J3408" s="295"/>
      <c r="K3408" s="295"/>
    </row>
    <row r="3409" spans="1:13" x14ac:dyDescent="0.2">
      <c r="A3409" s="199"/>
      <c r="B3409" s="229"/>
      <c r="C3409" s="199"/>
      <c r="D3409" s="199"/>
      <c r="E3409" s="199"/>
      <c r="F3409" s="230" t="s">
        <v>197</v>
      </c>
      <c r="G3409" s="240"/>
      <c r="H3409" s="241"/>
      <c r="I3409" s="438">
        <f>SUM(I3407:I3408)</f>
        <v>8.6999999999999993</v>
      </c>
      <c r="J3409" s="295"/>
      <c r="K3409" s="295"/>
    </row>
    <row r="3410" spans="1:13" x14ac:dyDescent="0.2">
      <c r="A3410" s="199"/>
      <c r="B3410" s="229"/>
      <c r="C3410" s="199"/>
      <c r="D3410" s="199"/>
      <c r="E3410" s="199"/>
      <c r="F3410" s="199"/>
      <c r="G3410" s="262"/>
      <c r="H3410" s="199"/>
      <c r="I3410" s="439"/>
    </row>
    <row r="3411" spans="1:13" x14ac:dyDescent="0.2">
      <c r="A3411" s="263" t="s">
        <v>198</v>
      </c>
      <c r="B3411" s="243" t="s">
        <v>59</v>
      </c>
      <c r="C3411" s="243" t="s">
        <v>196</v>
      </c>
      <c r="D3411" s="635" t="s">
        <v>217</v>
      </c>
      <c r="E3411" s="1121" t="s">
        <v>89</v>
      </c>
      <c r="F3411" s="1114"/>
      <c r="G3411" s="1115"/>
      <c r="H3411" s="1121" t="s">
        <v>183</v>
      </c>
      <c r="I3411" s="1115"/>
    </row>
    <row r="3412" spans="1:13" ht="22.5" x14ac:dyDescent="0.2">
      <c r="A3412" s="244" t="str">
        <f>VLOOKUP(B3412,'DER 11-20'!$A:$E,2,FALSE)</f>
        <v>Argamassa cimento e areia traço 1:4, tudo incluído</v>
      </c>
      <c r="B3412" s="234">
        <v>40348</v>
      </c>
      <c r="C3412" s="234" t="str">
        <f>VLOOKUP(B3412,'DER 11-20'!$A:$E,3,FALSE)</f>
        <v>M3</v>
      </c>
      <c r="D3412" s="418">
        <f>TRUNC(VLOOKUP(B3412,'DER 11-20'!$A:$F,6,FALSE)/(1+$I$4),2)</f>
        <v>449.06</v>
      </c>
      <c r="E3412" s="255"/>
      <c r="F3412" s="253"/>
      <c r="G3412" s="293">
        <v>0.02</v>
      </c>
      <c r="H3412" s="240"/>
      <c r="I3412" s="423">
        <f>TRUNC(D3412*G3412,2)</f>
        <v>8.98</v>
      </c>
      <c r="J3412" s="295"/>
    </row>
    <row r="3413" spans="1:13" ht="22.5" x14ac:dyDescent="0.2">
      <c r="A3413" s="244" t="str">
        <f>VLOOKUP(B3413,'DER 11-20'!$A:$E,2,FALSE)</f>
        <v>Concreto estrutural fck = 15,0 MPa, tudo incluído</v>
      </c>
      <c r="B3413" s="234">
        <v>40358</v>
      </c>
      <c r="C3413" s="234" t="str">
        <f>VLOOKUP(B3413,'DER 11-20'!$A:$E,3,FALSE)</f>
        <v>M3</v>
      </c>
      <c r="D3413" s="418">
        <f>TRUNC(VLOOKUP(B3413,'DER 11-20'!$A:$F,6,FALSE)/(1+$I$4),2)</f>
        <v>547.26</v>
      </c>
      <c r="E3413" s="240"/>
      <c r="F3413" s="241"/>
      <c r="G3413" s="405">
        <v>0.08</v>
      </c>
      <c r="H3413" s="240"/>
      <c r="I3413" s="423">
        <f>TRUNC(D3413*G3413,2)</f>
        <v>43.78</v>
      </c>
      <c r="J3413" s="295"/>
    </row>
    <row r="3414" spans="1:13" x14ac:dyDescent="0.2">
      <c r="A3414" s="200"/>
      <c r="B3414" s="264"/>
      <c r="C3414" s="200"/>
      <c r="D3414" s="200"/>
      <c r="E3414" s="200"/>
      <c r="F3414" s="265" t="s">
        <v>199</v>
      </c>
      <c r="G3414" s="255"/>
      <c r="H3414" s="266"/>
      <c r="I3414" s="441">
        <f>SUM(I3412:I3413)</f>
        <v>52.76</v>
      </c>
    </row>
    <row r="3415" spans="1:13" x14ac:dyDescent="0.2">
      <c r="A3415" s="200"/>
      <c r="B3415" s="264"/>
      <c r="C3415" s="200"/>
      <c r="D3415" s="200"/>
      <c r="E3415" s="200"/>
      <c r="F3415" s="200"/>
      <c r="G3415" s="200"/>
      <c r="H3415" s="200"/>
      <c r="I3415" s="440"/>
    </row>
    <row r="3416" spans="1:13" x14ac:dyDescent="0.2">
      <c r="A3416" s="267" t="s">
        <v>200</v>
      </c>
      <c r="B3416" s="268" t="s">
        <v>59</v>
      </c>
      <c r="C3416" s="268" t="s">
        <v>196</v>
      </c>
      <c r="D3416" s="268" t="s">
        <v>201</v>
      </c>
      <c r="E3416" s="268" t="s">
        <v>202</v>
      </c>
      <c r="F3416" s="268" t="s">
        <v>203</v>
      </c>
      <c r="G3416" s="268" t="s">
        <v>94</v>
      </c>
      <c r="H3416" s="268" t="s">
        <v>89</v>
      </c>
      <c r="I3416" s="442" t="s">
        <v>204</v>
      </c>
    </row>
    <row r="3417" spans="1:13" ht="22.5" x14ac:dyDescent="0.2">
      <c r="A3417" s="244" t="str">
        <f>VLOOKUP(B3417,transp.!$A:$J,2,FALSE)</f>
        <v>Transporte de Brita 0</v>
      </c>
      <c r="B3417" s="234">
        <v>1028</v>
      </c>
      <c r="C3417" s="234" t="str">
        <f>VLOOKUP(B3417,transp.!$A:$J,3,FALSE)</f>
        <v xml:space="preserve"> t  </v>
      </c>
      <c r="D3417" s="269" t="str">
        <f>VLOOKUP(B3417,transp.!$A:$J,4,FALSE)</f>
        <v>0,719XP + 0,749XR + 2,997</v>
      </c>
      <c r="E3417" s="270">
        <f>VLOOKUP(J3417,Dis!$B:$F,4,FALSE)</f>
        <v>12.5</v>
      </c>
      <c r="F3417" s="270">
        <f>VLOOKUP(J3417,Dis!$B:$F,5,FALSE)</f>
        <v>0</v>
      </c>
      <c r="G3417" s="239">
        <f>TRUNC(VLOOKUP(B3417,transp.!$A:$J,5,FALSE)*E3417+VLOOKUP(B3417,transp.!$A:$J,6,FALSE)*F3417+VLOOKUP(B3417,transp.!$A:$J,7,FALSE),2)</f>
        <v>11.98</v>
      </c>
      <c r="H3417" s="271">
        <v>0.06</v>
      </c>
      <c r="I3417" s="418">
        <f>TRUNC(G3417*H3417,2)</f>
        <v>0.71</v>
      </c>
      <c r="J3417" s="400" t="s">
        <v>111</v>
      </c>
    </row>
    <row r="3418" spans="1:13" x14ac:dyDescent="0.2">
      <c r="A3418" s="200"/>
      <c r="B3418" s="264"/>
      <c r="C3418" s="200"/>
      <c r="D3418" s="200"/>
      <c r="E3418" s="200"/>
      <c r="F3418" s="265" t="s">
        <v>205</v>
      </c>
      <c r="G3418" s="240"/>
      <c r="H3418" s="272"/>
      <c r="I3418" s="443">
        <f>SUM(I3417:I3417)</f>
        <v>0.71</v>
      </c>
    </row>
    <row r="3419" spans="1:13" x14ac:dyDescent="0.2">
      <c r="A3419" s="200"/>
      <c r="B3419" s="264"/>
      <c r="C3419" s="200"/>
      <c r="D3419" s="200"/>
      <c r="E3419" s="200"/>
      <c r="F3419" s="200"/>
      <c r="G3419" s="200"/>
      <c r="H3419" s="200"/>
      <c r="I3419" s="444"/>
    </row>
    <row r="3420" spans="1:13" x14ac:dyDescent="0.2">
      <c r="A3420" s="273"/>
      <c r="B3420" s="274"/>
      <c r="C3420" s="275"/>
      <c r="D3420" s="275"/>
      <c r="E3420" s="275"/>
      <c r="F3420" s="276" t="s">
        <v>206</v>
      </c>
      <c r="G3420" s="273"/>
      <c r="H3420" s="249"/>
      <c r="I3420" s="445">
        <f>+I3404+I3409+I3414+I3418</f>
        <v>91.62</v>
      </c>
    </row>
    <row r="3421" spans="1:13" x14ac:dyDescent="0.2">
      <c r="A3421" s="255"/>
      <c r="B3421" s="277"/>
      <c r="C3421" s="266"/>
      <c r="D3421" s="266"/>
      <c r="E3421" s="266"/>
      <c r="F3421" s="278" t="str">
        <f>CONCATENATE($H$3," ",$I$3)</f>
        <v>BDI: 23,32</v>
      </c>
      <c r="G3421" s="403"/>
      <c r="H3421" s="253"/>
      <c r="I3421" s="446">
        <f>+ROUND(I3420*$I$4,2)</f>
        <v>21.37</v>
      </c>
    </row>
    <row r="3422" spans="1:13" x14ac:dyDescent="0.2">
      <c r="A3422" s="240"/>
      <c r="B3422" s="279"/>
      <c r="C3422" s="272"/>
      <c r="D3422" s="272"/>
      <c r="E3422" s="272"/>
      <c r="F3422" s="280" t="s">
        <v>207</v>
      </c>
      <c r="G3422" s="404"/>
      <c r="H3422" s="241"/>
      <c r="I3422" s="720">
        <f>+I3420+I3421</f>
        <v>112.99</v>
      </c>
    </row>
    <row r="3423" spans="1:13" x14ac:dyDescent="0.2">
      <c r="A3423" s="1116" t="str">
        <f>$A$1</f>
        <v>COMPOSIÇÃO DE CUSTOS UNITÁRIOS</v>
      </c>
      <c r="B3423" s="1116"/>
      <c r="C3423" s="1116"/>
      <c r="D3423" s="1116"/>
      <c r="E3423" s="1116"/>
      <c r="F3423" s="1116"/>
      <c r="G3423" s="1116"/>
      <c r="H3423" s="1116"/>
      <c r="I3423" s="1116"/>
    </row>
    <row r="3424" spans="1:13" x14ac:dyDescent="0.2">
      <c r="A3424" s="228" t="str">
        <f>$A$2</f>
        <v>Tabela Referencial de Preços - DER-ES</v>
      </c>
      <c r="B3424" s="229"/>
      <c r="C3424" s="199"/>
      <c r="D3424" s="199"/>
      <c r="E3424" s="199"/>
      <c r="F3424" s="199"/>
      <c r="G3424" s="199"/>
      <c r="H3424" s="199"/>
      <c r="I3424" s="414" t="str">
        <f>$I$2</f>
        <v>Data Base: novembro/2020</v>
      </c>
      <c r="J3424" s="400">
        <v>40936</v>
      </c>
      <c r="K3424" s="400">
        <f>VLOOKUP("Preço Unitário Total",F3426:I3972,4,FALSE)</f>
        <v>665.66</v>
      </c>
      <c r="L3424" s="295">
        <f>VLOOKUP(J3424,'DER 11-20'!A:E,5,FALSE)</f>
        <v>0</v>
      </c>
      <c r="M3424" s="295" t="str">
        <f>VLOOKUP(J3424,'DER 11-20'!$A:$D,2,FALSE)</f>
        <v>Sinalização vertical com chapa revestida em película, inclusive suporte em madeira</v>
      </c>
    </row>
    <row r="3425" spans="1:17" x14ac:dyDescent="0.2">
      <c r="A3425" s="1117" t="str">
        <f>+CONCATENATE("Serviço: ",J3424," ",VLOOKUP(J3424,'DER 11-20'!$A:$D,2,FALSE))</f>
        <v>Serviço: 40936 Sinalização vertical com chapa revestida em película, inclusive suporte em madeira</v>
      </c>
      <c r="B3425" s="1117"/>
      <c r="C3425" s="1117"/>
      <c r="D3425" s="1117"/>
      <c r="E3425" s="1117"/>
      <c r="F3425" s="1117"/>
      <c r="G3425" s="1117"/>
      <c r="H3425" s="1117"/>
      <c r="I3425" s="1119" t="str">
        <f>CONCATENATE("Unidade: ", VLOOKUP(J3424,'DER 11-20'!$A:$E,3,FALSE))</f>
        <v>Unidade: M2</v>
      </c>
    </row>
    <row r="3426" spans="1:17" x14ac:dyDescent="0.2">
      <c r="A3426" s="1118"/>
      <c r="B3426" s="1118"/>
      <c r="C3426" s="1118"/>
      <c r="D3426" s="1118"/>
      <c r="E3426" s="1118"/>
      <c r="F3426" s="1118"/>
      <c r="G3426" s="1118"/>
      <c r="H3426" s="1118"/>
      <c r="I3426" s="1120"/>
    </row>
    <row r="3427" spans="1:17" ht="22.5" x14ac:dyDescent="0.2">
      <c r="A3427" s="231" t="s">
        <v>177</v>
      </c>
      <c r="B3427" s="232" t="s">
        <v>59</v>
      </c>
      <c r="C3427" s="232" t="s">
        <v>178</v>
      </c>
      <c r="D3427" s="232" t="s">
        <v>179</v>
      </c>
      <c r="E3427" s="232" t="s">
        <v>180</v>
      </c>
      <c r="F3427" s="232" t="s">
        <v>181</v>
      </c>
      <c r="G3427" s="232" t="s">
        <v>182</v>
      </c>
      <c r="H3427" s="232" t="s">
        <v>89</v>
      </c>
      <c r="I3427" s="434" t="s">
        <v>183</v>
      </c>
    </row>
    <row r="3428" spans="1:17" ht="22.5" x14ac:dyDescent="0.2">
      <c r="A3428" s="233" t="str">
        <f>VLOOKUP(B3428,equip.!$A:$G,2,FALSE)</f>
        <v>Caminhão carroceria 815/37 PBT=8,3t (TOCO 4,0t)</v>
      </c>
      <c r="B3428" s="234">
        <v>30004</v>
      </c>
      <c r="C3428" s="235" t="str">
        <f>VLOOKUP(B3428,equip.!$A$1:$G$239,3,FALSE)</f>
        <v>M</v>
      </c>
      <c r="D3428" s="236">
        <v>0.15</v>
      </c>
      <c r="E3428" s="203">
        <v>0.85</v>
      </c>
      <c r="F3428" s="237">
        <f>VLOOKUP(B3428,equip.!$A:$G,6,FALSE)</f>
        <v>145.22</v>
      </c>
      <c r="G3428" s="237">
        <f>VLOOKUP(B3428,equip.!$A:$G,7,FALSE)</f>
        <v>43.59</v>
      </c>
      <c r="H3428" s="238">
        <v>1</v>
      </c>
      <c r="I3428" s="418">
        <f>TRUNC(D3428*F3428*H3428+E3428*G3428*H3428,2)</f>
        <v>58.83</v>
      </c>
    </row>
    <row r="3429" spans="1:17" x14ac:dyDescent="0.2">
      <c r="A3429" s="233" t="str">
        <f>VLOOKUP(B3429,equip.!$A:$G,2,FALSE)</f>
        <v>Furadeira elétrica de bancada</v>
      </c>
      <c r="B3429" s="234">
        <v>30096</v>
      </c>
      <c r="C3429" s="235">
        <f>VLOOKUP(B3429,equip.!$A$1:$G$239,3,FALSE)</f>
        <v>0</v>
      </c>
      <c r="D3429" s="236">
        <v>0.01</v>
      </c>
      <c r="E3429" s="203">
        <v>0.99</v>
      </c>
      <c r="F3429" s="237">
        <f>VLOOKUP(B3429,equip.!$A:$G,6,FALSE)</f>
        <v>0.74</v>
      </c>
      <c r="G3429" s="237">
        <f>VLOOKUP(B3429,equip.!$A:$G,7,FALSE)</f>
        <v>0.06</v>
      </c>
      <c r="H3429" s="238">
        <v>1</v>
      </c>
      <c r="I3429" s="418">
        <f>TRUNC(D3429*F3429*H3429+E3429*G3429*H3429,2)</f>
        <v>0.06</v>
      </c>
    </row>
    <row r="3430" spans="1:17" ht="22.5" x14ac:dyDescent="0.2">
      <c r="A3430" s="233" t="str">
        <f>VLOOKUP(B3430,equip.!$A:$G,2,FALSE)</f>
        <v>Guilhotina para corte em chapa de aço até 2mm</v>
      </c>
      <c r="B3430" s="234">
        <v>30097</v>
      </c>
      <c r="C3430" s="235">
        <f>VLOOKUP(B3430,equip.!$A$1:$G$239,3,FALSE)</f>
        <v>0</v>
      </c>
      <c r="D3430" s="236">
        <v>0.01</v>
      </c>
      <c r="E3430" s="203">
        <v>0.99</v>
      </c>
      <c r="F3430" s="237">
        <f>VLOOKUP(B3430,equip.!$A:$G,6,FALSE)</f>
        <v>38.24</v>
      </c>
      <c r="G3430" s="237">
        <f>VLOOKUP(B3430,equip.!$A:$G,7,FALSE)</f>
        <v>31.83</v>
      </c>
      <c r="H3430" s="238">
        <v>1</v>
      </c>
      <c r="I3430" s="418">
        <f>TRUNC(D3430*F3430*H3430+E3430*G3430*H3430,2)</f>
        <v>31.89</v>
      </c>
    </row>
    <row r="3431" spans="1:17" x14ac:dyDescent="0.2">
      <c r="A3431" s="233" t="str">
        <f>VLOOKUP(B3431,equip.!$A:$G,2,FALSE)</f>
        <v>Serra circular manual</v>
      </c>
      <c r="B3431" s="234">
        <v>30095</v>
      </c>
      <c r="C3431" s="235">
        <f>VLOOKUP(B3431,equip.!$A$1:$G$239,3,FALSE)</f>
        <v>0</v>
      </c>
      <c r="D3431" s="236">
        <v>0.01</v>
      </c>
      <c r="E3431" s="203">
        <v>0.99</v>
      </c>
      <c r="F3431" s="237">
        <f>VLOOKUP(B3431,equip.!$A:$G,6,FALSE)</f>
        <v>2.8</v>
      </c>
      <c r="G3431" s="237">
        <f>VLOOKUP(B3431,equip.!$A:$G,7,FALSE)</f>
        <v>0.14000000000000001</v>
      </c>
      <c r="H3431" s="238">
        <v>1</v>
      </c>
      <c r="I3431" s="418">
        <f>TRUNC(D3431*F3431*H3431+E3431*G3431*H3431,2)</f>
        <v>0.16</v>
      </c>
    </row>
    <row r="3432" spans="1:17" x14ac:dyDescent="0.2">
      <c r="A3432" s="199"/>
      <c r="B3432" s="229"/>
      <c r="C3432" s="229"/>
      <c r="D3432" s="199"/>
      <c r="E3432" s="199"/>
      <c r="F3432" s="230" t="s">
        <v>184</v>
      </c>
      <c r="G3432" s="240"/>
      <c r="H3432" s="241"/>
      <c r="I3432" s="438">
        <f>SUM(I3428:I3431)</f>
        <v>90.94</v>
      </c>
    </row>
    <row r="3433" spans="1:17" x14ac:dyDescent="0.2">
      <c r="A3433" s="199"/>
      <c r="B3433" s="229"/>
      <c r="C3433" s="229"/>
      <c r="D3433" s="199"/>
      <c r="E3433" s="199"/>
      <c r="F3433" s="199"/>
      <c r="G3433" s="199"/>
      <c r="H3433" s="199"/>
      <c r="I3433" s="439"/>
    </row>
    <row r="3434" spans="1:17" x14ac:dyDescent="0.2">
      <c r="A3434" s="242" t="s">
        <v>185</v>
      </c>
      <c r="B3434" s="243" t="s">
        <v>59</v>
      </c>
      <c r="C3434" s="232" t="s">
        <v>357</v>
      </c>
      <c r="D3434" s="243" t="s">
        <v>187</v>
      </c>
      <c r="E3434" s="1121" t="s">
        <v>89</v>
      </c>
      <c r="F3434" s="1114"/>
      <c r="G3434" s="1115"/>
      <c r="H3434" s="1121" t="s">
        <v>183</v>
      </c>
      <c r="I3434" s="1115"/>
    </row>
    <row r="3435" spans="1:17" x14ac:dyDescent="0.2">
      <c r="A3435" s="244" t="str">
        <f>VLOOKUP(B3435,m.o.!$A:$H,2,FALSE)</f>
        <v>Desenhista</v>
      </c>
      <c r="B3435" s="234">
        <v>20048</v>
      </c>
      <c r="C3435" s="239">
        <f>VLOOKUP(B3435,m.o.!$A:$F,4,FALSE)</f>
        <v>0</v>
      </c>
      <c r="D3435" s="239">
        <f>VLOOKUP(B3435,m.o.!$A:$G,7,FALSE)</f>
        <v>5708.64</v>
      </c>
      <c r="E3435" s="240"/>
      <c r="F3435" s="253"/>
      <c r="G3435" s="293">
        <v>4.4999999999999997E-3</v>
      </c>
      <c r="H3435" s="240"/>
      <c r="I3435" s="427">
        <f>TRUNC(D3435*G3435,2)</f>
        <v>25.68</v>
      </c>
      <c r="J3435" s="295"/>
      <c r="K3435" s="295"/>
    </row>
    <row r="3436" spans="1:17" x14ac:dyDescent="0.2">
      <c r="A3436" s="244" t="str">
        <f>VLOOKUP(B3436,m.o.!$A:$H,2,FALSE)</f>
        <v>Pintor</v>
      </c>
      <c r="B3436" s="234">
        <v>20111</v>
      </c>
      <c r="C3436" s="239">
        <f>VLOOKUP(B3436,m.o.!$A:$F,4,FALSE)</f>
        <v>1.24</v>
      </c>
      <c r="D3436" s="239">
        <f>VLOOKUP(B3436,m.o.!$A:$G,7,FALSE)</f>
        <v>15.53</v>
      </c>
      <c r="E3436" s="240"/>
      <c r="F3436" s="241"/>
      <c r="G3436" s="405">
        <v>1</v>
      </c>
      <c r="H3436" s="240"/>
      <c r="I3436" s="427">
        <f>TRUNC(D3436*G3436,2)</f>
        <v>15.53</v>
      </c>
      <c r="J3436" s="295"/>
      <c r="K3436" s="295"/>
    </row>
    <row r="3437" spans="1:17" x14ac:dyDescent="0.2">
      <c r="A3437" s="244" t="str">
        <f>VLOOKUP(B3437,m.o.!$A:$H,2,FALSE)</f>
        <v>Servente</v>
      </c>
      <c r="B3437" s="234">
        <v>20002</v>
      </c>
      <c r="C3437" s="239">
        <f>VLOOKUP(B3437,m.o.!$A:$F,4,FALSE)</f>
        <v>1</v>
      </c>
      <c r="D3437" s="239">
        <f>VLOOKUP(B3437,m.o.!$A:$G,7,FALSE)</f>
        <v>12.52</v>
      </c>
      <c r="E3437" s="240"/>
      <c r="F3437" s="241"/>
      <c r="G3437" s="405">
        <v>2</v>
      </c>
      <c r="H3437" s="240"/>
      <c r="I3437" s="427">
        <f>TRUNC(D3437*G3437,2)</f>
        <v>25.04</v>
      </c>
      <c r="J3437" s="295"/>
      <c r="K3437" s="295"/>
    </row>
    <row r="3438" spans="1:17" s="198" customFormat="1" x14ac:dyDescent="0.2">
      <c r="A3438" s="199"/>
      <c r="B3438" s="229"/>
      <c r="C3438" s="229"/>
      <c r="D3438" s="199"/>
      <c r="E3438" s="199"/>
      <c r="F3438" s="230" t="s">
        <v>188</v>
      </c>
      <c r="G3438" s="240"/>
      <c r="H3438" s="241"/>
      <c r="I3438" s="438">
        <f>SUM(I3435:I3437)</f>
        <v>66.25</v>
      </c>
      <c r="J3438" s="295"/>
      <c r="K3438" s="295"/>
      <c r="L3438" s="295"/>
      <c r="M3438" s="295"/>
      <c r="N3438" s="295"/>
      <c r="O3438" s="295"/>
      <c r="P3438" s="295"/>
      <c r="Q3438" s="295"/>
    </row>
    <row r="3439" spans="1:17" x14ac:dyDescent="0.2">
      <c r="A3439" s="199"/>
      <c r="B3439" s="229"/>
      <c r="C3439" s="229"/>
      <c r="D3439" s="199"/>
      <c r="E3439" s="199"/>
      <c r="F3439" s="199"/>
      <c r="G3439" s="199"/>
      <c r="H3439" s="199"/>
      <c r="I3439" s="439"/>
      <c r="J3439" s="295"/>
      <c r="K3439" s="295"/>
    </row>
    <row r="3440" spans="1:17" x14ac:dyDescent="0.2">
      <c r="A3440" s="245" t="s">
        <v>189</v>
      </c>
      <c r="B3440" s="243" t="s">
        <v>59</v>
      </c>
      <c r="C3440" s="635" t="s">
        <v>17</v>
      </c>
      <c r="D3440" s="243" t="s">
        <v>190</v>
      </c>
      <c r="E3440" s="243" t="s">
        <v>191</v>
      </c>
      <c r="F3440" s="243" t="s">
        <v>192</v>
      </c>
      <c r="G3440" s="1121" t="s">
        <v>94</v>
      </c>
      <c r="H3440" s="1114"/>
      <c r="I3440" s="1115"/>
      <c r="J3440" s="295"/>
      <c r="K3440" s="295"/>
    </row>
    <row r="3441" spans="1:17" x14ac:dyDescent="0.2">
      <c r="A3441" s="244" t="s">
        <v>312</v>
      </c>
      <c r="B3441" s="234">
        <v>2000</v>
      </c>
      <c r="C3441" s="239">
        <v>5</v>
      </c>
      <c r="D3441" s="235" t="s">
        <v>313</v>
      </c>
      <c r="E3441" s="246"/>
      <c r="F3441" s="246"/>
      <c r="G3441" s="240"/>
      <c r="H3441" s="241"/>
      <c r="I3441" s="427">
        <f>C3441/100*I3438</f>
        <v>3.31</v>
      </c>
      <c r="J3441" s="295"/>
      <c r="K3441" s="295"/>
    </row>
    <row r="3442" spans="1:17" x14ac:dyDescent="0.2">
      <c r="A3442" s="199"/>
      <c r="B3442" s="229"/>
      <c r="C3442" s="199"/>
      <c r="D3442" s="199"/>
      <c r="E3442" s="199"/>
      <c r="F3442" s="230" t="s">
        <v>327</v>
      </c>
      <c r="G3442" s="240"/>
      <c r="H3442" s="241"/>
      <c r="I3442" s="438">
        <f>SUM(I3441)</f>
        <v>3.31</v>
      </c>
      <c r="J3442" s="295"/>
      <c r="K3442" s="295"/>
    </row>
    <row r="3443" spans="1:17" x14ac:dyDescent="0.2">
      <c r="A3443" s="199"/>
      <c r="B3443" s="229"/>
      <c r="C3443" s="199"/>
      <c r="D3443" s="199"/>
      <c r="E3443" s="199"/>
      <c r="F3443" s="199"/>
      <c r="G3443" s="199"/>
      <c r="H3443" s="199"/>
      <c r="I3443" s="439"/>
      <c r="J3443" s="295"/>
      <c r="K3443" s="295"/>
    </row>
    <row r="3444" spans="1:17" x14ac:dyDescent="0.2">
      <c r="A3444" s="247"/>
      <c r="B3444" s="248"/>
      <c r="C3444" s="249"/>
      <c r="D3444" s="249"/>
      <c r="E3444" s="249"/>
      <c r="F3444" s="250" t="s">
        <v>193</v>
      </c>
      <c r="G3444" s="401"/>
      <c r="H3444" s="249"/>
      <c r="I3444" s="445">
        <f>+I3432+I3438+I3442</f>
        <v>160.5</v>
      </c>
      <c r="J3444" s="295"/>
      <c r="K3444" s="295"/>
    </row>
    <row r="3445" spans="1:17" x14ac:dyDescent="0.2">
      <c r="A3445" s="251"/>
      <c r="B3445" s="252"/>
      <c r="C3445" s="253"/>
      <c r="D3445" s="253"/>
      <c r="E3445" s="253"/>
      <c r="F3445" s="254" t="s">
        <v>194</v>
      </c>
      <c r="G3445" s="255"/>
      <c r="H3445" s="253"/>
      <c r="I3445" s="446">
        <v>1</v>
      </c>
      <c r="J3445" s="295"/>
      <c r="K3445" s="295"/>
    </row>
    <row r="3446" spans="1:17" x14ac:dyDescent="0.2">
      <c r="A3446" s="233"/>
      <c r="B3446" s="256"/>
      <c r="C3446" s="241"/>
      <c r="D3446" s="241"/>
      <c r="E3446" s="241"/>
      <c r="F3446" s="257" t="s">
        <v>216</v>
      </c>
      <c r="G3446" s="240"/>
      <c r="H3446" s="241"/>
      <c r="I3446" s="447">
        <f>TRUNC(I3444/I3445,2)</f>
        <v>160.5</v>
      </c>
      <c r="J3446" s="295"/>
      <c r="K3446" s="295"/>
    </row>
    <row r="3447" spans="1:17" x14ac:dyDescent="0.2">
      <c r="A3447" s="636"/>
      <c r="B3447" s="229"/>
      <c r="C3447" s="199"/>
      <c r="D3447" s="199"/>
      <c r="E3447" s="199"/>
      <c r="F3447" s="258"/>
      <c r="G3447" s="199"/>
      <c r="H3447" s="199"/>
      <c r="I3447" s="450"/>
      <c r="J3447" s="295"/>
      <c r="K3447" s="295"/>
    </row>
    <row r="3448" spans="1:17" x14ac:dyDescent="0.2">
      <c r="A3448" s="242" t="s">
        <v>195</v>
      </c>
      <c r="B3448" s="243" t="s">
        <v>59</v>
      </c>
      <c r="C3448" s="243" t="s">
        <v>196</v>
      </c>
      <c r="D3448" s="243" t="s">
        <v>217</v>
      </c>
      <c r="E3448" s="1121" t="s">
        <v>89</v>
      </c>
      <c r="F3448" s="1114"/>
      <c r="G3448" s="1115"/>
      <c r="H3448" s="1121" t="s">
        <v>183</v>
      </c>
      <c r="I3448" s="1115"/>
      <c r="J3448" s="295"/>
      <c r="K3448" s="295"/>
    </row>
    <row r="3449" spans="1:17" ht="22.5" x14ac:dyDescent="0.2">
      <c r="A3449" s="259" t="str">
        <f>VLOOKUP(B3449,mat.!$A:$D,2,FALSE)</f>
        <v>Chapa de aço fina-frio nº 16, esp.1,5mm SAE 1008/1010</v>
      </c>
      <c r="B3449" s="234">
        <v>10379</v>
      </c>
      <c r="C3449" s="260" t="str">
        <f>VLOOKUP(B3449,mat.!$A:$D,3,FALSE)</f>
        <v>M2</v>
      </c>
      <c r="D3449" s="261">
        <f>VLOOKUP(B3449,mat.!$A:$D,4,FALSE)</f>
        <v>88.75</v>
      </c>
      <c r="E3449" s="255"/>
      <c r="F3449" s="253"/>
      <c r="G3449" s="293">
        <v>1</v>
      </c>
      <c r="H3449" s="255"/>
      <c r="I3449" s="423">
        <f t="shared" ref="I3449:I3458" si="8">TRUNC(D3449*G3449,2)</f>
        <v>88.75</v>
      </c>
      <c r="J3449" s="295"/>
      <c r="K3449" s="295"/>
    </row>
    <row r="3450" spans="1:17" s="198" customFormat="1" ht="22.5" x14ac:dyDescent="0.2">
      <c r="A3450" s="259" t="str">
        <f>VLOOKUP(B3450,mat.!$A:$D,2,FALSE)</f>
        <v>Esmalte sintético fosco secagem rápida</v>
      </c>
      <c r="B3450" s="234">
        <v>10370</v>
      </c>
      <c r="C3450" s="260" t="str">
        <f>VLOOKUP(B3450,mat.!$A:$D,3,FALSE)</f>
        <v>GL</v>
      </c>
      <c r="D3450" s="261">
        <f>VLOOKUP(B3450,mat.!$A:$D,4,FALSE)</f>
        <v>97.98</v>
      </c>
      <c r="E3450" s="255"/>
      <c r="F3450" s="253"/>
      <c r="G3450" s="405">
        <v>4.5499999999999999E-2</v>
      </c>
      <c r="H3450" s="255"/>
      <c r="I3450" s="423">
        <f t="shared" si="8"/>
        <v>4.45</v>
      </c>
      <c r="J3450" s="295"/>
      <c r="K3450" s="295"/>
      <c r="L3450" s="295"/>
      <c r="M3450" s="295"/>
      <c r="N3450" s="295"/>
      <c r="O3450" s="295"/>
    </row>
    <row r="3451" spans="1:17" s="198" customFormat="1" x14ac:dyDescent="0.2">
      <c r="A3451" s="259" t="str">
        <f>VLOOKUP(B3451,mat.!$A:$D,2,FALSE)</f>
        <v>Lixa d'água nº 80</v>
      </c>
      <c r="B3451" s="234">
        <v>10373</v>
      </c>
      <c r="C3451" s="260" t="str">
        <f>VLOOKUP(B3451,mat.!$A:$D,3,FALSE)</f>
        <v>Ud</v>
      </c>
      <c r="D3451" s="261">
        <f>VLOOKUP(B3451,mat.!$A:$D,4,FALSE)</f>
        <v>1.65</v>
      </c>
      <c r="E3451" s="255"/>
      <c r="F3451" s="253"/>
      <c r="G3451" s="405">
        <v>0.08</v>
      </c>
      <c r="H3451" s="255"/>
      <c r="I3451" s="423">
        <f t="shared" si="8"/>
        <v>0.13</v>
      </c>
      <c r="J3451" s="295"/>
      <c r="K3451" s="295"/>
      <c r="L3451" s="295"/>
      <c r="M3451" s="295"/>
      <c r="N3451" s="295"/>
      <c r="O3451" s="295"/>
      <c r="P3451" s="295"/>
      <c r="Q3451" s="295"/>
    </row>
    <row r="3452" spans="1:17" s="198" customFormat="1" ht="22.5" x14ac:dyDescent="0.2">
      <c r="A3452" s="259" t="str">
        <f>VLOOKUP(B3452,mat.!$A:$D,2,FALSE)</f>
        <v>Parafuso c/ porca e arruela (3/16x1 1/2")</v>
      </c>
      <c r="B3452" s="234">
        <v>10375</v>
      </c>
      <c r="C3452" s="260" t="str">
        <f>VLOOKUP(B3452,mat.!$A:$D,3,FALSE)</f>
        <v>Ud</v>
      </c>
      <c r="D3452" s="261">
        <f>VLOOKUP(B3452,mat.!$A:$D,4,FALSE)</f>
        <v>0.28999999999999998</v>
      </c>
      <c r="E3452" s="255"/>
      <c r="F3452" s="253"/>
      <c r="G3452" s="405">
        <v>4</v>
      </c>
      <c r="H3452" s="255"/>
      <c r="I3452" s="423">
        <f t="shared" si="8"/>
        <v>1.1599999999999999</v>
      </c>
      <c r="J3452" s="295"/>
      <c r="K3452" s="295"/>
      <c r="L3452" s="295"/>
      <c r="M3452" s="295"/>
      <c r="N3452" s="295"/>
      <c r="O3452" s="295"/>
      <c r="P3452" s="295"/>
      <c r="Q3452" s="295"/>
    </row>
    <row r="3453" spans="1:17" x14ac:dyDescent="0.2">
      <c r="A3453" s="259" t="str">
        <f>VLOOKUP(B3453,mat.!$A:$D,2,FALSE)</f>
        <v>Película preto legenda</v>
      </c>
      <c r="B3453" s="234">
        <v>10368</v>
      </c>
      <c r="C3453" s="260" t="str">
        <f>VLOOKUP(B3453,mat.!$A:$D,3,FALSE)</f>
        <v>M2</v>
      </c>
      <c r="D3453" s="261">
        <f>VLOOKUP(B3453,mat.!$A:$D,4,FALSE)</f>
        <v>65.42</v>
      </c>
      <c r="E3453" s="255"/>
      <c r="F3453" s="253"/>
      <c r="G3453" s="405">
        <v>0.185</v>
      </c>
      <c r="H3453" s="255"/>
      <c r="I3453" s="423">
        <f t="shared" si="8"/>
        <v>12.1</v>
      </c>
      <c r="J3453" s="295"/>
      <c r="K3453" s="295"/>
    </row>
    <row r="3454" spans="1:17" ht="22.5" x14ac:dyDescent="0.2">
      <c r="A3454" s="259" t="str">
        <f>VLOOKUP(B3454,mat.!$A:$D,2,FALSE)</f>
        <v>Película refletiva grau técnico todas as cores</v>
      </c>
      <c r="B3454" s="234">
        <v>10380</v>
      </c>
      <c r="C3454" s="260" t="str">
        <f>VLOOKUP(B3454,mat.!$A:$D,3,FALSE)</f>
        <v>M2</v>
      </c>
      <c r="D3454" s="261">
        <f>VLOOKUP(B3454,mat.!$A:$D,4,FALSE)</f>
        <v>162.47999999999999</v>
      </c>
      <c r="E3454" s="255"/>
      <c r="F3454" s="253"/>
      <c r="G3454" s="405">
        <v>1.3540000000000001</v>
      </c>
      <c r="H3454" s="255"/>
      <c r="I3454" s="423">
        <f t="shared" si="8"/>
        <v>219.99</v>
      </c>
      <c r="J3454" s="295"/>
      <c r="K3454" s="295"/>
    </row>
    <row r="3455" spans="1:17" x14ac:dyDescent="0.2">
      <c r="A3455" s="259" t="str">
        <f>VLOOKUP(B3455,mat.!$A:$D,2,FALSE)</f>
        <v>Primer base cromato de zinco</v>
      </c>
      <c r="B3455" s="234">
        <v>10381</v>
      </c>
      <c r="C3455" s="260" t="str">
        <f>VLOOKUP(B3455,mat.!$A:$D,3,FALSE)</f>
        <v>GL</v>
      </c>
      <c r="D3455" s="261">
        <f>VLOOKUP(B3455,mat.!$A:$D,4,FALSE)</f>
        <v>100.9</v>
      </c>
      <c r="E3455" s="255"/>
      <c r="F3455" s="253"/>
      <c r="G3455" s="405">
        <v>9.0899999999999995E-2</v>
      </c>
      <c r="H3455" s="255"/>
      <c r="I3455" s="423">
        <f t="shared" si="8"/>
        <v>9.17</v>
      </c>
      <c r="J3455" s="295"/>
      <c r="K3455" s="295"/>
    </row>
    <row r="3456" spans="1:17" ht="22.5" x14ac:dyDescent="0.2">
      <c r="A3456" s="259" t="str">
        <f>VLOOKUP(B3456,mat.!$A:$D,2,FALSE)</f>
        <v>Suporte em madeira de 1ª qualidade (8x8x320cm)</v>
      </c>
      <c r="B3456" s="234">
        <v>10374</v>
      </c>
      <c r="C3456" s="260" t="str">
        <f>VLOOKUP(B3456,mat.!$A:$D,3,FALSE)</f>
        <v>Ud</v>
      </c>
      <c r="D3456" s="261">
        <f>VLOOKUP(B3456,mat.!$A:$D,4,FALSE)</f>
        <v>41.79</v>
      </c>
      <c r="E3456" s="255"/>
      <c r="F3456" s="253"/>
      <c r="G3456" s="405">
        <v>1</v>
      </c>
      <c r="H3456" s="255"/>
      <c r="I3456" s="423">
        <f t="shared" si="8"/>
        <v>41.79</v>
      </c>
      <c r="J3456" s="295"/>
      <c r="K3456" s="295"/>
    </row>
    <row r="3457" spans="1:17" x14ac:dyDescent="0.2">
      <c r="A3457" s="259" t="str">
        <f>VLOOKUP(B3457,mat.!$A:$D,2,FALSE)</f>
        <v>Tinner comum</v>
      </c>
      <c r="B3457" s="234">
        <v>10372</v>
      </c>
      <c r="C3457" s="260" t="str">
        <f>VLOOKUP(B3457,mat.!$A:$D,3,FALSE)</f>
        <v>L</v>
      </c>
      <c r="D3457" s="261">
        <f>VLOOKUP(B3457,mat.!$A:$D,4,FALSE)</f>
        <v>16.88</v>
      </c>
      <c r="E3457" s="255"/>
      <c r="F3457" s="253"/>
      <c r="G3457" s="405">
        <v>4.9099999999999998E-2</v>
      </c>
      <c r="H3457" s="255"/>
      <c r="I3457" s="423">
        <f t="shared" si="8"/>
        <v>0.82</v>
      </c>
      <c r="J3457" s="295"/>
      <c r="K3457" s="295"/>
    </row>
    <row r="3458" spans="1:17" x14ac:dyDescent="0.2">
      <c r="A3458" s="259" t="str">
        <f>VLOOKUP(B3458,mat.!$A:$D,2,FALSE)</f>
        <v>Tinta acrílica</v>
      </c>
      <c r="B3458" s="234">
        <v>10371</v>
      </c>
      <c r="C3458" s="260" t="str">
        <f>VLOOKUP(B3458,mat.!$A:$D,3,FALSE)</f>
        <v>BD</v>
      </c>
      <c r="D3458" s="261">
        <f>VLOOKUP(B3458,mat.!$A:$D,4,FALSE)</f>
        <v>180.85</v>
      </c>
      <c r="E3458" s="255"/>
      <c r="F3458" s="253"/>
      <c r="G3458" s="405">
        <v>5.1000000000000004E-3</v>
      </c>
      <c r="H3458" s="255"/>
      <c r="I3458" s="423">
        <f t="shared" si="8"/>
        <v>0.92</v>
      </c>
      <c r="J3458" s="295"/>
      <c r="K3458" s="295"/>
    </row>
    <row r="3459" spans="1:17" x14ac:dyDescent="0.2">
      <c r="A3459" s="199"/>
      <c r="B3459" s="229"/>
      <c r="C3459" s="199"/>
      <c r="D3459" s="199"/>
      <c r="E3459" s="199"/>
      <c r="F3459" s="230" t="s">
        <v>197</v>
      </c>
      <c r="G3459" s="240"/>
      <c r="H3459" s="241"/>
      <c r="I3459" s="438">
        <f>SUM(I3449:I3458)</f>
        <v>379.28</v>
      </c>
      <c r="J3459" s="295"/>
      <c r="K3459" s="295"/>
    </row>
    <row r="3460" spans="1:17" x14ac:dyDescent="0.2">
      <c r="A3460" s="199"/>
      <c r="B3460" s="229"/>
      <c r="C3460" s="199"/>
      <c r="D3460" s="199"/>
      <c r="E3460" s="199"/>
      <c r="F3460" s="199"/>
      <c r="G3460" s="262"/>
      <c r="H3460" s="199"/>
      <c r="I3460" s="439"/>
      <c r="J3460" s="295"/>
      <c r="K3460" s="295"/>
    </row>
    <row r="3461" spans="1:17" x14ac:dyDescent="0.2">
      <c r="A3461" s="263" t="s">
        <v>198</v>
      </c>
      <c r="B3461" s="243" t="s">
        <v>59</v>
      </c>
      <c r="C3461" s="243" t="s">
        <v>196</v>
      </c>
      <c r="D3461" s="635" t="s">
        <v>217</v>
      </c>
      <c r="E3461" s="1121" t="s">
        <v>89</v>
      </c>
      <c r="F3461" s="1114"/>
      <c r="G3461" s="1115"/>
      <c r="H3461" s="1121" t="s">
        <v>183</v>
      </c>
      <c r="I3461" s="1115"/>
      <c r="J3461" s="295"/>
      <c r="K3461" s="295"/>
    </row>
    <row r="3462" spans="1:17" x14ac:dyDescent="0.2">
      <c r="A3462" s="244"/>
      <c r="B3462" s="234"/>
      <c r="C3462" s="234"/>
      <c r="D3462" s="239"/>
      <c r="E3462" s="240"/>
      <c r="F3462" s="253"/>
      <c r="G3462" s="293"/>
      <c r="H3462" s="240"/>
      <c r="I3462" s="423"/>
      <c r="J3462" s="295"/>
      <c r="K3462" s="295"/>
    </row>
    <row r="3463" spans="1:17" x14ac:dyDescent="0.2">
      <c r="A3463" s="200"/>
      <c r="B3463" s="264"/>
      <c r="C3463" s="200"/>
      <c r="D3463" s="200"/>
      <c r="E3463" s="200"/>
      <c r="F3463" s="265" t="s">
        <v>199</v>
      </c>
      <c r="G3463" s="255"/>
      <c r="H3463" s="266"/>
      <c r="I3463" s="441">
        <f>SUM(I3462:I3462)</f>
        <v>0</v>
      </c>
      <c r="J3463" s="295"/>
      <c r="K3463" s="295"/>
    </row>
    <row r="3464" spans="1:17" x14ac:dyDescent="0.2">
      <c r="A3464" s="200"/>
      <c r="B3464" s="264"/>
      <c r="C3464" s="200"/>
      <c r="D3464" s="200"/>
      <c r="E3464" s="200"/>
      <c r="F3464" s="200"/>
      <c r="G3464" s="200"/>
      <c r="H3464" s="200"/>
      <c r="I3464" s="440"/>
      <c r="J3464" s="295"/>
      <c r="K3464" s="295"/>
    </row>
    <row r="3465" spans="1:17" x14ac:dyDescent="0.2">
      <c r="A3465" s="267" t="s">
        <v>200</v>
      </c>
      <c r="B3465" s="268" t="s">
        <v>59</v>
      </c>
      <c r="C3465" s="268" t="s">
        <v>196</v>
      </c>
      <c r="D3465" s="268" t="s">
        <v>201</v>
      </c>
      <c r="E3465" s="268" t="s">
        <v>202</v>
      </c>
      <c r="F3465" s="268" t="s">
        <v>203</v>
      </c>
      <c r="G3465" s="268" t="s">
        <v>94</v>
      </c>
      <c r="H3465" s="268" t="s">
        <v>89</v>
      </c>
      <c r="I3465" s="442" t="s">
        <v>204</v>
      </c>
      <c r="J3465" s="295"/>
      <c r="K3465" s="295"/>
    </row>
    <row r="3466" spans="1:17" x14ac:dyDescent="0.2">
      <c r="A3466" s="244"/>
      <c r="B3466" s="234"/>
      <c r="C3466" s="234"/>
      <c r="D3466" s="269"/>
      <c r="E3466" s="270"/>
      <c r="F3466" s="270"/>
      <c r="G3466" s="239"/>
      <c r="H3466" s="271"/>
      <c r="I3466" s="418"/>
      <c r="J3466" s="295"/>
      <c r="K3466" s="295"/>
    </row>
    <row r="3467" spans="1:17" x14ac:dyDescent="0.2">
      <c r="A3467" s="200"/>
      <c r="B3467" s="264"/>
      <c r="C3467" s="200"/>
      <c r="D3467" s="200"/>
      <c r="E3467" s="200"/>
      <c r="F3467" s="265" t="s">
        <v>205</v>
      </c>
      <c r="G3467" s="240"/>
      <c r="H3467" s="272"/>
      <c r="I3467" s="443">
        <f>SUM(I3466:I3466)</f>
        <v>0</v>
      </c>
    </row>
    <row r="3468" spans="1:17" x14ac:dyDescent="0.2">
      <c r="A3468" s="200"/>
      <c r="B3468" s="264"/>
      <c r="C3468" s="200"/>
      <c r="D3468" s="200"/>
      <c r="E3468" s="200"/>
      <c r="F3468" s="200"/>
      <c r="G3468" s="200"/>
      <c r="H3468" s="200"/>
      <c r="I3468" s="444"/>
    </row>
    <row r="3469" spans="1:17" x14ac:dyDescent="0.2">
      <c r="A3469" s="273"/>
      <c r="B3469" s="274"/>
      <c r="C3469" s="275"/>
      <c r="D3469" s="275"/>
      <c r="E3469" s="275"/>
      <c r="F3469" s="276" t="s">
        <v>206</v>
      </c>
      <c r="G3469" s="273"/>
      <c r="H3469" s="249"/>
      <c r="I3469" s="445">
        <f>+I3446+I3459+I3463+I3467</f>
        <v>539.78</v>
      </c>
    </row>
    <row r="3470" spans="1:17" x14ac:dyDescent="0.2">
      <c r="A3470" s="255"/>
      <c r="B3470" s="277"/>
      <c r="C3470" s="266"/>
      <c r="D3470" s="266"/>
      <c r="E3470" s="266"/>
      <c r="F3470" s="278" t="str">
        <f>CONCATENATE($H$3," ",$I$3)</f>
        <v>BDI: 23,32</v>
      </c>
      <c r="G3470" s="403"/>
      <c r="H3470" s="253"/>
      <c r="I3470" s="446">
        <f>+ROUND(I3469*$I$4,2)</f>
        <v>125.88</v>
      </c>
    </row>
    <row r="3471" spans="1:17" s="198" customFormat="1" x14ac:dyDescent="0.2">
      <c r="A3471" s="240"/>
      <c r="B3471" s="279"/>
      <c r="C3471" s="272"/>
      <c r="D3471" s="272"/>
      <c r="E3471" s="272"/>
      <c r="F3471" s="280" t="s">
        <v>207</v>
      </c>
      <c r="G3471" s="404"/>
      <c r="H3471" s="241"/>
      <c r="I3471" s="720">
        <f>+I3469+I3470</f>
        <v>665.66</v>
      </c>
      <c r="J3471" s="400"/>
      <c r="K3471" s="400"/>
      <c r="L3471" s="295"/>
      <c r="M3471" s="295"/>
      <c r="N3471" s="295"/>
      <c r="O3471" s="295"/>
      <c r="P3471" s="295"/>
      <c r="Q3471" s="295"/>
    </row>
    <row r="3472" spans="1:17" x14ac:dyDescent="0.2">
      <c r="A3472" s="1116" t="str">
        <f>$A$1</f>
        <v>COMPOSIÇÃO DE CUSTOS UNITÁRIOS</v>
      </c>
      <c r="B3472" s="1116"/>
      <c r="C3472" s="1116"/>
      <c r="D3472" s="1116"/>
      <c r="E3472" s="1116"/>
      <c r="F3472" s="1116"/>
      <c r="G3472" s="1116"/>
      <c r="H3472" s="1116"/>
      <c r="I3472" s="1116"/>
    </row>
    <row r="3473" spans="1:17" x14ac:dyDescent="0.2">
      <c r="A3473" s="228" t="str">
        <f>$A$2</f>
        <v>Tabela Referencial de Preços - DER-ES</v>
      </c>
      <c r="B3473" s="229"/>
      <c r="C3473" s="199"/>
      <c r="D3473" s="199"/>
      <c r="E3473" s="199"/>
      <c r="F3473" s="199"/>
      <c r="G3473" s="199"/>
      <c r="H3473" s="199"/>
      <c r="I3473" s="414" t="str">
        <f>$I$2</f>
        <v>Data Base: novembro/2020</v>
      </c>
      <c r="J3473" s="400">
        <v>40926</v>
      </c>
      <c r="K3473" s="400">
        <f>VLOOKUP("Preço Unitário Total",F3475:I4021,4,FALSE)</f>
        <v>26.28</v>
      </c>
      <c r="L3473" s="295" t="str">
        <f>VLOOKUP(J3473,'DER 11-20'!A:E,5,FALSE)</f>
        <v>A incluir</v>
      </c>
      <c r="M3473" s="295" t="str">
        <f>VLOOKUP(J3473,'DER 11-20'!$A:$D,2,FALSE)</f>
        <v>Sinalização horizontal TMD=600, vida útil 2 a 3 anos, taxa=0,80 L/m²</v>
      </c>
    </row>
    <row r="3474" spans="1:17" x14ac:dyDescent="0.2">
      <c r="A3474" s="1117" t="str">
        <f>+CONCATENATE("Serviço: ",J3473," ",VLOOKUP(J3473,'DER 11-20'!$A:$D,2,FALSE))</f>
        <v>Serviço: 40926 Sinalização horizontal TMD=600, vida útil 2 a 3 anos, taxa=0,80 L/m²</v>
      </c>
      <c r="B3474" s="1117"/>
      <c r="C3474" s="1117"/>
      <c r="D3474" s="1117"/>
      <c r="E3474" s="1117"/>
      <c r="F3474" s="1117"/>
      <c r="G3474" s="1117"/>
      <c r="H3474" s="1117"/>
      <c r="I3474" s="1119" t="str">
        <f>CONCATENATE("Unidade: ", VLOOKUP(J3473,'DER 11-20'!$A:$E,3,FALSE))</f>
        <v>Unidade: M2</v>
      </c>
    </row>
    <row r="3475" spans="1:17" x14ac:dyDescent="0.2">
      <c r="A3475" s="1118"/>
      <c r="B3475" s="1118"/>
      <c r="C3475" s="1118"/>
      <c r="D3475" s="1118"/>
      <c r="E3475" s="1118"/>
      <c r="F3475" s="1118"/>
      <c r="G3475" s="1118"/>
      <c r="H3475" s="1118"/>
      <c r="I3475" s="1120"/>
    </row>
    <row r="3476" spans="1:17" ht="22.5" x14ac:dyDescent="0.2">
      <c r="A3476" s="231" t="s">
        <v>177</v>
      </c>
      <c r="B3476" s="232" t="s">
        <v>59</v>
      </c>
      <c r="C3476" s="232" t="s">
        <v>178</v>
      </c>
      <c r="D3476" s="232" t="s">
        <v>179</v>
      </c>
      <c r="E3476" s="232" t="s">
        <v>180</v>
      </c>
      <c r="F3476" s="232" t="s">
        <v>181</v>
      </c>
      <c r="G3476" s="232" t="s">
        <v>182</v>
      </c>
      <c r="H3476" s="232" t="s">
        <v>89</v>
      </c>
      <c r="I3476" s="434" t="s">
        <v>183</v>
      </c>
    </row>
    <row r="3477" spans="1:17" ht="22.5" x14ac:dyDescent="0.2">
      <c r="A3477" s="233" t="str">
        <f>VLOOKUP(B3477,equip.!$A:$G,2,FALSE)</f>
        <v>Automóvel Utilitário - VW/ Kombi (flex)</v>
      </c>
      <c r="B3477" s="234">
        <v>30101</v>
      </c>
      <c r="C3477" s="235">
        <f>VLOOKUP(B3477,equip.!$A$1:$G$239,3,FALSE)</f>
        <v>0</v>
      </c>
      <c r="D3477" s="236">
        <v>0.4</v>
      </c>
      <c r="E3477" s="203">
        <v>0.6</v>
      </c>
      <c r="F3477" s="237">
        <f>VLOOKUP(B3477,equip.!$A:$G,6,FALSE)</f>
        <v>112.43</v>
      </c>
      <c r="G3477" s="237">
        <f>VLOOKUP(B3477,equip.!$A:$G,7,FALSE)</f>
        <v>33.11</v>
      </c>
      <c r="H3477" s="238">
        <v>1</v>
      </c>
      <c r="I3477" s="418">
        <f>TRUNC(D3477*F3477*H3477+E3477*G3477*H3477,2)</f>
        <v>64.83</v>
      </c>
    </row>
    <row r="3478" spans="1:17" ht="33.75" x14ac:dyDescent="0.2">
      <c r="A3478" s="233" t="str">
        <f>VLOOKUP(B3478,equip.!$A:$G,2,FALSE)</f>
        <v>Demarcador de faixas a gasolina referência Elgimaq EGM CAF 800 L ou equivalente</v>
      </c>
      <c r="B3478" s="234">
        <v>30092</v>
      </c>
      <c r="C3478" s="235">
        <f>VLOOKUP(B3478,equip.!$A$1:$G$239,3,FALSE)</f>
        <v>0</v>
      </c>
      <c r="D3478" s="236">
        <v>1</v>
      </c>
      <c r="E3478" s="203">
        <v>0</v>
      </c>
      <c r="F3478" s="237">
        <f>VLOOKUP(B3478,equip.!$A:$G,6,FALSE)</f>
        <v>196.79</v>
      </c>
      <c r="G3478" s="237">
        <f>VLOOKUP(B3478,equip.!$A:$G,7,FALSE)</f>
        <v>100.39</v>
      </c>
      <c r="H3478" s="238">
        <v>1</v>
      </c>
      <c r="I3478" s="418">
        <f>TRUNC(D3478*F3478*H3478+E3478*G3478*H3478,2)</f>
        <v>196.79</v>
      </c>
    </row>
    <row r="3479" spans="1:17" x14ac:dyDescent="0.2">
      <c r="A3479" s="199"/>
      <c r="B3479" s="229"/>
      <c r="C3479" s="229"/>
      <c r="D3479" s="199"/>
      <c r="E3479" s="199"/>
      <c r="F3479" s="230" t="s">
        <v>184</v>
      </c>
      <c r="G3479" s="240"/>
      <c r="H3479" s="241"/>
      <c r="I3479" s="438">
        <f>SUM(I3477:I3478)</f>
        <v>261.62</v>
      </c>
    </row>
    <row r="3480" spans="1:17" x14ac:dyDescent="0.2">
      <c r="A3480" s="199"/>
      <c r="B3480" s="229"/>
      <c r="C3480" s="229"/>
      <c r="D3480" s="199"/>
      <c r="E3480" s="199"/>
      <c r="F3480" s="199"/>
      <c r="G3480" s="199"/>
      <c r="H3480" s="199"/>
      <c r="I3480" s="439"/>
    </row>
    <row r="3481" spans="1:17" x14ac:dyDescent="0.2">
      <c r="A3481" s="242" t="s">
        <v>185</v>
      </c>
      <c r="B3481" s="243" t="s">
        <v>59</v>
      </c>
      <c r="C3481" s="232" t="s">
        <v>357</v>
      </c>
      <c r="D3481" s="243" t="s">
        <v>187</v>
      </c>
      <c r="E3481" s="1121" t="s">
        <v>89</v>
      </c>
      <c r="F3481" s="1114"/>
      <c r="G3481" s="1115"/>
      <c r="H3481" s="1121" t="s">
        <v>183</v>
      </c>
      <c r="I3481" s="1115"/>
    </row>
    <row r="3482" spans="1:17" x14ac:dyDescent="0.2">
      <c r="A3482" s="244" t="str">
        <f>VLOOKUP(B3482,m.o.!$A:$H,2,FALSE)</f>
        <v>Encarregado de pavimentação</v>
      </c>
      <c r="B3482" s="234">
        <v>20065</v>
      </c>
      <c r="C3482" s="239">
        <f>VLOOKUP(B3482,m.o.!$A:$F,4,FALSE)</f>
        <v>2.2599999999999998</v>
      </c>
      <c r="D3482" s="239">
        <f>VLOOKUP(B3482,m.o.!$A:$G,7,FALSE)</f>
        <v>28.31</v>
      </c>
      <c r="E3482" s="240"/>
      <c r="F3482" s="253"/>
      <c r="G3482" s="293">
        <v>2</v>
      </c>
      <c r="H3482" s="240"/>
      <c r="I3482" s="427">
        <f>TRUNC(D3482*G3482,2)</f>
        <v>56.62</v>
      </c>
      <c r="J3482" s="295"/>
      <c r="K3482" s="295"/>
    </row>
    <row r="3483" spans="1:17" x14ac:dyDescent="0.2">
      <c r="A3483" s="244" t="str">
        <f>VLOOKUP(B3483,m.o.!$A:$H,2,FALSE)</f>
        <v>Servente</v>
      </c>
      <c r="B3483" s="234">
        <v>20002</v>
      </c>
      <c r="C3483" s="239">
        <f>VLOOKUP(B3483,m.o.!$A:$F,4,FALSE)</f>
        <v>1</v>
      </c>
      <c r="D3483" s="239">
        <f>VLOOKUP(B3483,m.o.!$A:$G,7,FALSE)</f>
        <v>12.52</v>
      </c>
      <c r="E3483" s="240"/>
      <c r="F3483" s="241"/>
      <c r="G3483" s="405">
        <v>8</v>
      </c>
      <c r="H3483" s="240"/>
      <c r="I3483" s="427">
        <f>TRUNC(D3483*G3483,2)</f>
        <v>100.16</v>
      </c>
      <c r="J3483" s="295"/>
      <c r="K3483" s="295"/>
    </row>
    <row r="3484" spans="1:17" s="198" customFormat="1" x14ac:dyDescent="0.2">
      <c r="A3484" s="199"/>
      <c r="B3484" s="229"/>
      <c r="C3484" s="229"/>
      <c r="D3484" s="199"/>
      <c r="E3484" s="199"/>
      <c r="F3484" s="230" t="s">
        <v>188</v>
      </c>
      <c r="G3484" s="240"/>
      <c r="H3484" s="241"/>
      <c r="I3484" s="438">
        <f>SUM(I3482:I3483)</f>
        <v>156.78</v>
      </c>
      <c r="J3484" s="295"/>
      <c r="K3484" s="295"/>
      <c r="L3484" s="295"/>
      <c r="M3484" s="295"/>
      <c r="N3484" s="295"/>
      <c r="O3484" s="295"/>
      <c r="P3484" s="295"/>
      <c r="Q3484" s="295"/>
    </row>
    <row r="3485" spans="1:17" x14ac:dyDescent="0.2">
      <c r="A3485" s="199"/>
      <c r="B3485" s="229"/>
      <c r="C3485" s="229"/>
      <c r="D3485" s="199"/>
      <c r="E3485" s="199"/>
      <c r="F3485" s="199"/>
      <c r="G3485" s="199"/>
      <c r="H3485" s="199"/>
      <c r="I3485" s="439"/>
      <c r="J3485" s="295"/>
      <c r="K3485" s="295"/>
    </row>
    <row r="3486" spans="1:17" x14ac:dyDescent="0.2">
      <c r="A3486" s="245" t="s">
        <v>189</v>
      </c>
      <c r="B3486" s="243" t="s">
        <v>59</v>
      </c>
      <c r="C3486" s="836" t="s">
        <v>17</v>
      </c>
      <c r="D3486" s="243" t="s">
        <v>190</v>
      </c>
      <c r="E3486" s="243" t="s">
        <v>191</v>
      </c>
      <c r="F3486" s="243" t="s">
        <v>192</v>
      </c>
      <c r="G3486" s="1121" t="s">
        <v>94</v>
      </c>
      <c r="H3486" s="1114"/>
      <c r="I3486" s="1115"/>
      <c r="J3486" s="295"/>
      <c r="K3486" s="295"/>
    </row>
    <row r="3487" spans="1:17" x14ac:dyDescent="0.2">
      <c r="A3487" s="244" t="s">
        <v>312</v>
      </c>
      <c r="B3487" s="234">
        <v>2000</v>
      </c>
      <c r="C3487" s="239">
        <v>5</v>
      </c>
      <c r="D3487" s="235" t="s">
        <v>313</v>
      </c>
      <c r="E3487" s="246"/>
      <c r="F3487" s="246"/>
      <c r="G3487" s="240"/>
      <c r="H3487" s="241"/>
      <c r="I3487" s="427">
        <f>C3487/100*I3484</f>
        <v>7.84</v>
      </c>
      <c r="J3487" s="295"/>
      <c r="K3487" s="295"/>
    </row>
    <row r="3488" spans="1:17" x14ac:dyDescent="0.2">
      <c r="A3488" s="199"/>
      <c r="B3488" s="229"/>
      <c r="C3488" s="199"/>
      <c r="D3488" s="199"/>
      <c r="E3488" s="199"/>
      <c r="F3488" s="230" t="s">
        <v>327</v>
      </c>
      <c r="G3488" s="240"/>
      <c r="H3488" s="241"/>
      <c r="I3488" s="438">
        <f>SUM(I3487)</f>
        <v>7.84</v>
      </c>
      <c r="J3488" s="295"/>
      <c r="K3488" s="295"/>
    </row>
    <row r="3489" spans="1:17" x14ac:dyDescent="0.2">
      <c r="A3489" s="199"/>
      <c r="B3489" s="229"/>
      <c r="C3489" s="199"/>
      <c r="D3489" s="199"/>
      <c r="E3489" s="199"/>
      <c r="F3489" s="199"/>
      <c r="G3489" s="199"/>
      <c r="H3489" s="199"/>
      <c r="I3489" s="439"/>
      <c r="J3489" s="295"/>
      <c r="K3489" s="295"/>
    </row>
    <row r="3490" spans="1:17" x14ac:dyDescent="0.2">
      <c r="A3490" s="247"/>
      <c r="B3490" s="248"/>
      <c r="C3490" s="249"/>
      <c r="D3490" s="249"/>
      <c r="E3490" s="249"/>
      <c r="F3490" s="250" t="s">
        <v>193</v>
      </c>
      <c r="G3490" s="401"/>
      <c r="H3490" s="249"/>
      <c r="I3490" s="445">
        <f>+I3479+I3484+I3488</f>
        <v>426.24</v>
      </c>
      <c r="J3490" s="295"/>
      <c r="K3490" s="295"/>
    </row>
    <row r="3491" spans="1:17" x14ac:dyDescent="0.2">
      <c r="A3491" s="251"/>
      <c r="B3491" s="252"/>
      <c r="C3491" s="253"/>
      <c r="D3491" s="253"/>
      <c r="E3491" s="253"/>
      <c r="F3491" s="254" t="s">
        <v>194</v>
      </c>
      <c r="G3491" s="255"/>
      <c r="H3491" s="253"/>
      <c r="I3491" s="446">
        <v>200</v>
      </c>
      <c r="J3491" s="295"/>
      <c r="K3491" s="295"/>
    </row>
    <row r="3492" spans="1:17" x14ac:dyDescent="0.2">
      <c r="A3492" s="233"/>
      <c r="B3492" s="256"/>
      <c r="C3492" s="241"/>
      <c r="D3492" s="241"/>
      <c r="E3492" s="241"/>
      <c r="F3492" s="257" t="s">
        <v>216</v>
      </c>
      <c r="G3492" s="240"/>
      <c r="H3492" s="241"/>
      <c r="I3492" s="447">
        <f>TRUNC(I3490/I3491,2)</f>
        <v>2.13</v>
      </c>
      <c r="J3492" s="295"/>
      <c r="K3492" s="295"/>
    </row>
    <row r="3493" spans="1:17" x14ac:dyDescent="0.2">
      <c r="A3493" s="835"/>
      <c r="B3493" s="229"/>
      <c r="C3493" s="199"/>
      <c r="D3493" s="199"/>
      <c r="E3493" s="199"/>
      <c r="F3493" s="258"/>
      <c r="G3493" s="199"/>
      <c r="H3493" s="199"/>
      <c r="I3493" s="450"/>
      <c r="J3493" s="295"/>
      <c r="K3493" s="295"/>
    </row>
    <row r="3494" spans="1:17" x14ac:dyDescent="0.2">
      <c r="A3494" s="242" t="s">
        <v>195</v>
      </c>
      <c r="B3494" s="243" t="s">
        <v>59</v>
      </c>
      <c r="C3494" s="243" t="s">
        <v>196</v>
      </c>
      <c r="D3494" s="243" t="s">
        <v>217</v>
      </c>
      <c r="E3494" s="1121" t="s">
        <v>89</v>
      </c>
      <c r="F3494" s="1114"/>
      <c r="G3494" s="1115"/>
      <c r="H3494" s="1121" t="s">
        <v>183</v>
      </c>
      <c r="I3494" s="1115"/>
      <c r="J3494" s="295"/>
      <c r="K3494" s="295"/>
    </row>
    <row r="3495" spans="1:17" x14ac:dyDescent="0.2">
      <c r="A3495" s="259" t="str">
        <f>VLOOKUP(B3495,mat.!$A:$D,2,FALSE)</f>
        <v>Micro-esfera (preço médio)</v>
      </c>
      <c r="B3495" s="234">
        <v>10346</v>
      </c>
      <c r="C3495" s="260" t="str">
        <f>VLOOKUP(B3495,mat.!$A:$D,3,FALSE)</f>
        <v>kg</v>
      </c>
      <c r="D3495" s="261">
        <f>VLOOKUP(B3495,mat.!$A:$D,4,FALSE)</f>
        <v>14.99</v>
      </c>
      <c r="E3495" s="255"/>
      <c r="F3495" s="253"/>
      <c r="G3495" s="293">
        <v>0.38500000000000001</v>
      </c>
      <c r="H3495" s="255"/>
      <c r="I3495" s="423">
        <f t="shared" ref="I3495:I3497" si="9">TRUNC(D3495*G3495,2)</f>
        <v>5.77</v>
      </c>
      <c r="J3495" s="295"/>
      <c r="K3495" s="295"/>
    </row>
    <row r="3496" spans="1:17" s="198" customFormat="1" x14ac:dyDescent="0.2">
      <c r="A3496" s="259" t="str">
        <f>VLOOKUP(B3496,mat.!$A:$D,2,FALSE)</f>
        <v>Tinta base água (preço médio)</v>
      </c>
      <c r="B3496" s="234">
        <v>10317</v>
      </c>
      <c r="C3496" s="260" t="str">
        <f>VLOOKUP(B3496,mat.!$A:$D,3,FALSE)</f>
        <v>BD</v>
      </c>
      <c r="D3496" s="261">
        <f>VLOOKUP(B3496,mat.!$A:$D,4,FALSE)</f>
        <v>319.86</v>
      </c>
      <c r="E3496" s="255"/>
      <c r="F3496" s="253"/>
      <c r="G3496" s="405">
        <v>1E-3</v>
      </c>
      <c r="H3496" s="255"/>
      <c r="I3496" s="423">
        <f t="shared" si="9"/>
        <v>0.31</v>
      </c>
      <c r="J3496" s="295"/>
      <c r="K3496" s="295"/>
      <c r="L3496" s="295"/>
      <c r="M3496" s="295"/>
      <c r="N3496" s="295"/>
      <c r="O3496" s="295"/>
    </row>
    <row r="3497" spans="1:17" s="198" customFormat="1" ht="33.75" x14ac:dyDescent="0.2">
      <c r="A3497" s="259" t="str">
        <f>VLOOKUP(B3497,mat.!$A:$D,2,FALSE)</f>
        <v>Tinta para demarc.viária à base de resina acrílica emuls. água (Preço médio)</v>
      </c>
      <c r="B3497" s="234">
        <v>10339</v>
      </c>
      <c r="C3497" s="260" t="str">
        <f>VLOOKUP(B3497,mat.!$A:$D,3,FALSE)</f>
        <v>BD</v>
      </c>
      <c r="D3497" s="261">
        <f>VLOOKUP(B3497,mat.!$A:$D,4,FALSE)</f>
        <v>292.32</v>
      </c>
      <c r="E3497" s="255"/>
      <c r="F3497" s="253"/>
      <c r="G3497" s="405">
        <v>4.4400000000000002E-2</v>
      </c>
      <c r="H3497" s="255"/>
      <c r="I3497" s="423">
        <f t="shared" si="9"/>
        <v>12.97</v>
      </c>
      <c r="J3497" s="295"/>
      <c r="K3497" s="295"/>
      <c r="L3497" s="295"/>
      <c r="M3497" s="295"/>
      <c r="N3497" s="295"/>
      <c r="O3497" s="295"/>
      <c r="P3497" s="295"/>
      <c r="Q3497" s="295"/>
    </row>
    <row r="3498" spans="1:17" x14ac:dyDescent="0.2">
      <c r="A3498" s="199"/>
      <c r="B3498" s="229"/>
      <c r="C3498" s="199"/>
      <c r="D3498" s="199"/>
      <c r="E3498" s="199"/>
      <c r="F3498" s="230" t="s">
        <v>197</v>
      </c>
      <c r="G3498" s="240"/>
      <c r="H3498" s="241"/>
      <c r="I3498" s="438">
        <f>SUM(I3495:I3497)</f>
        <v>19.05</v>
      </c>
      <c r="J3498" s="295"/>
      <c r="K3498" s="295"/>
    </row>
    <row r="3499" spans="1:17" x14ac:dyDescent="0.2">
      <c r="A3499" s="199"/>
      <c r="B3499" s="229"/>
      <c r="C3499" s="199"/>
      <c r="D3499" s="199"/>
      <c r="E3499" s="199"/>
      <c r="F3499" s="199"/>
      <c r="G3499" s="262"/>
      <c r="H3499" s="199"/>
      <c r="I3499" s="439"/>
      <c r="J3499" s="295"/>
      <c r="K3499" s="295"/>
    </row>
    <row r="3500" spans="1:17" x14ac:dyDescent="0.2">
      <c r="A3500" s="263" t="s">
        <v>198</v>
      </c>
      <c r="B3500" s="243" t="s">
        <v>59</v>
      </c>
      <c r="C3500" s="243" t="s">
        <v>196</v>
      </c>
      <c r="D3500" s="836" t="s">
        <v>217</v>
      </c>
      <c r="E3500" s="1121" t="s">
        <v>89</v>
      </c>
      <c r="F3500" s="1114"/>
      <c r="G3500" s="1115"/>
      <c r="H3500" s="1121" t="s">
        <v>183</v>
      </c>
      <c r="I3500" s="1115"/>
      <c r="J3500" s="295"/>
      <c r="K3500" s="295"/>
    </row>
    <row r="3501" spans="1:17" x14ac:dyDescent="0.2">
      <c r="A3501" s="244"/>
      <c r="B3501" s="234"/>
      <c r="C3501" s="234"/>
      <c r="D3501" s="239"/>
      <c r="E3501" s="240"/>
      <c r="F3501" s="253"/>
      <c r="G3501" s="293"/>
      <c r="H3501" s="240"/>
      <c r="I3501" s="423"/>
      <c r="J3501" s="295"/>
      <c r="K3501" s="295"/>
    </row>
    <row r="3502" spans="1:17" x14ac:dyDescent="0.2">
      <c r="A3502" s="200"/>
      <c r="B3502" s="264"/>
      <c r="C3502" s="200"/>
      <c r="D3502" s="200"/>
      <c r="E3502" s="200"/>
      <c r="F3502" s="265" t="s">
        <v>199</v>
      </c>
      <c r="G3502" s="255"/>
      <c r="H3502" s="266"/>
      <c r="I3502" s="441">
        <f>SUM(I3501:I3501)</f>
        <v>0</v>
      </c>
      <c r="K3502" s="295"/>
    </row>
    <row r="3503" spans="1:17" x14ac:dyDescent="0.2">
      <c r="A3503" s="200"/>
      <c r="B3503" s="264"/>
      <c r="C3503" s="200"/>
      <c r="D3503" s="200"/>
      <c r="E3503" s="200"/>
      <c r="F3503" s="200"/>
      <c r="G3503" s="200"/>
      <c r="H3503" s="200"/>
      <c r="I3503" s="440"/>
      <c r="K3503" s="295"/>
    </row>
    <row r="3504" spans="1:17" x14ac:dyDescent="0.2">
      <c r="A3504" s="267" t="s">
        <v>200</v>
      </c>
      <c r="B3504" s="268" t="s">
        <v>59</v>
      </c>
      <c r="C3504" s="268" t="s">
        <v>196</v>
      </c>
      <c r="D3504" s="268" t="s">
        <v>201</v>
      </c>
      <c r="E3504" s="268" t="s">
        <v>202</v>
      </c>
      <c r="F3504" s="268" t="s">
        <v>203</v>
      </c>
      <c r="G3504" s="268" t="s">
        <v>94</v>
      </c>
      <c r="H3504" s="268" t="s">
        <v>89</v>
      </c>
      <c r="I3504" s="442" t="s">
        <v>204</v>
      </c>
      <c r="K3504" s="295"/>
    </row>
    <row r="3505" spans="1:17" ht="21.6" customHeight="1" x14ac:dyDescent="0.2">
      <c r="A3505" s="259" t="str">
        <f>VLOOKUP(B3505,transp.!A:D,2,FALSE)</f>
        <v>Transp. de Micro-esfera (preço médio)</v>
      </c>
      <c r="B3505" s="234">
        <v>1090</v>
      </c>
      <c r="C3505" s="234" t="str">
        <f>VLOOKUP(B3505,transp.!$A:$J,3,FALSE)</f>
        <v xml:space="preserve"> t  </v>
      </c>
      <c r="D3505" s="269" t="str">
        <f>VLOOKUP(B3505,transp.!$A:$J,4,FALSE)</f>
        <v>0,716XP + 0,745XR</v>
      </c>
      <c r="E3505" s="455">
        <f>VLOOKUP(J3505,Dis!$B:$F,4,FALSE)</f>
        <v>151.4</v>
      </c>
      <c r="F3505" s="455">
        <f>VLOOKUP(J3505,Dis!$B:$F,5,FALSE)</f>
        <v>2.34</v>
      </c>
      <c r="G3505" s="239">
        <f>TRUNC(VLOOKUP(B3505,transp.!$A:$J,5,FALSE)*E3505+VLOOKUP(B3505,transp.!$A:$J,6,FALSE)*F3505+VLOOKUP(B3505,transp.!$A:$J,7,FALSE),2)</f>
        <v>110.14</v>
      </c>
      <c r="H3505" s="271">
        <v>4.0000000000000002E-4</v>
      </c>
      <c r="I3505" s="418">
        <f>TRUNC(G3505*H3505,2)</f>
        <v>0.04</v>
      </c>
      <c r="J3505" s="400" t="s">
        <v>116</v>
      </c>
      <c r="K3505" s="295"/>
    </row>
    <row r="3506" spans="1:17" x14ac:dyDescent="0.2">
      <c r="A3506" s="259" t="str">
        <f>VLOOKUP(B3506,transp.!A:D,2,FALSE)</f>
        <v>Transp. de Tinta</v>
      </c>
      <c r="B3506" s="234">
        <v>1088</v>
      </c>
      <c r="C3506" s="234" t="str">
        <f>VLOOKUP(B3506,transp.!$A:$J,3,FALSE)</f>
        <v xml:space="preserve"> t  </v>
      </c>
      <c r="D3506" s="269" t="str">
        <f>VLOOKUP(B3506,transp.!$A:$J,4,FALSE)</f>
        <v>0,716XP + 0,745XR</v>
      </c>
      <c r="E3506" s="455">
        <f>VLOOKUP(J3506,Dis!$B:$F,4,FALSE)</f>
        <v>151.4</v>
      </c>
      <c r="F3506" s="455">
        <f>VLOOKUP(J3506,Dis!$B:$F,5,FALSE)</f>
        <v>2.34</v>
      </c>
      <c r="G3506" s="239">
        <f>TRUNC(VLOOKUP(B3506,transp.!$A:$J,5,FALSE)*E3506+VLOOKUP(B3506,transp.!$A:$J,6,FALSE)*F3506+VLOOKUP(B3506,transp.!$A:$J,7,FALSE),2)</f>
        <v>110.14</v>
      </c>
      <c r="H3506" s="271">
        <v>1E-4</v>
      </c>
      <c r="I3506" s="418">
        <f>TRUNC(G3506*H3506,2)</f>
        <v>0.01</v>
      </c>
      <c r="J3506" s="400" t="s">
        <v>116</v>
      </c>
    </row>
    <row r="3507" spans="1:17" ht="22.5" x14ac:dyDescent="0.2">
      <c r="A3507" s="259" t="str">
        <f>VLOOKUP(B3507,transp.!A:D,2,FALSE)</f>
        <v>Transp. de Tinta borracha clorada (preço médio)</v>
      </c>
      <c r="B3507" s="234">
        <v>1089</v>
      </c>
      <c r="C3507" s="234" t="str">
        <f>VLOOKUP(B3507,transp.!$A:$J,3,FALSE)</f>
        <v xml:space="preserve"> t  </v>
      </c>
      <c r="D3507" s="269" t="str">
        <f>VLOOKUP(B3507,transp.!$A:$J,4,FALSE)</f>
        <v>0,716XP + 0,745XR</v>
      </c>
      <c r="E3507" s="455">
        <f>VLOOKUP(J3507,Dis!$B:$F,4,FALSE)</f>
        <v>151.4</v>
      </c>
      <c r="F3507" s="455">
        <f>VLOOKUP(J3507,Dis!$B:$F,5,FALSE)</f>
        <v>2.34</v>
      </c>
      <c r="G3507" s="239">
        <f>TRUNC(VLOOKUP(B3507,transp.!$A:$J,5,FALSE)*E3507+VLOOKUP(B3507,transp.!$A:$J,6,FALSE)*F3507+VLOOKUP(B3507,transp.!$A:$J,7,FALSE),2)</f>
        <v>110.14</v>
      </c>
      <c r="H3507" s="271">
        <v>8.0000000000000004E-4</v>
      </c>
      <c r="I3507" s="418">
        <f>TRUNC(G3507*H3507,2)</f>
        <v>0.08</v>
      </c>
      <c r="J3507" s="400" t="s">
        <v>116</v>
      </c>
    </row>
    <row r="3508" spans="1:17" x14ac:dyDescent="0.2">
      <c r="A3508" s="200"/>
      <c r="B3508" s="264"/>
      <c r="C3508" s="200"/>
      <c r="D3508" s="200"/>
      <c r="E3508" s="200"/>
      <c r="F3508" s="265" t="s">
        <v>205</v>
      </c>
      <c r="G3508" s="240"/>
      <c r="H3508" s="272"/>
      <c r="I3508" s="443">
        <f>SUM(I3505:I3507)</f>
        <v>0.13</v>
      </c>
    </row>
    <row r="3509" spans="1:17" x14ac:dyDescent="0.2">
      <c r="A3509" s="200"/>
      <c r="B3509" s="264"/>
      <c r="C3509" s="200"/>
      <c r="D3509" s="200"/>
      <c r="E3509" s="200"/>
      <c r="F3509" s="200"/>
      <c r="G3509" s="200"/>
      <c r="H3509" s="200"/>
      <c r="I3509" s="444"/>
    </row>
    <row r="3510" spans="1:17" x14ac:dyDescent="0.2">
      <c r="A3510" s="273"/>
      <c r="B3510" s="274"/>
      <c r="C3510" s="275"/>
      <c r="D3510" s="275"/>
      <c r="E3510" s="275"/>
      <c r="F3510" s="276" t="s">
        <v>206</v>
      </c>
      <c r="G3510" s="273"/>
      <c r="H3510" s="249"/>
      <c r="I3510" s="445">
        <f>+I3492+I3498+I3502+I3508</f>
        <v>21.31</v>
      </c>
    </row>
    <row r="3511" spans="1:17" x14ac:dyDescent="0.2">
      <c r="A3511" s="255"/>
      <c r="B3511" s="277"/>
      <c r="C3511" s="266"/>
      <c r="D3511" s="266"/>
      <c r="E3511" s="266"/>
      <c r="F3511" s="278" t="str">
        <f>CONCATENATE($H$3," ",$I$3)</f>
        <v>BDI: 23,32</v>
      </c>
      <c r="G3511" s="403"/>
      <c r="H3511" s="253"/>
      <c r="I3511" s="446">
        <f>+ROUND(I3510*$I$4,2)</f>
        <v>4.97</v>
      </c>
    </row>
    <row r="3512" spans="1:17" s="198" customFormat="1" x14ac:dyDescent="0.2">
      <c r="A3512" s="240"/>
      <c r="B3512" s="279"/>
      <c r="C3512" s="272"/>
      <c r="D3512" s="272"/>
      <c r="E3512" s="272"/>
      <c r="F3512" s="280" t="s">
        <v>207</v>
      </c>
      <c r="G3512" s="404"/>
      <c r="H3512" s="241"/>
      <c r="I3512" s="720">
        <f>+I3510+I3511</f>
        <v>26.28</v>
      </c>
      <c r="J3512" s="400"/>
      <c r="K3512" s="400"/>
      <c r="L3512" s="295"/>
      <c r="M3512" s="295"/>
      <c r="N3512" s="295"/>
      <c r="O3512" s="295"/>
      <c r="P3512" s="295"/>
      <c r="Q3512" s="295"/>
    </row>
    <row r="3513" spans="1:17" x14ac:dyDescent="0.2">
      <c r="A3513" s="1116" t="str">
        <f>$A$1</f>
        <v>COMPOSIÇÃO DE CUSTOS UNITÁRIOS</v>
      </c>
      <c r="B3513" s="1116"/>
      <c r="C3513" s="1116"/>
      <c r="D3513" s="1116"/>
      <c r="E3513" s="1116"/>
      <c r="F3513" s="1116"/>
      <c r="G3513" s="1116"/>
      <c r="H3513" s="1116"/>
      <c r="I3513" s="1116"/>
    </row>
    <row r="3514" spans="1:17" x14ac:dyDescent="0.2">
      <c r="A3514" s="228" t="str">
        <f>$A$2</f>
        <v>Tabela Referencial de Preços - DER-ES</v>
      </c>
      <c r="B3514" s="229"/>
      <c r="C3514" s="199"/>
      <c r="D3514" s="199"/>
      <c r="E3514" s="199"/>
      <c r="F3514" s="199"/>
      <c r="G3514" s="199"/>
      <c r="H3514" s="199"/>
      <c r="I3514" s="414" t="str">
        <f>$I$2</f>
        <v>Data Base: novembro/2020</v>
      </c>
      <c r="J3514" s="400">
        <v>40932</v>
      </c>
      <c r="K3514" s="400">
        <f>VLOOKUP("Preço Unitário Total",F3516:I3847,4,FALSE)</f>
        <v>24.13</v>
      </c>
      <c r="L3514" s="295">
        <f>VLOOKUP(J3514,'DER 11-20'!A:E,5,FALSE)</f>
        <v>0</v>
      </c>
      <c r="M3514" s="295" t="str">
        <f>VLOOKUP(J3514,'DER 11-20'!$A:$D,2,FALSE)</f>
        <v>Tacha refletiva monodirecional, fornecimento e aplicação</v>
      </c>
    </row>
    <row r="3515" spans="1:17" x14ac:dyDescent="0.2">
      <c r="A3515" s="1117" t="str">
        <f>+CONCATENATE("Serviço: ",J3514," ",VLOOKUP(J3514,'DER 11-20'!$A:$D,2,FALSE))</f>
        <v>Serviço: 40932 Tacha refletiva monodirecional, fornecimento e aplicação</v>
      </c>
      <c r="B3515" s="1117"/>
      <c r="C3515" s="1117"/>
      <c r="D3515" s="1117"/>
      <c r="E3515" s="1117"/>
      <c r="F3515" s="1117"/>
      <c r="G3515" s="1117"/>
      <c r="H3515" s="1117"/>
      <c r="I3515" s="1119" t="str">
        <f>CONCATENATE("Unidade: ", VLOOKUP(J3514,'DER 11-20'!$A:$E,3,FALSE))</f>
        <v>Unidade: Ud</v>
      </c>
    </row>
    <row r="3516" spans="1:17" x14ac:dyDescent="0.2">
      <c r="A3516" s="1118"/>
      <c r="B3516" s="1118"/>
      <c r="C3516" s="1118"/>
      <c r="D3516" s="1118"/>
      <c r="E3516" s="1118"/>
      <c r="F3516" s="1118"/>
      <c r="G3516" s="1118"/>
      <c r="H3516" s="1118"/>
      <c r="I3516" s="1120"/>
    </row>
    <row r="3517" spans="1:17" ht="22.5" x14ac:dyDescent="0.2">
      <c r="A3517" s="231" t="s">
        <v>177</v>
      </c>
      <c r="B3517" s="232" t="s">
        <v>59</v>
      </c>
      <c r="C3517" s="232" t="s">
        <v>178</v>
      </c>
      <c r="D3517" s="232" t="s">
        <v>179</v>
      </c>
      <c r="E3517" s="232" t="s">
        <v>180</v>
      </c>
      <c r="F3517" s="232" t="s">
        <v>181</v>
      </c>
      <c r="G3517" s="232" t="s">
        <v>182</v>
      </c>
      <c r="H3517" s="232" t="s">
        <v>89</v>
      </c>
      <c r="I3517" s="434" t="s">
        <v>183</v>
      </c>
    </row>
    <row r="3518" spans="1:17" ht="22.5" x14ac:dyDescent="0.2">
      <c r="A3518" s="233" t="str">
        <f>VLOOKUP(B3518,equip.!$A:$G,2,FALSE)</f>
        <v>Caminhão carroceria 815/37 PBT=8,3t (TOCO 4,0t)</v>
      </c>
      <c r="B3518" s="234">
        <v>30004</v>
      </c>
      <c r="C3518" s="235" t="str">
        <f>VLOOKUP(B3518,equip.!$A$1:$G$239,3,FALSE)</f>
        <v>M</v>
      </c>
      <c r="D3518" s="236">
        <v>1</v>
      </c>
      <c r="E3518" s="203">
        <v>0</v>
      </c>
      <c r="F3518" s="237">
        <f>VLOOKUP(B3518,equip.!$A:$G,6,FALSE)</f>
        <v>145.22</v>
      </c>
      <c r="G3518" s="237">
        <f>VLOOKUP(B3518,equip.!$A:$G,7,FALSE)</f>
        <v>43.59</v>
      </c>
      <c r="H3518" s="238">
        <v>1</v>
      </c>
      <c r="I3518" s="418">
        <f>TRUNC(D3518*F3518*H3518+E3518*G3518*H3518,2)</f>
        <v>145.22</v>
      </c>
    </row>
    <row r="3519" spans="1:17" ht="22.5" x14ac:dyDescent="0.2">
      <c r="A3519" s="233" t="str">
        <f>VLOOKUP(B3519,equip.!$A:$G,2,FALSE)</f>
        <v>Furadeira elétrica de impacto BOSCH 1184 ou equivalente</v>
      </c>
      <c r="B3519" s="234">
        <v>30094</v>
      </c>
      <c r="C3519" s="235">
        <f>VLOOKUP(B3519,equip.!$A$1:$G$239,3,FALSE)</f>
        <v>0</v>
      </c>
      <c r="D3519" s="236">
        <v>1</v>
      </c>
      <c r="E3519" s="203">
        <v>0</v>
      </c>
      <c r="F3519" s="237">
        <f>VLOOKUP(B3519,equip.!$A:$G,6,FALSE)</f>
        <v>20.25</v>
      </c>
      <c r="G3519" s="237">
        <f>VLOOKUP(B3519,equip.!$A:$G,7,FALSE)</f>
        <v>19.55</v>
      </c>
      <c r="H3519" s="238">
        <v>2</v>
      </c>
      <c r="I3519" s="418">
        <f>TRUNC(D3519*F3519*H3519+E3519*G3519*H3519,2)</f>
        <v>40.5</v>
      </c>
    </row>
    <row r="3520" spans="1:17" ht="22.5" x14ac:dyDescent="0.2">
      <c r="A3520" s="233" t="str">
        <f>VLOOKUP(B3520,equip.!$A:$G,2,FALSE)</f>
        <v>Grupo gerador 2,5 a 3,0 kva a gasolina</v>
      </c>
      <c r="B3520" s="234">
        <v>30093</v>
      </c>
      <c r="C3520" s="235">
        <f>VLOOKUP(B3520,equip.!$A$1:$G$239,3,FALSE)</f>
        <v>0</v>
      </c>
      <c r="D3520" s="236">
        <v>1</v>
      </c>
      <c r="E3520" s="203">
        <v>0</v>
      </c>
      <c r="F3520" s="237">
        <f>VLOOKUP(B3520,equip.!$A:$G,6,FALSE)</f>
        <v>16.71</v>
      </c>
      <c r="G3520" s="237">
        <f>VLOOKUP(B3520,equip.!$A:$G,7,FALSE)</f>
        <v>12.82</v>
      </c>
      <c r="H3520" s="238">
        <v>1</v>
      </c>
      <c r="I3520" s="418">
        <f>TRUNC(D3520*F3520*H3520+E3520*G3520*H3520,2)</f>
        <v>16.71</v>
      </c>
    </row>
    <row r="3521" spans="1:11" x14ac:dyDescent="0.2">
      <c r="A3521" s="199"/>
      <c r="B3521" s="229"/>
      <c r="C3521" s="229"/>
      <c r="D3521" s="199"/>
      <c r="E3521" s="199"/>
      <c r="F3521" s="230" t="s">
        <v>184</v>
      </c>
      <c r="G3521" s="240"/>
      <c r="H3521" s="241"/>
      <c r="I3521" s="438">
        <f>SUM(I3518:I3520)</f>
        <v>202.43</v>
      </c>
    </row>
    <row r="3522" spans="1:11" x14ac:dyDescent="0.2">
      <c r="A3522" s="199"/>
      <c r="B3522" s="229"/>
      <c r="C3522" s="229"/>
      <c r="D3522" s="199"/>
      <c r="E3522" s="199"/>
      <c r="F3522" s="199"/>
      <c r="G3522" s="199"/>
      <c r="H3522" s="199"/>
      <c r="I3522" s="439"/>
    </row>
    <row r="3523" spans="1:11" x14ac:dyDescent="0.2">
      <c r="A3523" s="242" t="s">
        <v>185</v>
      </c>
      <c r="B3523" s="243" t="s">
        <v>59</v>
      </c>
      <c r="C3523" s="232" t="s">
        <v>357</v>
      </c>
      <c r="D3523" s="243" t="s">
        <v>187</v>
      </c>
      <c r="E3523" s="1121" t="s">
        <v>89</v>
      </c>
      <c r="F3523" s="1114"/>
      <c r="G3523" s="1115"/>
      <c r="H3523" s="1121" t="s">
        <v>183</v>
      </c>
      <c r="I3523" s="1115"/>
    </row>
    <row r="3524" spans="1:11" x14ac:dyDescent="0.2">
      <c r="A3524" s="244" t="str">
        <f>VLOOKUP(B3524,m.o.!$A:$H,2,FALSE)</f>
        <v>Encarregado de pavimentação</v>
      </c>
      <c r="B3524" s="234">
        <v>20065</v>
      </c>
      <c r="C3524" s="239">
        <f>VLOOKUP(B3524,m.o.!$A:$F,4,FALSE)</f>
        <v>2.2599999999999998</v>
      </c>
      <c r="D3524" s="239">
        <f>VLOOKUP(B3524,m.o.!$A:$G,7,FALSE)</f>
        <v>28.31</v>
      </c>
      <c r="E3524" s="240"/>
      <c r="F3524" s="253"/>
      <c r="G3524" s="293">
        <v>1</v>
      </c>
      <c r="H3524" s="240"/>
      <c r="I3524" s="427">
        <f>TRUNC(D3524*G3524,2)</f>
        <v>28.31</v>
      </c>
    </row>
    <row r="3525" spans="1:11" x14ac:dyDescent="0.2">
      <c r="A3525" s="244" t="str">
        <f>VLOOKUP(B3525,m.o.!$A:$H,2,FALSE)</f>
        <v>Oficial</v>
      </c>
      <c r="B3525" s="234">
        <v>20099</v>
      </c>
      <c r="C3525" s="239">
        <f>VLOOKUP(B3525,m.o.!$A:$F,4,FALSE)</f>
        <v>1.65</v>
      </c>
      <c r="D3525" s="239">
        <f>VLOOKUP(B3525,m.o.!$A:$G,7,FALSE)</f>
        <v>20.66</v>
      </c>
      <c r="E3525" s="240"/>
      <c r="F3525" s="241"/>
      <c r="G3525" s="405">
        <v>2</v>
      </c>
      <c r="H3525" s="240"/>
      <c r="I3525" s="427">
        <f>TRUNC(D3525*G3525,2)</f>
        <v>41.32</v>
      </c>
      <c r="J3525" s="295"/>
      <c r="K3525" s="295"/>
    </row>
    <row r="3526" spans="1:11" x14ac:dyDescent="0.2">
      <c r="A3526" s="244" t="str">
        <f>VLOOKUP(B3526,m.o.!$A:$H,2,FALSE)</f>
        <v>Servente</v>
      </c>
      <c r="B3526" s="234">
        <v>20002</v>
      </c>
      <c r="C3526" s="239">
        <f>VLOOKUP(B3526,m.o.!$A:$F,4,FALSE)</f>
        <v>1</v>
      </c>
      <c r="D3526" s="239">
        <f>VLOOKUP(B3526,m.o.!$A:$G,7,FALSE)</f>
        <v>12.52</v>
      </c>
      <c r="E3526" s="240"/>
      <c r="F3526" s="241"/>
      <c r="G3526" s="405">
        <v>4</v>
      </c>
      <c r="H3526" s="240"/>
      <c r="I3526" s="427">
        <f>TRUNC(D3526*G3526,2)</f>
        <v>50.08</v>
      </c>
      <c r="J3526" s="295"/>
      <c r="K3526" s="295"/>
    </row>
    <row r="3527" spans="1:11" x14ac:dyDescent="0.2">
      <c r="A3527" s="199"/>
      <c r="B3527" s="229"/>
      <c r="C3527" s="229"/>
      <c r="D3527" s="199"/>
      <c r="E3527" s="199"/>
      <c r="F3527" s="230" t="s">
        <v>188</v>
      </c>
      <c r="G3527" s="240"/>
      <c r="H3527" s="241"/>
      <c r="I3527" s="438">
        <f>SUM(I3524:I3526)</f>
        <v>119.71</v>
      </c>
      <c r="J3527" s="295"/>
      <c r="K3527" s="295"/>
    </row>
    <row r="3528" spans="1:11" x14ac:dyDescent="0.2">
      <c r="A3528" s="199"/>
      <c r="B3528" s="229"/>
      <c r="C3528" s="229"/>
      <c r="D3528" s="199"/>
      <c r="E3528" s="199"/>
      <c r="F3528" s="199"/>
      <c r="G3528" s="199"/>
      <c r="H3528" s="199"/>
      <c r="I3528" s="439"/>
      <c r="J3528" s="295"/>
      <c r="K3528" s="295"/>
    </row>
    <row r="3529" spans="1:11" x14ac:dyDescent="0.2">
      <c r="A3529" s="245" t="s">
        <v>189</v>
      </c>
      <c r="B3529" s="243" t="s">
        <v>59</v>
      </c>
      <c r="C3529" s="635" t="s">
        <v>17</v>
      </c>
      <c r="D3529" s="243" t="s">
        <v>190</v>
      </c>
      <c r="E3529" s="243" t="s">
        <v>191</v>
      </c>
      <c r="F3529" s="243" t="s">
        <v>192</v>
      </c>
      <c r="G3529" s="1121" t="s">
        <v>94</v>
      </c>
      <c r="H3529" s="1114"/>
      <c r="I3529" s="1115"/>
      <c r="J3529" s="295"/>
      <c r="K3529" s="295"/>
    </row>
    <row r="3530" spans="1:11" x14ac:dyDescent="0.2">
      <c r="A3530" s="244"/>
      <c r="B3530" s="234"/>
      <c r="C3530" s="239"/>
      <c r="D3530" s="235"/>
      <c r="E3530" s="246"/>
      <c r="F3530" s="246"/>
      <c r="G3530" s="240"/>
      <c r="H3530" s="241"/>
      <c r="I3530" s="427"/>
      <c r="J3530" s="295"/>
      <c r="K3530" s="295"/>
    </row>
    <row r="3531" spans="1:11" x14ac:dyDescent="0.2">
      <c r="A3531" s="199"/>
      <c r="B3531" s="229"/>
      <c r="C3531" s="199"/>
      <c r="D3531" s="199"/>
      <c r="E3531" s="199"/>
      <c r="F3531" s="230" t="s">
        <v>327</v>
      </c>
      <c r="G3531" s="240"/>
      <c r="H3531" s="241"/>
      <c r="I3531" s="438">
        <f>SUM(I3530)</f>
        <v>0</v>
      </c>
      <c r="J3531" s="295"/>
      <c r="K3531" s="295"/>
    </row>
    <row r="3532" spans="1:11" x14ac:dyDescent="0.2">
      <c r="A3532" s="199"/>
      <c r="B3532" s="229"/>
      <c r="C3532" s="199"/>
      <c r="D3532" s="199"/>
      <c r="E3532" s="199"/>
      <c r="F3532" s="199"/>
      <c r="G3532" s="199"/>
      <c r="H3532" s="199"/>
      <c r="I3532" s="439"/>
      <c r="J3532" s="295"/>
      <c r="K3532" s="295"/>
    </row>
    <row r="3533" spans="1:11" x14ac:dyDescent="0.2">
      <c r="A3533" s="247"/>
      <c r="B3533" s="248"/>
      <c r="C3533" s="249"/>
      <c r="D3533" s="249"/>
      <c r="E3533" s="249"/>
      <c r="F3533" s="250" t="s">
        <v>193</v>
      </c>
      <c r="G3533" s="401"/>
      <c r="H3533" s="249"/>
      <c r="I3533" s="445">
        <f>+I3521+I3527+I3531</f>
        <v>322.14</v>
      </c>
      <c r="J3533" s="295"/>
      <c r="K3533" s="295"/>
    </row>
    <row r="3534" spans="1:11" x14ac:dyDescent="0.2">
      <c r="A3534" s="251"/>
      <c r="B3534" s="252"/>
      <c r="C3534" s="253"/>
      <c r="D3534" s="253"/>
      <c r="E3534" s="253"/>
      <c r="F3534" s="254" t="s">
        <v>194</v>
      </c>
      <c r="G3534" s="255"/>
      <c r="H3534" s="253"/>
      <c r="I3534" s="446">
        <v>80</v>
      </c>
      <c r="J3534" s="295"/>
      <c r="K3534" s="295"/>
    </row>
    <row r="3535" spans="1:11" x14ac:dyDescent="0.2">
      <c r="A3535" s="233"/>
      <c r="B3535" s="256"/>
      <c r="C3535" s="241"/>
      <c r="D3535" s="241"/>
      <c r="E3535" s="241"/>
      <c r="F3535" s="257" t="s">
        <v>216</v>
      </c>
      <c r="G3535" s="240"/>
      <c r="H3535" s="241"/>
      <c r="I3535" s="447">
        <f>TRUNC(I3533/I3534,2)</f>
        <v>4.0199999999999996</v>
      </c>
      <c r="J3535" s="295"/>
      <c r="K3535" s="295"/>
    </row>
    <row r="3536" spans="1:11" x14ac:dyDescent="0.2">
      <c r="A3536" s="636"/>
      <c r="B3536" s="229"/>
      <c r="C3536" s="199"/>
      <c r="D3536" s="199"/>
      <c r="E3536" s="199"/>
      <c r="F3536" s="258"/>
      <c r="G3536" s="199"/>
      <c r="H3536" s="199"/>
      <c r="I3536" s="450"/>
      <c r="J3536" s="295"/>
      <c r="K3536" s="295"/>
    </row>
    <row r="3537" spans="1:17" x14ac:dyDescent="0.2">
      <c r="A3537" s="242" t="s">
        <v>195</v>
      </c>
      <c r="B3537" s="243" t="s">
        <v>59</v>
      </c>
      <c r="C3537" s="243" t="s">
        <v>196</v>
      </c>
      <c r="D3537" s="243" t="s">
        <v>217</v>
      </c>
      <c r="E3537" s="1121" t="s">
        <v>89</v>
      </c>
      <c r="F3537" s="1114"/>
      <c r="G3537" s="1115"/>
      <c r="H3537" s="1121" t="s">
        <v>183</v>
      </c>
      <c r="I3537" s="1115"/>
      <c r="J3537" s="295"/>
      <c r="K3537" s="295"/>
    </row>
    <row r="3538" spans="1:17" x14ac:dyDescent="0.2">
      <c r="A3538" s="259" t="str">
        <f>VLOOKUP(B3538,mat.!$A:$D,2,FALSE)</f>
        <v>Cola a base de poliester</v>
      </c>
      <c r="B3538" s="234">
        <v>10362</v>
      </c>
      <c r="C3538" s="260" t="str">
        <f>VLOOKUP(B3538,mat.!$A:$D,3,FALSE)</f>
        <v>kg</v>
      </c>
      <c r="D3538" s="261">
        <f>VLOOKUP(B3538,mat.!$A:$D,4,FALSE)</f>
        <v>20.61</v>
      </c>
      <c r="E3538" s="255"/>
      <c r="F3538" s="253"/>
      <c r="G3538" s="293">
        <v>7.0000000000000007E-2</v>
      </c>
      <c r="H3538" s="255"/>
      <c r="I3538" s="423">
        <f>TRUNC(D3538*G3538,2)</f>
        <v>1.44</v>
      </c>
      <c r="J3538" s="295"/>
      <c r="K3538" s="295"/>
    </row>
    <row r="3539" spans="1:17" x14ac:dyDescent="0.2">
      <c r="A3539" s="259" t="str">
        <f>VLOOKUP(B3539,mat.!$A:$D,2,FALSE)</f>
        <v>Tacha monodirecional</v>
      </c>
      <c r="B3539" s="234">
        <v>10358</v>
      </c>
      <c r="C3539" s="260" t="str">
        <f>VLOOKUP(B3539,mat.!$A:$D,3,FALSE)</f>
        <v>Ud</v>
      </c>
      <c r="D3539" s="261">
        <f>VLOOKUP(B3539,mat.!$A:$D,4,FALSE)</f>
        <v>14.11</v>
      </c>
      <c r="E3539" s="255"/>
      <c r="F3539" s="253"/>
      <c r="G3539" s="405">
        <v>1</v>
      </c>
      <c r="H3539" s="255"/>
      <c r="I3539" s="423">
        <f>TRUNC(D3539*G3539,2)</f>
        <v>14.11</v>
      </c>
      <c r="J3539" s="295"/>
      <c r="K3539" s="295"/>
    </row>
    <row r="3540" spans="1:17" x14ac:dyDescent="0.2">
      <c r="A3540" s="199"/>
      <c r="B3540" s="229"/>
      <c r="C3540" s="199"/>
      <c r="D3540" s="199"/>
      <c r="E3540" s="199"/>
      <c r="F3540" s="230" t="s">
        <v>197</v>
      </c>
      <c r="G3540" s="240"/>
      <c r="H3540" s="241"/>
      <c r="I3540" s="438">
        <f>SUM(I3538:I3539)</f>
        <v>15.55</v>
      </c>
      <c r="J3540" s="295"/>
      <c r="K3540" s="295"/>
      <c r="O3540" s="198"/>
      <c r="P3540" s="198"/>
      <c r="Q3540" s="198"/>
    </row>
    <row r="3541" spans="1:17" x14ac:dyDescent="0.2">
      <c r="A3541" s="199"/>
      <c r="B3541" s="229"/>
      <c r="C3541" s="199"/>
      <c r="D3541" s="199"/>
      <c r="E3541" s="199"/>
      <c r="F3541" s="199"/>
      <c r="G3541" s="262"/>
      <c r="H3541" s="199"/>
      <c r="I3541" s="439"/>
    </row>
    <row r="3542" spans="1:17" x14ac:dyDescent="0.2">
      <c r="A3542" s="263" t="s">
        <v>198</v>
      </c>
      <c r="B3542" s="243" t="s">
        <v>59</v>
      </c>
      <c r="C3542" s="243" t="s">
        <v>196</v>
      </c>
      <c r="D3542" s="635" t="s">
        <v>217</v>
      </c>
      <c r="E3542" s="1121" t="s">
        <v>89</v>
      </c>
      <c r="F3542" s="1114"/>
      <c r="G3542" s="1115"/>
      <c r="H3542" s="1121" t="s">
        <v>183</v>
      </c>
      <c r="I3542" s="1115"/>
    </row>
    <row r="3543" spans="1:17" x14ac:dyDescent="0.2">
      <c r="A3543" s="244"/>
      <c r="B3543" s="234"/>
      <c r="C3543" s="234"/>
      <c r="D3543" s="239"/>
      <c r="E3543" s="240"/>
      <c r="F3543" s="253"/>
      <c r="G3543" s="293"/>
      <c r="H3543" s="240"/>
      <c r="I3543" s="423"/>
    </row>
    <row r="3544" spans="1:17" x14ac:dyDescent="0.2">
      <c r="A3544" s="200"/>
      <c r="B3544" s="264"/>
      <c r="C3544" s="200"/>
      <c r="D3544" s="200"/>
      <c r="E3544" s="200"/>
      <c r="F3544" s="265" t="s">
        <v>199</v>
      </c>
      <c r="G3544" s="255"/>
      <c r="H3544" s="266"/>
      <c r="I3544" s="441">
        <f>SUM(I3543:I3543)</f>
        <v>0</v>
      </c>
    </row>
    <row r="3545" spans="1:17" x14ac:dyDescent="0.2">
      <c r="A3545" s="200"/>
      <c r="B3545" s="264"/>
      <c r="C3545" s="200"/>
      <c r="D3545" s="200"/>
      <c r="E3545" s="200"/>
      <c r="F3545" s="200"/>
      <c r="G3545" s="200"/>
      <c r="H3545" s="200"/>
      <c r="I3545" s="440"/>
    </row>
    <row r="3546" spans="1:17" x14ac:dyDescent="0.2">
      <c r="A3546" s="267" t="s">
        <v>200</v>
      </c>
      <c r="B3546" s="268" t="s">
        <v>59</v>
      </c>
      <c r="C3546" s="268" t="s">
        <v>196</v>
      </c>
      <c r="D3546" s="268" t="s">
        <v>201</v>
      </c>
      <c r="E3546" s="268" t="s">
        <v>202</v>
      </c>
      <c r="F3546" s="268" t="s">
        <v>203</v>
      </c>
      <c r="G3546" s="268" t="s">
        <v>94</v>
      </c>
      <c r="H3546" s="268" t="s">
        <v>89</v>
      </c>
      <c r="I3546" s="442" t="s">
        <v>204</v>
      </c>
      <c r="J3546" s="400" t="s">
        <v>59</v>
      </c>
    </row>
    <row r="3547" spans="1:17" x14ac:dyDescent="0.2">
      <c r="A3547" s="244"/>
      <c r="B3547" s="234"/>
      <c r="C3547" s="234"/>
      <c r="D3547" s="269"/>
      <c r="E3547" s="270"/>
      <c r="F3547" s="270"/>
      <c r="G3547" s="239"/>
      <c r="H3547" s="271"/>
      <c r="I3547" s="418"/>
    </row>
    <row r="3548" spans="1:17" x14ac:dyDescent="0.2">
      <c r="A3548" s="200"/>
      <c r="B3548" s="264"/>
      <c r="C3548" s="200"/>
      <c r="D3548" s="200"/>
      <c r="E3548" s="200"/>
      <c r="F3548" s="265" t="s">
        <v>205</v>
      </c>
      <c r="G3548" s="240"/>
      <c r="H3548" s="272"/>
      <c r="I3548" s="443">
        <f>SUM(I3547:I3547)</f>
        <v>0</v>
      </c>
    </row>
    <row r="3549" spans="1:17" x14ac:dyDescent="0.2">
      <c r="A3549" s="200"/>
      <c r="B3549" s="264"/>
      <c r="C3549" s="200"/>
      <c r="D3549" s="200"/>
      <c r="E3549" s="200"/>
      <c r="F3549" s="200"/>
      <c r="G3549" s="200"/>
      <c r="H3549" s="200"/>
      <c r="I3549" s="444"/>
    </row>
    <row r="3550" spans="1:17" x14ac:dyDescent="0.2">
      <c r="A3550" s="273"/>
      <c r="B3550" s="274"/>
      <c r="C3550" s="275"/>
      <c r="D3550" s="275"/>
      <c r="E3550" s="275"/>
      <c r="F3550" s="276" t="s">
        <v>206</v>
      </c>
      <c r="G3550" s="273"/>
      <c r="H3550" s="249"/>
      <c r="I3550" s="445">
        <f>+I3535+I3540+I3544+I3548</f>
        <v>19.57</v>
      </c>
    </row>
    <row r="3551" spans="1:17" x14ac:dyDescent="0.2">
      <c r="A3551" s="255"/>
      <c r="B3551" s="277"/>
      <c r="C3551" s="266"/>
      <c r="D3551" s="266"/>
      <c r="E3551" s="266"/>
      <c r="F3551" s="278" t="str">
        <f>CONCATENATE($H$3," ",$I$3)</f>
        <v>BDI: 23,32</v>
      </c>
      <c r="G3551" s="403"/>
      <c r="H3551" s="253"/>
      <c r="I3551" s="446">
        <f>+ROUND(I3550*$I$4,2)</f>
        <v>4.5599999999999996</v>
      </c>
    </row>
    <row r="3552" spans="1:17" x14ac:dyDescent="0.2">
      <c r="A3552" s="240"/>
      <c r="B3552" s="279"/>
      <c r="C3552" s="272"/>
      <c r="D3552" s="272"/>
      <c r="E3552" s="272"/>
      <c r="F3552" s="280" t="s">
        <v>207</v>
      </c>
      <c r="G3552" s="404"/>
      <c r="H3552" s="241"/>
      <c r="I3552" s="720">
        <f>+I3550+I3551</f>
        <v>24.13</v>
      </c>
    </row>
    <row r="3553" spans="1:17" x14ac:dyDescent="0.2">
      <c r="A3553" s="1124" t="str">
        <f>$A$1</f>
        <v>COMPOSIÇÃO DE CUSTOS UNITÁRIOS</v>
      </c>
      <c r="B3553" s="1124"/>
      <c r="C3553" s="1124"/>
      <c r="D3553" s="1124"/>
      <c r="E3553" s="1124"/>
      <c r="F3553" s="1124"/>
      <c r="G3553" s="1124"/>
      <c r="H3553" s="1124"/>
      <c r="I3553" s="1124"/>
      <c r="J3553" s="415"/>
      <c r="K3553" s="415"/>
      <c r="L3553" s="198"/>
      <c r="M3553" s="198"/>
      <c r="N3553" s="198"/>
      <c r="O3553" s="198"/>
      <c r="P3553" s="198"/>
      <c r="Q3553" s="198"/>
    </row>
    <row r="3554" spans="1:17" x14ac:dyDescent="0.2">
      <c r="A3554" s="411" t="str">
        <f>$A$2</f>
        <v>Tabela Referencial de Preços - DER-ES</v>
      </c>
      <c r="B3554" s="412"/>
      <c r="C3554" s="413"/>
      <c r="D3554" s="413"/>
      <c r="E3554" s="413"/>
      <c r="F3554" s="413"/>
      <c r="G3554" s="413"/>
      <c r="H3554" s="413"/>
      <c r="I3554" s="414" t="str">
        <f>$I$2</f>
        <v>Data Base: novembro/2020</v>
      </c>
      <c r="J3554" s="415"/>
      <c r="K3554" s="415"/>
      <c r="L3554" s="198"/>
      <c r="M3554" s="198"/>
      <c r="N3554" s="198"/>
      <c r="O3554" s="198"/>
      <c r="P3554" s="198"/>
      <c r="Q3554" s="198"/>
    </row>
    <row r="3555" spans="1:17" x14ac:dyDescent="0.2">
      <c r="A3555" s="1119" t="str">
        <f>+CONCATENATE("Serviço: ",J3555," ",VLOOKUP(J3555,'DER 11-20'!$A:$D,2,FALSE))</f>
        <v>Serviço: 40934 Tacha refletiva birrefletorizada, fornecimento e aplicação</v>
      </c>
      <c r="B3555" s="1119"/>
      <c r="C3555" s="1119"/>
      <c r="D3555" s="1119"/>
      <c r="E3555" s="1119"/>
      <c r="F3555" s="1119"/>
      <c r="G3555" s="1119"/>
      <c r="H3555" s="1119"/>
      <c r="I3555" s="1119" t="str">
        <f>CONCATENATE("Unidade: ", VLOOKUP(J3555,'DER 11-20'!$A:$E,3,FALSE))</f>
        <v>Unidade: Ud</v>
      </c>
      <c r="J3555" s="415">
        <v>40934</v>
      </c>
      <c r="K3555" s="415">
        <f>VLOOKUP("Preço Unitário Total",F3556:I3625,4,FALSE)</f>
        <v>26.03</v>
      </c>
      <c r="L3555" s="198">
        <f>VLOOKUP(J3555,'DER 11-20'!A:E,5,FALSE)</f>
        <v>0</v>
      </c>
      <c r="M3555" s="198" t="str">
        <f>VLOOKUP(J3555,'DER 11-20'!$A:$D,2,FALSE)</f>
        <v>Tacha refletiva birrefletorizada, fornecimento e aplicação</v>
      </c>
      <c r="N3555" s="198"/>
      <c r="O3555" s="198"/>
      <c r="P3555" s="198"/>
      <c r="Q3555" s="198"/>
    </row>
    <row r="3556" spans="1:17" x14ac:dyDescent="0.2">
      <c r="A3556" s="1120"/>
      <c r="B3556" s="1120"/>
      <c r="C3556" s="1120"/>
      <c r="D3556" s="1120"/>
      <c r="E3556" s="1120"/>
      <c r="F3556" s="1120"/>
      <c r="G3556" s="1120"/>
      <c r="H3556" s="1120"/>
      <c r="I3556" s="1120"/>
      <c r="J3556" s="415"/>
      <c r="K3556" s="415"/>
      <c r="L3556" s="198"/>
      <c r="M3556" s="198"/>
      <c r="N3556" s="198"/>
      <c r="O3556" s="198"/>
      <c r="P3556" s="198"/>
      <c r="Q3556" s="198"/>
    </row>
    <row r="3557" spans="1:17" ht="22.5" x14ac:dyDescent="0.2">
      <c r="A3557" s="433" t="s">
        <v>177</v>
      </c>
      <c r="B3557" s="434" t="s">
        <v>59</v>
      </c>
      <c r="C3557" s="434" t="s">
        <v>178</v>
      </c>
      <c r="D3557" s="434" t="s">
        <v>179</v>
      </c>
      <c r="E3557" s="434" t="s">
        <v>180</v>
      </c>
      <c r="F3557" s="434" t="s">
        <v>181</v>
      </c>
      <c r="G3557" s="434" t="s">
        <v>182</v>
      </c>
      <c r="H3557" s="434" t="s">
        <v>89</v>
      </c>
      <c r="I3557" s="434" t="s">
        <v>183</v>
      </c>
      <c r="J3557" s="415"/>
      <c r="K3557" s="415"/>
      <c r="L3557" s="198"/>
      <c r="M3557" s="198"/>
      <c r="N3557" s="198"/>
      <c r="O3557" s="198"/>
      <c r="P3557" s="198"/>
      <c r="Q3557" s="198"/>
    </row>
    <row r="3558" spans="1:17" ht="22.5" x14ac:dyDescent="0.2">
      <c r="A3558" s="449" t="str">
        <f>VLOOKUP(B3558,equip.!$A:$G,2,FALSE)</f>
        <v>Caminhão carroceria 815/37 PBT=8,3t (TOCO 4,0t)</v>
      </c>
      <c r="B3558" s="417">
        <v>30004</v>
      </c>
      <c r="C3558" s="424" t="str">
        <f>VLOOKUP(B3558,equip.!$A$1:$G$240,3,FALSE)</f>
        <v>M</v>
      </c>
      <c r="D3558" s="451">
        <v>1</v>
      </c>
      <c r="E3558" s="452">
        <v>0</v>
      </c>
      <c r="F3558" s="453">
        <f>VLOOKUP(B3558,equip.!$A:$G,6,FALSE)</f>
        <v>145.22</v>
      </c>
      <c r="G3558" s="453">
        <f>VLOOKUP(B3558,equip.!$A:$G,7,FALSE)</f>
        <v>43.59</v>
      </c>
      <c r="H3558" s="454">
        <v>1</v>
      </c>
      <c r="I3558" s="418">
        <f>TRUNC(D3558*F3558*H3558+E3558*G3558*H3558,2)</f>
        <v>145.22</v>
      </c>
      <c r="J3558" s="415"/>
      <c r="K3558" s="415"/>
      <c r="L3558" s="198"/>
      <c r="M3558" s="198"/>
      <c r="N3558" s="198"/>
      <c r="O3558" s="198"/>
      <c r="P3558" s="198"/>
      <c r="Q3558" s="198"/>
    </row>
    <row r="3559" spans="1:17" ht="22.5" x14ac:dyDescent="0.2">
      <c r="A3559" s="449" t="str">
        <f>VLOOKUP(B3559,equip.!$A:$G,2,FALSE)</f>
        <v>Furadeira elétrica de impacto BOSCH 1184 ou equivalente</v>
      </c>
      <c r="B3559" s="417">
        <v>30094</v>
      </c>
      <c r="C3559" s="424">
        <f>VLOOKUP(B3559,equip.!$A$1:$G$240,3,FALSE)</f>
        <v>0</v>
      </c>
      <c r="D3559" s="451">
        <v>1</v>
      </c>
      <c r="E3559" s="452">
        <v>0</v>
      </c>
      <c r="F3559" s="453">
        <f>VLOOKUP(B3559,equip.!$A:$G,6,FALSE)</f>
        <v>20.25</v>
      </c>
      <c r="G3559" s="453">
        <f>VLOOKUP(B3559,equip.!$A:$G,7,FALSE)</f>
        <v>19.55</v>
      </c>
      <c r="H3559" s="454">
        <v>2</v>
      </c>
      <c r="I3559" s="418">
        <f>TRUNC(D3559*F3559*H3559+E3559*G3559*H3559,2)</f>
        <v>40.5</v>
      </c>
      <c r="J3559" s="415"/>
      <c r="K3559" s="415"/>
      <c r="L3559" s="198"/>
      <c r="M3559" s="198"/>
      <c r="N3559" s="198"/>
      <c r="O3559" s="198"/>
      <c r="P3559" s="198"/>
      <c r="Q3559" s="198"/>
    </row>
    <row r="3560" spans="1:17" ht="22.5" x14ac:dyDescent="0.2">
      <c r="A3560" s="449" t="str">
        <f>VLOOKUP(B3560,equip.!$A:$G,2,FALSE)</f>
        <v>Grupo gerador 2,5 a 3,0 kva a gasolina</v>
      </c>
      <c r="B3560" s="417">
        <v>30093</v>
      </c>
      <c r="C3560" s="424">
        <f>VLOOKUP(B3560,equip.!$A$1:$G$240,3,FALSE)</f>
        <v>0</v>
      </c>
      <c r="D3560" s="451">
        <v>1</v>
      </c>
      <c r="E3560" s="452">
        <v>0</v>
      </c>
      <c r="F3560" s="453">
        <f>VLOOKUP(B3560,equip.!$A:$G,6,FALSE)</f>
        <v>16.71</v>
      </c>
      <c r="G3560" s="453">
        <f>VLOOKUP(B3560,equip.!$A:$G,7,FALSE)</f>
        <v>12.82</v>
      </c>
      <c r="H3560" s="454">
        <v>1</v>
      </c>
      <c r="I3560" s="418">
        <f>TRUNC(D3560*F3560*H3560+E3560*G3560*H3560,2)</f>
        <v>16.71</v>
      </c>
      <c r="J3560" s="415"/>
      <c r="K3560" s="415"/>
      <c r="L3560" s="198"/>
      <c r="M3560" s="198"/>
      <c r="N3560" s="198"/>
      <c r="O3560" s="198"/>
      <c r="P3560" s="198"/>
      <c r="Q3560" s="198"/>
    </row>
    <row r="3561" spans="1:17" x14ac:dyDescent="0.2">
      <c r="A3561" s="413"/>
      <c r="B3561" s="412"/>
      <c r="C3561" s="412"/>
      <c r="D3561" s="413"/>
      <c r="E3561" s="413"/>
      <c r="F3561" s="414" t="s">
        <v>184</v>
      </c>
      <c r="G3561" s="422"/>
      <c r="H3561" s="426"/>
      <c r="I3561" s="438">
        <f>SUM(I3558:I3560)</f>
        <v>202.43</v>
      </c>
      <c r="J3561" s="415"/>
      <c r="K3561" s="415"/>
      <c r="L3561" s="198"/>
      <c r="M3561" s="198"/>
      <c r="N3561" s="198"/>
      <c r="O3561" s="198"/>
      <c r="P3561" s="198"/>
      <c r="Q3561" s="198"/>
    </row>
    <row r="3562" spans="1:17" x14ac:dyDescent="0.2">
      <c r="A3562" s="413"/>
      <c r="B3562" s="412"/>
      <c r="C3562" s="412"/>
      <c r="D3562" s="413"/>
      <c r="E3562" s="413"/>
      <c r="F3562" s="413"/>
      <c r="G3562" s="413"/>
      <c r="H3562" s="413"/>
      <c r="I3562" s="439"/>
      <c r="J3562" s="415"/>
      <c r="K3562" s="415"/>
      <c r="L3562" s="198"/>
      <c r="M3562" s="198"/>
      <c r="N3562" s="198"/>
      <c r="O3562" s="198"/>
      <c r="P3562" s="198"/>
      <c r="Q3562" s="198"/>
    </row>
    <row r="3563" spans="1:17" x14ac:dyDescent="0.2">
      <c r="A3563" s="242" t="s">
        <v>185</v>
      </c>
      <c r="B3563" s="243" t="s">
        <v>59</v>
      </c>
      <c r="C3563" s="232" t="s">
        <v>357</v>
      </c>
      <c r="D3563" s="243" t="s">
        <v>187</v>
      </c>
      <c r="E3563" s="1111" t="s">
        <v>89</v>
      </c>
      <c r="F3563" s="1112"/>
      <c r="G3563" s="1113"/>
      <c r="H3563" s="1121" t="s">
        <v>183</v>
      </c>
      <c r="I3563" s="1115"/>
    </row>
    <row r="3564" spans="1:17" x14ac:dyDescent="0.2">
      <c r="A3564" s="244" t="str">
        <f>VLOOKUP(B3564,m.o.!$A:$H,2,FALSE)</f>
        <v>Encarregado de pavimentação</v>
      </c>
      <c r="B3564" s="234">
        <v>20065</v>
      </c>
      <c r="C3564" s="239">
        <f>VLOOKUP(B3564,m.o.!$A:$F,4,FALSE)</f>
        <v>2.2599999999999998</v>
      </c>
      <c r="D3564" s="239">
        <f>VLOOKUP(B3564,m.o.!$A:$G,7,FALSE)</f>
        <v>28.31</v>
      </c>
      <c r="E3564" s="255"/>
      <c r="F3564" s="253"/>
      <c r="G3564" s="293">
        <v>1</v>
      </c>
      <c r="H3564" s="240"/>
      <c r="I3564" s="427">
        <f>TRUNC(D3564*G3564,2)</f>
        <v>28.31</v>
      </c>
    </row>
    <row r="3565" spans="1:17" x14ac:dyDescent="0.2">
      <c r="A3565" s="244" t="str">
        <f>VLOOKUP(B3565,m.o.!$A:$H,2,FALSE)</f>
        <v>Oficial</v>
      </c>
      <c r="B3565" s="234">
        <v>20099</v>
      </c>
      <c r="C3565" s="239">
        <f>VLOOKUP(B3565,m.o.!$A:$F,4,FALSE)</f>
        <v>1.65</v>
      </c>
      <c r="D3565" s="239">
        <f>VLOOKUP(B3565,m.o.!$A:$G,7,FALSE)</f>
        <v>20.66</v>
      </c>
      <c r="E3565" s="255"/>
      <c r="F3565" s="253"/>
      <c r="G3565" s="293">
        <v>2</v>
      </c>
      <c r="H3565" s="240"/>
      <c r="I3565" s="427">
        <f>TRUNC(D3565*G3565,2)</f>
        <v>41.32</v>
      </c>
    </row>
    <row r="3566" spans="1:17" x14ac:dyDescent="0.2">
      <c r="A3566" s="244" t="str">
        <f>VLOOKUP(B3566,m.o.!$A:$H,2,FALSE)</f>
        <v>Servente</v>
      </c>
      <c r="B3566" s="234">
        <v>20002</v>
      </c>
      <c r="C3566" s="239">
        <f>VLOOKUP(B3566,m.o.!$A:$F,4,FALSE)</f>
        <v>1</v>
      </c>
      <c r="D3566" s="239">
        <f>VLOOKUP(B3566,m.o.!$A:$G,7,FALSE)</f>
        <v>12.52</v>
      </c>
      <c r="E3566" s="255"/>
      <c r="F3566" s="253"/>
      <c r="G3566" s="293">
        <v>4</v>
      </c>
      <c r="H3566" s="240"/>
      <c r="I3566" s="427">
        <f>TRUNC(D3566*G3566,2)</f>
        <v>50.08</v>
      </c>
    </row>
    <row r="3567" spans="1:17" x14ac:dyDescent="0.2">
      <c r="A3567" s="199"/>
      <c r="B3567" s="229"/>
      <c r="C3567" s="229"/>
      <c r="D3567" s="199"/>
      <c r="E3567" s="199"/>
      <c r="F3567" s="230" t="s">
        <v>188</v>
      </c>
      <c r="G3567" s="240"/>
      <c r="H3567" s="241"/>
      <c r="I3567" s="438">
        <f>SUM(I3564:I3566)</f>
        <v>119.71</v>
      </c>
    </row>
    <row r="3568" spans="1:17" x14ac:dyDescent="0.2">
      <c r="A3568" s="199"/>
      <c r="B3568" s="229"/>
      <c r="C3568" s="229"/>
      <c r="D3568" s="199"/>
      <c r="E3568" s="199"/>
      <c r="F3568" s="199"/>
      <c r="G3568" s="199"/>
      <c r="H3568" s="199"/>
      <c r="I3568" s="439"/>
    </row>
    <row r="3569" spans="1:17" x14ac:dyDescent="0.2">
      <c r="A3569" s="245" t="s">
        <v>189</v>
      </c>
      <c r="B3569" s="243" t="s">
        <v>59</v>
      </c>
      <c r="C3569" s="635" t="s">
        <v>17</v>
      </c>
      <c r="D3569" s="243" t="s">
        <v>190</v>
      </c>
      <c r="E3569" s="243" t="s">
        <v>191</v>
      </c>
      <c r="F3569" s="243" t="s">
        <v>192</v>
      </c>
      <c r="G3569" s="1121" t="s">
        <v>94</v>
      </c>
      <c r="H3569" s="1114"/>
      <c r="I3569" s="1115"/>
    </row>
    <row r="3570" spans="1:17" x14ac:dyDescent="0.2">
      <c r="A3570" s="199"/>
      <c r="B3570" s="229"/>
      <c r="C3570" s="199"/>
      <c r="D3570" s="199"/>
      <c r="E3570" s="199"/>
      <c r="F3570" s="230" t="s">
        <v>327</v>
      </c>
      <c r="G3570" s="240"/>
      <c r="H3570" s="241"/>
      <c r="I3570" s="438"/>
    </row>
    <row r="3571" spans="1:17" x14ac:dyDescent="0.2">
      <c r="A3571" s="199"/>
      <c r="B3571" s="229"/>
      <c r="C3571" s="199"/>
      <c r="D3571" s="199"/>
      <c r="E3571" s="199"/>
      <c r="F3571" s="199"/>
      <c r="G3571" s="199"/>
      <c r="H3571" s="199"/>
      <c r="I3571" s="439"/>
    </row>
    <row r="3572" spans="1:17" x14ac:dyDescent="0.2">
      <c r="A3572" s="247"/>
      <c r="B3572" s="248"/>
      <c r="C3572" s="249"/>
      <c r="D3572" s="249"/>
      <c r="E3572" s="249"/>
      <c r="F3572" s="250" t="s">
        <v>193</v>
      </c>
      <c r="G3572" s="401"/>
      <c r="H3572" s="249"/>
      <c r="I3572" s="445">
        <f>+I3561+I3567+I3570</f>
        <v>322.14</v>
      </c>
    </row>
    <row r="3573" spans="1:17" x14ac:dyDescent="0.2">
      <c r="A3573" s="251"/>
      <c r="B3573" s="252"/>
      <c r="C3573" s="253"/>
      <c r="D3573" s="253"/>
      <c r="E3573" s="253"/>
      <c r="F3573" s="254" t="s">
        <v>194</v>
      </c>
      <c r="G3573" s="255"/>
      <c r="H3573" s="253"/>
      <c r="I3573" s="446">
        <v>80</v>
      </c>
    </row>
    <row r="3574" spans="1:17" x14ac:dyDescent="0.2">
      <c r="A3574" s="233"/>
      <c r="B3574" s="256"/>
      <c r="C3574" s="241"/>
      <c r="D3574" s="241"/>
      <c r="E3574" s="241"/>
      <c r="F3574" s="257" t="s">
        <v>216</v>
      </c>
      <c r="G3574" s="240"/>
      <c r="H3574" s="241"/>
      <c r="I3574" s="447">
        <f>TRUNC(I3572/I3573,2)</f>
        <v>4.0199999999999996</v>
      </c>
    </row>
    <row r="3575" spans="1:17" x14ac:dyDescent="0.2">
      <c r="A3575" s="636"/>
      <c r="B3575" s="229"/>
      <c r="C3575" s="199"/>
      <c r="D3575" s="199"/>
      <c r="E3575" s="199"/>
      <c r="F3575" s="258"/>
      <c r="G3575" s="199"/>
      <c r="H3575" s="199"/>
      <c r="I3575" s="450"/>
    </row>
    <row r="3576" spans="1:17" x14ac:dyDescent="0.2">
      <c r="A3576" s="242" t="s">
        <v>195</v>
      </c>
      <c r="B3576" s="243" t="s">
        <v>59</v>
      </c>
      <c r="C3576" s="243" t="s">
        <v>196</v>
      </c>
      <c r="D3576" s="243" t="s">
        <v>217</v>
      </c>
      <c r="E3576" s="1121" t="s">
        <v>89</v>
      </c>
      <c r="F3576" s="1114"/>
      <c r="G3576" s="1115"/>
      <c r="H3576" s="1121" t="s">
        <v>183</v>
      </c>
      <c r="I3576" s="1115"/>
    </row>
    <row r="3577" spans="1:17" x14ac:dyDescent="0.2">
      <c r="A3577" s="259" t="str">
        <f>VLOOKUP(B3577,mat.!$A:$D,2,FALSE)</f>
        <v>Cola a base de poliester</v>
      </c>
      <c r="B3577" s="234">
        <v>10362</v>
      </c>
      <c r="C3577" s="260" t="str">
        <f>VLOOKUP(B3577,mat.!$A:$D,3,FALSE)</f>
        <v>kg</v>
      </c>
      <c r="D3577" s="261">
        <f>VLOOKUP(B3577,mat.!$A:$D,4,FALSE)</f>
        <v>20.61</v>
      </c>
      <c r="E3577" s="255"/>
      <c r="F3577" s="253"/>
      <c r="G3577" s="293">
        <v>7.0000000000000007E-2</v>
      </c>
      <c r="H3577" s="255"/>
      <c r="I3577" s="423">
        <f>TRUNC(D3577*G3577,2)</f>
        <v>1.44</v>
      </c>
    </row>
    <row r="3578" spans="1:17" x14ac:dyDescent="0.2">
      <c r="A3578" s="259" t="str">
        <f>VLOOKUP(B3578,mat.!$A:$D,2,FALSE)</f>
        <v>Tacha bidirecional</v>
      </c>
      <c r="B3578" s="234">
        <v>10359</v>
      </c>
      <c r="C3578" s="260" t="str">
        <f>VLOOKUP(B3578,mat.!$A:$D,3,FALSE)</f>
        <v>Ud</v>
      </c>
      <c r="D3578" s="261">
        <f>VLOOKUP(B3578,mat.!$A:$D,4,FALSE)</f>
        <v>15.65</v>
      </c>
      <c r="E3578" s="255"/>
      <c r="F3578" s="253"/>
      <c r="G3578" s="293">
        <v>1</v>
      </c>
      <c r="H3578" s="255"/>
      <c r="I3578" s="423">
        <f>TRUNC(D3578*G3578,2)</f>
        <v>15.65</v>
      </c>
    </row>
    <row r="3579" spans="1:17" x14ac:dyDescent="0.2">
      <c r="A3579" s="199"/>
      <c r="B3579" s="229"/>
      <c r="C3579" s="199"/>
      <c r="D3579" s="199"/>
      <c r="E3579" s="199"/>
      <c r="F3579" s="230" t="s">
        <v>197</v>
      </c>
      <c r="G3579" s="240"/>
      <c r="H3579" s="241"/>
      <c r="I3579" s="438">
        <f>SUM(I3577:I3578)</f>
        <v>17.09</v>
      </c>
    </row>
    <row r="3580" spans="1:17" x14ac:dyDescent="0.2">
      <c r="A3580" s="199"/>
      <c r="B3580" s="229"/>
      <c r="C3580" s="199"/>
      <c r="D3580" s="199"/>
      <c r="E3580" s="199"/>
      <c r="F3580" s="199"/>
      <c r="G3580" s="262"/>
      <c r="H3580" s="199"/>
      <c r="I3580" s="439"/>
    </row>
    <row r="3581" spans="1:17" x14ac:dyDescent="0.2">
      <c r="A3581" s="431" t="s">
        <v>198</v>
      </c>
      <c r="B3581" s="432" t="s">
        <v>59</v>
      </c>
      <c r="C3581" s="432" t="s">
        <v>196</v>
      </c>
      <c r="D3581" s="637" t="s">
        <v>217</v>
      </c>
      <c r="E3581" s="1125" t="s">
        <v>89</v>
      </c>
      <c r="F3581" s="1126"/>
      <c r="G3581" s="1127"/>
      <c r="H3581" s="1128" t="s">
        <v>183</v>
      </c>
      <c r="I3581" s="1129"/>
      <c r="J3581" s="415"/>
      <c r="K3581" s="415"/>
      <c r="L3581" s="198"/>
      <c r="M3581" s="198"/>
      <c r="N3581" s="198"/>
      <c r="O3581" s="198"/>
      <c r="P3581" s="198"/>
      <c r="Q3581" s="198"/>
    </row>
    <row r="3582" spans="1:17" x14ac:dyDescent="0.2">
      <c r="A3582" s="200"/>
      <c r="B3582" s="264"/>
      <c r="C3582" s="200"/>
      <c r="D3582" s="200"/>
      <c r="E3582" s="200"/>
      <c r="F3582" s="265" t="s">
        <v>199</v>
      </c>
      <c r="G3582" s="255"/>
      <c r="H3582" s="266"/>
      <c r="I3582" s="441"/>
    </row>
    <row r="3583" spans="1:17" x14ac:dyDescent="0.2">
      <c r="A3583" s="200"/>
      <c r="B3583" s="264"/>
      <c r="C3583" s="200"/>
      <c r="D3583" s="200"/>
      <c r="E3583" s="200"/>
      <c r="F3583" s="200"/>
      <c r="G3583" s="200"/>
      <c r="H3583" s="200"/>
      <c r="I3583" s="440"/>
    </row>
    <row r="3584" spans="1:17" ht="21.75" customHeight="1" x14ac:dyDescent="0.2">
      <c r="A3584" s="267" t="s">
        <v>200</v>
      </c>
      <c r="B3584" s="268" t="s">
        <v>59</v>
      </c>
      <c r="C3584" s="268" t="s">
        <v>196</v>
      </c>
      <c r="D3584" s="268" t="s">
        <v>201</v>
      </c>
      <c r="E3584" s="268" t="s">
        <v>202</v>
      </c>
      <c r="F3584" s="268" t="s">
        <v>203</v>
      </c>
      <c r="G3584" s="268" t="s">
        <v>94</v>
      </c>
      <c r="H3584" s="268" t="s">
        <v>89</v>
      </c>
      <c r="I3584" s="442" t="s">
        <v>204</v>
      </c>
    </row>
    <row r="3585" spans="1:13" x14ac:dyDescent="0.2">
      <c r="A3585" s="200"/>
      <c r="B3585" s="264"/>
      <c r="C3585" s="200"/>
      <c r="D3585" s="200"/>
      <c r="E3585" s="200"/>
      <c r="F3585" s="265" t="s">
        <v>205</v>
      </c>
      <c r="G3585" s="240"/>
      <c r="H3585" s="272"/>
      <c r="I3585" s="443"/>
    </row>
    <row r="3586" spans="1:13" x14ac:dyDescent="0.2">
      <c r="A3586" s="200"/>
      <c r="B3586" s="264"/>
      <c r="C3586" s="200"/>
      <c r="D3586" s="200"/>
      <c r="E3586" s="200"/>
      <c r="F3586" s="200"/>
      <c r="G3586" s="200"/>
      <c r="H3586" s="200"/>
      <c r="I3586" s="444"/>
    </row>
    <row r="3587" spans="1:13" x14ac:dyDescent="0.2">
      <c r="A3587" s="273"/>
      <c r="B3587" s="274"/>
      <c r="C3587" s="275"/>
      <c r="D3587" s="275"/>
      <c r="E3587" s="275"/>
      <c r="F3587" s="276" t="s">
        <v>206</v>
      </c>
      <c r="G3587" s="273"/>
      <c r="H3587" s="249"/>
      <c r="I3587" s="445">
        <f>+I3574+I3579+I3582+I3585</f>
        <v>21.11</v>
      </c>
    </row>
    <row r="3588" spans="1:13" x14ac:dyDescent="0.2">
      <c r="A3588" s="255"/>
      <c r="B3588" s="277"/>
      <c r="C3588" s="266"/>
      <c r="D3588" s="266"/>
      <c r="E3588" s="266"/>
      <c r="F3588" s="278" t="str">
        <f>CONCATENATE($H$3," ",$I$3)</f>
        <v>BDI: 23,32</v>
      </c>
      <c r="G3588" s="403"/>
      <c r="H3588" s="253"/>
      <c r="I3588" s="446">
        <f>+ROUND(I3587*$I$4,2)</f>
        <v>4.92</v>
      </c>
    </row>
    <row r="3589" spans="1:13" x14ac:dyDescent="0.2">
      <c r="A3589" s="240"/>
      <c r="B3589" s="279"/>
      <c r="C3589" s="272"/>
      <c r="D3589" s="272"/>
      <c r="E3589" s="272"/>
      <c r="F3589" s="280" t="s">
        <v>207</v>
      </c>
      <c r="G3589" s="404"/>
      <c r="H3589" s="241"/>
      <c r="I3589" s="720">
        <f>+I3587+I3588</f>
        <v>26.03</v>
      </c>
    </row>
    <row r="3590" spans="1:13" x14ac:dyDescent="0.2">
      <c r="A3590" s="1116" t="str">
        <f>$A$1</f>
        <v>COMPOSIÇÃO DE CUSTOS UNITÁRIOS</v>
      </c>
      <c r="B3590" s="1116"/>
      <c r="C3590" s="1116"/>
      <c r="D3590" s="1116"/>
      <c r="E3590" s="1116"/>
      <c r="F3590" s="1116"/>
      <c r="G3590" s="1116"/>
      <c r="H3590" s="1116"/>
      <c r="I3590" s="1116"/>
    </row>
    <row r="3591" spans="1:13" x14ac:dyDescent="0.2">
      <c r="A3591" s="228" t="str">
        <f>$A$2</f>
        <v>Tabela Referencial de Preços - DER-ES</v>
      </c>
      <c r="B3591" s="229"/>
      <c r="C3591" s="199"/>
      <c r="D3591" s="199"/>
      <c r="E3591" s="199"/>
      <c r="F3591" s="199"/>
      <c r="G3591" s="199"/>
      <c r="H3591" s="199"/>
      <c r="I3591" s="414" t="str">
        <f>$I$2</f>
        <v>Data Base: novembro/2020</v>
      </c>
    </row>
    <row r="3592" spans="1:13" x14ac:dyDescent="0.2">
      <c r="A3592" s="1117" t="str">
        <f>+CONCATENATE("Serviço: ",J3592," ",VLOOKUP(J3592,'DER 11-20'!$A:$D,2,FALSE))</f>
        <v>Serviço: 40171 Destocamento de árvores com diâmetro de 15 a 30 cm, com trator de esteira</v>
      </c>
      <c r="B3592" s="1117"/>
      <c r="C3592" s="1117"/>
      <c r="D3592" s="1117"/>
      <c r="E3592" s="1117"/>
      <c r="F3592" s="1117"/>
      <c r="G3592" s="1117"/>
      <c r="H3592" s="1117"/>
      <c r="I3592" s="1119" t="str">
        <f>CONCATENATE("Unidade: ", VLOOKUP(J3592,'DER 11-20'!$A:$E,3,FALSE))</f>
        <v>Unidade: Ud</v>
      </c>
      <c r="J3592" s="400">
        <v>40171</v>
      </c>
      <c r="K3592" s="400">
        <f>VLOOKUP("Preço Unitário Total",F3593:I3650,4,FALSE)</f>
        <v>12.91</v>
      </c>
      <c r="L3592" s="295">
        <f>VLOOKUP(J3592,'DER 11-20'!A:E,5,FALSE)</f>
        <v>0</v>
      </c>
      <c r="M3592" s="295" t="str">
        <f>VLOOKUP(J3592,'DER 11-20'!$A:$D,2,FALSE)</f>
        <v>Destocamento de árvores com diâmetro de 15 a 30 cm, com trator de esteira</v>
      </c>
    </row>
    <row r="3593" spans="1:13" x14ac:dyDescent="0.2">
      <c r="A3593" s="1118"/>
      <c r="B3593" s="1118"/>
      <c r="C3593" s="1118"/>
      <c r="D3593" s="1118"/>
      <c r="E3593" s="1118"/>
      <c r="F3593" s="1118"/>
      <c r="G3593" s="1118"/>
      <c r="H3593" s="1118"/>
      <c r="I3593" s="1120"/>
    </row>
    <row r="3594" spans="1:13" ht="22.5" x14ac:dyDescent="0.2">
      <c r="A3594" s="231" t="s">
        <v>177</v>
      </c>
      <c r="B3594" s="232" t="s">
        <v>59</v>
      </c>
      <c r="C3594" s="232" t="s">
        <v>178</v>
      </c>
      <c r="D3594" s="232" t="s">
        <v>179</v>
      </c>
      <c r="E3594" s="232" t="s">
        <v>180</v>
      </c>
      <c r="F3594" s="232" t="s">
        <v>181</v>
      </c>
      <c r="G3594" s="232" t="s">
        <v>182</v>
      </c>
      <c r="H3594" s="232" t="s">
        <v>89</v>
      </c>
      <c r="I3594" s="434" t="s">
        <v>183</v>
      </c>
    </row>
    <row r="3595" spans="1:13" ht="33.75" x14ac:dyDescent="0.2">
      <c r="A3595" s="233" t="str">
        <f>VLOOKUP(B3595,equip.!$A:$G,2,FALSE)</f>
        <v>Trator de esteiras ref. Caterpillar com lâmina  modelo D8T, sem ríper ou equivalente</v>
      </c>
      <c r="B3595" s="234">
        <v>30018</v>
      </c>
      <c r="C3595" s="235">
        <f>VLOOKUP(B3595,equip.!$A$1:$G$240,3,FALSE)</f>
        <v>0</v>
      </c>
      <c r="D3595" s="236">
        <v>1</v>
      </c>
      <c r="E3595" s="203">
        <v>0</v>
      </c>
      <c r="F3595" s="237">
        <f>VLOOKUP(B3595,equip.!$A:$G,6,FALSE)</f>
        <v>651.67999999999995</v>
      </c>
      <c r="G3595" s="237">
        <f>VLOOKUP(B3595,equip.!$A:$G,7,FALSE)</f>
        <v>233.98</v>
      </c>
      <c r="H3595" s="238">
        <v>1</v>
      </c>
      <c r="I3595" s="418">
        <f>TRUNC(D3595*F3595*H3595+E3595*G3595*H3595,2)</f>
        <v>651.67999999999995</v>
      </c>
    </row>
    <row r="3596" spans="1:13" x14ac:dyDescent="0.2">
      <c r="A3596" s="199"/>
      <c r="B3596" s="229"/>
      <c r="C3596" s="229"/>
      <c r="D3596" s="199"/>
      <c r="E3596" s="199"/>
      <c r="F3596" s="230" t="s">
        <v>184</v>
      </c>
      <c r="G3596" s="240"/>
      <c r="H3596" s="241"/>
      <c r="I3596" s="438">
        <f>SUM(I3595:I3595)</f>
        <v>651.67999999999995</v>
      </c>
    </row>
    <row r="3597" spans="1:13" x14ac:dyDescent="0.2">
      <c r="A3597" s="199"/>
      <c r="B3597" s="229"/>
      <c r="C3597" s="229"/>
      <c r="D3597" s="199"/>
      <c r="E3597" s="199"/>
      <c r="F3597" s="199"/>
      <c r="G3597" s="199"/>
      <c r="H3597" s="199"/>
      <c r="I3597" s="439"/>
    </row>
    <row r="3598" spans="1:13" x14ac:dyDescent="0.2">
      <c r="A3598" s="242" t="s">
        <v>185</v>
      </c>
      <c r="B3598" s="243" t="s">
        <v>59</v>
      </c>
      <c r="C3598" s="232" t="s">
        <v>357</v>
      </c>
      <c r="D3598" s="243" t="s">
        <v>187</v>
      </c>
      <c r="E3598" s="1111" t="s">
        <v>89</v>
      </c>
      <c r="F3598" s="1112"/>
      <c r="G3598" s="1113"/>
      <c r="H3598" s="1121" t="s">
        <v>183</v>
      </c>
      <c r="I3598" s="1115"/>
    </row>
    <row r="3599" spans="1:13" x14ac:dyDescent="0.2">
      <c r="A3599" s="244" t="str">
        <f>VLOOKUP(B3599,m.o.!$A:$H,2,FALSE)</f>
        <v>Encarregado de terraplenagem</v>
      </c>
      <c r="B3599" s="234">
        <v>20067</v>
      </c>
      <c r="C3599" s="239">
        <f>VLOOKUP(B3599,m.o.!$A:$F,4,FALSE)</f>
        <v>2.35</v>
      </c>
      <c r="D3599" s="239">
        <f>VLOOKUP(B3599,m.o.!$A:$G,7,FALSE)</f>
        <v>29.43</v>
      </c>
      <c r="E3599" s="255"/>
      <c r="F3599" s="253"/>
      <c r="G3599" s="293">
        <v>0.5</v>
      </c>
      <c r="H3599" s="240"/>
      <c r="I3599" s="427">
        <f>TRUNC(D3599*G3599,2)</f>
        <v>14.71</v>
      </c>
    </row>
    <row r="3600" spans="1:13" x14ac:dyDescent="0.2">
      <c r="A3600" s="259" t="str">
        <f>VLOOKUP(B3600,m.o.!$A:$H,2,FALSE)</f>
        <v>Servente</v>
      </c>
      <c r="B3600" s="234">
        <v>20002</v>
      </c>
      <c r="C3600" s="261">
        <f>VLOOKUP(B3600,m.o.!$A:$F,4,FALSE)</f>
        <v>1</v>
      </c>
      <c r="D3600" s="261">
        <f>VLOOKUP(B3600,m.o.!$A:$G,7,FALSE)</f>
        <v>12.52</v>
      </c>
      <c r="E3600" s="255"/>
      <c r="F3600" s="253"/>
      <c r="G3600" s="405">
        <v>2</v>
      </c>
      <c r="H3600" s="255"/>
      <c r="I3600" s="423">
        <f>TRUNC(D3600*G3600,2)</f>
        <v>25.04</v>
      </c>
    </row>
    <row r="3601" spans="1:9" x14ac:dyDescent="0.2">
      <c r="A3601" s="199"/>
      <c r="B3601" s="229"/>
      <c r="C3601" s="229"/>
      <c r="D3601" s="199"/>
      <c r="E3601" s="199"/>
      <c r="F3601" s="230" t="s">
        <v>188</v>
      </c>
      <c r="G3601" s="240"/>
      <c r="H3601" s="241"/>
      <c r="I3601" s="438">
        <f>SUM(I3599:I3600)</f>
        <v>39.75</v>
      </c>
    </row>
    <row r="3602" spans="1:9" x14ac:dyDescent="0.2">
      <c r="A3602" s="199"/>
      <c r="B3602" s="229"/>
      <c r="C3602" s="229"/>
      <c r="D3602" s="199"/>
      <c r="E3602" s="199"/>
      <c r="F3602" s="199"/>
      <c r="G3602" s="199"/>
      <c r="H3602" s="199"/>
      <c r="I3602" s="439"/>
    </row>
    <row r="3603" spans="1:9" x14ac:dyDescent="0.2">
      <c r="A3603" s="245" t="s">
        <v>189</v>
      </c>
      <c r="B3603" s="243" t="s">
        <v>59</v>
      </c>
      <c r="C3603" s="635" t="s">
        <v>17</v>
      </c>
      <c r="D3603" s="243" t="s">
        <v>190</v>
      </c>
      <c r="E3603" s="243" t="s">
        <v>191</v>
      </c>
      <c r="F3603" s="243" t="s">
        <v>192</v>
      </c>
      <c r="G3603" s="1121" t="s">
        <v>94</v>
      </c>
      <c r="H3603" s="1114"/>
      <c r="I3603" s="1115"/>
    </row>
    <row r="3604" spans="1:9" x14ac:dyDescent="0.2">
      <c r="A3604" s="244"/>
      <c r="B3604" s="234"/>
      <c r="C3604" s="239"/>
      <c r="D3604" s="235"/>
      <c r="E3604" s="246"/>
      <c r="F3604" s="246"/>
      <c r="G3604" s="240"/>
      <c r="H3604" s="241"/>
      <c r="I3604" s="427">
        <f>TRUNC(C3604/100*I3601,2)</f>
        <v>0</v>
      </c>
    </row>
    <row r="3605" spans="1:9" x14ac:dyDescent="0.2">
      <c r="A3605" s="199"/>
      <c r="B3605" s="229"/>
      <c r="C3605" s="199"/>
      <c r="D3605" s="199"/>
      <c r="E3605" s="199"/>
      <c r="F3605" s="230" t="s">
        <v>327</v>
      </c>
      <c r="G3605" s="240"/>
      <c r="H3605" s="241"/>
      <c r="I3605" s="438">
        <f>SUM(I3604)</f>
        <v>0</v>
      </c>
    </row>
    <row r="3606" spans="1:9" x14ac:dyDescent="0.2">
      <c r="A3606" s="199"/>
      <c r="B3606" s="229"/>
      <c r="C3606" s="199"/>
      <c r="D3606" s="199"/>
      <c r="E3606" s="199"/>
      <c r="F3606" s="199"/>
      <c r="G3606" s="199"/>
      <c r="H3606" s="199"/>
      <c r="I3606" s="439"/>
    </row>
    <row r="3607" spans="1:9" x14ac:dyDescent="0.2">
      <c r="A3607" s="247"/>
      <c r="B3607" s="248"/>
      <c r="C3607" s="249"/>
      <c r="D3607" s="249"/>
      <c r="E3607" s="249"/>
      <c r="F3607" s="250" t="s">
        <v>193</v>
      </c>
      <c r="G3607" s="401"/>
      <c r="H3607" s="249"/>
      <c r="I3607" s="445">
        <f>+I3596+I3601+I3605</f>
        <v>691.43</v>
      </c>
    </row>
    <row r="3608" spans="1:9" x14ac:dyDescent="0.2">
      <c r="A3608" s="251"/>
      <c r="B3608" s="252"/>
      <c r="C3608" s="253"/>
      <c r="D3608" s="253"/>
      <c r="E3608" s="253"/>
      <c r="F3608" s="254" t="s">
        <v>194</v>
      </c>
      <c r="G3608" s="255"/>
      <c r="H3608" s="253"/>
      <c r="I3608" s="446">
        <v>66</v>
      </c>
    </row>
    <row r="3609" spans="1:9" x14ac:dyDescent="0.2">
      <c r="A3609" s="233"/>
      <c r="B3609" s="256"/>
      <c r="C3609" s="241"/>
      <c r="D3609" s="241"/>
      <c r="E3609" s="241"/>
      <c r="F3609" s="257" t="s">
        <v>216</v>
      </c>
      <c r="G3609" s="240"/>
      <c r="H3609" s="241"/>
      <c r="I3609" s="447">
        <f>TRUNC(I3607/I3608,2)</f>
        <v>10.47</v>
      </c>
    </row>
    <row r="3610" spans="1:9" x14ac:dyDescent="0.2">
      <c r="A3610" s="636"/>
      <c r="B3610" s="229"/>
      <c r="C3610" s="199"/>
      <c r="D3610" s="199"/>
      <c r="E3610" s="199"/>
      <c r="F3610" s="258"/>
      <c r="G3610" s="199"/>
      <c r="H3610" s="199"/>
      <c r="I3610" s="450"/>
    </row>
    <row r="3611" spans="1:9" x14ac:dyDescent="0.2">
      <c r="A3611" s="242" t="s">
        <v>195</v>
      </c>
      <c r="B3611" s="243" t="s">
        <v>59</v>
      </c>
      <c r="C3611" s="243" t="s">
        <v>196</v>
      </c>
      <c r="D3611" s="243" t="s">
        <v>217</v>
      </c>
      <c r="E3611" s="1121" t="s">
        <v>89</v>
      </c>
      <c r="F3611" s="1114"/>
      <c r="G3611" s="1115"/>
      <c r="H3611" s="1121" t="s">
        <v>183</v>
      </c>
      <c r="I3611" s="1115"/>
    </row>
    <row r="3612" spans="1:9" x14ac:dyDescent="0.2">
      <c r="A3612" s="259"/>
      <c r="B3612" s="234"/>
      <c r="C3612" s="260"/>
      <c r="D3612" s="261"/>
      <c r="E3612" s="255"/>
      <c r="F3612" s="253"/>
      <c r="G3612" s="293"/>
      <c r="H3612" s="255"/>
      <c r="I3612" s="423">
        <f>TRUNC(D3612*G3612,2)</f>
        <v>0</v>
      </c>
    </row>
    <row r="3613" spans="1:9" x14ac:dyDescent="0.2">
      <c r="A3613" s="199"/>
      <c r="B3613" s="229"/>
      <c r="C3613" s="199"/>
      <c r="D3613" s="199"/>
      <c r="E3613" s="199"/>
      <c r="F3613" s="230" t="s">
        <v>197</v>
      </c>
      <c r="G3613" s="240"/>
      <c r="H3613" s="241"/>
      <c r="I3613" s="438">
        <f>SUM(I3612:I3612)</f>
        <v>0</v>
      </c>
    </row>
    <row r="3614" spans="1:9" x14ac:dyDescent="0.2">
      <c r="A3614" s="199"/>
      <c r="B3614" s="229"/>
      <c r="C3614" s="199"/>
      <c r="D3614" s="199"/>
      <c r="E3614" s="199"/>
      <c r="F3614" s="199"/>
      <c r="G3614" s="262"/>
      <c r="H3614" s="199"/>
      <c r="I3614" s="439"/>
    </row>
    <row r="3615" spans="1:9" x14ac:dyDescent="0.2">
      <c r="A3615" s="263" t="s">
        <v>198</v>
      </c>
      <c r="B3615" s="243" t="s">
        <v>59</v>
      </c>
      <c r="C3615" s="243" t="s">
        <v>196</v>
      </c>
      <c r="D3615" s="635" t="s">
        <v>217</v>
      </c>
      <c r="E3615" s="1111" t="s">
        <v>89</v>
      </c>
      <c r="F3615" s="1112"/>
      <c r="G3615" s="1113"/>
      <c r="H3615" s="1114" t="s">
        <v>183</v>
      </c>
      <c r="I3615" s="1115"/>
    </row>
    <row r="3616" spans="1:9" x14ac:dyDescent="0.2">
      <c r="A3616" s="244"/>
      <c r="B3616" s="234"/>
      <c r="C3616" s="234"/>
      <c r="D3616" s="239"/>
      <c r="E3616" s="255"/>
      <c r="F3616" s="253"/>
      <c r="G3616" s="293"/>
      <c r="H3616" s="240"/>
      <c r="I3616" s="423">
        <f>TRUNC(D3616*G3616,2)</f>
        <v>0</v>
      </c>
    </row>
    <row r="3617" spans="1:17" x14ac:dyDescent="0.2">
      <c r="A3617" s="200"/>
      <c r="B3617" s="264"/>
      <c r="C3617" s="200"/>
      <c r="D3617" s="200"/>
      <c r="E3617" s="200"/>
      <c r="F3617" s="265" t="s">
        <v>199</v>
      </c>
      <c r="G3617" s="255"/>
      <c r="H3617" s="266"/>
      <c r="I3617" s="441">
        <f>SUM(I3616:I3616)</f>
        <v>0</v>
      </c>
    </row>
    <row r="3618" spans="1:17" x14ac:dyDescent="0.2">
      <c r="A3618" s="200"/>
      <c r="B3618" s="264"/>
      <c r="C3618" s="200"/>
      <c r="D3618" s="200"/>
      <c r="E3618" s="200"/>
      <c r="F3618" s="200"/>
      <c r="G3618" s="200"/>
      <c r="H3618" s="200"/>
      <c r="I3618" s="440"/>
    </row>
    <row r="3619" spans="1:17" x14ac:dyDescent="0.2">
      <c r="A3619" s="267" t="s">
        <v>200</v>
      </c>
      <c r="B3619" s="268" t="s">
        <v>59</v>
      </c>
      <c r="C3619" s="268" t="s">
        <v>196</v>
      </c>
      <c r="D3619" s="268" t="s">
        <v>201</v>
      </c>
      <c r="E3619" s="268" t="s">
        <v>202</v>
      </c>
      <c r="F3619" s="268" t="s">
        <v>203</v>
      </c>
      <c r="G3619" s="268" t="s">
        <v>94</v>
      </c>
      <c r="H3619" s="268" t="s">
        <v>89</v>
      </c>
      <c r="I3619" s="442" t="s">
        <v>204</v>
      </c>
    </row>
    <row r="3620" spans="1:17" x14ac:dyDescent="0.2">
      <c r="A3620" s="244"/>
      <c r="B3620" s="234"/>
      <c r="C3620" s="234"/>
      <c r="D3620" s="402"/>
      <c r="E3620" s="270"/>
      <c r="F3620" s="270"/>
      <c r="G3620" s="239"/>
      <c r="H3620" s="271"/>
      <c r="I3620" s="418"/>
      <c r="J3620" s="400" t="s">
        <v>113</v>
      </c>
    </row>
    <row r="3621" spans="1:17" x14ac:dyDescent="0.2">
      <c r="A3621" s="200"/>
      <c r="B3621" s="264"/>
      <c r="C3621" s="200"/>
      <c r="D3621" s="200"/>
      <c r="E3621" s="200"/>
      <c r="F3621" s="265" t="s">
        <v>205</v>
      </c>
      <c r="G3621" s="240"/>
      <c r="H3621" s="272"/>
      <c r="I3621" s="443">
        <f>SUM(I3620:I3620)</f>
        <v>0</v>
      </c>
    </row>
    <row r="3622" spans="1:17" x14ac:dyDescent="0.2">
      <c r="A3622" s="200"/>
      <c r="B3622" s="264"/>
      <c r="C3622" s="200"/>
      <c r="D3622" s="200"/>
      <c r="E3622" s="200"/>
      <c r="F3622" s="200"/>
      <c r="G3622" s="200"/>
      <c r="H3622" s="200"/>
      <c r="I3622" s="444"/>
    </row>
    <row r="3623" spans="1:17" x14ac:dyDescent="0.2">
      <c r="A3623" s="273"/>
      <c r="B3623" s="274"/>
      <c r="C3623" s="275"/>
      <c r="D3623" s="275"/>
      <c r="E3623" s="275"/>
      <c r="F3623" s="276" t="s">
        <v>206</v>
      </c>
      <c r="G3623" s="273"/>
      <c r="H3623" s="249"/>
      <c r="I3623" s="445">
        <f>+I3609+I3613+I3617+I3621</f>
        <v>10.47</v>
      </c>
    </row>
    <row r="3624" spans="1:17" x14ac:dyDescent="0.2">
      <c r="A3624" s="255"/>
      <c r="B3624" s="277"/>
      <c r="C3624" s="266"/>
      <c r="D3624" s="266"/>
      <c r="E3624" s="266"/>
      <c r="F3624" s="278" t="str">
        <f>CONCATENATE($H$3," ",$I$3)</f>
        <v>BDI: 23,32</v>
      </c>
      <c r="G3624" s="403"/>
      <c r="H3624" s="253"/>
      <c r="I3624" s="446">
        <f>+ROUND(I3623*$I$4,2)</f>
        <v>2.44</v>
      </c>
    </row>
    <row r="3625" spans="1:17" x14ac:dyDescent="0.2">
      <c r="A3625" s="240"/>
      <c r="B3625" s="279"/>
      <c r="C3625" s="272"/>
      <c r="D3625" s="272"/>
      <c r="E3625" s="272"/>
      <c r="F3625" s="280" t="s">
        <v>207</v>
      </c>
      <c r="G3625" s="404"/>
      <c r="H3625" s="241"/>
      <c r="I3625" s="720">
        <f>+I3623+I3624</f>
        <v>12.91</v>
      </c>
    </row>
    <row r="3626" spans="1:17" x14ac:dyDescent="0.2">
      <c r="A3626" s="1124" t="str">
        <f>$A$1</f>
        <v>COMPOSIÇÃO DE CUSTOS UNITÁRIOS</v>
      </c>
      <c r="B3626" s="1124"/>
      <c r="C3626" s="1124"/>
      <c r="D3626" s="1124"/>
      <c r="E3626" s="1124"/>
      <c r="F3626" s="1124"/>
      <c r="G3626" s="1124"/>
      <c r="H3626" s="1124"/>
      <c r="I3626" s="1124"/>
      <c r="J3626" s="415"/>
      <c r="K3626" s="415"/>
      <c r="L3626" s="198"/>
      <c r="M3626" s="198"/>
      <c r="N3626" s="198"/>
      <c r="O3626" s="198"/>
      <c r="P3626" s="198"/>
      <c r="Q3626" s="198"/>
    </row>
    <row r="3627" spans="1:17" x14ac:dyDescent="0.2">
      <c r="A3627" s="411" t="str">
        <f>$A$2</f>
        <v>Tabela Referencial de Preços - DER-ES</v>
      </c>
      <c r="B3627" s="412"/>
      <c r="C3627" s="413"/>
      <c r="D3627" s="413"/>
      <c r="E3627" s="413"/>
      <c r="F3627" s="413"/>
      <c r="G3627" s="413"/>
      <c r="H3627" s="413"/>
      <c r="I3627" s="414" t="str">
        <f>$I$2</f>
        <v>Data Base: novembro/2020</v>
      </c>
      <c r="J3627" s="415">
        <v>42200</v>
      </c>
      <c r="K3627" s="415">
        <f>VLOOKUP("Preço Unitário Total",F3629:I4002,4,FALSE)</f>
        <v>5.72</v>
      </c>
      <c r="L3627" s="198">
        <f>VLOOKUP(J3627,'DER 11-20'!A:E,5,FALSE)</f>
        <v>0</v>
      </c>
      <c r="M3627" s="198" t="str">
        <f>VLOOKUP(J3627,'DER 11-20'!$A:$D,2,FALSE)</f>
        <v>Hidrossemeadura simples em taludes</v>
      </c>
      <c r="N3627" s="198"/>
      <c r="O3627" s="198"/>
      <c r="P3627" s="198"/>
      <c r="Q3627" s="198"/>
    </row>
    <row r="3628" spans="1:17" x14ac:dyDescent="0.2">
      <c r="A3628" s="1119" t="str">
        <f>+CONCATENATE("Serviço: ",J3627," ",VLOOKUP(J3627,'DER 11-20'!$A:$D,2,FALSE))</f>
        <v>Serviço: 42200 Hidrossemeadura simples em taludes</v>
      </c>
      <c r="B3628" s="1119"/>
      <c r="C3628" s="1119"/>
      <c r="D3628" s="1119"/>
      <c r="E3628" s="1119"/>
      <c r="F3628" s="1119"/>
      <c r="G3628" s="1119"/>
      <c r="H3628" s="1119"/>
      <c r="I3628" s="1119" t="str">
        <f>CONCATENATE("Unidade: ", VLOOKUP(J3627,'DER 11-20'!$A:$E,3,FALSE))</f>
        <v>Unidade: M2</v>
      </c>
      <c r="J3628" s="415"/>
      <c r="K3628" s="415"/>
      <c r="L3628" s="198"/>
      <c r="M3628" s="198"/>
      <c r="N3628" s="198"/>
      <c r="O3628" s="198"/>
      <c r="P3628" s="198"/>
      <c r="Q3628" s="198"/>
    </row>
    <row r="3629" spans="1:17" x14ac:dyDescent="0.2">
      <c r="A3629" s="1120"/>
      <c r="B3629" s="1120"/>
      <c r="C3629" s="1120"/>
      <c r="D3629" s="1120"/>
      <c r="E3629" s="1120"/>
      <c r="F3629" s="1120"/>
      <c r="G3629" s="1120"/>
      <c r="H3629" s="1120"/>
      <c r="I3629" s="1120"/>
    </row>
    <row r="3630" spans="1:17" ht="22.5" x14ac:dyDescent="0.2">
      <c r="A3630" s="231" t="s">
        <v>177</v>
      </c>
      <c r="B3630" s="232" t="s">
        <v>59</v>
      </c>
      <c r="C3630" s="232" t="s">
        <v>178</v>
      </c>
      <c r="D3630" s="232" t="s">
        <v>179</v>
      </c>
      <c r="E3630" s="232" t="s">
        <v>180</v>
      </c>
      <c r="F3630" s="232" t="s">
        <v>181</v>
      </c>
      <c r="G3630" s="232" t="s">
        <v>182</v>
      </c>
      <c r="H3630" s="232" t="s">
        <v>89</v>
      </c>
      <c r="I3630" s="434" t="s">
        <v>183</v>
      </c>
    </row>
    <row r="3631" spans="1:17" ht="22.5" x14ac:dyDescent="0.2">
      <c r="A3631" s="233" t="str">
        <f>VLOOKUP(B3631,equip.!$A:$G,2,FALSE)</f>
        <v>Caminhão tanque L 1319/48 PBT=12,9t (6.000L)</v>
      </c>
      <c r="B3631" s="234">
        <v>30007</v>
      </c>
      <c r="C3631" s="235" t="str">
        <f>VLOOKUP(B3631,equip.!$A$1:$G$239,3,FALSE)</f>
        <v>M</v>
      </c>
      <c r="D3631" s="236">
        <v>1</v>
      </c>
      <c r="E3631" s="203">
        <v>0</v>
      </c>
      <c r="F3631" s="237">
        <f>VLOOKUP(B3631,equip.!$A:$G,6,FALSE)</f>
        <v>164.94</v>
      </c>
      <c r="G3631" s="237">
        <f>VLOOKUP(B3631,equip.!$A:$G,7,FALSE)</f>
        <v>52.28</v>
      </c>
      <c r="H3631" s="238">
        <v>1</v>
      </c>
      <c r="I3631" s="418">
        <f>TRUNC(D3631*F3631*H3631+E3631*G3631*H3631,2)</f>
        <v>164.94</v>
      </c>
    </row>
    <row r="3632" spans="1:17" x14ac:dyDescent="0.2">
      <c r="A3632" s="199"/>
      <c r="B3632" s="229"/>
      <c r="C3632" s="229"/>
      <c r="D3632" s="199"/>
      <c r="E3632" s="199"/>
      <c r="F3632" s="230" t="s">
        <v>184</v>
      </c>
      <c r="G3632" s="240"/>
      <c r="H3632" s="241"/>
      <c r="I3632" s="438">
        <f>SUM(I3631:I3631)</f>
        <v>164.94</v>
      </c>
    </row>
    <row r="3633" spans="1:9" x14ac:dyDescent="0.2">
      <c r="A3633" s="199"/>
      <c r="B3633" s="229"/>
      <c r="C3633" s="229"/>
      <c r="D3633" s="199"/>
      <c r="E3633" s="199"/>
      <c r="F3633" s="199"/>
      <c r="G3633" s="199"/>
      <c r="H3633" s="199"/>
      <c r="I3633" s="439"/>
    </row>
    <row r="3634" spans="1:9" x14ac:dyDescent="0.2">
      <c r="A3634" s="242" t="s">
        <v>185</v>
      </c>
      <c r="B3634" s="243" t="s">
        <v>59</v>
      </c>
      <c r="C3634" s="232" t="s">
        <v>357</v>
      </c>
      <c r="D3634" s="243" t="s">
        <v>187</v>
      </c>
      <c r="E3634" s="1121" t="s">
        <v>89</v>
      </c>
      <c r="F3634" s="1114"/>
      <c r="G3634" s="1115"/>
      <c r="H3634" s="1121" t="s">
        <v>183</v>
      </c>
      <c r="I3634" s="1115"/>
    </row>
    <row r="3635" spans="1:9" x14ac:dyDescent="0.2">
      <c r="A3635" s="244" t="str">
        <f>VLOOKUP(B3635,m.o.!$A:$H,2,FALSE)</f>
        <v>Servente</v>
      </c>
      <c r="B3635" s="234">
        <v>20002</v>
      </c>
      <c r="C3635" s="239">
        <f>VLOOKUP(B3635,m.o.!$A:$F,4,FALSE)</f>
        <v>1</v>
      </c>
      <c r="D3635" s="239">
        <f>VLOOKUP(B3635,m.o.!$A:$G,7,FALSE)</f>
        <v>12.52</v>
      </c>
      <c r="E3635" s="240"/>
      <c r="F3635" s="241"/>
      <c r="G3635" s="405">
        <v>2</v>
      </c>
      <c r="H3635" s="240"/>
      <c r="I3635" s="427">
        <f>TRUNC(D3635*G3635,2)</f>
        <v>25.04</v>
      </c>
    </row>
    <row r="3636" spans="1:9" x14ac:dyDescent="0.2">
      <c r="A3636" s="199"/>
      <c r="B3636" s="229"/>
      <c r="C3636" s="229"/>
      <c r="D3636" s="199"/>
      <c r="E3636" s="199"/>
      <c r="F3636" s="230" t="s">
        <v>188</v>
      </c>
      <c r="G3636" s="240"/>
      <c r="H3636" s="241"/>
      <c r="I3636" s="438">
        <f>SUM(I3635:I3635)</f>
        <v>25.04</v>
      </c>
    </row>
    <row r="3637" spans="1:9" x14ac:dyDescent="0.2">
      <c r="A3637" s="199"/>
      <c r="B3637" s="229"/>
      <c r="C3637" s="229"/>
      <c r="D3637" s="199"/>
      <c r="E3637" s="199"/>
      <c r="F3637" s="199"/>
      <c r="G3637" s="199"/>
      <c r="H3637" s="199"/>
      <c r="I3637" s="439"/>
    </row>
    <row r="3638" spans="1:9" x14ac:dyDescent="0.2">
      <c r="A3638" s="245" t="s">
        <v>189</v>
      </c>
      <c r="B3638" s="243" t="s">
        <v>59</v>
      </c>
      <c r="C3638" s="635" t="s">
        <v>17</v>
      </c>
      <c r="D3638" s="243" t="s">
        <v>190</v>
      </c>
      <c r="E3638" s="243" t="s">
        <v>191</v>
      </c>
      <c r="F3638" s="243" t="s">
        <v>192</v>
      </c>
      <c r="G3638" s="1121" t="s">
        <v>94</v>
      </c>
      <c r="H3638" s="1114"/>
      <c r="I3638" s="1115"/>
    </row>
    <row r="3639" spans="1:9" x14ac:dyDescent="0.2">
      <c r="A3639" s="244" t="s">
        <v>312</v>
      </c>
      <c r="B3639" s="234">
        <v>2000</v>
      </c>
      <c r="C3639" s="239">
        <v>5</v>
      </c>
      <c r="D3639" s="235" t="s">
        <v>313</v>
      </c>
      <c r="E3639" s="246"/>
      <c r="F3639" s="246"/>
      <c r="G3639" s="240"/>
      <c r="H3639" s="241"/>
      <c r="I3639" s="427">
        <f>C3639/100*I3636</f>
        <v>1.25</v>
      </c>
    </row>
    <row r="3640" spans="1:9" x14ac:dyDescent="0.2">
      <c r="A3640" s="199"/>
      <c r="B3640" s="229"/>
      <c r="C3640" s="199"/>
      <c r="D3640" s="199"/>
      <c r="E3640" s="199"/>
      <c r="F3640" s="230" t="s">
        <v>327</v>
      </c>
      <c r="G3640" s="240"/>
      <c r="H3640" s="241"/>
      <c r="I3640" s="438">
        <f>SUM(I3639)</f>
        <v>1.25</v>
      </c>
    </row>
    <row r="3641" spans="1:9" x14ac:dyDescent="0.2">
      <c r="A3641" s="199"/>
      <c r="B3641" s="229"/>
      <c r="C3641" s="199"/>
      <c r="D3641" s="199"/>
      <c r="E3641" s="199"/>
      <c r="F3641" s="199"/>
      <c r="G3641" s="199"/>
      <c r="H3641" s="199"/>
      <c r="I3641" s="439"/>
    </row>
    <row r="3642" spans="1:9" x14ac:dyDescent="0.2">
      <c r="A3642" s="247"/>
      <c r="B3642" s="248"/>
      <c r="C3642" s="249"/>
      <c r="D3642" s="249"/>
      <c r="E3642" s="249"/>
      <c r="F3642" s="250" t="s">
        <v>193</v>
      </c>
      <c r="G3642" s="401"/>
      <c r="H3642" s="249"/>
      <c r="I3642" s="445">
        <f>+I3632+I3636+I3640</f>
        <v>191.23</v>
      </c>
    </row>
    <row r="3643" spans="1:9" x14ac:dyDescent="0.2">
      <c r="A3643" s="251"/>
      <c r="B3643" s="252"/>
      <c r="C3643" s="253"/>
      <c r="D3643" s="253"/>
      <c r="E3643" s="253"/>
      <c r="F3643" s="254" t="s">
        <v>194</v>
      </c>
      <c r="G3643" s="255"/>
      <c r="H3643" s="253"/>
      <c r="I3643" s="446">
        <v>350</v>
      </c>
    </row>
    <row r="3644" spans="1:9" x14ac:dyDescent="0.2">
      <c r="A3644" s="233"/>
      <c r="B3644" s="256"/>
      <c r="C3644" s="241"/>
      <c r="D3644" s="241"/>
      <c r="E3644" s="241"/>
      <c r="F3644" s="257" t="s">
        <v>216</v>
      </c>
      <c r="G3644" s="240"/>
      <c r="H3644" s="241"/>
      <c r="I3644" s="447">
        <f>TRUNC(I3642/I3643,2)</f>
        <v>0.54</v>
      </c>
    </row>
    <row r="3645" spans="1:9" x14ac:dyDescent="0.2">
      <c r="A3645" s="636"/>
      <c r="B3645" s="229"/>
      <c r="C3645" s="199"/>
      <c r="D3645" s="199"/>
      <c r="E3645" s="199"/>
      <c r="F3645" s="258"/>
      <c r="G3645" s="199"/>
      <c r="H3645" s="199"/>
      <c r="I3645" s="450"/>
    </row>
    <row r="3646" spans="1:9" x14ac:dyDescent="0.2">
      <c r="A3646" s="242" t="s">
        <v>195</v>
      </c>
      <c r="B3646" s="243" t="s">
        <v>59</v>
      </c>
      <c r="C3646" s="243" t="s">
        <v>196</v>
      </c>
      <c r="D3646" s="243" t="s">
        <v>217</v>
      </c>
      <c r="E3646" s="1121" t="s">
        <v>89</v>
      </c>
      <c r="F3646" s="1114"/>
      <c r="G3646" s="1115"/>
      <c r="H3646" s="1121" t="s">
        <v>183</v>
      </c>
      <c r="I3646" s="1115"/>
    </row>
    <row r="3647" spans="1:9" x14ac:dyDescent="0.2">
      <c r="A3647" s="259"/>
      <c r="B3647" s="234"/>
      <c r="C3647" s="260"/>
      <c r="D3647" s="261"/>
      <c r="E3647" s="255"/>
      <c r="F3647" s="253"/>
      <c r="G3647" s="405"/>
      <c r="H3647" s="255"/>
      <c r="I3647" s="423"/>
    </row>
    <row r="3648" spans="1:9" x14ac:dyDescent="0.2">
      <c r="A3648" s="199"/>
      <c r="B3648" s="229"/>
      <c r="C3648" s="199"/>
      <c r="D3648" s="199"/>
      <c r="E3648" s="199"/>
      <c r="F3648" s="230" t="s">
        <v>197</v>
      </c>
      <c r="G3648" s="240"/>
      <c r="H3648" s="241"/>
      <c r="I3648" s="438">
        <f>SUM(I3647:I3647)</f>
        <v>0</v>
      </c>
    </row>
    <row r="3649" spans="1:17" x14ac:dyDescent="0.2">
      <c r="A3649" s="199"/>
      <c r="B3649" s="229"/>
      <c r="C3649" s="199"/>
      <c r="D3649" s="199"/>
      <c r="E3649" s="199"/>
      <c r="F3649" s="199"/>
      <c r="G3649" s="262"/>
      <c r="H3649" s="199"/>
      <c r="I3649" s="439"/>
    </row>
    <row r="3650" spans="1:17" x14ac:dyDescent="0.2">
      <c r="A3650" s="263" t="s">
        <v>198</v>
      </c>
      <c r="B3650" s="243" t="s">
        <v>59</v>
      </c>
      <c r="C3650" s="243" t="s">
        <v>196</v>
      </c>
      <c r="D3650" s="635" t="s">
        <v>217</v>
      </c>
      <c r="E3650" s="1121" t="s">
        <v>89</v>
      </c>
      <c r="F3650" s="1114"/>
      <c r="G3650" s="1115"/>
      <c r="H3650" s="1121" t="s">
        <v>183</v>
      </c>
      <c r="I3650" s="1115"/>
    </row>
    <row r="3651" spans="1:17" x14ac:dyDescent="0.2">
      <c r="A3651" s="416" t="str">
        <f>VLOOKUP(B3651,'DER 11-20'!$A:$E,2,FALSE)</f>
        <v>Conformação manual de taludes</v>
      </c>
      <c r="B3651" s="417">
        <v>42199</v>
      </c>
      <c r="C3651" s="417" t="str">
        <f>VLOOKUP(B3651,'DER 11-20'!$A:$E,3,FALSE)</f>
        <v>M2</v>
      </c>
      <c r="D3651" s="418">
        <f>I4123</f>
        <v>1.38</v>
      </c>
      <c r="E3651" s="419"/>
      <c r="F3651" s="420"/>
      <c r="G3651" s="421">
        <v>1</v>
      </c>
      <c r="H3651" s="422"/>
      <c r="I3651" s="423">
        <f>TRUNC(D3651*G3651,2)</f>
        <v>1.38</v>
      </c>
      <c r="J3651" s="415"/>
      <c r="K3651" s="415"/>
      <c r="L3651" s="198"/>
      <c r="M3651" s="198"/>
      <c r="N3651" s="198"/>
    </row>
    <row r="3652" spans="1:17" x14ac:dyDescent="0.2">
      <c r="A3652" s="416" t="s">
        <v>316</v>
      </c>
      <c r="B3652" s="417">
        <v>42237</v>
      </c>
      <c r="C3652" s="417" t="s">
        <v>314</v>
      </c>
      <c r="D3652" s="418">
        <v>2.72</v>
      </c>
      <c r="E3652" s="419"/>
      <c r="F3652" s="420"/>
      <c r="G3652" s="421">
        <v>1</v>
      </c>
      <c r="H3652" s="422"/>
      <c r="I3652" s="423">
        <f>TRUNC(D3652*G3652,2)</f>
        <v>2.72</v>
      </c>
    </row>
    <row r="3653" spans="1:17" x14ac:dyDescent="0.2">
      <c r="A3653" s="200"/>
      <c r="B3653" s="264"/>
      <c r="C3653" s="200"/>
      <c r="D3653" s="200"/>
      <c r="E3653" s="200"/>
      <c r="F3653" s="265" t="s">
        <v>199</v>
      </c>
      <c r="G3653" s="255"/>
      <c r="H3653" s="266"/>
      <c r="I3653" s="441">
        <f>SUM(I3651:I3652)</f>
        <v>4.0999999999999996</v>
      </c>
    </row>
    <row r="3654" spans="1:17" x14ac:dyDescent="0.2">
      <c r="A3654" s="200"/>
      <c r="B3654" s="264"/>
      <c r="C3654" s="200"/>
      <c r="D3654" s="200"/>
      <c r="E3654" s="200"/>
      <c r="F3654" s="200"/>
      <c r="G3654" s="200"/>
      <c r="H3654" s="200"/>
      <c r="I3654" s="440"/>
    </row>
    <row r="3655" spans="1:17" x14ac:dyDescent="0.2">
      <c r="A3655" s="267" t="s">
        <v>200</v>
      </c>
      <c r="B3655" s="268" t="s">
        <v>59</v>
      </c>
      <c r="C3655" s="268" t="s">
        <v>196</v>
      </c>
      <c r="D3655" s="268" t="s">
        <v>201</v>
      </c>
      <c r="E3655" s="268" t="s">
        <v>202</v>
      </c>
      <c r="F3655" s="268" t="s">
        <v>203</v>
      </c>
      <c r="G3655" s="268" t="s">
        <v>94</v>
      </c>
      <c r="H3655" s="268" t="s">
        <v>89</v>
      </c>
      <c r="I3655" s="442" t="s">
        <v>204</v>
      </c>
    </row>
    <row r="3656" spans="1:17" x14ac:dyDescent="0.2">
      <c r="A3656" s="244"/>
      <c r="B3656" s="234"/>
      <c r="C3656" s="234"/>
      <c r="D3656" s="269"/>
      <c r="E3656" s="270"/>
      <c r="F3656" s="270"/>
      <c r="G3656" s="239"/>
      <c r="H3656" s="271"/>
      <c r="I3656" s="418"/>
    </row>
    <row r="3657" spans="1:17" x14ac:dyDescent="0.2">
      <c r="A3657" s="200"/>
      <c r="B3657" s="264"/>
      <c r="C3657" s="200"/>
      <c r="D3657" s="200"/>
      <c r="E3657" s="200"/>
      <c r="F3657" s="265" t="s">
        <v>205</v>
      </c>
      <c r="G3657" s="240"/>
      <c r="H3657" s="272"/>
      <c r="I3657" s="443">
        <f>SUM(I3656:I3656)</f>
        <v>0</v>
      </c>
    </row>
    <row r="3658" spans="1:17" x14ac:dyDescent="0.2">
      <c r="A3658" s="200"/>
      <c r="B3658" s="264"/>
      <c r="C3658" s="200"/>
      <c r="D3658" s="200"/>
      <c r="E3658" s="200"/>
      <c r="F3658" s="200"/>
      <c r="G3658" s="200"/>
      <c r="H3658" s="200"/>
      <c r="I3658" s="444"/>
    </row>
    <row r="3659" spans="1:17" x14ac:dyDescent="0.2">
      <c r="A3659" s="273"/>
      <c r="B3659" s="274"/>
      <c r="C3659" s="275"/>
      <c r="D3659" s="275"/>
      <c r="E3659" s="275"/>
      <c r="F3659" s="276" t="s">
        <v>206</v>
      </c>
      <c r="G3659" s="273"/>
      <c r="H3659" s="249"/>
      <c r="I3659" s="445">
        <f>+I3644+I3648+I3653+I3657</f>
        <v>4.6399999999999997</v>
      </c>
    </row>
    <row r="3660" spans="1:17" x14ac:dyDescent="0.2">
      <c r="A3660" s="255"/>
      <c r="B3660" s="277"/>
      <c r="C3660" s="266"/>
      <c r="D3660" s="266"/>
      <c r="E3660" s="266"/>
      <c r="F3660" s="278" t="str">
        <f>CONCATENATE($H$3," ",$I$3)</f>
        <v>BDI: 23,32</v>
      </c>
      <c r="G3660" s="403"/>
      <c r="H3660" s="253"/>
      <c r="I3660" s="446">
        <f>+ROUND(I3659*$I$4,2)</f>
        <v>1.08</v>
      </c>
    </row>
    <row r="3661" spans="1:17" x14ac:dyDescent="0.2">
      <c r="A3661" s="240"/>
      <c r="B3661" s="279"/>
      <c r="C3661" s="272"/>
      <c r="D3661" s="272"/>
      <c r="E3661" s="272"/>
      <c r="F3661" s="280" t="s">
        <v>207</v>
      </c>
      <c r="G3661" s="404"/>
      <c r="H3661" s="241"/>
      <c r="I3661" s="720">
        <f>+I3659+I3660</f>
        <v>5.72</v>
      </c>
    </row>
    <row r="3662" spans="1:17" s="359" customFormat="1" x14ac:dyDescent="0.2">
      <c r="A3662" s="1116" t="str">
        <f>$A$1</f>
        <v>COMPOSIÇÃO DE CUSTOS UNITÁRIOS</v>
      </c>
      <c r="B3662" s="1116"/>
      <c r="C3662" s="1116"/>
      <c r="D3662" s="1116"/>
      <c r="E3662" s="1116"/>
      <c r="F3662" s="1116"/>
      <c r="G3662" s="1116"/>
      <c r="H3662" s="1116"/>
      <c r="I3662" s="1116"/>
      <c r="J3662" s="400"/>
      <c r="K3662" s="400"/>
      <c r="L3662" s="295"/>
      <c r="M3662" s="295"/>
      <c r="N3662" s="295"/>
      <c r="O3662" s="295"/>
      <c r="P3662" s="295"/>
      <c r="Q3662" s="295"/>
    </row>
    <row r="3663" spans="1:17" x14ac:dyDescent="0.2">
      <c r="A3663" s="228" t="str">
        <f>$A$2</f>
        <v>Tabela Referencial de Preços - DER-ES</v>
      </c>
      <c r="B3663" s="229"/>
      <c r="C3663" s="199"/>
      <c r="D3663" s="199"/>
      <c r="E3663" s="199"/>
      <c r="F3663" s="199"/>
      <c r="G3663" s="199"/>
      <c r="H3663" s="199"/>
      <c r="I3663" s="414" t="str">
        <f>$I$2</f>
        <v>Data Base: novembro/2020</v>
      </c>
      <c r="J3663" s="400">
        <v>42044</v>
      </c>
      <c r="K3663" s="400">
        <f>VLOOKUP("Preço Unitário Total",F3665:I4015,4,FALSE)</f>
        <v>4497.16</v>
      </c>
      <c r="L3663" s="295">
        <f>VLOOKUP(J3663,'DER 11-20'!A:E,5,FALSE)</f>
        <v>0</v>
      </c>
      <c r="M3663" s="295" t="str">
        <f>VLOOKUP(J3663,'DER 11-20'!$A:$D,2,FALSE)</f>
        <v>Reunião de Comunicação Social inclusive material de consumo</v>
      </c>
    </row>
    <row r="3664" spans="1:17" ht="19.5" customHeight="1" x14ac:dyDescent="0.2">
      <c r="A3664" s="1117" t="str">
        <f>+CONCATENATE("Serviço: ",J3663," ",VLOOKUP(J3663,'DER 11-20'!$A:$D,2,FALSE))</f>
        <v>Serviço: 42044 Reunião de Comunicação Social inclusive material de consumo</v>
      </c>
      <c r="B3664" s="1117"/>
      <c r="C3664" s="1117"/>
      <c r="D3664" s="1117"/>
      <c r="E3664" s="1117"/>
      <c r="F3664" s="1117"/>
      <c r="G3664" s="1117"/>
      <c r="H3664" s="1117"/>
      <c r="I3664" s="1119" t="str">
        <f>CONCATENATE("Unidade: ", VLOOKUP(J3663,'DER 11-20'!$A:$E,3,FALSE))</f>
        <v>Unidade: Ud</v>
      </c>
    </row>
    <row r="3665" spans="1:11" x14ac:dyDescent="0.2">
      <c r="A3665" s="1118"/>
      <c r="B3665" s="1118"/>
      <c r="C3665" s="1118"/>
      <c r="D3665" s="1118"/>
      <c r="E3665" s="1118"/>
      <c r="F3665" s="1118"/>
      <c r="G3665" s="1118"/>
      <c r="H3665" s="1118"/>
      <c r="I3665" s="1120"/>
    </row>
    <row r="3666" spans="1:11" ht="22.5" x14ac:dyDescent="0.2">
      <c r="A3666" s="231" t="s">
        <v>177</v>
      </c>
      <c r="B3666" s="232" t="s">
        <v>59</v>
      </c>
      <c r="C3666" s="232" t="s">
        <v>178</v>
      </c>
      <c r="D3666" s="232" t="s">
        <v>179</v>
      </c>
      <c r="E3666" s="232" t="s">
        <v>180</v>
      </c>
      <c r="F3666" s="232" t="s">
        <v>181</v>
      </c>
      <c r="G3666" s="232" t="s">
        <v>182</v>
      </c>
      <c r="H3666" s="232" t="s">
        <v>89</v>
      </c>
      <c r="I3666" s="434" t="s">
        <v>183</v>
      </c>
    </row>
    <row r="3667" spans="1:11" x14ac:dyDescent="0.2">
      <c r="A3667" s="233"/>
      <c r="B3667" s="234"/>
      <c r="C3667" s="235"/>
      <c r="D3667" s="236"/>
      <c r="E3667" s="203"/>
      <c r="F3667" s="237"/>
      <c r="G3667" s="237"/>
      <c r="H3667" s="238"/>
      <c r="I3667" s="418"/>
    </row>
    <row r="3668" spans="1:11" x14ac:dyDescent="0.2">
      <c r="A3668" s="199"/>
      <c r="B3668" s="229"/>
      <c r="C3668" s="229"/>
      <c r="D3668" s="199"/>
      <c r="E3668" s="199"/>
      <c r="F3668" s="230" t="s">
        <v>184</v>
      </c>
      <c r="G3668" s="240"/>
      <c r="H3668" s="241"/>
      <c r="I3668" s="438">
        <f>SUM(I3667:I3667)</f>
        <v>0</v>
      </c>
    </row>
    <row r="3669" spans="1:11" x14ac:dyDescent="0.2">
      <c r="A3669" s="199"/>
      <c r="B3669" s="229"/>
      <c r="C3669" s="229"/>
      <c r="D3669" s="199"/>
      <c r="E3669" s="199"/>
      <c r="F3669" s="199"/>
      <c r="G3669" s="199"/>
      <c r="H3669" s="199"/>
      <c r="I3669" s="439"/>
    </row>
    <row r="3670" spans="1:11" x14ac:dyDescent="0.2">
      <c r="A3670" s="242" t="s">
        <v>185</v>
      </c>
      <c r="B3670" s="243" t="s">
        <v>59</v>
      </c>
      <c r="C3670" s="232" t="s">
        <v>357</v>
      </c>
      <c r="D3670" s="243" t="s">
        <v>187</v>
      </c>
      <c r="E3670" s="1121" t="s">
        <v>89</v>
      </c>
      <c r="F3670" s="1114"/>
      <c r="G3670" s="1115"/>
      <c r="H3670" s="1121" t="s">
        <v>183</v>
      </c>
      <c r="I3670" s="1115"/>
    </row>
    <row r="3671" spans="1:11" x14ac:dyDescent="0.2">
      <c r="A3671" s="244" t="str">
        <f>VLOOKUP(B3671,m.o.!$A:$H,2,FALSE)</f>
        <v>Engenheiro junior</v>
      </c>
      <c r="B3671" s="234">
        <v>20070</v>
      </c>
      <c r="C3671" s="239">
        <f>VLOOKUP(B3671,m.o.!$A:$F,5,FALSE)</f>
        <v>8882.5</v>
      </c>
      <c r="D3671" s="239">
        <f>VLOOKUP(B3671,m.o.!$A:$G,7,FALSE)</f>
        <v>16347.35</v>
      </c>
      <c r="E3671" s="240"/>
      <c r="F3671" s="253"/>
      <c r="G3671" s="293">
        <v>1.8200000000000001E-2</v>
      </c>
      <c r="H3671" s="240"/>
      <c r="I3671" s="427">
        <f>TRUNC(D3671*G3671,2)</f>
        <v>297.52</v>
      </c>
    </row>
    <row r="3672" spans="1:11" x14ac:dyDescent="0.2">
      <c r="A3672" s="244" t="str">
        <f>VLOOKUP(B3672,m.o.!$A:$H,2,FALSE)</f>
        <v>Engenheiro pleno</v>
      </c>
      <c r="B3672" s="234">
        <v>20069</v>
      </c>
      <c r="C3672" s="239">
        <f>VLOOKUP(B3672,m.o.!$A:$F,5,FALSE)</f>
        <v>10173.73</v>
      </c>
      <c r="D3672" s="239">
        <f>VLOOKUP(B3672,m.o.!$A:$G,7,FALSE)</f>
        <v>18723.73</v>
      </c>
      <c r="E3672" s="240"/>
      <c r="F3672" s="253"/>
      <c r="G3672" s="293">
        <v>1.8200000000000001E-2</v>
      </c>
      <c r="H3672" s="240"/>
      <c r="I3672" s="427">
        <f>TRUNC(D3672*G3672,2)</f>
        <v>340.77</v>
      </c>
    </row>
    <row r="3673" spans="1:11" x14ac:dyDescent="0.2">
      <c r="A3673" s="244" t="str">
        <f>VLOOKUP(B3673,m.o.!$A:$H,2,FALSE)</f>
        <v>Secretária</v>
      </c>
      <c r="B3673" s="234">
        <v>20114</v>
      </c>
      <c r="C3673" s="239">
        <f>VLOOKUP(B3673,m.o.!$A:$F,5,FALSE)</f>
        <v>2137.13</v>
      </c>
      <c r="D3673" s="239">
        <f>VLOOKUP(B3673,m.o.!$A:$G,7,FALSE)</f>
        <v>3933.17</v>
      </c>
      <c r="E3673" s="240"/>
      <c r="F3673" s="253"/>
      <c r="G3673" s="293">
        <v>3.6400000000000002E-2</v>
      </c>
      <c r="H3673" s="240"/>
      <c r="I3673" s="427">
        <f>TRUNC(D3673*G3673,2)</f>
        <v>143.16</v>
      </c>
      <c r="J3673" s="295"/>
      <c r="K3673" s="295"/>
    </row>
    <row r="3674" spans="1:11" x14ac:dyDescent="0.2">
      <c r="A3674" s="199"/>
      <c r="B3674" s="229"/>
      <c r="C3674" s="229"/>
      <c r="D3674" s="199"/>
      <c r="E3674" s="199"/>
      <c r="F3674" s="230" t="s">
        <v>188</v>
      </c>
      <c r="G3674" s="240"/>
      <c r="H3674" s="241"/>
      <c r="I3674" s="438">
        <f>SUM(I3671:I3673)</f>
        <v>781.45</v>
      </c>
      <c r="J3674" s="295"/>
      <c r="K3674" s="295"/>
    </row>
    <row r="3675" spans="1:11" x14ac:dyDescent="0.2">
      <c r="A3675" s="199"/>
      <c r="B3675" s="229"/>
      <c r="C3675" s="229"/>
      <c r="D3675" s="199"/>
      <c r="E3675" s="199"/>
      <c r="F3675" s="199"/>
      <c r="G3675" s="199"/>
      <c r="H3675" s="199"/>
      <c r="I3675" s="439"/>
      <c r="J3675" s="295"/>
      <c r="K3675" s="295"/>
    </row>
    <row r="3676" spans="1:11" x14ac:dyDescent="0.2">
      <c r="A3676" s="245" t="s">
        <v>189</v>
      </c>
      <c r="B3676" s="243" t="s">
        <v>59</v>
      </c>
      <c r="C3676" s="635" t="s">
        <v>17</v>
      </c>
      <c r="D3676" s="243" t="s">
        <v>190</v>
      </c>
      <c r="E3676" s="243" t="s">
        <v>191</v>
      </c>
      <c r="F3676" s="243" t="s">
        <v>192</v>
      </c>
      <c r="G3676" s="1121" t="s">
        <v>94</v>
      </c>
      <c r="H3676" s="1114"/>
      <c r="I3676" s="1115"/>
      <c r="J3676" s="295"/>
      <c r="K3676" s="295"/>
    </row>
    <row r="3677" spans="1:11" x14ac:dyDescent="0.2">
      <c r="A3677" s="244"/>
      <c r="B3677" s="234"/>
      <c r="C3677" s="239"/>
      <c r="D3677" s="235"/>
      <c r="E3677" s="246"/>
      <c r="F3677" s="246"/>
      <c r="G3677" s="240"/>
      <c r="H3677" s="241"/>
      <c r="I3677" s="427"/>
      <c r="J3677" s="295"/>
      <c r="K3677" s="295"/>
    </row>
    <row r="3678" spans="1:11" x14ac:dyDescent="0.2">
      <c r="A3678" s="199"/>
      <c r="B3678" s="229"/>
      <c r="C3678" s="199"/>
      <c r="D3678" s="199"/>
      <c r="E3678" s="199"/>
      <c r="F3678" s="230" t="s">
        <v>327</v>
      </c>
      <c r="G3678" s="240"/>
      <c r="H3678" s="241"/>
      <c r="I3678" s="438">
        <f>SUM(I3677)</f>
        <v>0</v>
      </c>
      <c r="J3678" s="295"/>
      <c r="K3678" s="295"/>
    </row>
    <row r="3679" spans="1:11" x14ac:dyDescent="0.2">
      <c r="A3679" s="199"/>
      <c r="B3679" s="229"/>
      <c r="C3679" s="199"/>
      <c r="D3679" s="199"/>
      <c r="E3679" s="199"/>
      <c r="F3679" s="199"/>
      <c r="G3679" s="199"/>
      <c r="H3679" s="199"/>
      <c r="I3679" s="439"/>
      <c r="J3679" s="295"/>
      <c r="K3679" s="295"/>
    </row>
    <row r="3680" spans="1:11" x14ac:dyDescent="0.2">
      <c r="A3680" s="247"/>
      <c r="B3680" s="248"/>
      <c r="C3680" s="249"/>
      <c r="D3680" s="249"/>
      <c r="E3680" s="249"/>
      <c r="F3680" s="250" t="s">
        <v>193</v>
      </c>
      <c r="G3680" s="401"/>
      <c r="H3680" s="249"/>
      <c r="I3680" s="445">
        <f>+I3668+I3674+I3678</f>
        <v>781.45</v>
      </c>
      <c r="J3680" s="295"/>
      <c r="K3680" s="295"/>
    </row>
    <row r="3681" spans="1:17" x14ac:dyDescent="0.2">
      <c r="A3681" s="251"/>
      <c r="B3681" s="252"/>
      <c r="C3681" s="253"/>
      <c r="D3681" s="253"/>
      <c r="E3681" s="253"/>
      <c r="F3681" s="254" t="s">
        <v>194</v>
      </c>
      <c r="G3681" s="255"/>
      <c r="H3681" s="253"/>
      <c r="I3681" s="446">
        <v>1</v>
      </c>
      <c r="J3681" s="295"/>
      <c r="K3681" s="295"/>
    </row>
    <row r="3682" spans="1:17" s="359" customFormat="1" x14ac:dyDescent="0.2">
      <c r="A3682" s="233"/>
      <c r="B3682" s="256"/>
      <c r="C3682" s="241"/>
      <c r="D3682" s="241"/>
      <c r="E3682" s="241"/>
      <c r="F3682" s="257" t="s">
        <v>216</v>
      </c>
      <c r="G3682" s="240"/>
      <c r="H3682" s="241"/>
      <c r="I3682" s="447">
        <f>TRUNC(I3680/I3681,2)</f>
        <v>781.45</v>
      </c>
      <c r="J3682" s="295"/>
      <c r="K3682" s="295"/>
      <c r="L3682" s="295"/>
      <c r="M3682" s="295"/>
      <c r="N3682" s="295"/>
      <c r="O3682" s="295"/>
      <c r="P3682" s="295"/>
      <c r="Q3682" s="295"/>
    </row>
    <row r="3683" spans="1:17" s="435" customFormat="1" x14ac:dyDescent="0.2">
      <c r="A3683" s="636"/>
      <c r="B3683" s="229"/>
      <c r="C3683" s="199"/>
      <c r="D3683" s="199"/>
      <c r="E3683" s="199"/>
      <c r="F3683" s="258"/>
      <c r="G3683" s="199"/>
      <c r="H3683" s="199"/>
      <c r="I3683" s="450"/>
      <c r="J3683" s="295"/>
      <c r="K3683" s="295"/>
      <c r="L3683" s="295"/>
      <c r="M3683" s="295"/>
      <c r="N3683" s="295"/>
      <c r="O3683" s="295"/>
      <c r="P3683" s="295"/>
      <c r="Q3683" s="295"/>
    </row>
    <row r="3684" spans="1:17" x14ac:dyDescent="0.2">
      <c r="A3684" s="242" t="s">
        <v>195</v>
      </c>
      <c r="B3684" s="243" t="s">
        <v>59</v>
      </c>
      <c r="C3684" s="243" t="s">
        <v>196</v>
      </c>
      <c r="D3684" s="243" t="s">
        <v>217</v>
      </c>
      <c r="E3684" s="1121" t="s">
        <v>89</v>
      </c>
      <c r="F3684" s="1114"/>
      <c r="G3684" s="1115"/>
      <c r="H3684" s="1121" t="s">
        <v>183</v>
      </c>
      <c r="I3684" s="1115"/>
      <c r="J3684" s="295"/>
      <c r="K3684" s="295"/>
    </row>
    <row r="3685" spans="1:17" ht="22.5" x14ac:dyDescent="0.2">
      <c r="A3685" s="259" t="str">
        <f>VLOOKUP(B3685,mat.!$A:$D,2,FALSE)</f>
        <v>Serviços gráficos e materiais de consumo</v>
      </c>
      <c r="B3685" s="234">
        <v>10584</v>
      </c>
      <c r="C3685" s="260" t="str">
        <f>VLOOKUP(B3685,mat.!$A:$D,3,FALSE)</f>
        <v>Mes</v>
      </c>
      <c r="D3685" s="261">
        <f>VLOOKUP(B3685,mat.!$A:$D,4,FALSE)</f>
        <v>2865.29</v>
      </c>
      <c r="E3685" s="255"/>
      <c r="F3685" s="253"/>
      <c r="G3685" s="293">
        <v>1</v>
      </c>
      <c r="H3685" s="255"/>
      <c r="I3685" s="423">
        <f>TRUNC(D3685*G3685,2)</f>
        <v>2865.29</v>
      </c>
      <c r="J3685" s="295"/>
      <c r="K3685" s="295"/>
    </row>
    <row r="3686" spans="1:17" x14ac:dyDescent="0.2">
      <c r="A3686" s="199"/>
      <c r="B3686" s="229"/>
      <c r="C3686" s="199"/>
      <c r="D3686" s="199"/>
      <c r="E3686" s="199"/>
      <c r="F3686" s="230" t="s">
        <v>197</v>
      </c>
      <c r="G3686" s="240"/>
      <c r="H3686" s="241"/>
      <c r="I3686" s="438">
        <f>SUM(I3685:I3685)</f>
        <v>2865.29</v>
      </c>
      <c r="J3686" s="295"/>
      <c r="K3686" s="295"/>
    </row>
    <row r="3687" spans="1:17" x14ac:dyDescent="0.2">
      <c r="A3687" s="199"/>
      <c r="B3687" s="229"/>
      <c r="C3687" s="199"/>
      <c r="D3687" s="199"/>
      <c r="E3687" s="199"/>
      <c r="F3687" s="199"/>
      <c r="G3687" s="262"/>
      <c r="H3687" s="199"/>
      <c r="I3687" s="439"/>
      <c r="J3687" s="295"/>
      <c r="K3687" s="295"/>
    </row>
    <row r="3688" spans="1:17" x14ac:dyDescent="0.2">
      <c r="A3688" s="263" t="s">
        <v>198</v>
      </c>
      <c r="B3688" s="243" t="s">
        <v>59</v>
      </c>
      <c r="C3688" s="243" t="s">
        <v>196</v>
      </c>
      <c r="D3688" s="635" t="s">
        <v>217</v>
      </c>
      <c r="E3688" s="1121" t="s">
        <v>89</v>
      </c>
      <c r="F3688" s="1114"/>
      <c r="G3688" s="1115"/>
      <c r="H3688" s="1121" t="s">
        <v>183</v>
      </c>
      <c r="I3688" s="1115"/>
      <c r="J3688" s="295"/>
      <c r="K3688" s="295"/>
      <c r="P3688" s="198"/>
      <c r="Q3688" s="198"/>
    </row>
    <row r="3689" spans="1:17" x14ac:dyDescent="0.2">
      <c r="A3689" s="244"/>
      <c r="B3689" s="234"/>
      <c r="C3689" s="234"/>
      <c r="D3689" s="239"/>
      <c r="E3689" s="240"/>
      <c r="F3689" s="253"/>
      <c r="G3689" s="293"/>
      <c r="H3689" s="240"/>
      <c r="I3689" s="423"/>
    </row>
    <row r="3690" spans="1:17" x14ac:dyDescent="0.2">
      <c r="A3690" s="200"/>
      <c r="B3690" s="264"/>
      <c r="C3690" s="200"/>
      <c r="D3690" s="200"/>
      <c r="E3690" s="200"/>
      <c r="F3690" s="265" t="s">
        <v>199</v>
      </c>
      <c r="G3690" s="255"/>
      <c r="H3690" s="266"/>
      <c r="I3690" s="441">
        <f>SUM(I3689:I3689)</f>
        <v>0</v>
      </c>
    </row>
    <row r="3691" spans="1:17" x14ac:dyDescent="0.2">
      <c r="A3691" s="200"/>
      <c r="B3691" s="264"/>
      <c r="C3691" s="200"/>
      <c r="D3691" s="200"/>
      <c r="E3691" s="200"/>
      <c r="F3691" s="200"/>
      <c r="G3691" s="200"/>
      <c r="H3691" s="200"/>
      <c r="I3691" s="440"/>
    </row>
    <row r="3692" spans="1:17" x14ac:dyDescent="0.2">
      <c r="A3692" s="267" t="s">
        <v>200</v>
      </c>
      <c r="B3692" s="268" t="s">
        <v>59</v>
      </c>
      <c r="C3692" s="268" t="s">
        <v>196</v>
      </c>
      <c r="D3692" s="268" t="s">
        <v>201</v>
      </c>
      <c r="E3692" s="268" t="s">
        <v>202</v>
      </c>
      <c r="F3692" s="268" t="s">
        <v>203</v>
      </c>
      <c r="G3692" s="268" t="s">
        <v>94</v>
      </c>
      <c r="H3692" s="268" t="s">
        <v>89</v>
      </c>
      <c r="I3692" s="442" t="s">
        <v>204</v>
      </c>
    </row>
    <row r="3693" spans="1:17" x14ac:dyDescent="0.2">
      <c r="A3693" s="244"/>
      <c r="B3693" s="234"/>
      <c r="C3693" s="234"/>
      <c r="D3693" s="269"/>
      <c r="E3693" s="270"/>
      <c r="F3693" s="270"/>
      <c r="G3693" s="239"/>
      <c r="H3693" s="271"/>
      <c r="I3693" s="418"/>
    </row>
    <row r="3694" spans="1:17" x14ac:dyDescent="0.2">
      <c r="A3694" s="200"/>
      <c r="B3694" s="264"/>
      <c r="C3694" s="200"/>
      <c r="D3694" s="200"/>
      <c r="E3694" s="200"/>
      <c r="F3694" s="265" t="s">
        <v>205</v>
      </c>
      <c r="G3694" s="240"/>
      <c r="H3694" s="272"/>
      <c r="I3694" s="443">
        <f>SUM(I3693:I3693)</f>
        <v>0</v>
      </c>
    </row>
    <row r="3695" spans="1:17" x14ac:dyDescent="0.2">
      <c r="A3695" s="200"/>
      <c r="B3695" s="264"/>
      <c r="C3695" s="200"/>
      <c r="D3695" s="200"/>
      <c r="E3695" s="200"/>
      <c r="F3695" s="200"/>
      <c r="G3695" s="200"/>
      <c r="H3695" s="200"/>
      <c r="I3695" s="444"/>
    </row>
    <row r="3696" spans="1:17" x14ac:dyDescent="0.2">
      <c r="A3696" s="273"/>
      <c r="B3696" s="274"/>
      <c r="C3696" s="275"/>
      <c r="D3696" s="275"/>
      <c r="E3696" s="275"/>
      <c r="F3696" s="276" t="s">
        <v>206</v>
      </c>
      <c r="G3696" s="273"/>
      <c r="H3696" s="249"/>
      <c r="I3696" s="445">
        <f>+I3682+I3686+I3690+I3694</f>
        <v>3646.74</v>
      </c>
    </row>
    <row r="3697" spans="1:13" x14ac:dyDescent="0.2">
      <c r="A3697" s="255"/>
      <c r="B3697" s="277"/>
      <c r="C3697" s="266"/>
      <c r="D3697" s="266"/>
      <c r="E3697" s="266"/>
      <c r="F3697" s="278" t="str">
        <f>CONCATENATE($H$3," ",$I$3)</f>
        <v>BDI: 23,32</v>
      </c>
      <c r="G3697" s="403"/>
      <c r="H3697" s="253"/>
      <c r="I3697" s="446">
        <f>+ROUND(I3696*$I$4,2)</f>
        <v>850.42</v>
      </c>
    </row>
    <row r="3698" spans="1:13" x14ac:dyDescent="0.2">
      <c r="A3698" s="240"/>
      <c r="B3698" s="279"/>
      <c r="C3698" s="272"/>
      <c r="D3698" s="272"/>
      <c r="E3698" s="272"/>
      <c r="F3698" s="280" t="s">
        <v>207</v>
      </c>
      <c r="G3698" s="404"/>
      <c r="H3698" s="241"/>
      <c r="I3698" s="720">
        <f>+I3696+I3697</f>
        <v>4497.16</v>
      </c>
    </row>
    <row r="3699" spans="1:13" x14ac:dyDescent="0.2">
      <c r="A3699" s="199"/>
      <c r="B3699" s="530"/>
      <c r="C3699" s="200"/>
      <c r="D3699" s="200"/>
      <c r="E3699" s="200"/>
      <c r="F3699" s="265"/>
      <c r="G3699" s="200"/>
      <c r="H3699" s="199"/>
      <c r="I3699" s="738"/>
    </row>
    <row r="3700" spans="1:13" x14ac:dyDescent="0.2">
      <c r="A3700" s="1116" t="str">
        <f>$A$1</f>
        <v>COMPOSIÇÃO DE CUSTOS UNITÁRIOS</v>
      </c>
      <c r="B3700" s="1116"/>
      <c r="C3700" s="1116"/>
      <c r="D3700" s="1116"/>
      <c r="E3700" s="1116"/>
      <c r="F3700" s="1116"/>
      <c r="G3700" s="1116"/>
      <c r="H3700" s="1116"/>
      <c r="I3700" s="1116"/>
    </row>
    <row r="3701" spans="1:13" x14ac:dyDescent="0.2">
      <c r="A3701" s="228" t="str">
        <f>$A$2</f>
        <v>Tabela Referencial de Preços - DER-ES</v>
      </c>
      <c r="B3701" s="229"/>
      <c r="C3701" s="199"/>
      <c r="D3701" s="199"/>
      <c r="E3701" s="199"/>
      <c r="F3701" s="199"/>
      <c r="G3701" s="199"/>
      <c r="H3701" s="199"/>
      <c r="I3701" s="414" t="str">
        <f>$I$2</f>
        <v>Data Base: novembro/2020</v>
      </c>
      <c r="J3701" s="400">
        <v>40376</v>
      </c>
      <c r="K3701" s="400">
        <f>VLOOKUP("Preço Unitário Total",F3703:I4015,4,FALSE)</f>
        <v>13.1</v>
      </c>
      <c r="L3701" s="295">
        <f>VLOOKUP(J3701,'DER 11-20'!A:E,5,FALSE)</f>
        <v>0</v>
      </c>
      <c r="M3701" s="295" t="str">
        <f>VLOOKUP(J3701,'DER 11-20'!$A:$D,2,FALSE)</f>
        <v>Aço CA-50, fornecimento, dobragem e colocação nas formas (preço médio das bitolas)</v>
      </c>
    </row>
    <row r="3702" spans="1:13" x14ac:dyDescent="0.2">
      <c r="A3702" s="1117" t="str">
        <f>+CONCATENATE("Serviço: ",J3701," ",VLOOKUP(J3701,'DER 11-20'!$A:$D,2,FALSE))</f>
        <v>Serviço: 40376 Aço CA-50, fornecimento, dobragem e colocação nas formas (preço médio das bitolas)</v>
      </c>
      <c r="B3702" s="1117"/>
      <c r="C3702" s="1117"/>
      <c r="D3702" s="1117"/>
      <c r="E3702" s="1117"/>
      <c r="F3702" s="1117"/>
      <c r="G3702" s="1117"/>
      <c r="H3702" s="1117"/>
      <c r="I3702" s="1119" t="str">
        <f>CONCATENATE("Unidade: ", VLOOKUP(J3701,'DER 11-20'!$A:$E,3,FALSE))</f>
        <v>Unidade: kg</v>
      </c>
    </row>
    <row r="3703" spans="1:13" x14ac:dyDescent="0.2">
      <c r="A3703" s="1118"/>
      <c r="B3703" s="1118"/>
      <c r="C3703" s="1118"/>
      <c r="D3703" s="1118"/>
      <c r="E3703" s="1118"/>
      <c r="F3703" s="1118"/>
      <c r="G3703" s="1118"/>
      <c r="H3703" s="1118"/>
      <c r="I3703" s="1120"/>
    </row>
    <row r="3704" spans="1:13" ht="22.5" x14ac:dyDescent="0.2">
      <c r="A3704" s="231" t="s">
        <v>177</v>
      </c>
      <c r="B3704" s="232" t="s">
        <v>59</v>
      </c>
      <c r="C3704" s="232" t="s">
        <v>178</v>
      </c>
      <c r="D3704" s="232" t="s">
        <v>179</v>
      </c>
      <c r="E3704" s="232" t="s">
        <v>180</v>
      </c>
      <c r="F3704" s="232" t="s">
        <v>181</v>
      </c>
      <c r="G3704" s="232" t="s">
        <v>182</v>
      </c>
      <c r="H3704" s="232" t="s">
        <v>89</v>
      </c>
      <c r="I3704" s="434" t="s">
        <v>183</v>
      </c>
      <c r="J3704" s="295"/>
      <c r="K3704" s="295"/>
    </row>
    <row r="3705" spans="1:13" x14ac:dyDescent="0.2">
      <c r="A3705" s="233"/>
      <c r="B3705" s="234"/>
      <c r="C3705" s="235"/>
      <c r="D3705" s="236"/>
      <c r="E3705" s="203"/>
      <c r="F3705" s="237"/>
      <c r="G3705" s="237"/>
      <c r="H3705" s="238"/>
      <c r="I3705" s="418"/>
      <c r="J3705" s="295"/>
      <c r="K3705" s="295"/>
    </row>
    <row r="3706" spans="1:13" x14ac:dyDescent="0.2">
      <c r="A3706" s="199"/>
      <c r="B3706" s="229"/>
      <c r="C3706" s="229"/>
      <c r="D3706" s="199"/>
      <c r="E3706" s="199"/>
      <c r="F3706" s="230" t="s">
        <v>184</v>
      </c>
      <c r="G3706" s="240"/>
      <c r="H3706" s="241"/>
      <c r="I3706" s="438">
        <f>SUM(I3705:I3705)</f>
        <v>0</v>
      </c>
      <c r="J3706" s="295"/>
      <c r="K3706" s="295"/>
    </row>
    <row r="3707" spans="1:13" x14ac:dyDescent="0.2">
      <c r="A3707" s="199"/>
      <c r="B3707" s="229"/>
      <c r="C3707" s="229"/>
      <c r="D3707" s="199"/>
      <c r="E3707" s="199"/>
      <c r="F3707" s="199"/>
      <c r="G3707" s="199"/>
      <c r="H3707" s="199"/>
      <c r="I3707" s="439"/>
      <c r="J3707" s="295"/>
      <c r="K3707" s="295"/>
    </row>
    <row r="3708" spans="1:13" x14ac:dyDescent="0.2">
      <c r="A3708" s="242" t="s">
        <v>185</v>
      </c>
      <c r="B3708" s="243" t="s">
        <v>59</v>
      </c>
      <c r="C3708" s="232" t="s">
        <v>357</v>
      </c>
      <c r="D3708" s="243" t="s">
        <v>187</v>
      </c>
      <c r="E3708" s="1111" t="s">
        <v>89</v>
      </c>
      <c r="F3708" s="1112"/>
      <c r="G3708" s="1113"/>
      <c r="H3708" s="1121" t="s">
        <v>183</v>
      </c>
      <c r="I3708" s="1115"/>
      <c r="J3708" s="295"/>
      <c r="K3708" s="295"/>
    </row>
    <row r="3709" spans="1:13" x14ac:dyDescent="0.2">
      <c r="A3709" s="244" t="str">
        <f>VLOOKUP(B3709,m.o.!$A:$H,2,FALSE)</f>
        <v>Armador</v>
      </c>
      <c r="B3709" s="234">
        <v>20020</v>
      </c>
      <c r="C3709" s="239">
        <f>VLOOKUP(B3709,m.o.!$A:$F,4,FALSE)</f>
        <v>1.24</v>
      </c>
      <c r="D3709" s="239">
        <f>VLOOKUP(B3709,m.o.!$A:$G,7,FALSE)</f>
        <v>15.53</v>
      </c>
      <c r="E3709" s="255"/>
      <c r="F3709" s="253"/>
      <c r="G3709" s="293">
        <v>10</v>
      </c>
      <c r="H3709" s="240"/>
      <c r="I3709" s="427">
        <f>TRUNC(D3709*G3709,2)</f>
        <v>155.30000000000001</v>
      </c>
      <c r="J3709" s="295"/>
      <c r="K3709" s="295"/>
    </row>
    <row r="3710" spans="1:13" x14ac:dyDescent="0.2">
      <c r="A3710" s="244" t="str">
        <f>VLOOKUP(B3710,m.o.!$A:$H,2,FALSE)</f>
        <v>Operário braçal</v>
      </c>
      <c r="B3710" s="234">
        <v>20107</v>
      </c>
      <c r="C3710" s="239">
        <f>VLOOKUP(B3710,m.o.!$A:$F,4,FALSE)</f>
        <v>1.02</v>
      </c>
      <c r="D3710" s="239">
        <f>VLOOKUP(B3710,m.o.!$A:$G,7,FALSE)</f>
        <v>12.77</v>
      </c>
      <c r="E3710" s="255"/>
      <c r="F3710" s="253"/>
      <c r="G3710" s="293">
        <v>10</v>
      </c>
      <c r="H3710" s="240"/>
      <c r="I3710" s="427">
        <f>TRUNC(D3710*G3710,2)</f>
        <v>127.7</v>
      </c>
      <c r="J3710" s="295"/>
      <c r="K3710" s="295"/>
    </row>
    <row r="3711" spans="1:13" x14ac:dyDescent="0.2">
      <c r="A3711" s="199"/>
      <c r="B3711" s="229"/>
      <c r="C3711" s="229"/>
      <c r="D3711" s="199"/>
      <c r="E3711" s="199"/>
      <c r="F3711" s="230" t="s">
        <v>188</v>
      </c>
      <c r="G3711" s="240"/>
      <c r="H3711" s="241"/>
      <c r="I3711" s="438">
        <f>SUM(I3709:I3710)</f>
        <v>283</v>
      </c>
      <c r="J3711" s="295"/>
      <c r="K3711" s="295"/>
    </row>
    <row r="3712" spans="1:13" x14ac:dyDescent="0.2">
      <c r="A3712" s="199"/>
      <c r="B3712" s="229"/>
      <c r="C3712" s="229"/>
      <c r="D3712" s="199"/>
      <c r="E3712" s="199"/>
      <c r="F3712" s="199"/>
      <c r="G3712" s="199"/>
      <c r="H3712" s="199"/>
      <c r="I3712" s="439"/>
      <c r="J3712" s="295"/>
      <c r="K3712" s="295"/>
    </row>
    <row r="3713" spans="1:17" x14ac:dyDescent="0.2">
      <c r="A3713" s="245" t="s">
        <v>189</v>
      </c>
      <c r="B3713" s="243" t="s">
        <v>59</v>
      </c>
      <c r="C3713" s="635" t="s">
        <v>17</v>
      </c>
      <c r="D3713" s="243" t="s">
        <v>190</v>
      </c>
      <c r="E3713" s="243" t="s">
        <v>191</v>
      </c>
      <c r="F3713" s="243" t="s">
        <v>192</v>
      </c>
      <c r="G3713" s="1121" t="s">
        <v>94</v>
      </c>
      <c r="H3713" s="1114"/>
      <c r="I3713" s="1115"/>
      <c r="J3713" s="295"/>
      <c r="K3713" s="295"/>
    </row>
    <row r="3714" spans="1:17" x14ac:dyDescent="0.2">
      <c r="A3714" s="244" t="s">
        <v>127</v>
      </c>
      <c r="B3714" s="234">
        <v>2000</v>
      </c>
      <c r="C3714" s="239">
        <v>5</v>
      </c>
      <c r="D3714" s="235" t="s">
        <v>208</v>
      </c>
      <c r="E3714" s="246"/>
      <c r="F3714" s="246"/>
      <c r="G3714" s="240"/>
      <c r="H3714" s="241"/>
      <c r="I3714" s="427">
        <f>C3714/100*I3711</f>
        <v>14.15</v>
      </c>
      <c r="J3714" s="295"/>
      <c r="K3714" s="295"/>
    </row>
    <row r="3715" spans="1:17" x14ac:dyDescent="0.2">
      <c r="A3715" s="199"/>
      <c r="B3715" s="229"/>
      <c r="C3715" s="199"/>
      <c r="D3715" s="199"/>
      <c r="E3715" s="199"/>
      <c r="F3715" s="230" t="s">
        <v>327</v>
      </c>
      <c r="G3715" s="240"/>
      <c r="H3715" s="241"/>
      <c r="I3715" s="438">
        <f>SUM(I3714)</f>
        <v>14.15</v>
      </c>
      <c r="J3715" s="295"/>
      <c r="K3715" s="295"/>
    </row>
    <row r="3716" spans="1:17" x14ac:dyDescent="0.2">
      <c r="A3716" s="199"/>
      <c r="B3716" s="229"/>
      <c r="C3716" s="199"/>
      <c r="D3716" s="199"/>
      <c r="E3716" s="199"/>
      <c r="F3716" s="199"/>
      <c r="G3716" s="199"/>
      <c r="H3716" s="199"/>
      <c r="I3716" s="439"/>
      <c r="J3716" s="295"/>
      <c r="K3716" s="295"/>
    </row>
    <row r="3717" spans="1:17" x14ac:dyDescent="0.2">
      <c r="A3717" s="247"/>
      <c r="B3717" s="248"/>
      <c r="C3717" s="249"/>
      <c r="D3717" s="249"/>
      <c r="E3717" s="249"/>
      <c r="F3717" s="250" t="s">
        <v>193</v>
      </c>
      <c r="G3717" s="401"/>
      <c r="H3717" s="249"/>
      <c r="I3717" s="445">
        <f>+I3706+I3711+I3715</f>
        <v>297.14999999999998</v>
      </c>
      <c r="J3717" s="295"/>
      <c r="K3717" s="295"/>
    </row>
    <row r="3718" spans="1:17" x14ac:dyDescent="0.2">
      <c r="A3718" s="251"/>
      <c r="B3718" s="252"/>
      <c r="C3718" s="253"/>
      <c r="D3718" s="253"/>
      <c r="E3718" s="253"/>
      <c r="F3718" s="254" t="s">
        <v>194</v>
      </c>
      <c r="G3718" s="255"/>
      <c r="H3718" s="253"/>
      <c r="I3718" s="446">
        <v>110</v>
      </c>
      <c r="J3718" s="295"/>
      <c r="K3718" s="295"/>
    </row>
    <row r="3719" spans="1:17" x14ac:dyDescent="0.2">
      <c r="A3719" s="233"/>
      <c r="B3719" s="256"/>
      <c r="C3719" s="241"/>
      <c r="D3719" s="241"/>
      <c r="E3719" s="241"/>
      <c r="F3719" s="257" t="s">
        <v>216</v>
      </c>
      <c r="G3719" s="240"/>
      <c r="H3719" s="241"/>
      <c r="I3719" s="447">
        <f>TRUNC(I3717/I3718,2)</f>
        <v>2.7</v>
      </c>
      <c r="J3719" s="295"/>
      <c r="K3719" s="295"/>
    </row>
    <row r="3720" spans="1:17" x14ac:dyDescent="0.2">
      <c r="A3720" s="636"/>
      <c r="B3720" s="229"/>
      <c r="C3720" s="199"/>
      <c r="D3720" s="199"/>
      <c r="E3720" s="199"/>
      <c r="F3720" s="258"/>
      <c r="G3720" s="199"/>
      <c r="H3720" s="199"/>
      <c r="I3720" s="450"/>
    </row>
    <row r="3721" spans="1:17" x14ac:dyDescent="0.2">
      <c r="A3721" s="242" t="s">
        <v>195</v>
      </c>
      <c r="B3721" s="243" t="s">
        <v>59</v>
      </c>
      <c r="C3721" s="243" t="s">
        <v>196</v>
      </c>
      <c r="D3721" s="243" t="s">
        <v>217</v>
      </c>
      <c r="E3721" s="1121" t="s">
        <v>89</v>
      </c>
      <c r="F3721" s="1114"/>
      <c r="G3721" s="1115"/>
      <c r="H3721" s="1121" t="s">
        <v>183</v>
      </c>
      <c r="I3721" s="1115"/>
    </row>
    <row r="3722" spans="1:17" x14ac:dyDescent="0.2">
      <c r="A3722" s="259" t="str">
        <f>VLOOKUP(B3722,mat.!$A:$D,2,FALSE)</f>
        <v>Aço CA-50 (granel) - (preço médio)</v>
      </c>
      <c r="B3722" s="234">
        <v>10129</v>
      </c>
      <c r="C3722" s="260" t="str">
        <f>VLOOKUP(B3722,mat.!$A:$D,3,FALSE)</f>
        <v>kg</v>
      </c>
      <c r="D3722" s="261">
        <f>VLOOKUP(B3722,mat.!$A:$D,4,FALSE)</f>
        <v>6.87</v>
      </c>
      <c r="E3722" s="255"/>
      <c r="F3722" s="253"/>
      <c r="G3722" s="293">
        <v>1.1000000000000001</v>
      </c>
      <c r="H3722" s="255"/>
      <c r="I3722" s="423">
        <f>TRUNC(D3722*G3722,2)</f>
        <v>7.55</v>
      </c>
    </row>
    <row r="3723" spans="1:17" x14ac:dyDescent="0.2">
      <c r="A3723" s="259" t="str">
        <f>VLOOKUP(B3723,mat.!$A:$D,2,FALSE)</f>
        <v>Arame recozido 18</v>
      </c>
      <c r="B3723" s="234">
        <v>10134</v>
      </c>
      <c r="C3723" s="260" t="str">
        <f>VLOOKUP(B3723,mat.!$A:$D,3,FALSE)</f>
        <v>kg</v>
      </c>
      <c r="D3723" s="261">
        <f>VLOOKUP(B3723,mat.!$A:$D,4,FALSE)</f>
        <v>18.760000000000002</v>
      </c>
      <c r="E3723" s="255"/>
      <c r="F3723" s="253"/>
      <c r="G3723" s="293">
        <v>0.02</v>
      </c>
      <c r="H3723" s="255"/>
      <c r="I3723" s="423">
        <f>TRUNC(D3723*G3723,2)</f>
        <v>0.37</v>
      </c>
    </row>
    <row r="3724" spans="1:17" x14ac:dyDescent="0.2">
      <c r="A3724" s="199"/>
      <c r="B3724" s="229"/>
      <c r="C3724" s="199"/>
      <c r="D3724" s="199"/>
      <c r="E3724" s="199"/>
      <c r="F3724" s="230" t="s">
        <v>197</v>
      </c>
      <c r="G3724" s="240"/>
      <c r="H3724" s="241"/>
      <c r="I3724" s="438">
        <f>SUM(I3722:I3723)</f>
        <v>7.92</v>
      </c>
    </row>
    <row r="3725" spans="1:17" x14ac:dyDescent="0.2">
      <c r="A3725" s="199"/>
      <c r="B3725" s="229"/>
      <c r="C3725" s="199"/>
      <c r="D3725" s="199"/>
      <c r="E3725" s="199"/>
      <c r="F3725" s="199"/>
      <c r="G3725" s="262"/>
      <c r="H3725" s="199"/>
      <c r="I3725" s="439"/>
      <c r="J3725" s="415"/>
      <c r="K3725" s="415"/>
      <c r="L3725" s="198"/>
      <c r="M3725" s="198"/>
      <c r="N3725" s="198"/>
      <c r="P3725" s="198"/>
      <c r="Q3725" s="198"/>
    </row>
    <row r="3726" spans="1:17" x14ac:dyDescent="0.2">
      <c r="A3726" s="431" t="s">
        <v>198</v>
      </c>
      <c r="B3726" s="432" t="s">
        <v>59</v>
      </c>
      <c r="C3726" s="432" t="s">
        <v>196</v>
      </c>
      <c r="D3726" s="637" t="s">
        <v>217</v>
      </c>
      <c r="E3726" s="1125" t="s">
        <v>89</v>
      </c>
      <c r="F3726" s="1126"/>
      <c r="G3726" s="1127"/>
      <c r="H3726" s="1128" t="s">
        <v>183</v>
      </c>
      <c r="I3726" s="1129"/>
      <c r="J3726" s="415"/>
      <c r="K3726" s="415"/>
      <c r="L3726" s="198"/>
      <c r="M3726" s="198"/>
      <c r="N3726" s="198"/>
      <c r="P3726" s="198"/>
      <c r="Q3726" s="198"/>
    </row>
    <row r="3727" spans="1:17" x14ac:dyDescent="0.2">
      <c r="A3727" s="416"/>
      <c r="B3727" s="417"/>
      <c r="C3727" s="417"/>
      <c r="D3727" s="418"/>
      <c r="E3727" s="419"/>
      <c r="F3727" s="420"/>
      <c r="G3727" s="421"/>
      <c r="H3727" s="422"/>
      <c r="I3727" s="423"/>
    </row>
    <row r="3728" spans="1:17" x14ac:dyDescent="0.2">
      <c r="A3728" s="200"/>
      <c r="B3728" s="264"/>
      <c r="C3728" s="200"/>
      <c r="D3728" s="200"/>
      <c r="E3728" s="200"/>
      <c r="F3728" s="265" t="s">
        <v>199</v>
      </c>
      <c r="G3728" s="255"/>
      <c r="H3728" s="266"/>
      <c r="I3728" s="441">
        <f>SUM(I3727:I3727)</f>
        <v>0</v>
      </c>
    </row>
    <row r="3729" spans="1:13" x14ac:dyDescent="0.2">
      <c r="A3729" s="200"/>
      <c r="B3729" s="264"/>
      <c r="C3729" s="200"/>
      <c r="D3729" s="200"/>
      <c r="E3729" s="200"/>
      <c r="F3729" s="200"/>
      <c r="G3729" s="200"/>
      <c r="H3729" s="200"/>
      <c r="I3729" s="440"/>
    </row>
    <row r="3730" spans="1:13" x14ac:dyDescent="0.2">
      <c r="A3730" s="267" t="s">
        <v>200</v>
      </c>
      <c r="B3730" s="268" t="s">
        <v>59</v>
      </c>
      <c r="C3730" s="268" t="s">
        <v>196</v>
      </c>
      <c r="D3730" s="268" t="s">
        <v>201</v>
      </c>
      <c r="E3730" s="268" t="s">
        <v>202</v>
      </c>
      <c r="F3730" s="268" t="s">
        <v>203</v>
      </c>
      <c r="G3730" s="268" t="s">
        <v>94</v>
      </c>
      <c r="H3730" s="268" t="s">
        <v>89</v>
      </c>
      <c r="I3730" s="442" t="s">
        <v>204</v>
      </c>
      <c r="J3730" s="400" t="s">
        <v>296</v>
      </c>
    </row>
    <row r="3731" spans="1:13" x14ac:dyDescent="0.2">
      <c r="A3731" s="244"/>
      <c r="B3731" s="234"/>
      <c r="C3731" s="234"/>
      <c r="D3731" s="402"/>
      <c r="E3731" s="270"/>
      <c r="F3731" s="270"/>
      <c r="G3731" s="239"/>
      <c r="H3731" s="271"/>
      <c r="I3731" s="418"/>
    </row>
    <row r="3732" spans="1:13" x14ac:dyDescent="0.2">
      <c r="A3732" s="200"/>
      <c r="B3732" s="264"/>
      <c r="C3732" s="200"/>
      <c r="D3732" s="200"/>
      <c r="E3732" s="200"/>
      <c r="F3732" s="265" t="s">
        <v>205</v>
      </c>
      <c r="G3732" s="240"/>
      <c r="H3732" s="272"/>
      <c r="I3732" s="443">
        <f>SUM(I3731:I3731)</f>
        <v>0</v>
      </c>
    </row>
    <row r="3733" spans="1:13" x14ac:dyDescent="0.2">
      <c r="A3733" s="200"/>
      <c r="B3733" s="264"/>
      <c r="C3733" s="200"/>
      <c r="D3733" s="200"/>
      <c r="E3733" s="200"/>
      <c r="F3733" s="200"/>
      <c r="G3733" s="200"/>
      <c r="H3733" s="200"/>
      <c r="I3733" s="444"/>
    </row>
    <row r="3734" spans="1:13" x14ac:dyDescent="0.2">
      <c r="A3734" s="273"/>
      <c r="B3734" s="274"/>
      <c r="C3734" s="275"/>
      <c r="D3734" s="275"/>
      <c r="E3734" s="275"/>
      <c r="F3734" s="276" t="s">
        <v>206</v>
      </c>
      <c r="G3734" s="273"/>
      <c r="H3734" s="249"/>
      <c r="I3734" s="445">
        <f>+I3719+I3724+I3728+I3732</f>
        <v>10.62</v>
      </c>
    </row>
    <row r="3735" spans="1:13" x14ac:dyDescent="0.2">
      <c r="A3735" s="255"/>
      <c r="B3735" s="277"/>
      <c r="C3735" s="266"/>
      <c r="D3735" s="266"/>
      <c r="E3735" s="266"/>
      <c r="F3735" s="278" t="str">
        <f>CONCATENATE($H$3," ",$I$3)</f>
        <v>BDI: 23,32</v>
      </c>
      <c r="G3735" s="403"/>
      <c r="H3735" s="253"/>
      <c r="I3735" s="446">
        <f>+ROUND(I3734*$I$4,2)</f>
        <v>2.48</v>
      </c>
    </row>
    <row r="3736" spans="1:13" x14ac:dyDescent="0.2">
      <c r="A3736" s="531"/>
      <c r="B3736" s="530"/>
      <c r="C3736" s="200"/>
      <c r="D3736" s="200"/>
      <c r="E3736" s="200"/>
      <c r="F3736" s="265" t="s">
        <v>207</v>
      </c>
      <c r="G3736" s="532"/>
      <c r="H3736" s="199"/>
      <c r="I3736" s="885">
        <f>+I3734+I3735</f>
        <v>13.1</v>
      </c>
    </row>
    <row r="3737" spans="1:13" x14ac:dyDescent="0.2">
      <c r="A3737" s="1116" t="str">
        <f>$A$1</f>
        <v>COMPOSIÇÃO DE CUSTOS UNITÁRIOS</v>
      </c>
      <c r="B3737" s="1116"/>
      <c r="C3737" s="1116"/>
      <c r="D3737" s="1116"/>
      <c r="E3737" s="1116"/>
      <c r="F3737" s="1116"/>
      <c r="G3737" s="1116"/>
      <c r="H3737" s="1116"/>
      <c r="I3737" s="1116"/>
    </row>
    <row r="3738" spans="1:13" x14ac:dyDescent="0.2">
      <c r="A3738" s="228" t="str">
        <f>$A$2</f>
        <v>Tabela Referencial de Preços - DER-ES</v>
      </c>
      <c r="B3738" s="229"/>
      <c r="C3738" s="199"/>
      <c r="D3738" s="199"/>
      <c r="E3738" s="199"/>
      <c r="F3738" s="199"/>
      <c r="G3738" s="199"/>
      <c r="H3738" s="199"/>
      <c r="I3738" s="414" t="str">
        <f>$I$2</f>
        <v>Data Base: novembro/2020</v>
      </c>
      <c r="J3738" s="400">
        <v>40313</v>
      </c>
      <c r="K3738" s="400">
        <f>VLOOKUP("Preço Unitário Total",F3740:I4015,4,FALSE)</f>
        <v>88.26</v>
      </c>
      <c r="L3738" s="295" t="str">
        <f>VLOOKUP(J3738,'DER 11-20'!$A:$E,5,FALSE)</f>
        <v>A incluir</v>
      </c>
      <c r="M3738" s="295" t="str">
        <f>VLOOKUP(J3738,'DER 11-20'!$A:$D,2,FALSE)</f>
        <v>Formas planas de madeira com 04 (quatro) reaproveitamentos, inclusive fornecimento e transporte das madeiras</v>
      </c>
    </row>
    <row r="3739" spans="1:13" x14ac:dyDescent="0.2">
      <c r="A3739" s="1117" t="str">
        <f>+CONCATENATE("Serviço: ",J3738," ",VLOOKUP(J3738,'DER 11-20'!$A:$D,2,FALSE))</f>
        <v>Serviço: 40313 Formas planas de madeira com 04 (quatro) reaproveitamentos, inclusive fornecimento e transporte das madeiras</v>
      </c>
      <c r="B3739" s="1117"/>
      <c r="C3739" s="1117"/>
      <c r="D3739" s="1117"/>
      <c r="E3739" s="1117"/>
      <c r="F3739" s="1117"/>
      <c r="G3739" s="1117"/>
      <c r="H3739" s="1117"/>
      <c r="I3739" s="1119" t="str">
        <f>CONCATENATE("Unidade: ", VLOOKUP(J3738,'DER 11-20'!$A:$E,3,FALSE))</f>
        <v>Unidade: M2</v>
      </c>
    </row>
    <row r="3740" spans="1:13" x14ac:dyDescent="0.2">
      <c r="A3740" s="1118"/>
      <c r="B3740" s="1118"/>
      <c r="C3740" s="1118"/>
      <c r="D3740" s="1118"/>
      <c r="E3740" s="1118"/>
      <c r="F3740" s="1118"/>
      <c r="G3740" s="1118"/>
      <c r="H3740" s="1118"/>
      <c r="I3740" s="1120"/>
    </row>
    <row r="3741" spans="1:13" ht="22.5" x14ac:dyDescent="0.2">
      <c r="A3741" s="231" t="s">
        <v>177</v>
      </c>
      <c r="B3741" s="232" t="s">
        <v>59</v>
      </c>
      <c r="C3741" s="232" t="s">
        <v>178</v>
      </c>
      <c r="D3741" s="232" t="s">
        <v>179</v>
      </c>
      <c r="E3741" s="232" t="s">
        <v>180</v>
      </c>
      <c r="F3741" s="232" t="s">
        <v>181</v>
      </c>
      <c r="G3741" s="232" t="s">
        <v>182</v>
      </c>
      <c r="H3741" s="232" t="s">
        <v>89</v>
      </c>
      <c r="I3741" s="434" t="s">
        <v>183</v>
      </c>
    </row>
    <row r="3742" spans="1:13" x14ac:dyDescent="0.2">
      <c r="A3742" s="233" t="str">
        <f>VLOOKUP(B3742,equip.!$A:$G,2,FALSE)</f>
        <v>Serra circular (WEG) ou equivalente</v>
      </c>
      <c r="B3742" s="234">
        <v>30073</v>
      </c>
      <c r="C3742" s="235" t="str">
        <f>VLOOKUP(B3742,equip.!$A$1:$G$239,3,FALSE)</f>
        <v>M</v>
      </c>
      <c r="D3742" s="236">
        <v>0.26</v>
      </c>
      <c r="E3742" s="203">
        <v>0.74</v>
      </c>
      <c r="F3742" s="237">
        <f>VLOOKUP(B3742,equip.!$A:$G,6,FALSE)</f>
        <v>19.45</v>
      </c>
      <c r="G3742" s="237">
        <f>VLOOKUP(B3742,equip.!$A:$G,7,FALSE)</f>
        <v>16.010000000000002</v>
      </c>
      <c r="H3742" s="238">
        <v>1</v>
      </c>
      <c r="I3742" s="418">
        <f>TRUNC(D3742*F3742*H3742+E3742*G3742*H3742,2)</f>
        <v>16.899999999999999</v>
      </c>
    </row>
    <row r="3743" spans="1:13" x14ac:dyDescent="0.2">
      <c r="A3743" s="199"/>
      <c r="B3743" s="229"/>
      <c r="C3743" s="229"/>
      <c r="D3743" s="199"/>
      <c r="E3743" s="199"/>
      <c r="F3743" s="230" t="s">
        <v>184</v>
      </c>
      <c r="G3743" s="240"/>
      <c r="H3743" s="241"/>
      <c r="I3743" s="438">
        <f>SUM(I3742:I3742)</f>
        <v>16.899999999999999</v>
      </c>
    </row>
    <row r="3744" spans="1:13" x14ac:dyDescent="0.2">
      <c r="A3744" s="199"/>
      <c r="B3744" s="229"/>
      <c r="C3744" s="229"/>
      <c r="D3744" s="199"/>
      <c r="E3744" s="199"/>
      <c r="F3744" s="199"/>
      <c r="G3744" s="199"/>
      <c r="H3744" s="199"/>
      <c r="I3744" s="439"/>
    </row>
    <row r="3745" spans="1:11" x14ac:dyDescent="0.2">
      <c r="A3745" s="242" t="s">
        <v>185</v>
      </c>
      <c r="B3745" s="243" t="s">
        <v>59</v>
      </c>
      <c r="C3745" s="232" t="s">
        <v>357</v>
      </c>
      <c r="D3745" s="243" t="s">
        <v>187</v>
      </c>
      <c r="E3745" s="1111" t="s">
        <v>89</v>
      </c>
      <c r="F3745" s="1112"/>
      <c r="G3745" s="1113"/>
      <c r="H3745" s="1121" t="s">
        <v>183</v>
      </c>
      <c r="I3745" s="1115"/>
    </row>
    <row r="3746" spans="1:11" x14ac:dyDescent="0.2">
      <c r="A3746" s="244" t="str">
        <f>VLOOKUP(B3746,m.o.!$A:$H,2,FALSE)</f>
        <v>Carpinteiro de O.A.C.</v>
      </c>
      <c r="B3746" s="234">
        <v>20038</v>
      </c>
      <c r="C3746" s="239">
        <f>VLOOKUP(B3746,m.o.!$A:$F,4,FALSE)</f>
        <v>1.24</v>
      </c>
      <c r="D3746" s="239">
        <f>VLOOKUP(B3746,m.o.!$A:$G,7,FALSE)</f>
        <v>15.53</v>
      </c>
      <c r="E3746" s="255"/>
      <c r="F3746" s="253"/>
      <c r="G3746" s="293">
        <v>0.52</v>
      </c>
      <c r="H3746" s="240"/>
      <c r="I3746" s="427">
        <f>TRUNC(D3746*G3746,2)</f>
        <v>8.07</v>
      </c>
    </row>
    <row r="3747" spans="1:11" x14ac:dyDescent="0.2">
      <c r="A3747" s="244" t="str">
        <f>VLOOKUP(B3747,m.o.!$A:$H,2,FALSE)</f>
        <v>Operário braçal</v>
      </c>
      <c r="B3747" s="234">
        <v>20107</v>
      </c>
      <c r="C3747" s="239">
        <f>VLOOKUP(B3747,m.o.!$A:$F,4,FALSE)</f>
        <v>1.02</v>
      </c>
      <c r="D3747" s="239">
        <f>VLOOKUP(B3747,m.o.!$A:$G,7,FALSE)</f>
        <v>12.77</v>
      </c>
      <c r="E3747" s="240"/>
      <c r="F3747" s="241"/>
      <c r="G3747" s="405">
        <v>1.2</v>
      </c>
      <c r="H3747" s="240"/>
      <c r="I3747" s="427">
        <f>TRUNC(D3747*G3747,2)</f>
        <v>15.32</v>
      </c>
    </row>
    <row r="3748" spans="1:11" x14ac:dyDescent="0.2">
      <c r="A3748" s="199"/>
      <c r="B3748" s="229"/>
      <c r="C3748" s="229"/>
      <c r="D3748" s="199"/>
      <c r="E3748" s="199"/>
      <c r="F3748" s="230" t="s">
        <v>188</v>
      </c>
      <c r="G3748" s="240"/>
      <c r="H3748" s="241"/>
      <c r="I3748" s="438">
        <f>SUM(I3746:I3747)</f>
        <v>23.39</v>
      </c>
    </row>
    <row r="3749" spans="1:11" x14ac:dyDescent="0.2">
      <c r="A3749" s="199"/>
      <c r="B3749" s="229"/>
      <c r="C3749" s="229"/>
      <c r="D3749" s="199"/>
      <c r="E3749" s="199"/>
      <c r="F3749" s="199"/>
      <c r="G3749" s="199"/>
      <c r="H3749" s="199"/>
      <c r="I3749" s="439"/>
    </row>
    <row r="3750" spans="1:11" x14ac:dyDescent="0.2">
      <c r="A3750" s="245" t="s">
        <v>189</v>
      </c>
      <c r="B3750" s="243" t="s">
        <v>59</v>
      </c>
      <c r="C3750" s="635" t="s">
        <v>17</v>
      </c>
      <c r="D3750" s="243" t="s">
        <v>190</v>
      </c>
      <c r="E3750" s="243" t="s">
        <v>191</v>
      </c>
      <c r="F3750" s="243" t="s">
        <v>192</v>
      </c>
      <c r="G3750" s="1121" t="s">
        <v>94</v>
      </c>
      <c r="H3750" s="1114"/>
      <c r="I3750" s="1115"/>
      <c r="K3750" s="295"/>
    </row>
    <row r="3751" spans="1:11" x14ac:dyDescent="0.2">
      <c r="A3751" s="244" t="s">
        <v>127</v>
      </c>
      <c r="B3751" s="234">
        <v>2000</v>
      </c>
      <c r="C3751" s="239">
        <v>5</v>
      </c>
      <c r="D3751" s="235" t="s">
        <v>208</v>
      </c>
      <c r="E3751" s="246"/>
      <c r="F3751" s="246"/>
      <c r="G3751" s="240"/>
      <c r="H3751" s="241"/>
      <c r="I3751" s="427">
        <f>TRUNC(C3751/100*I3748,2)</f>
        <v>1.1599999999999999</v>
      </c>
      <c r="K3751" s="295"/>
    </row>
    <row r="3752" spans="1:11" x14ac:dyDescent="0.2">
      <c r="A3752" s="199"/>
      <c r="B3752" s="229"/>
      <c r="C3752" s="199"/>
      <c r="D3752" s="199"/>
      <c r="E3752" s="199"/>
      <c r="F3752" s="230" t="s">
        <v>327</v>
      </c>
      <c r="G3752" s="240"/>
      <c r="H3752" s="241"/>
      <c r="I3752" s="438">
        <f>SUM(I3751)</f>
        <v>1.1599999999999999</v>
      </c>
      <c r="K3752" s="295"/>
    </row>
    <row r="3753" spans="1:11" x14ac:dyDescent="0.2">
      <c r="A3753" s="199"/>
      <c r="B3753" s="229"/>
      <c r="C3753" s="199"/>
      <c r="D3753" s="199"/>
      <c r="E3753" s="199"/>
      <c r="F3753" s="199"/>
      <c r="G3753" s="199"/>
      <c r="H3753" s="199"/>
      <c r="I3753" s="439"/>
      <c r="K3753" s="295"/>
    </row>
    <row r="3754" spans="1:11" x14ac:dyDescent="0.2">
      <c r="A3754" s="247"/>
      <c r="B3754" s="248"/>
      <c r="C3754" s="249"/>
      <c r="D3754" s="249"/>
      <c r="E3754" s="249"/>
      <c r="F3754" s="250" t="s">
        <v>193</v>
      </c>
      <c r="G3754" s="401"/>
      <c r="H3754" s="249"/>
      <c r="I3754" s="445">
        <f>+I3743+I3748+I3752</f>
        <v>41.45</v>
      </c>
      <c r="K3754" s="295"/>
    </row>
    <row r="3755" spans="1:11" x14ac:dyDescent="0.2">
      <c r="A3755" s="251"/>
      <c r="B3755" s="252"/>
      <c r="C3755" s="253"/>
      <c r="D3755" s="253"/>
      <c r="E3755" s="253"/>
      <c r="F3755" s="254" t="s">
        <v>194</v>
      </c>
      <c r="G3755" s="255"/>
      <c r="H3755" s="253"/>
      <c r="I3755" s="446">
        <v>1</v>
      </c>
      <c r="K3755" s="295"/>
    </row>
    <row r="3756" spans="1:11" x14ac:dyDescent="0.2">
      <c r="A3756" s="233"/>
      <c r="B3756" s="256"/>
      <c r="C3756" s="241"/>
      <c r="D3756" s="241"/>
      <c r="E3756" s="241"/>
      <c r="F3756" s="257" t="s">
        <v>216</v>
      </c>
      <c r="G3756" s="240"/>
      <c r="H3756" s="241"/>
      <c r="I3756" s="447">
        <f>TRUNC(I3754/I3755,2)</f>
        <v>41.45</v>
      </c>
      <c r="K3756" s="295"/>
    </row>
    <row r="3757" spans="1:11" x14ac:dyDescent="0.2">
      <c r="A3757" s="636"/>
      <c r="B3757" s="229"/>
      <c r="C3757" s="199"/>
      <c r="D3757" s="199"/>
      <c r="E3757" s="199"/>
      <c r="F3757" s="258"/>
      <c r="G3757" s="199"/>
      <c r="H3757" s="199"/>
      <c r="I3757" s="450"/>
      <c r="K3757" s="295"/>
    </row>
    <row r="3758" spans="1:11" x14ac:dyDescent="0.2">
      <c r="A3758" s="242" t="s">
        <v>195</v>
      </c>
      <c r="B3758" s="243" t="s">
        <v>59</v>
      </c>
      <c r="C3758" s="243" t="s">
        <v>196</v>
      </c>
      <c r="D3758" s="243" t="s">
        <v>217</v>
      </c>
      <c r="E3758" s="1121" t="s">
        <v>89</v>
      </c>
      <c r="F3758" s="1114"/>
      <c r="G3758" s="1115"/>
      <c r="H3758" s="1121" t="s">
        <v>183</v>
      </c>
      <c r="I3758" s="1115"/>
      <c r="J3758" s="295"/>
      <c r="K3758" s="295"/>
    </row>
    <row r="3759" spans="1:11" x14ac:dyDescent="0.2">
      <c r="A3759" s="259" t="str">
        <f>VLOOKUP(B3759,mat.!$A:$D,2,FALSE)</f>
        <v>Caibros 7 X 7 cm (pontalete)</v>
      </c>
      <c r="B3759" s="234">
        <v>10066</v>
      </c>
      <c r="C3759" s="260" t="str">
        <f>VLOOKUP(B3759,mat.!$A:$D,3,FALSE)</f>
        <v>M3</v>
      </c>
      <c r="D3759" s="261">
        <f>VLOOKUP(B3759,mat.!$A:$D,4,FALSE)</f>
        <v>1460</v>
      </c>
      <c r="E3759" s="255"/>
      <c r="F3759" s="253"/>
      <c r="G3759" s="293">
        <v>2.3999999999999998E-3</v>
      </c>
      <c r="H3759" s="255"/>
      <c r="I3759" s="423">
        <f>TRUNC(D3759*G3759,2)</f>
        <v>3.5</v>
      </c>
      <c r="K3759" s="295"/>
    </row>
    <row r="3760" spans="1:11" x14ac:dyDescent="0.2">
      <c r="A3760" s="259" t="str">
        <f>VLOOKUP(B3760,mat.!$A:$D,2,FALSE)</f>
        <v>Prego 18 X 24</v>
      </c>
      <c r="B3760" s="234">
        <v>10135</v>
      </c>
      <c r="C3760" s="260" t="str">
        <f>VLOOKUP(B3760,mat.!$A:$D,3,FALSE)</f>
        <v>kg</v>
      </c>
      <c r="D3760" s="261">
        <f>VLOOKUP(B3760,mat.!$A:$D,4,FALSE)</f>
        <v>15.85</v>
      </c>
      <c r="E3760" s="255"/>
      <c r="F3760" s="253"/>
      <c r="G3760" s="405">
        <v>0.2</v>
      </c>
      <c r="H3760" s="255"/>
      <c r="I3760" s="423">
        <f>TRUNC(D3760*G3760,2)</f>
        <v>3.17</v>
      </c>
      <c r="K3760" s="295"/>
    </row>
    <row r="3761" spans="1:17" x14ac:dyDescent="0.2">
      <c r="A3761" s="259" t="str">
        <f>VLOOKUP(B3761,mat.!$A:$D,2,FALSE)</f>
        <v>Sarrafo 10 X 2,5 cm</v>
      </c>
      <c r="B3761" s="234">
        <v>10067</v>
      </c>
      <c r="C3761" s="260" t="str">
        <f>VLOOKUP(B3761,mat.!$A:$D,3,FALSE)</f>
        <v>M3</v>
      </c>
      <c r="D3761" s="261">
        <f>VLOOKUP(B3761,mat.!$A:$D,4,FALSE)</f>
        <v>1354.54</v>
      </c>
      <c r="E3761" s="255"/>
      <c r="F3761" s="253"/>
      <c r="G3761" s="405">
        <v>1.5E-3</v>
      </c>
      <c r="H3761" s="255"/>
      <c r="I3761" s="423">
        <f>TRUNC(D3761*G3761,2)</f>
        <v>2.0299999999999998</v>
      </c>
      <c r="K3761" s="295"/>
    </row>
    <row r="3762" spans="1:17" x14ac:dyDescent="0.2">
      <c r="A3762" s="259" t="str">
        <f>VLOOKUP(B3762,mat.!$A:$D,2,FALSE)</f>
        <v>Tábuas de 2,5 cm (Não Aparelhada)</v>
      </c>
      <c r="B3762" s="234">
        <v>10065</v>
      </c>
      <c r="C3762" s="260" t="str">
        <f>VLOOKUP(B3762,mat.!$A:$D,3,FALSE)</f>
        <v>M3</v>
      </c>
      <c r="D3762" s="261">
        <f>VLOOKUP(B3762,mat.!$A:$D,4,FALSE)</f>
        <v>2232</v>
      </c>
      <c r="E3762" s="255"/>
      <c r="F3762" s="253"/>
      <c r="G3762" s="405">
        <v>9.4999999999999998E-3</v>
      </c>
      <c r="H3762" s="255"/>
      <c r="I3762" s="423">
        <f>TRUNC(D3762*G3762,2)</f>
        <v>21.2</v>
      </c>
      <c r="K3762" s="295"/>
      <c r="P3762" s="198"/>
      <c r="Q3762" s="198"/>
    </row>
    <row r="3763" spans="1:17" x14ac:dyDescent="0.2">
      <c r="A3763" s="199"/>
      <c r="B3763" s="229"/>
      <c r="C3763" s="199"/>
      <c r="D3763" s="199"/>
      <c r="E3763" s="199"/>
      <c r="F3763" s="230" t="s">
        <v>197</v>
      </c>
      <c r="G3763" s="240"/>
      <c r="H3763" s="241"/>
      <c r="I3763" s="438">
        <f>SUM(I3759:I3762)</f>
        <v>29.9</v>
      </c>
      <c r="K3763" s="295"/>
      <c r="P3763" s="198"/>
      <c r="Q3763" s="198"/>
    </row>
    <row r="3764" spans="1:17" s="198" customFormat="1" x14ac:dyDescent="0.2">
      <c r="A3764" s="199"/>
      <c r="B3764" s="229"/>
      <c r="C3764" s="199"/>
      <c r="D3764" s="199"/>
      <c r="E3764" s="199"/>
      <c r="F3764" s="199"/>
      <c r="G3764" s="262"/>
      <c r="H3764" s="199"/>
      <c r="I3764" s="439"/>
      <c r="J3764" s="400"/>
      <c r="K3764" s="295"/>
      <c r="L3764" s="295"/>
      <c r="M3764" s="295"/>
      <c r="N3764" s="295"/>
      <c r="O3764" s="295"/>
      <c r="P3764" s="295"/>
      <c r="Q3764" s="295"/>
    </row>
    <row r="3765" spans="1:17" x14ac:dyDescent="0.2">
      <c r="A3765" s="263" t="s">
        <v>198</v>
      </c>
      <c r="B3765" s="243" t="s">
        <v>59</v>
      </c>
      <c r="C3765" s="243" t="s">
        <v>196</v>
      </c>
      <c r="D3765" s="635" t="s">
        <v>217</v>
      </c>
      <c r="E3765" s="1111" t="s">
        <v>89</v>
      </c>
      <c r="F3765" s="1112"/>
      <c r="G3765" s="1113"/>
      <c r="H3765" s="1114" t="s">
        <v>183</v>
      </c>
      <c r="I3765" s="1115"/>
      <c r="K3765" s="295"/>
    </row>
    <row r="3766" spans="1:17" x14ac:dyDescent="0.2">
      <c r="A3766" s="244"/>
      <c r="B3766" s="260"/>
      <c r="C3766" s="234"/>
      <c r="D3766" s="239"/>
      <c r="E3766" s="240"/>
      <c r="F3766" s="241"/>
      <c r="G3766" s="409"/>
      <c r="H3766" s="240"/>
      <c r="I3766" s="423"/>
    </row>
    <row r="3767" spans="1:17" x14ac:dyDescent="0.2">
      <c r="A3767" s="200"/>
      <c r="B3767" s="264"/>
      <c r="C3767" s="200"/>
      <c r="D3767" s="200"/>
      <c r="E3767" s="200"/>
      <c r="F3767" s="265" t="s">
        <v>199</v>
      </c>
      <c r="G3767" s="255"/>
      <c r="H3767" s="266"/>
      <c r="I3767" s="441">
        <f>SUM(I3764:I3766)</f>
        <v>0</v>
      </c>
    </row>
    <row r="3768" spans="1:17" x14ac:dyDescent="0.2">
      <c r="A3768" s="200"/>
      <c r="B3768" s="264"/>
      <c r="C3768" s="200"/>
      <c r="D3768" s="200"/>
      <c r="E3768" s="200"/>
      <c r="F3768" s="200"/>
      <c r="G3768" s="200"/>
      <c r="H3768" s="200"/>
      <c r="I3768" s="440"/>
    </row>
    <row r="3769" spans="1:17" x14ac:dyDescent="0.2">
      <c r="A3769" s="267" t="s">
        <v>200</v>
      </c>
      <c r="B3769" s="268" t="s">
        <v>59</v>
      </c>
      <c r="C3769" s="268" t="s">
        <v>196</v>
      </c>
      <c r="D3769" s="268" t="s">
        <v>201</v>
      </c>
      <c r="E3769" s="268" t="s">
        <v>202</v>
      </c>
      <c r="F3769" s="268" t="s">
        <v>203</v>
      </c>
      <c r="G3769" s="268" t="s">
        <v>94</v>
      </c>
      <c r="H3769" s="268" t="s">
        <v>89</v>
      </c>
      <c r="I3769" s="442" t="s">
        <v>204</v>
      </c>
    </row>
    <row r="3770" spans="1:17" ht="22.5" x14ac:dyDescent="0.2">
      <c r="A3770" s="259" t="str">
        <f>VLOOKUP(B3770,transp.!A:D,2,FALSE)</f>
        <v>Transporte de Caibros 8 X 8 cm (pontalete)</v>
      </c>
      <c r="B3770" s="234">
        <v>1095</v>
      </c>
      <c r="C3770" s="234" t="str">
        <f>VLOOKUP(B3770,transp.!$A:$J,3,FALSE)</f>
        <v xml:space="preserve"> t  </v>
      </c>
      <c r="D3770" s="269" t="str">
        <f>VLOOKUP(B3770,transp.!$A:$J,4,FALSE)</f>
        <v>0,716XP + 0,745XR</v>
      </c>
      <c r="E3770" s="455">
        <f>VLOOKUP(J3770,Dis!$B:$F,4,FALSE)</f>
        <v>28.4</v>
      </c>
      <c r="F3770" s="455">
        <f>VLOOKUP(J3770,Dis!$B:$F,5,FALSE)</f>
        <v>2.34</v>
      </c>
      <c r="G3770" s="239">
        <f>TRUNC(VLOOKUP(B3770,transp.!$A:$J,5,FALSE)*E3770+VLOOKUP(B3770,transp.!$A:$J,6,FALSE)*F3770+VLOOKUP(B3770,transp.!$A:$J,7,FALSE),2)</f>
        <v>22.07</v>
      </c>
      <c r="H3770" s="271">
        <v>1.9E-3</v>
      </c>
      <c r="I3770" s="418">
        <f>TRUNC(G3770*H3770,2)</f>
        <v>0.04</v>
      </c>
      <c r="J3770" s="400" t="s">
        <v>115</v>
      </c>
    </row>
    <row r="3771" spans="1:17" x14ac:dyDescent="0.2">
      <c r="A3771" s="259" t="str">
        <f>VLOOKUP(B3771,transp.!A:D,2,FALSE)</f>
        <v>Transporte de Sarrafo 10 X 2,5 cm</v>
      </c>
      <c r="B3771" s="234">
        <v>1096</v>
      </c>
      <c r="C3771" s="234" t="str">
        <f>VLOOKUP(B3771,transp.!$A:$J,3,FALSE)</f>
        <v xml:space="preserve"> t  </v>
      </c>
      <c r="D3771" s="269" t="str">
        <f>VLOOKUP(B3771,transp.!$A:$J,4,FALSE)</f>
        <v>0,716XP + 0,745XR</v>
      </c>
      <c r="E3771" s="455">
        <f>VLOOKUP(J3771,Dis!$B:$F,4,FALSE)</f>
        <v>28.4</v>
      </c>
      <c r="F3771" s="455">
        <f>VLOOKUP(J3771,Dis!$B:$F,5,FALSE)</f>
        <v>2.34</v>
      </c>
      <c r="G3771" s="239">
        <f>TRUNC(VLOOKUP(B3771,transp.!$A:$J,5,FALSE)*E3771+VLOOKUP(B3771,transp.!$A:$J,6,FALSE)*F3771+VLOOKUP(B3771,transp.!$A:$J,7,FALSE),2)</f>
        <v>22.07</v>
      </c>
      <c r="H3771" s="271">
        <v>1.1999999999999999E-3</v>
      </c>
      <c r="I3771" s="418">
        <f>TRUNC(G3771*H3771,2)</f>
        <v>0.02</v>
      </c>
      <c r="J3771" s="400" t="s">
        <v>115</v>
      </c>
    </row>
    <row r="3772" spans="1:17" x14ac:dyDescent="0.2">
      <c r="A3772" s="259" t="str">
        <f>VLOOKUP(B3772,transp.!A:D,2,FALSE)</f>
        <v>Transporte de Tábuas de 2,5 cm</v>
      </c>
      <c r="B3772" s="234">
        <v>1094</v>
      </c>
      <c r="C3772" s="234" t="str">
        <f>VLOOKUP(B3772,transp.!$A:$J,3,FALSE)</f>
        <v xml:space="preserve"> t  </v>
      </c>
      <c r="D3772" s="269" t="str">
        <f>VLOOKUP(B3772,transp.!$A:$J,4,FALSE)</f>
        <v>0,716XP + 0,745XR</v>
      </c>
      <c r="E3772" s="455">
        <f>VLOOKUP(J3772,Dis!$B:$F,4,FALSE)</f>
        <v>28.4</v>
      </c>
      <c r="F3772" s="455">
        <f>VLOOKUP(J3772,Dis!$B:$F,5,FALSE)</f>
        <v>2.34</v>
      </c>
      <c r="G3772" s="239">
        <f>TRUNC(VLOOKUP(B3772,transp.!$A:$J,5,FALSE)*E3772+VLOOKUP(B3772,transp.!$A:$J,6,FALSE)*F3772+VLOOKUP(B3772,transp.!$A:$J,7,FALSE),2)</f>
        <v>22.07</v>
      </c>
      <c r="H3772" s="271">
        <v>7.6E-3</v>
      </c>
      <c r="I3772" s="418">
        <f>TRUNC(G3772*H3772,2)</f>
        <v>0.16</v>
      </c>
      <c r="J3772" s="400" t="s">
        <v>115</v>
      </c>
    </row>
    <row r="3773" spans="1:17" x14ac:dyDescent="0.2">
      <c r="A3773" s="200"/>
      <c r="B3773" s="264"/>
      <c r="C3773" s="200"/>
      <c r="D3773" s="200"/>
      <c r="E3773" s="200"/>
      <c r="F3773" s="265" t="s">
        <v>205</v>
      </c>
      <c r="G3773" s="240"/>
      <c r="H3773" s="272"/>
      <c r="I3773" s="443">
        <f>SUM(I3770:I3772)</f>
        <v>0.22</v>
      </c>
    </row>
    <row r="3774" spans="1:17" x14ac:dyDescent="0.2">
      <c r="A3774" s="200"/>
      <c r="B3774" s="264"/>
      <c r="C3774" s="200"/>
      <c r="D3774" s="200"/>
      <c r="E3774" s="200"/>
      <c r="F3774" s="200"/>
      <c r="G3774" s="200"/>
      <c r="H3774" s="200"/>
      <c r="I3774" s="444"/>
      <c r="J3774" s="410"/>
    </row>
    <row r="3775" spans="1:17" x14ac:dyDescent="0.2">
      <c r="A3775" s="273"/>
      <c r="B3775" s="274"/>
      <c r="C3775" s="275"/>
      <c r="D3775" s="275"/>
      <c r="E3775" s="275"/>
      <c r="F3775" s="276" t="s">
        <v>206</v>
      </c>
      <c r="G3775" s="273"/>
      <c r="H3775" s="249"/>
      <c r="I3775" s="445">
        <f>+I3756+I3763+I3767+I3773</f>
        <v>71.569999999999993</v>
      </c>
    </row>
    <row r="3776" spans="1:17" x14ac:dyDescent="0.2">
      <c r="A3776" s="255"/>
      <c r="B3776" s="277"/>
      <c r="C3776" s="266"/>
      <c r="D3776" s="266"/>
      <c r="E3776" s="266"/>
      <c r="F3776" s="278" t="str">
        <f>CONCATENATE($H$3," ",$I$3)</f>
        <v>BDI: 23,32</v>
      </c>
      <c r="G3776" s="403"/>
      <c r="H3776" s="253"/>
      <c r="I3776" s="446">
        <f>+ROUND(I3775*$I$4,2)</f>
        <v>16.690000000000001</v>
      </c>
    </row>
    <row r="3777" spans="1:13" x14ac:dyDescent="0.2">
      <c r="A3777" s="240"/>
      <c r="B3777" s="279"/>
      <c r="C3777" s="272"/>
      <c r="D3777" s="272"/>
      <c r="E3777" s="272"/>
      <c r="F3777" s="280" t="s">
        <v>207</v>
      </c>
      <c r="G3777" s="404"/>
      <c r="H3777" s="241"/>
      <c r="I3777" s="720">
        <f>+I3775+I3776</f>
        <v>88.26</v>
      </c>
    </row>
    <row r="3778" spans="1:13" x14ac:dyDescent="0.2">
      <c r="A3778" s="199"/>
      <c r="B3778" s="530"/>
      <c r="C3778" s="200"/>
      <c r="D3778" s="200"/>
      <c r="E3778" s="200"/>
      <c r="F3778" s="265"/>
      <c r="G3778" s="200"/>
      <c r="H3778" s="199"/>
      <c r="I3778" s="738"/>
    </row>
    <row r="3779" spans="1:13" x14ac:dyDescent="0.2">
      <c r="A3779" s="1116" t="str">
        <f>$A$1</f>
        <v>COMPOSIÇÃO DE CUSTOS UNITÁRIOS</v>
      </c>
      <c r="B3779" s="1116"/>
      <c r="C3779" s="1116"/>
      <c r="D3779" s="1116"/>
      <c r="E3779" s="1116"/>
      <c r="F3779" s="1116"/>
      <c r="G3779" s="1116"/>
      <c r="H3779" s="1116"/>
      <c r="I3779" s="1116"/>
    </row>
    <row r="3780" spans="1:13" x14ac:dyDescent="0.2">
      <c r="A3780" s="228" t="str">
        <f>$A$2</f>
        <v>Tabela Referencial de Preços - DER-ES</v>
      </c>
      <c r="B3780" s="229"/>
      <c r="C3780" s="199"/>
      <c r="D3780" s="199"/>
      <c r="E3780" s="199"/>
      <c r="F3780" s="199"/>
      <c r="G3780" s="199"/>
      <c r="H3780" s="199"/>
      <c r="I3780" s="414" t="str">
        <f>$I$2</f>
        <v>Data Base: novembro/2020</v>
      </c>
      <c r="J3780" s="400">
        <v>40360</v>
      </c>
      <c r="K3780" s="400">
        <f>VLOOKUP("Preço Unitário Total",F3782:I3972,4,FALSE)</f>
        <v>696.87</v>
      </c>
      <c r="L3780" s="295" t="str">
        <f>VLOOKUP(J3780,'DER 11-20'!A:E,5,FALSE)</f>
        <v>A incluir</v>
      </c>
      <c r="M3780" s="295" t="str">
        <f>VLOOKUP(J3780,'DER 11-20'!$A:$D,2,FALSE)</f>
        <v>Concreto estrutural fck = 20,0 MPa, tudo incluído</v>
      </c>
    </row>
    <row r="3781" spans="1:13" x14ac:dyDescent="0.2">
      <c r="A3781" s="1117" t="str">
        <f>+CONCATENATE("Serviço: ",J3780," ",VLOOKUP(J3780,'DER 11-20'!$A:$D,2,FALSE))</f>
        <v>Serviço: 40360 Concreto estrutural fck = 20,0 MPa, tudo incluído</v>
      </c>
      <c r="B3781" s="1117"/>
      <c r="C3781" s="1117"/>
      <c r="D3781" s="1117"/>
      <c r="E3781" s="1117"/>
      <c r="F3781" s="1117"/>
      <c r="G3781" s="1117"/>
      <c r="H3781" s="1117"/>
      <c r="I3781" s="1119" t="str">
        <f>CONCATENATE("Unidade: ", VLOOKUP(J3780,'DER 11-20'!$A:$E,3,FALSE))</f>
        <v>Unidade: M3</v>
      </c>
    </row>
    <row r="3782" spans="1:13" x14ac:dyDescent="0.2">
      <c r="A3782" s="1118"/>
      <c r="B3782" s="1118"/>
      <c r="C3782" s="1118"/>
      <c r="D3782" s="1118"/>
      <c r="E3782" s="1118"/>
      <c r="F3782" s="1118"/>
      <c r="G3782" s="1118"/>
      <c r="H3782" s="1118"/>
      <c r="I3782" s="1120"/>
    </row>
    <row r="3783" spans="1:13" ht="22.5" x14ac:dyDescent="0.2">
      <c r="A3783" s="231" t="s">
        <v>177</v>
      </c>
      <c r="B3783" s="232" t="s">
        <v>59</v>
      </c>
      <c r="C3783" s="232" t="s">
        <v>178</v>
      </c>
      <c r="D3783" s="232" t="s">
        <v>179</v>
      </c>
      <c r="E3783" s="232" t="s">
        <v>180</v>
      </c>
      <c r="F3783" s="232" t="s">
        <v>181</v>
      </c>
      <c r="G3783" s="232" t="s">
        <v>182</v>
      </c>
      <c r="H3783" s="232" t="s">
        <v>89</v>
      </c>
      <c r="I3783" s="434" t="s">
        <v>183</v>
      </c>
      <c r="J3783" s="295"/>
      <c r="K3783" s="295"/>
    </row>
    <row r="3784" spans="1:13" ht="22.5" x14ac:dyDescent="0.2">
      <c r="A3784" s="233" t="str">
        <f>VLOOKUP(B3784,equip.!$A:$G,2,FALSE)</f>
        <v>Betoneira 600 l com carregador (elétrica)</v>
      </c>
      <c r="B3784" s="234">
        <v>30070</v>
      </c>
      <c r="C3784" s="235">
        <f>VLOOKUP(B3784,equip.!$A$1:$G$239,3,FALSE)</f>
        <v>0</v>
      </c>
      <c r="D3784" s="236">
        <v>1</v>
      </c>
      <c r="E3784" s="203">
        <v>0</v>
      </c>
      <c r="F3784" s="237">
        <f>VLOOKUP(B3784,equip.!$A:$G,6,FALSE)</f>
        <v>26.5</v>
      </c>
      <c r="G3784" s="237">
        <f>VLOOKUP(B3784,equip.!$A:$G,7,FALSE)</f>
        <v>21.55</v>
      </c>
      <c r="H3784" s="238">
        <v>1</v>
      </c>
      <c r="I3784" s="418">
        <f>TRUNC(D3784*F3784*H3784+E3784*G3784*H3784,2)</f>
        <v>26.5</v>
      </c>
      <c r="J3784" s="295"/>
      <c r="K3784" s="295"/>
    </row>
    <row r="3785" spans="1:13" x14ac:dyDescent="0.2">
      <c r="A3785" s="233" t="str">
        <f>VLOOKUP(B3785,equip.!$A:$G,2,FALSE)</f>
        <v>Carrinho de mão</v>
      </c>
      <c r="B3785" s="234">
        <v>30076</v>
      </c>
      <c r="C3785" s="235">
        <f>VLOOKUP(B3785,equip.!$A$1:$G$239,3,FALSE)</f>
        <v>0</v>
      </c>
      <c r="D3785" s="236">
        <v>1</v>
      </c>
      <c r="E3785" s="203">
        <v>0</v>
      </c>
      <c r="F3785" s="237">
        <f>VLOOKUP(B3785,equip.!$A:$G,6,FALSE)</f>
        <v>0.19</v>
      </c>
      <c r="G3785" s="237">
        <f>VLOOKUP(B3785,equip.!$A:$G,7,FALSE)</f>
        <v>0.13</v>
      </c>
      <c r="H3785" s="238">
        <v>3</v>
      </c>
      <c r="I3785" s="418">
        <f>TRUNC(D3785*F3785*H3785+E3785*G3785*H3785,2)</f>
        <v>0.56999999999999995</v>
      </c>
      <c r="J3785" s="295"/>
      <c r="K3785" s="295"/>
    </row>
    <row r="3786" spans="1:13" ht="33.75" x14ac:dyDescent="0.2">
      <c r="A3786" s="233" t="str">
        <f>VLOOKUP(B3786,equip.!$A:$G,2,FALSE)</f>
        <v>Vibrador de imersao AA67 c/ mangote, marca de referência ATLAS COPCO ou equivalente</v>
      </c>
      <c r="B3786" s="234">
        <v>30071</v>
      </c>
      <c r="C3786" s="235">
        <f>VLOOKUP(B3786,equip.!$A$1:$G$239,3,FALSE)</f>
        <v>0</v>
      </c>
      <c r="D3786" s="236">
        <v>1</v>
      </c>
      <c r="E3786" s="203">
        <v>0</v>
      </c>
      <c r="F3786" s="237">
        <f>VLOOKUP(B3786,equip.!$A:$G,6,FALSE)</f>
        <v>15.98</v>
      </c>
      <c r="G3786" s="237">
        <f>VLOOKUP(B3786,equip.!$A:$G,7,FALSE)</f>
        <v>13.16</v>
      </c>
      <c r="H3786" s="238">
        <v>2</v>
      </c>
      <c r="I3786" s="418">
        <f>TRUNC(D3786*F3786*H3786+E3786*G3786*H3786,2)</f>
        <v>31.96</v>
      </c>
      <c r="J3786" s="295"/>
      <c r="K3786" s="295"/>
    </row>
    <row r="3787" spans="1:13" x14ac:dyDescent="0.2">
      <c r="A3787" s="199"/>
      <c r="B3787" s="229"/>
      <c r="C3787" s="229"/>
      <c r="D3787" s="199"/>
      <c r="E3787" s="199"/>
      <c r="F3787" s="230" t="s">
        <v>184</v>
      </c>
      <c r="G3787" s="240"/>
      <c r="H3787" s="241"/>
      <c r="I3787" s="438">
        <f>SUM(I3784:I3786)</f>
        <v>59.03</v>
      </c>
      <c r="J3787" s="295"/>
      <c r="K3787" s="295"/>
    </row>
    <row r="3788" spans="1:13" x14ac:dyDescent="0.2">
      <c r="A3788" s="199"/>
      <c r="B3788" s="229"/>
      <c r="C3788" s="229"/>
      <c r="D3788" s="199"/>
      <c r="E3788" s="199"/>
      <c r="F3788" s="199"/>
      <c r="G3788" s="199"/>
      <c r="H3788" s="199"/>
      <c r="I3788" s="439"/>
      <c r="J3788" s="295"/>
      <c r="K3788" s="295"/>
    </row>
    <row r="3789" spans="1:13" x14ac:dyDescent="0.2">
      <c r="A3789" s="242" t="s">
        <v>185</v>
      </c>
      <c r="B3789" s="243" t="s">
        <v>59</v>
      </c>
      <c r="C3789" s="232" t="s">
        <v>357</v>
      </c>
      <c r="D3789" s="243" t="s">
        <v>187</v>
      </c>
      <c r="E3789" s="1121" t="s">
        <v>89</v>
      </c>
      <c r="F3789" s="1114"/>
      <c r="G3789" s="1115"/>
      <c r="H3789" s="1121" t="s">
        <v>183</v>
      </c>
      <c r="I3789" s="1115"/>
      <c r="J3789" s="295"/>
      <c r="K3789" s="295"/>
    </row>
    <row r="3790" spans="1:13" x14ac:dyDescent="0.2">
      <c r="A3790" s="244" t="str">
        <f>VLOOKUP(B3790,m.o.!$A:$H,2,FALSE)</f>
        <v>Encarregado de O.A.C.</v>
      </c>
      <c r="B3790" s="234">
        <v>20060</v>
      </c>
      <c r="C3790" s="239">
        <f>VLOOKUP(B3790,m.o.!$A:$F,4,FALSE)</f>
        <v>2.2599999999999998</v>
      </c>
      <c r="D3790" s="239">
        <f>VLOOKUP(B3790,m.o.!$A:$G,7,FALSE)</f>
        <v>28.31</v>
      </c>
      <c r="E3790" s="240"/>
      <c r="F3790" s="253"/>
      <c r="G3790" s="293">
        <v>1</v>
      </c>
      <c r="H3790" s="240"/>
      <c r="I3790" s="427">
        <f>TRUNC(D3790*G3790,2)</f>
        <v>28.31</v>
      </c>
      <c r="J3790" s="295"/>
      <c r="K3790" s="295"/>
    </row>
    <row r="3791" spans="1:13" x14ac:dyDescent="0.2">
      <c r="A3791" s="244" t="str">
        <f>VLOOKUP(B3791,m.o.!$A:$H,2,FALSE)</f>
        <v>Operário braçal</v>
      </c>
      <c r="B3791" s="234">
        <v>20107</v>
      </c>
      <c r="C3791" s="239">
        <f>VLOOKUP(B3791,m.o.!$A:$F,4,FALSE)</f>
        <v>1.02</v>
      </c>
      <c r="D3791" s="239">
        <f>VLOOKUP(B3791,m.o.!$A:$G,7,FALSE)</f>
        <v>12.77</v>
      </c>
      <c r="E3791" s="240"/>
      <c r="F3791" s="241"/>
      <c r="G3791" s="405">
        <v>10</v>
      </c>
      <c r="H3791" s="240"/>
      <c r="I3791" s="427">
        <f>TRUNC(D3791*G3791,2)</f>
        <v>127.7</v>
      </c>
      <c r="J3791" s="295"/>
      <c r="K3791" s="295"/>
    </row>
    <row r="3792" spans="1:13" x14ac:dyDescent="0.2">
      <c r="A3792" s="244" t="str">
        <f>VLOOKUP(B3792,m.o.!$A:$H,2,FALSE)</f>
        <v>Pedreiro de O.A.C.</v>
      </c>
      <c r="B3792" s="234">
        <v>20109</v>
      </c>
      <c r="C3792" s="239">
        <f>VLOOKUP(B3792,m.o.!$A:$F,4,FALSE)</f>
        <v>1.24</v>
      </c>
      <c r="D3792" s="239">
        <f>VLOOKUP(B3792,m.o.!$A:$G,7,FALSE)</f>
        <v>15.53</v>
      </c>
      <c r="E3792" s="240"/>
      <c r="F3792" s="241"/>
      <c r="G3792" s="405">
        <v>2</v>
      </c>
      <c r="H3792" s="240"/>
      <c r="I3792" s="427">
        <f>TRUNC(D3792*G3792,2)</f>
        <v>31.06</v>
      </c>
      <c r="J3792" s="295"/>
      <c r="K3792" s="295"/>
    </row>
    <row r="3793" spans="1:11" x14ac:dyDescent="0.2">
      <c r="A3793" s="199"/>
      <c r="B3793" s="229"/>
      <c r="C3793" s="229"/>
      <c r="D3793" s="199"/>
      <c r="E3793" s="199"/>
      <c r="F3793" s="230" t="s">
        <v>188</v>
      </c>
      <c r="G3793" s="240"/>
      <c r="H3793" s="241"/>
      <c r="I3793" s="438">
        <f>SUM(I3790:I3792)</f>
        <v>187.07</v>
      </c>
      <c r="J3793" s="295"/>
      <c r="K3793" s="295"/>
    </row>
    <row r="3794" spans="1:11" x14ac:dyDescent="0.2">
      <c r="A3794" s="199"/>
      <c r="B3794" s="229"/>
      <c r="C3794" s="229"/>
      <c r="D3794" s="199"/>
      <c r="E3794" s="199"/>
      <c r="F3794" s="199"/>
      <c r="G3794" s="199"/>
      <c r="H3794" s="199"/>
      <c r="I3794" s="439"/>
      <c r="J3794" s="295"/>
      <c r="K3794" s="295"/>
    </row>
    <row r="3795" spans="1:11" x14ac:dyDescent="0.2">
      <c r="A3795" s="245" t="s">
        <v>189</v>
      </c>
      <c r="B3795" s="243" t="s">
        <v>59</v>
      </c>
      <c r="C3795" s="635" t="s">
        <v>17</v>
      </c>
      <c r="D3795" s="243" t="s">
        <v>190</v>
      </c>
      <c r="E3795" s="243" t="s">
        <v>191</v>
      </c>
      <c r="F3795" s="243" t="s">
        <v>192</v>
      </c>
      <c r="G3795" s="1121" t="s">
        <v>94</v>
      </c>
      <c r="H3795" s="1114"/>
      <c r="I3795" s="1115"/>
      <c r="J3795" s="295"/>
      <c r="K3795" s="295"/>
    </row>
    <row r="3796" spans="1:11" x14ac:dyDescent="0.2">
      <c r="A3796" s="244" t="s">
        <v>127</v>
      </c>
      <c r="B3796" s="234">
        <v>2000</v>
      </c>
      <c r="C3796" s="239">
        <v>5</v>
      </c>
      <c r="D3796" s="235" t="s">
        <v>208</v>
      </c>
      <c r="E3796" s="246"/>
      <c r="F3796" s="246"/>
      <c r="G3796" s="240"/>
      <c r="H3796" s="241"/>
      <c r="I3796" s="427">
        <f>TRUNC(C3796/100*I3793,2)</f>
        <v>9.35</v>
      </c>
      <c r="J3796" s="295"/>
      <c r="K3796" s="295"/>
    </row>
    <row r="3797" spans="1:11" x14ac:dyDescent="0.2">
      <c r="A3797" s="199"/>
      <c r="B3797" s="229"/>
      <c r="C3797" s="199"/>
      <c r="D3797" s="199"/>
      <c r="E3797" s="199"/>
      <c r="F3797" s="230" t="s">
        <v>327</v>
      </c>
      <c r="G3797" s="240"/>
      <c r="H3797" s="241"/>
      <c r="I3797" s="438">
        <f>SUM(I3796)</f>
        <v>9.35</v>
      </c>
      <c r="J3797" s="295"/>
      <c r="K3797" s="295"/>
    </row>
    <row r="3798" spans="1:11" x14ac:dyDescent="0.2">
      <c r="A3798" s="199"/>
      <c r="B3798" s="229"/>
      <c r="C3798" s="199"/>
      <c r="D3798" s="199"/>
      <c r="E3798" s="199"/>
      <c r="F3798" s="199"/>
      <c r="G3798" s="199"/>
      <c r="H3798" s="199"/>
      <c r="I3798" s="439"/>
      <c r="J3798" s="295"/>
      <c r="K3798" s="295"/>
    </row>
    <row r="3799" spans="1:11" x14ac:dyDescent="0.2">
      <c r="A3799" s="247"/>
      <c r="B3799" s="248"/>
      <c r="C3799" s="249"/>
      <c r="D3799" s="249"/>
      <c r="E3799" s="249"/>
      <c r="F3799" s="250" t="s">
        <v>193</v>
      </c>
      <c r="G3799" s="401"/>
      <c r="H3799" s="249"/>
      <c r="I3799" s="445">
        <f>+I3787+I3793+I3797</f>
        <v>255.45</v>
      </c>
      <c r="K3799" s="295"/>
    </row>
    <row r="3800" spans="1:11" x14ac:dyDescent="0.2">
      <c r="A3800" s="251"/>
      <c r="B3800" s="252"/>
      <c r="C3800" s="253"/>
      <c r="D3800" s="253"/>
      <c r="E3800" s="253"/>
      <c r="F3800" s="254" t="s">
        <v>194</v>
      </c>
      <c r="G3800" s="255"/>
      <c r="H3800" s="253"/>
      <c r="I3800" s="446">
        <v>1</v>
      </c>
      <c r="K3800" s="295"/>
    </row>
    <row r="3801" spans="1:11" x14ac:dyDescent="0.2">
      <c r="A3801" s="233"/>
      <c r="B3801" s="256"/>
      <c r="C3801" s="241"/>
      <c r="D3801" s="241"/>
      <c r="E3801" s="241"/>
      <c r="F3801" s="257" t="s">
        <v>216</v>
      </c>
      <c r="G3801" s="240"/>
      <c r="H3801" s="241"/>
      <c r="I3801" s="447">
        <f>TRUNC(I3799/I3800,2)</f>
        <v>255.45</v>
      </c>
      <c r="K3801" s="295"/>
    </row>
    <row r="3802" spans="1:11" x14ac:dyDescent="0.2">
      <c r="A3802" s="636"/>
      <c r="B3802" s="229"/>
      <c r="C3802" s="199"/>
      <c r="D3802" s="199"/>
      <c r="E3802" s="199"/>
      <c r="F3802" s="258"/>
      <c r="G3802" s="199"/>
      <c r="H3802" s="199"/>
      <c r="I3802" s="450"/>
      <c r="K3802" s="295"/>
    </row>
    <row r="3803" spans="1:11" x14ac:dyDescent="0.2">
      <c r="A3803" s="242" t="s">
        <v>195</v>
      </c>
      <c r="B3803" s="243" t="s">
        <v>59</v>
      </c>
      <c r="C3803" s="243" t="s">
        <v>196</v>
      </c>
      <c r="D3803" s="243" t="s">
        <v>217</v>
      </c>
      <c r="E3803" s="1121" t="s">
        <v>89</v>
      </c>
      <c r="F3803" s="1114"/>
      <c r="G3803" s="1115"/>
      <c r="H3803" s="1121" t="s">
        <v>183</v>
      </c>
      <c r="I3803" s="1115"/>
      <c r="K3803" s="295"/>
    </row>
    <row r="3804" spans="1:11" ht="22.5" x14ac:dyDescent="0.2">
      <c r="A3804" s="259" t="str">
        <f>VLOOKUP(B3804,mat.!$A:$D,2,FALSE)</f>
        <v>Areia grossa jazida com carregamento mecânico</v>
      </c>
      <c r="B3804" s="234">
        <v>10109</v>
      </c>
      <c r="C3804" s="260" t="str">
        <f>VLOOKUP(B3804,mat.!$A:$D,3,FALSE)</f>
        <v>m3</v>
      </c>
      <c r="D3804" s="261">
        <f>VLOOKUP(B3804,mat.!$A:$D,4,FALSE)</f>
        <v>60</v>
      </c>
      <c r="E3804" s="255"/>
      <c r="F3804" s="253"/>
      <c r="G3804" s="789">
        <v>0.61109999999999998</v>
      </c>
      <c r="H3804" s="255"/>
      <c r="I3804" s="423">
        <f>TRUNC(D3804*G3804,2)</f>
        <v>36.659999999999997</v>
      </c>
      <c r="K3804" s="295"/>
    </row>
    <row r="3805" spans="1:11" x14ac:dyDescent="0.2">
      <c r="A3805" s="259" t="str">
        <f>VLOOKUP(B3805,mat.!$A:$D,2,FALSE)</f>
        <v>Cimento CP III</v>
      </c>
      <c r="B3805" s="234">
        <v>10092</v>
      </c>
      <c r="C3805" s="260" t="str">
        <f>VLOOKUP(B3805,mat.!$A:$D,3,FALSE)</f>
        <v>kg</v>
      </c>
      <c r="D3805" s="261">
        <f>VLOOKUP(B3805,mat.!$A:$D,4,FALSE)</f>
        <v>0.41</v>
      </c>
      <c r="E3805" s="255"/>
      <c r="F3805" s="253"/>
      <c r="G3805" s="791">
        <v>405.3</v>
      </c>
      <c r="H3805" s="255"/>
      <c r="I3805" s="423">
        <f>TRUNC(D3805*G3805,2)</f>
        <v>166.17</v>
      </c>
      <c r="K3805" s="295"/>
    </row>
    <row r="3806" spans="1:11" x14ac:dyDescent="0.2">
      <c r="A3806" s="259" t="str">
        <f>VLOOKUP(B3806,mat.!$A:$D,2,FALSE)</f>
        <v>Pedra britada p/ concreto, sem frete</v>
      </c>
      <c r="B3806" s="234">
        <v>10125</v>
      </c>
      <c r="C3806" s="260" t="str">
        <f>VLOOKUP(B3806,mat.!$A:$D,3,FALSE)</f>
        <v>m3</v>
      </c>
      <c r="D3806" s="261">
        <f>VLOOKUP(B3806,mat.!$A:$D,4,FALSE)</f>
        <v>70.75</v>
      </c>
      <c r="E3806" s="255"/>
      <c r="F3806" s="253"/>
      <c r="G3806" s="791">
        <v>0.77700000000000002</v>
      </c>
      <c r="H3806" s="255"/>
      <c r="I3806" s="423">
        <f>TRUNC(D3806*G3806,2)</f>
        <v>54.97</v>
      </c>
      <c r="K3806" s="295"/>
    </row>
    <row r="3807" spans="1:11" x14ac:dyDescent="0.2">
      <c r="A3807" s="199"/>
      <c r="B3807" s="229"/>
      <c r="C3807" s="199"/>
      <c r="D3807" s="199"/>
      <c r="E3807" s="199"/>
      <c r="F3807" s="230" t="s">
        <v>197</v>
      </c>
      <c r="G3807" s="240"/>
      <c r="H3807" s="241"/>
      <c r="I3807" s="438">
        <f>SUM(I3804:I3806)</f>
        <v>257.8</v>
      </c>
      <c r="K3807" s="295"/>
    </row>
    <row r="3808" spans="1:11" x14ac:dyDescent="0.2">
      <c r="A3808" s="199"/>
      <c r="B3808" s="229"/>
      <c r="C3808" s="199"/>
      <c r="D3808" s="199"/>
      <c r="E3808" s="199"/>
      <c r="F3808" s="199"/>
      <c r="G3808" s="262"/>
      <c r="H3808" s="199"/>
      <c r="I3808" s="439"/>
      <c r="K3808" s="295"/>
    </row>
    <row r="3809" spans="1:13" x14ac:dyDescent="0.2">
      <c r="A3809" s="263" t="s">
        <v>198</v>
      </c>
      <c r="B3809" s="243" t="s">
        <v>59</v>
      </c>
      <c r="C3809" s="243" t="s">
        <v>196</v>
      </c>
      <c r="D3809" s="635" t="s">
        <v>217</v>
      </c>
      <c r="E3809" s="1121" t="s">
        <v>89</v>
      </c>
      <c r="F3809" s="1114"/>
      <c r="G3809" s="1115"/>
      <c r="H3809" s="1121" t="s">
        <v>183</v>
      </c>
      <c r="I3809" s="1115"/>
      <c r="K3809" s="295"/>
    </row>
    <row r="3810" spans="1:13" ht="21.75" customHeight="1" x14ac:dyDescent="0.2">
      <c r="A3810" s="244"/>
      <c r="B3810" s="234"/>
      <c r="C3810" s="234"/>
      <c r="D3810" s="239"/>
      <c r="E3810" s="240"/>
      <c r="F3810" s="253"/>
      <c r="G3810" s="293"/>
      <c r="H3810" s="240"/>
      <c r="I3810" s="423"/>
      <c r="K3810" s="295"/>
    </row>
    <row r="3811" spans="1:13" x14ac:dyDescent="0.2">
      <c r="A3811" s="200"/>
      <c r="B3811" s="264"/>
      <c r="C3811" s="200"/>
      <c r="D3811" s="200"/>
      <c r="E3811" s="200"/>
      <c r="F3811" s="265" t="s">
        <v>199</v>
      </c>
      <c r="G3811" s="255"/>
      <c r="H3811" s="266"/>
      <c r="I3811" s="441">
        <f>SUM(I3810:I3810)</f>
        <v>0</v>
      </c>
      <c r="K3811" s="295"/>
    </row>
    <row r="3812" spans="1:13" x14ac:dyDescent="0.2">
      <c r="A3812" s="200"/>
      <c r="B3812" s="264"/>
      <c r="C3812" s="200"/>
      <c r="D3812" s="200"/>
      <c r="E3812" s="200"/>
      <c r="F3812" s="200"/>
      <c r="G3812" s="200"/>
      <c r="H3812" s="200"/>
      <c r="I3812" s="440"/>
      <c r="K3812" s="295"/>
    </row>
    <row r="3813" spans="1:13" x14ac:dyDescent="0.2">
      <c r="A3813" s="267" t="s">
        <v>200</v>
      </c>
      <c r="B3813" s="268" t="s">
        <v>59</v>
      </c>
      <c r="C3813" s="268" t="s">
        <v>196</v>
      </c>
      <c r="D3813" s="268" t="s">
        <v>201</v>
      </c>
      <c r="E3813" s="268" t="s">
        <v>202</v>
      </c>
      <c r="F3813" s="268" t="s">
        <v>203</v>
      </c>
      <c r="G3813" s="268" t="s">
        <v>94</v>
      </c>
      <c r="H3813" s="268" t="s">
        <v>89</v>
      </c>
      <c r="I3813" s="442" t="s">
        <v>204</v>
      </c>
      <c r="K3813" s="295"/>
    </row>
    <row r="3814" spans="1:13" ht="22.5" x14ac:dyDescent="0.2">
      <c r="A3814" s="259" t="str">
        <f>VLOOKUP(B3814,transp.!A:D,2,FALSE)</f>
        <v>Transp. de Areia grossa jazida c/ carreg.mecânico</v>
      </c>
      <c r="B3814" s="234">
        <v>1026</v>
      </c>
      <c r="C3814" s="234" t="str">
        <f>VLOOKUP(B3814,transp.!$A:$J,3,FALSE)</f>
        <v xml:space="preserve"> t  </v>
      </c>
      <c r="D3814" s="269" t="str">
        <f>VLOOKUP(B3814,transp.!$A:$J,4,FALSE)</f>
        <v>0,719XP + 0,749XR + 2,997</v>
      </c>
      <c r="E3814" s="455">
        <f>VLOOKUP(J3814,Dis!$B:$F,4,FALSE)</f>
        <v>29.1</v>
      </c>
      <c r="F3814" s="455">
        <f>VLOOKUP(J3814,Dis!$B:$F,5,FALSE)</f>
        <v>5.5</v>
      </c>
      <c r="G3814" s="239">
        <f>TRUNC(VLOOKUP(B3814,transp.!$A:$J,5,FALSE)*E3814+VLOOKUP(B3814,transp.!$A:$J,6,FALSE)*F3814+VLOOKUP(B3814,transp.!$A:$J,7,FALSE),2)</f>
        <v>28.03</v>
      </c>
      <c r="H3814" s="271">
        <v>0.91669999999999996</v>
      </c>
      <c r="I3814" s="418">
        <f>TRUNC(G3814*H3814,2)</f>
        <v>25.69</v>
      </c>
      <c r="J3814" s="400" t="s">
        <v>113</v>
      </c>
      <c r="K3814" s="295"/>
    </row>
    <row r="3815" spans="1:13" x14ac:dyDescent="0.2">
      <c r="A3815" s="259" t="str">
        <f>VLOOKUP(B3815,transp.!A:D,2,FALSE)</f>
        <v>Transp. de Cimento</v>
      </c>
      <c r="B3815" s="234">
        <v>1153</v>
      </c>
      <c r="C3815" s="234" t="str">
        <f>VLOOKUP(B3815,transp.!$A:$J,3,FALSE)</f>
        <v xml:space="preserve"> t  </v>
      </c>
      <c r="D3815" s="269" t="str">
        <f>VLOOKUP(B3815,transp.!$A:$J,4,FALSE)</f>
        <v>0,716XP + 0,745XR</v>
      </c>
      <c r="E3815" s="455">
        <f>VLOOKUP(J3815,Dis!$B:$F,4,FALSE)</f>
        <v>37</v>
      </c>
      <c r="F3815" s="455">
        <f>VLOOKUP(J3815,Dis!$B:$F,5,FALSE)</f>
        <v>4.83</v>
      </c>
      <c r="G3815" s="239">
        <f>TRUNC(VLOOKUP(B3815,transp.!$A:$J,5,FALSE)*E3815+VLOOKUP(B3815,transp.!$A:$J,6,FALSE)*F3815+VLOOKUP(B3815,transp.!$A:$J,7,FALSE),2)</f>
        <v>30.09</v>
      </c>
      <c r="H3815" s="271">
        <v>0.40529999999999999</v>
      </c>
      <c r="I3815" s="418">
        <f>TRUNC(G3815*H3815,2)</f>
        <v>12.19</v>
      </c>
      <c r="J3815" s="400" t="s">
        <v>159</v>
      </c>
    </row>
    <row r="3816" spans="1:13" ht="22.5" x14ac:dyDescent="0.2">
      <c r="A3816" s="259" t="str">
        <f>VLOOKUP(B3816,transp.!A:D,2,FALSE)</f>
        <v>Transp. de Pedra britada p/ concreto</v>
      </c>
      <c r="B3816" s="234">
        <v>1162</v>
      </c>
      <c r="C3816" s="234" t="str">
        <f>VLOOKUP(B3816,transp.!$A:$J,3,FALSE)</f>
        <v xml:space="preserve"> t  </v>
      </c>
      <c r="D3816" s="269" t="str">
        <f>VLOOKUP(B3816,transp.!$A:$J,4,FALSE)</f>
        <v>0,719XP + 0,749XR + 2,997</v>
      </c>
      <c r="E3816" s="455">
        <f>VLOOKUP(J3816,Dis!$B:$F,4,FALSE)</f>
        <v>12.5</v>
      </c>
      <c r="F3816" s="455">
        <f>VLOOKUP(J3816,Dis!$B:$F,5,FALSE)</f>
        <v>0</v>
      </c>
      <c r="G3816" s="239">
        <f>TRUNC(VLOOKUP(B3816,transp.!$A:$J,5,FALSE)*E3816+VLOOKUP(B3816,transp.!$A:$J,6,FALSE)*F3816+VLOOKUP(B3816,transp.!$A:$J,7,FALSE),2)</f>
        <v>11.98</v>
      </c>
      <c r="H3816" s="271">
        <v>1.1655</v>
      </c>
      <c r="I3816" s="418">
        <f>TRUNC(G3816*H3816,2)</f>
        <v>13.96</v>
      </c>
      <c r="J3816" s="400" t="s">
        <v>111</v>
      </c>
    </row>
    <row r="3817" spans="1:13" x14ac:dyDescent="0.2">
      <c r="A3817" s="200"/>
      <c r="B3817" s="264"/>
      <c r="C3817" s="200"/>
      <c r="D3817" s="200"/>
      <c r="E3817" s="200"/>
      <c r="F3817" s="265" t="s">
        <v>205</v>
      </c>
      <c r="G3817" s="240"/>
      <c r="H3817" s="272"/>
      <c r="I3817" s="443">
        <f>SUM(I3814:I3816)</f>
        <v>51.84</v>
      </c>
    </row>
    <row r="3818" spans="1:13" x14ac:dyDescent="0.2">
      <c r="A3818" s="200"/>
      <c r="B3818" s="264"/>
      <c r="C3818" s="200"/>
      <c r="D3818" s="200"/>
      <c r="E3818" s="200"/>
      <c r="F3818" s="200"/>
      <c r="G3818" s="200"/>
      <c r="H3818" s="200"/>
      <c r="I3818" s="444"/>
    </row>
    <row r="3819" spans="1:13" x14ac:dyDescent="0.2">
      <c r="A3819" s="273"/>
      <c r="B3819" s="274"/>
      <c r="C3819" s="275"/>
      <c r="D3819" s="275"/>
      <c r="E3819" s="275"/>
      <c r="F3819" s="276" t="s">
        <v>206</v>
      </c>
      <c r="G3819" s="273"/>
      <c r="H3819" s="249"/>
      <c r="I3819" s="445">
        <f>+I3801+I3807+I3811+I3817</f>
        <v>565.09</v>
      </c>
    </row>
    <row r="3820" spans="1:13" x14ac:dyDescent="0.2">
      <c r="A3820" s="255"/>
      <c r="B3820" s="277"/>
      <c r="C3820" s="266"/>
      <c r="D3820" s="266"/>
      <c r="E3820" s="266"/>
      <c r="F3820" s="278" t="str">
        <f>CONCATENATE($H$3," ",$I$3)</f>
        <v>BDI: 23,32</v>
      </c>
      <c r="G3820" s="403"/>
      <c r="H3820" s="253"/>
      <c r="I3820" s="446">
        <f>+ROUND(I3819*$I$4,2)</f>
        <v>131.78</v>
      </c>
    </row>
    <row r="3821" spans="1:13" x14ac:dyDescent="0.2">
      <c r="A3821" s="240"/>
      <c r="B3821" s="279"/>
      <c r="C3821" s="272"/>
      <c r="D3821" s="272"/>
      <c r="E3821" s="272"/>
      <c r="F3821" s="280" t="s">
        <v>207</v>
      </c>
      <c r="G3821" s="404"/>
      <c r="H3821" s="241"/>
      <c r="I3821" s="720">
        <f>+I3819+I3820</f>
        <v>696.87</v>
      </c>
    </row>
    <row r="3822" spans="1:13" x14ac:dyDescent="0.2">
      <c r="A3822" s="1116" t="str">
        <f>$A$1</f>
        <v>COMPOSIÇÃO DE CUSTOS UNITÁRIOS</v>
      </c>
      <c r="B3822" s="1116"/>
      <c r="C3822" s="1116"/>
      <c r="D3822" s="1116"/>
      <c r="E3822" s="1116"/>
      <c r="F3822" s="1116"/>
      <c r="G3822" s="1116"/>
      <c r="H3822" s="1116"/>
      <c r="I3822" s="1116"/>
    </row>
    <row r="3823" spans="1:13" x14ac:dyDescent="0.2">
      <c r="A3823" s="228" t="str">
        <f>$A$2</f>
        <v>Tabela Referencial de Preços - DER-ES</v>
      </c>
      <c r="B3823" s="229"/>
      <c r="C3823" s="199"/>
      <c r="D3823" s="199"/>
      <c r="E3823" s="199"/>
      <c r="F3823" s="199"/>
      <c r="G3823" s="199"/>
      <c r="H3823" s="199"/>
      <c r="I3823" s="414" t="str">
        <f>$I$2</f>
        <v>Data Base: novembro/2020</v>
      </c>
      <c r="J3823" s="400">
        <v>40348</v>
      </c>
      <c r="K3823" s="400">
        <f>VLOOKUP("Preço Unitário Total",F3825:I4015,4,FALSE)</f>
        <v>553.79</v>
      </c>
      <c r="L3823" s="295" t="str">
        <f>VLOOKUP(J3823,'DER 11-20'!A:E,5,FALSE)</f>
        <v>A incluir</v>
      </c>
      <c r="M3823" s="295" t="str">
        <f>VLOOKUP(J3823,'DER 11-20'!$A:$D,2,FALSE)</f>
        <v>Argamassa cimento e areia traço 1:4, tudo incluído</v>
      </c>
    </row>
    <row r="3824" spans="1:13" x14ac:dyDescent="0.2">
      <c r="A3824" s="1117" t="str">
        <f>+CONCATENATE("Serviço: ",J3823," ",VLOOKUP(J3823,'DER 11-20'!$A:$D,2,FALSE))</f>
        <v>Serviço: 40348 Argamassa cimento e areia traço 1:4, tudo incluído</v>
      </c>
      <c r="B3824" s="1117"/>
      <c r="C3824" s="1117"/>
      <c r="D3824" s="1117"/>
      <c r="E3824" s="1117"/>
      <c r="F3824" s="1117"/>
      <c r="G3824" s="1117"/>
      <c r="H3824" s="1117"/>
      <c r="I3824" s="1119" t="str">
        <f>CONCATENATE("Unidade: ", VLOOKUP(J3823,'DER 11-20'!$A:$E,3,FALSE))</f>
        <v>Unidade: M3</v>
      </c>
      <c r="J3824" s="295"/>
      <c r="K3824" s="295"/>
    </row>
    <row r="3825" spans="1:17" x14ac:dyDescent="0.2">
      <c r="A3825" s="1118"/>
      <c r="B3825" s="1118"/>
      <c r="C3825" s="1118"/>
      <c r="D3825" s="1118"/>
      <c r="E3825" s="1118"/>
      <c r="F3825" s="1118"/>
      <c r="G3825" s="1118"/>
      <c r="H3825" s="1118"/>
      <c r="I3825" s="1120"/>
      <c r="J3825" s="295"/>
      <c r="K3825" s="295"/>
    </row>
    <row r="3826" spans="1:17" ht="22.5" x14ac:dyDescent="0.2">
      <c r="A3826" s="231" t="s">
        <v>177</v>
      </c>
      <c r="B3826" s="232" t="s">
        <v>59</v>
      </c>
      <c r="C3826" s="232" t="s">
        <v>178</v>
      </c>
      <c r="D3826" s="232" t="s">
        <v>179</v>
      </c>
      <c r="E3826" s="232" t="s">
        <v>180</v>
      </c>
      <c r="F3826" s="232" t="s">
        <v>181</v>
      </c>
      <c r="G3826" s="232" t="s">
        <v>182</v>
      </c>
      <c r="H3826" s="232" t="s">
        <v>89</v>
      </c>
      <c r="I3826" s="434" t="s">
        <v>183</v>
      </c>
      <c r="J3826" s="295"/>
      <c r="K3826" s="295"/>
    </row>
    <row r="3827" spans="1:17" x14ac:dyDescent="0.2">
      <c r="A3827" s="233" t="str">
        <f>VLOOKUP(B3827,equip.!$A:$G,2,FALSE)</f>
        <v>Carrinho de mão</v>
      </c>
      <c r="B3827" s="234">
        <v>30076</v>
      </c>
      <c r="C3827" s="235">
        <f>VLOOKUP(B3827,equip.!$A$1:$G$239,3,FALSE)</f>
        <v>0</v>
      </c>
      <c r="D3827" s="236">
        <v>1</v>
      </c>
      <c r="E3827" s="203">
        <v>0</v>
      </c>
      <c r="F3827" s="237">
        <f>VLOOKUP(B3827,equip.!$A:$G,6,FALSE)</f>
        <v>0.19</v>
      </c>
      <c r="G3827" s="237">
        <f>VLOOKUP(B3827,equip.!$A:$G,7,FALSE)</f>
        <v>0.13</v>
      </c>
      <c r="H3827" s="238">
        <v>2</v>
      </c>
      <c r="I3827" s="418">
        <f>TRUNC(D3827*F3827*H3827+E3827*G3827*H3827,2)</f>
        <v>0.38</v>
      </c>
      <c r="J3827" s="295"/>
      <c r="K3827" s="295"/>
    </row>
    <row r="3828" spans="1:17" x14ac:dyDescent="0.2">
      <c r="A3828" s="199"/>
      <c r="B3828" s="229"/>
      <c r="C3828" s="229"/>
      <c r="D3828" s="199"/>
      <c r="E3828" s="199"/>
      <c r="F3828" s="230" t="s">
        <v>184</v>
      </c>
      <c r="G3828" s="240"/>
      <c r="H3828" s="241"/>
      <c r="I3828" s="438">
        <f>SUM(I3827:I3827)</f>
        <v>0.38</v>
      </c>
      <c r="J3828" s="295"/>
      <c r="K3828" s="295"/>
    </row>
    <row r="3829" spans="1:17" x14ac:dyDescent="0.2">
      <c r="A3829" s="199"/>
      <c r="B3829" s="229"/>
      <c r="C3829" s="229"/>
      <c r="D3829" s="199"/>
      <c r="E3829" s="199"/>
      <c r="F3829" s="199"/>
      <c r="G3829" s="199"/>
      <c r="H3829" s="199"/>
      <c r="I3829" s="439"/>
      <c r="J3829" s="295"/>
      <c r="K3829" s="295"/>
    </row>
    <row r="3830" spans="1:17" x14ac:dyDescent="0.2">
      <c r="A3830" s="242" t="s">
        <v>185</v>
      </c>
      <c r="B3830" s="243" t="s">
        <v>59</v>
      </c>
      <c r="C3830" s="232" t="s">
        <v>357</v>
      </c>
      <c r="D3830" s="243" t="s">
        <v>187</v>
      </c>
      <c r="E3830" s="1121" t="s">
        <v>89</v>
      </c>
      <c r="F3830" s="1114"/>
      <c r="G3830" s="1115"/>
      <c r="H3830" s="1121" t="s">
        <v>183</v>
      </c>
      <c r="I3830" s="1115"/>
      <c r="J3830" s="295"/>
      <c r="K3830" s="295"/>
    </row>
    <row r="3831" spans="1:17" x14ac:dyDescent="0.2">
      <c r="A3831" s="244" t="str">
        <f>VLOOKUP(B3831,m.o.!$A:$H,2,FALSE)</f>
        <v>Encarregado de O.A.C.</v>
      </c>
      <c r="B3831" s="234">
        <v>20060</v>
      </c>
      <c r="C3831" s="239">
        <f>VLOOKUP(B3831,m.o.!$A:$F,4,FALSE)</f>
        <v>2.2599999999999998</v>
      </c>
      <c r="D3831" s="239">
        <f>VLOOKUP(B3831,m.o.!$A:$G,7,FALSE)</f>
        <v>28.31</v>
      </c>
      <c r="E3831" s="240"/>
      <c r="F3831" s="253"/>
      <c r="G3831" s="293">
        <v>1</v>
      </c>
      <c r="H3831" s="240"/>
      <c r="I3831" s="427">
        <f>TRUNC(D3831*G3831,2)</f>
        <v>28.31</v>
      </c>
      <c r="J3831" s="295"/>
      <c r="K3831" s="295"/>
    </row>
    <row r="3832" spans="1:17" x14ac:dyDescent="0.2">
      <c r="A3832" s="244" t="str">
        <f>VLOOKUP(B3832,m.o.!$A:$H,2,FALSE)</f>
        <v>Operário braçal</v>
      </c>
      <c r="B3832" s="234">
        <v>20107</v>
      </c>
      <c r="C3832" s="239">
        <f>VLOOKUP(B3832,m.o.!$A:$F,4,FALSE)</f>
        <v>1.02</v>
      </c>
      <c r="D3832" s="239">
        <f>VLOOKUP(B3832,m.o.!$A:$G,7,FALSE)</f>
        <v>12.77</v>
      </c>
      <c r="E3832" s="240"/>
      <c r="F3832" s="241"/>
      <c r="G3832" s="405">
        <v>10</v>
      </c>
      <c r="H3832" s="240"/>
      <c r="I3832" s="427">
        <f>TRUNC(D3832*G3832,2)</f>
        <v>127.7</v>
      </c>
      <c r="J3832" s="295"/>
      <c r="K3832" s="295"/>
    </row>
    <row r="3833" spans="1:17" s="198" customFormat="1" x14ac:dyDescent="0.2">
      <c r="A3833" s="199"/>
      <c r="B3833" s="229"/>
      <c r="C3833" s="229"/>
      <c r="D3833" s="199"/>
      <c r="E3833" s="199"/>
      <c r="F3833" s="230" t="s">
        <v>188</v>
      </c>
      <c r="G3833" s="240"/>
      <c r="H3833" s="241"/>
      <c r="I3833" s="438">
        <f>SUM(I3831:I3832)</f>
        <v>156.01</v>
      </c>
      <c r="J3833" s="295"/>
      <c r="K3833" s="295"/>
      <c r="L3833" s="295"/>
      <c r="M3833" s="295"/>
      <c r="N3833" s="295"/>
      <c r="O3833" s="295"/>
      <c r="P3833" s="295"/>
      <c r="Q3833" s="295"/>
    </row>
    <row r="3834" spans="1:17" x14ac:dyDescent="0.2">
      <c r="A3834" s="199"/>
      <c r="B3834" s="229"/>
      <c r="C3834" s="229"/>
      <c r="D3834" s="199"/>
      <c r="E3834" s="199"/>
      <c r="F3834" s="199"/>
      <c r="G3834" s="199"/>
      <c r="H3834" s="199"/>
      <c r="I3834" s="439"/>
      <c r="J3834" s="295"/>
      <c r="K3834" s="295"/>
    </row>
    <row r="3835" spans="1:17" x14ac:dyDescent="0.2">
      <c r="A3835" s="245" t="s">
        <v>189</v>
      </c>
      <c r="B3835" s="243" t="s">
        <v>59</v>
      </c>
      <c r="C3835" s="635" t="s">
        <v>17</v>
      </c>
      <c r="D3835" s="243" t="s">
        <v>190</v>
      </c>
      <c r="E3835" s="243" t="s">
        <v>191</v>
      </c>
      <c r="F3835" s="243" t="s">
        <v>192</v>
      </c>
      <c r="G3835" s="1121" t="s">
        <v>94</v>
      </c>
      <c r="H3835" s="1114"/>
      <c r="I3835" s="1115"/>
      <c r="J3835" s="295"/>
      <c r="K3835" s="295"/>
    </row>
    <row r="3836" spans="1:17" x14ac:dyDescent="0.2">
      <c r="A3836" s="244" t="s">
        <v>127</v>
      </c>
      <c r="B3836" s="234">
        <v>2000</v>
      </c>
      <c r="C3836" s="239">
        <v>5</v>
      </c>
      <c r="D3836" s="235" t="s">
        <v>208</v>
      </c>
      <c r="E3836" s="246"/>
      <c r="F3836" s="246"/>
      <c r="G3836" s="240"/>
      <c r="H3836" s="241"/>
      <c r="I3836" s="427">
        <f>TRUNC(C3836/100*I3833,2)</f>
        <v>7.8</v>
      </c>
      <c r="J3836" s="295"/>
      <c r="K3836" s="295"/>
    </row>
    <row r="3837" spans="1:17" x14ac:dyDescent="0.2">
      <c r="A3837" s="199"/>
      <c r="B3837" s="229"/>
      <c r="C3837" s="199"/>
      <c r="D3837" s="199"/>
      <c r="E3837" s="199"/>
      <c r="F3837" s="230" t="s">
        <v>327</v>
      </c>
      <c r="G3837" s="240"/>
      <c r="H3837" s="241"/>
      <c r="I3837" s="438">
        <f>SUM(I3836)</f>
        <v>7.8</v>
      </c>
      <c r="J3837" s="295"/>
      <c r="K3837" s="295"/>
    </row>
    <row r="3838" spans="1:17" x14ac:dyDescent="0.2">
      <c r="A3838" s="199"/>
      <c r="B3838" s="229"/>
      <c r="C3838" s="199"/>
      <c r="D3838" s="199"/>
      <c r="E3838" s="199"/>
      <c r="F3838" s="199"/>
      <c r="G3838" s="199"/>
      <c r="H3838" s="199"/>
      <c r="I3838" s="439"/>
      <c r="J3838" s="295"/>
      <c r="K3838" s="295"/>
    </row>
    <row r="3839" spans="1:17" s="198" customFormat="1" x14ac:dyDescent="0.2">
      <c r="A3839" s="247"/>
      <c r="B3839" s="248"/>
      <c r="C3839" s="249"/>
      <c r="D3839" s="249"/>
      <c r="E3839" s="249"/>
      <c r="F3839" s="250" t="s">
        <v>193</v>
      </c>
      <c r="G3839" s="401"/>
      <c r="H3839" s="249"/>
      <c r="I3839" s="445">
        <f>+I3828+I3833+I3837</f>
        <v>164.19</v>
      </c>
      <c r="J3839" s="295"/>
      <c r="K3839" s="295"/>
      <c r="L3839" s="295"/>
      <c r="M3839" s="295"/>
      <c r="N3839" s="295"/>
      <c r="O3839" s="295"/>
      <c r="P3839" s="295"/>
      <c r="Q3839" s="295"/>
    </row>
    <row r="3840" spans="1:17" s="198" customFormat="1" x14ac:dyDescent="0.2">
      <c r="A3840" s="251"/>
      <c r="B3840" s="252"/>
      <c r="C3840" s="253"/>
      <c r="D3840" s="253"/>
      <c r="E3840" s="253"/>
      <c r="F3840" s="254" t="s">
        <v>194</v>
      </c>
      <c r="G3840" s="255"/>
      <c r="H3840" s="253"/>
      <c r="I3840" s="446">
        <v>1</v>
      </c>
      <c r="J3840" s="400"/>
      <c r="K3840" s="295"/>
      <c r="L3840" s="295"/>
      <c r="M3840" s="295"/>
      <c r="N3840" s="295"/>
      <c r="O3840" s="295"/>
      <c r="P3840" s="295"/>
      <c r="Q3840" s="295"/>
    </row>
    <row r="3841" spans="1:17" s="198" customFormat="1" x14ac:dyDescent="0.2">
      <c r="A3841" s="233"/>
      <c r="B3841" s="256"/>
      <c r="C3841" s="241"/>
      <c r="D3841" s="241"/>
      <c r="E3841" s="241"/>
      <c r="F3841" s="257" t="s">
        <v>216</v>
      </c>
      <c r="G3841" s="240"/>
      <c r="H3841" s="241"/>
      <c r="I3841" s="447">
        <f>TRUNC(I3839/I3840,2)</f>
        <v>164.19</v>
      </c>
      <c r="J3841" s="400"/>
      <c r="K3841" s="295"/>
      <c r="L3841" s="295"/>
      <c r="M3841" s="295"/>
      <c r="N3841" s="295"/>
      <c r="O3841" s="295"/>
      <c r="P3841" s="295"/>
      <c r="Q3841" s="295"/>
    </row>
    <row r="3842" spans="1:17" s="198" customFormat="1" x14ac:dyDescent="0.2">
      <c r="A3842" s="636"/>
      <c r="B3842" s="229"/>
      <c r="C3842" s="199"/>
      <c r="D3842" s="199"/>
      <c r="E3842" s="199"/>
      <c r="F3842" s="258"/>
      <c r="G3842" s="199"/>
      <c r="H3842" s="199"/>
      <c r="I3842" s="450"/>
      <c r="J3842" s="400"/>
      <c r="K3842" s="295"/>
      <c r="L3842" s="295"/>
      <c r="M3842" s="295"/>
      <c r="N3842" s="295"/>
      <c r="O3842" s="295"/>
      <c r="P3842" s="295"/>
      <c r="Q3842" s="295"/>
    </row>
    <row r="3843" spans="1:17" x14ac:dyDescent="0.2">
      <c r="A3843" s="242" t="s">
        <v>195</v>
      </c>
      <c r="B3843" s="243" t="s">
        <v>59</v>
      </c>
      <c r="C3843" s="243" t="s">
        <v>196</v>
      </c>
      <c r="D3843" s="243" t="s">
        <v>217</v>
      </c>
      <c r="E3843" s="1121" t="s">
        <v>89</v>
      </c>
      <c r="F3843" s="1114"/>
      <c r="G3843" s="1115"/>
      <c r="H3843" s="1121" t="s">
        <v>183</v>
      </c>
      <c r="I3843" s="1115"/>
      <c r="K3843" s="295"/>
    </row>
    <row r="3844" spans="1:17" ht="22.5" x14ac:dyDescent="0.2">
      <c r="A3844" s="259" t="str">
        <f>VLOOKUP(B3844,mat.!$A:$D,2,FALSE)</f>
        <v>Areia grossa jazida com carregamento mecânico</v>
      </c>
      <c r="B3844" s="234">
        <v>10109</v>
      </c>
      <c r="C3844" s="260" t="str">
        <f>VLOOKUP(B3844,mat.!$A:$D,3,FALSE)</f>
        <v>m3</v>
      </c>
      <c r="D3844" s="261">
        <f>VLOOKUP(B3844,mat.!$A:$D,4,FALSE)</f>
        <v>60</v>
      </c>
      <c r="E3844" s="255"/>
      <c r="F3844" s="253"/>
      <c r="G3844" s="293">
        <v>1.2070000000000001</v>
      </c>
      <c r="H3844" s="255"/>
      <c r="I3844" s="423">
        <f>TRUNC(D3844*G3844,2)</f>
        <v>72.42</v>
      </c>
      <c r="K3844" s="295"/>
    </row>
    <row r="3845" spans="1:17" x14ac:dyDescent="0.2">
      <c r="A3845" s="259" t="str">
        <f>VLOOKUP(B3845,mat.!$A:$D,2,FALSE)</f>
        <v>Cimento CP III</v>
      </c>
      <c r="B3845" s="234">
        <v>10092</v>
      </c>
      <c r="C3845" s="260" t="str">
        <f>VLOOKUP(B3845,mat.!$A:$D,3,FALSE)</f>
        <v>kg</v>
      </c>
      <c r="D3845" s="261">
        <f>VLOOKUP(B3845,mat.!$A:$D,4,FALSE)</f>
        <v>0.41</v>
      </c>
      <c r="E3845" s="255"/>
      <c r="F3845" s="253"/>
      <c r="G3845" s="405">
        <v>367.5</v>
      </c>
      <c r="H3845" s="255"/>
      <c r="I3845" s="423">
        <f>TRUNC(D3845*G3845,2)</f>
        <v>150.66999999999999</v>
      </c>
      <c r="K3845" s="295"/>
    </row>
    <row r="3846" spans="1:17" x14ac:dyDescent="0.2">
      <c r="A3846" s="199"/>
      <c r="B3846" s="229"/>
      <c r="C3846" s="199"/>
      <c r="D3846" s="199"/>
      <c r="E3846" s="199"/>
      <c r="F3846" s="230" t="s">
        <v>197</v>
      </c>
      <c r="G3846" s="240"/>
      <c r="H3846" s="241"/>
      <c r="I3846" s="438">
        <f>SUM(I3844:I3845)</f>
        <v>223.09</v>
      </c>
      <c r="K3846" s="295"/>
    </row>
    <row r="3847" spans="1:17" x14ac:dyDescent="0.2">
      <c r="A3847" s="199"/>
      <c r="B3847" s="229"/>
      <c r="C3847" s="199"/>
      <c r="D3847" s="199"/>
      <c r="E3847" s="199"/>
      <c r="F3847" s="199"/>
      <c r="G3847" s="262"/>
      <c r="H3847" s="199"/>
      <c r="I3847" s="439"/>
      <c r="K3847" s="295"/>
    </row>
    <row r="3848" spans="1:17" x14ac:dyDescent="0.2">
      <c r="A3848" s="263" t="s">
        <v>198</v>
      </c>
      <c r="B3848" s="243" t="s">
        <v>59</v>
      </c>
      <c r="C3848" s="243" t="s">
        <v>196</v>
      </c>
      <c r="D3848" s="635" t="s">
        <v>217</v>
      </c>
      <c r="E3848" s="1121" t="s">
        <v>89</v>
      </c>
      <c r="F3848" s="1114"/>
      <c r="G3848" s="1115"/>
      <c r="H3848" s="1121" t="s">
        <v>183</v>
      </c>
      <c r="I3848" s="1115"/>
      <c r="K3848" s="295"/>
    </row>
    <row r="3849" spans="1:17" ht="21" customHeight="1" x14ac:dyDescent="0.2">
      <c r="A3849" s="244"/>
      <c r="B3849" s="234"/>
      <c r="C3849" s="234"/>
      <c r="D3849" s="239"/>
      <c r="E3849" s="240"/>
      <c r="F3849" s="253"/>
      <c r="G3849" s="293"/>
      <c r="H3849" s="240"/>
      <c r="I3849" s="423"/>
      <c r="K3849" s="295"/>
    </row>
    <row r="3850" spans="1:17" x14ac:dyDescent="0.2">
      <c r="A3850" s="200"/>
      <c r="B3850" s="264"/>
      <c r="C3850" s="200"/>
      <c r="D3850" s="200"/>
      <c r="E3850" s="200"/>
      <c r="F3850" s="265" t="s">
        <v>199</v>
      </c>
      <c r="G3850" s="255"/>
      <c r="H3850" s="266"/>
      <c r="I3850" s="441">
        <f>SUM(I3849:I3849)</f>
        <v>0</v>
      </c>
      <c r="K3850" s="295"/>
    </row>
    <row r="3851" spans="1:17" x14ac:dyDescent="0.2">
      <c r="A3851" s="200"/>
      <c r="B3851" s="264"/>
      <c r="C3851" s="200"/>
      <c r="D3851" s="200"/>
      <c r="E3851" s="200"/>
      <c r="F3851" s="200"/>
      <c r="G3851" s="200"/>
      <c r="H3851" s="200"/>
      <c r="I3851" s="440"/>
      <c r="K3851" s="295"/>
    </row>
    <row r="3852" spans="1:17" x14ac:dyDescent="0.2">
      <c r="A3852" s="267" t="s">
        <v>200</v>
      </c>
      <c r="B3852" s="268" t="s">
        <v>59</v>
      </c>
      <c r="C3852" s="268" t="s">
        <v>196</v>
      </c>
      <c r="D3852" s="268" t="s">
        <v>201</v>
      </c>
      <c r="E3852" s="268" t="s">
        <v>202</v>
      </c>
      <c r="F3852" s="268" t="s">
        <v>203</v>
      </c>
      <c r="G3852" s="268" t="s">
        <v>94</v>
      </c>
      <c r="H3852" s="268" t="s">
        <v>89</v>
      </c>
      <c r="I3852" s="442" t="s">
        <v>204</v>
      </c>
      <c r="K3852" s="295"/>
    </row>
    <row r="3853" spans="1:17" ht="22.5" x14ac:dyDescent="0.2">
      <c r="A3853" s="259" t="str">
        <f>VLOOKUP(B3853,transp.!A:D,2,FALSE)</f>
        <v>Transp. de Areia grossa jazida c/ carreg.mecânico</v>
      </c>
      <c r="B3853" s="234">
        <v>1026</v>
      </c>
      <c r="C3853" s="234" t="str">
        <f>VLOOKUP(B3853,transp.!$A:$J,3,FALSE)</f>
        <v xml:space="preserve"> t  </v>
      </c>
      <c r="D3853" s="269" t="str">
        <f>VLOOKUP(B3853,transp.!$A:$J,4,FALSE)</f>
        <v>0,719XP + 0,749XR + 2,997</v>
      </c>
      <c r="E3853" s="270">
        <f>VLOOKUP(J3853,Dis!$B:$F,4,FALSE)</f>
        <v>29.1</v>
      </c>
      <c r="F3853" s="270">
        <f>VLOOKUP(J3853,Dis!$B:$F,5,FALSE)</f>
        <v>5.5</v>
      </c>
      <c r="G3853" s="239">
        <f>TRUNC(VLOOKUP(B3853,transp.!$A:$J,5,FALSE)*E3853+VLOOKUP(B3853,transp.!$A:$J,6,FALSE)*F3853+VLOOKUP(B3853,transp.!$A:$J,7,FALSE),2)</f>
        <v>28.03</v>
      </c>
      <c r="H3853" s="271">
        <v>1.8105</v>
      </c>
      <c r="I3853" s="418">
        <f>TRUNC(G3853*H3853,2)</f>
        <v>50.74</v>
      </c>
      <c r="J3853" s="400" t="s">
        <v>113</v>
      </c>
      <c r="K3853" s="295"/>
    </row>
    <row r="3854" spans="1:17" x14ac:dyDescent="0.2">
      <c r="A3854" s="259" t="str">
        <f>VLOOKUP(B3854,transp.!A:D,2,FALSE)</f>
        <v>Transp. de Cimento</v>
      </c>
      <c r="B3854" s="234">
        <v>1153</v>
      </c>
      <c r="C3854" s="234" t="str">
        <f>VLOOKUP(B3854,transp.!$A:$J,3,FALSE)</f>
        <v xml:space="preserve"> t  </v>
      </c>
      <c r="D3854" s="269" t="str">
        <f>VLOOKUP(B3854,transp.!$A:$J,4,FALSE)</f>
        <v>0,716XP + 0,745XR</v>
      </c>
      <c r="E3854" s="270">
        <f>VLOOKUP(J3854,Dis!$B:$F,4,FALSE)</f>
        <v>37</v>
      </c>
      <c r="F3854" s="270">
        <f>VLOOKUP(J3854,Dis!$B:$F,5,FALSE)</f>
        <v>4.83</v>
      </c>
      <c r="G3854" s="239">
        <f>TRUNC(VLOOKUP(B3854,transp.!$A:$J,5,FALSE)*E3854+VLOOKUP(B3854,transp.!$A:$J,6,FALSE)*F3854+VLOOKUP(B3854,transp.!$A:$J,7,FALSE),2)</f>
        <v>30.09</v>
      </c>
      <c r="H3854" s="271">
        <v>0.36749999999999999</v>
      </c>
      <c r="I3854" s="418">
        <f>TRUNC(G3854*H3854,2)</f>
        <v>11.05</v>
      </c>
      <c r="J3854" s="400" t="s">
        <v>159</v>
      </c>
      <c r="K3854" s="295"/>
    </row>
    <row r="3855" spans="1:17" x14ac:dyDescent="0.2">
      <c r="A3855" s="200"/>
      <c r="B3855" s="264"/>
      <c r="C3855" s="200"/>
      <c r="D3855" s="200"/>
      <c r="E3855" s="200"/>
      <c r="F3855" s="265" t="s">
        <v>205</v>
      </c>
      <c r="G3855" s="240"/>
      <c r="H3855" s="272"/>
      <c r="I3855" s="443">
        <f>SUM(I3853:I3854)</f>
        <v>61.79</v>
      </c>
      <c r="K3855" s="295"/>
    </row>
    <row r="3856" spans="1:17" x14ac:dyDescent="0.2">
      <c r="A3856" s="200"/>
      <c r="B3856" s="264"/>
      <c r="C3856" s="200"/>
      <c r="D3856" s="200"/>
      <c r="E3856" s="200"/>
      <c r="F3856" s="200"/>
      <c r="G3856" s="200"/>
      <c r="H3856" s="200"/>
      <c r="I3856" s="444"/>
    </row>
    <row r="3857" spans="1:17" x14ac:dyDescent="0.2">
      <c r="A3857" s="273"/>
      <c r="B3857" s="274"/>
      <c r="C3857" s="275"/>
      <c r="D3857" s="275"/>
      <c r="E3857" s="275"/>
      <c r="F3857" s="276" t="s">
        <v>206</v>
      </c>
      <c r="G3857" s="273"/>
      <c r="H3857" s="249"/>
      <c r="I3857" s="445">
        <f>+I3841+I3846+I3850+I3855</f>
        <v>449.07</v>
      </c>
    </row>
    <row r="3858" spans="1:17" x14ac:dyDescent="0.2">
      <c r="A3858" s="255"/>
      <c r="B3858" s="277"/>
      <c r="C3858" s="266"/>
      <c r="D3858" s="266"/>
      <c r="E3858" s="266"/>
      <c r="F3858" s="278" t="str">
        <f>CONCATENATE($H$3," ",$I$3)</f>
        <v>BDI: 23,32</v>
      </c>
      <c r="G3858" s="403"/>
      <c r="H3858" s="253"/>
      <c r="I3858" s="446">
        <f>+ROUND(I3857*$I$4,2)</f>
        <v>104.72</v>
      </c>
    </row>
    <row r="3859" spans="1:17" x14ac:dyDescent="0.2">
      <c r="A3859" s="240"/>
      <c r="B3859" s="279"/>
      <c r="C3859" s="272"/>
      <c r="D3859" s="272"/>
      <c r="E3859" s="272"/>
      <c r="F3859" s="280" t="s">
        <v>207</v>
      </c>
      <c r="G3859" s="404"/>
      <c r="H3859" s="241"/>
      <c r="I3859" s="720">
        <f>+I3857+I3858</f>
        <v>553.79</v>
      </c>
    </row>
    <row r="3860" spans="1:17" x14ac:dyDescent="0.2">
      <c r="A3860" s="1116" t="str">
        <f>$A$1</f>
        <v>COMPOSIÇÃO DE CUSTOS UNITÁRIOS</v>
      </c>
      <c r="B3860" s="1116"/>
      <c r="C3860" s="1116"/>
      <c r="D3860" s="1116"/>
      <c r="E3860" s="1116"/>
      <c r="F3860" s="1116"/>
      <c r="G3860" s="1116"/>
      <c r="H3860" s="1116"/>
      <c r="I3860" s="1116"/>
    </row>
    <row r="3861" spans="1:17" x14ac:dyDescent="0.2">
      <c r="A3861" s="228" t="str">
        <f>$A$2</f>
        <v>Tabela Referencial de Preços - DER-ES</v>
      </c>
      <c r="B3861" s="229"/>
      <c r="C3861" s="199"/>
      <c r="D3861" s="199"/>
      <c r="E3861" s="199"/>
      <c r="F3861" s="199"/>
      <c r="G3861" s="199"/>
      <c r="H3861" s="199"/>
      <c r="I3861" s="414" t="str">
        <f>$I$2</f>
        <v>Data Base: novembro/2020</v>
      </c>
      <c r="J3861" s="400">
        <v>40312</v>
      </c>
      <c r="K3861" s="400">
        <f>VLOOKUP("Preço Unitário Total",F3863:I4015,4,FALSE)</f>
        <v>103.98</v>
      </c>
      <c r="L3861" s="295" t="str">
        <f>VLOOKUP(J3861,'DER 11-20'!A:E,5,FALSE)</f>
        <v>A incluir</v>
      </c>
      <c r="M3861" s="295" t="str">
        <f>VLOOKUP(J3861,'DER 11-20'!$A:$D,2,FALSE)</f>
        <v>Formas planas de madeira com 02 (dois) reaproveitamentos, inclusive fornecimento e transporte das madeiras</v>
      </c>
    </row>
    <row r="3862" spans="1:17" x14ac:dyDescent="0.2">
      <c r="A3862" s="1117" t="str">
        <f>+CONCATENATE("Serviço: ",J3861," ",VLOOKUP(J3861,'DER 11-20'!$A:$D,2,FALSE))</f>
        <v>Serviço: 40312 Formas planas de madeira com 02 (dois) reaproveitamentos, inclusive fornecimento e transporte das madeiras</v>
      </c>
      <c r="B3862" s="1117"/>
      <c r="C3862" s="1117"/>
      <c r="D3862" s="1117"/>
      <c r="E3862" s="1117"/>
      <c r="F3862" s="1117"/>
      <c r="G3862" s="1117"/>
      <c r="H3862" s="1117"/>
      <c r="I3862" s="1119" t="str">
        <f>CONCATENATE("Unidade: ", VLOOKUP(J3861,'DER 11-20'!$A:$E,3,FALSE))</f>
        <v>Unidade: M2</v>
      </c>
    </row>
    <row r="3863" spans="1:17" x14ac:dyDescent="0.2">
      <c r="A3863" s="1118"/>
      <c r="B3863" s="1118"/>
      <c r="C3863" s="1118"/>
      <c r="D3863" s="1118"/>
      <c r="E3863" s="1118"/>
      <c r="F3863" s="1118"/>
      <c r="G3863" s="1118"/>
      <c r="H3863" s="1118"/>
      <c r="I3863" s="1120"/>
    </row>
    <row r="3864" spans="1:17" ht="22.5" x14ac:dyDescent="0.2">
      <c r="A3864" s="231" t="s">
        <v>177</v>
      </c>
      <c r="B3864" s="232" t="s">
        <v>59</v>
      </c>
      <c r="C3864" s="232" t="s">
        <v>178</v>
      </c>
      <c r="D3864" s="232" t="s">
        <v>179</v>
      </c>
      <c r="E3864" s="232" t="s">
        <v>180</v>
      </c>
      <c r="F3864" s="232" t="s">
        <v>181</v>
      </c>
      <c r="G3864" s="232" t="s">
        <v>182</v>
      </c>
      <c r="H3864" s="232" t="s">
        <v>89</v>
      </c>
      <c r="I3864" s="434" t="s">
        <v>183</v>
      </c>
    </row>
    <row r="3865" spans="1:17" s="198" customFormat="1" x14ac:dyDescent="0.2">
      <c r="A3865" s="233" t="str">
        <f>VLOOKUP(B3865,equip.!$A:$G,2,FALSE)</f>
        <v>Serra circular (WEG) ou equivalente</v>
      </c>
      <c r="B3865" s="234">
        <v>30073</v>
      </c>
      <c r="C3865" s="235" t="str">
        <f>VLOOKUP(B3865,equip.!$A$1:$G$239,3,FALSE)</f>
        <v>M</v>
      </c>
      <c r="D3865" s="236">
        <v>0.3</v>
      </c>
      <c r="E3865" s="203">
        <v>0.7</v>
      </c>
      <c r="F3865" s="237">
        <f>VLOOKUP(B3865,equip.!$A:$G,6,FALSE)</f>
        <v>19.45</v>
      </c>
      <c r="G3865" s="237">
        <f>VLOOKUP(B3865,equip.!$A:$G,7,FALSE)</f>
        <v>16.010000000000002</v>
      </c>
      <c r="H3865" s="238">
        <v>1</v>
      </c>
      <c r="I3865" s="418">
        <f>TRUNC(D3865*F3865*H3865+E3865*G3865*H3865,2)</f>
        <v>17.04</v>
      </c>
      <c r="J3865" s="400"/>
      <c r="K3865" s="400"/>
      <c r="L3865" s="295"/>
      <c r="M3865" s="295"/>
      <c r="N3865" s="295"/>
      <c r="O3865" s="295"/>
      <c r="P3865" s="295"/>
      <c r="Q3865" s="295"/>
    </row>
    <row r="3866" spans="1:17" x14ac:dyDescent="0.2">
      <c r="A3866" s="199"/>
      <c r="B3866" s="229"/>
      <c r="C3866" s="229"/>
      <c r="D3866" s="199"/>
      <c r="E3866" s="199"/>
      <c r="F3866" s="230" t="s">
        <v>184</v>
      </c>
      <c r="G3866" s="240"/>
      <c r="H3866" s="241"/>
      <c r="I3866" s="438">
        <f>SUM(I3865:I3865)</f>
        <v>17.04</v>
      </c>
    </row>
    <row r="3867" spans="1:17" x14ac:dyDescent="0.2">
      <c r="A3867" s="199"/>
      <c r="B3867" s="229"/>
      <c r="C3867" s="229"/>
      <c r="D3867" s="199"/>
      <c r="E3867" s="199"/>
      <c r="F3867" s="199"/>
      <c r="G3867" s="199"/>
      <c r="H3867" s="199"/>
      <c r="I3867" s="439"/>
    </row>
    <row r="3868" spans="1:17" x14ac:dyDescent="0.2">
      <c r="A3868" s="242" t="s">
        <v>185</v>
      </c>
      <c r="B3868" s="243" t="s">
        <v>59</v>
      </c>
      <c r="C3868" s="232" t="s">
        <v>357</v>
      </c>
      <c r="D3868" s="243" t="s">
        <v>187</v>
      </c>
      <c r="E3868" s="1121" t="s">
        <v>89</v>
      </c>
      <c r="F3868" s="1114"/>
      <c r="G3868" s="1115"/>
      <c r="H3868" s="1121" t="s">
        <v>183</v>
      </c>
      <c r="I3868" s="1115"/>
    </row>
    <row r="3869" spans="1:17" x14ac:dyDescent="0.2">
      <c r="A3869" s="244" t="str">
        <f>VLOOKUP(B3869,m.o.!$A:$H,2,FALSE)</f>
        <v>Carpinteiro de O.A.C.</v>
      </c>
      <c r="B3869" s="234">
        <v>20038</v>
      </c>
      <c r="C3869" s="239">
        <f>VLOOKUP(B3869,m.o.!$A:$F,4,FALSE)</f>
        <v>1.24</v>
      </c>
      <c r="D3869" s="239">
        <f>VLOOKUP(B3869,m.o.!$A:$G,7,FALSE)</f>
        <v>15.53</v>
      </c>
      <c r="E3869" s="240"/>
      <c r="F3869" s="253"/>
      <c r="G3869" s="293">
        <v>0.6</v>
      </c>
      <c r="H3869" s="240"/>
      <c r="I3869" s="427">
        <f>TRUNC(D3869*G3869,2)</f>
        <v>9.31</v>
      </c>
    </row>
    <row r="3870" spans="1:17" x14ac:dyDescent="0.2">
      <c r="A3870" s="244" t="str">
        <f>VLOOKUP(B3870,m.o.!$A:$H,2,FALSE)</f>
        <v>Operário braçal</v>
      </c>
      <c r="B3870" s="234">
        <v>20107</v>
      </c>
      <c r="C3870" s="239">
        <f>VLOOKUP(B3870,m.o.!$A:$F,4,FALSE)</f>
        <v>1.02</v>
      </c>
      <c r="D3870" s="239">
        <f>VLOOKUP(B3870,m.o.!$A:$G,7,FALSE)</f>
        <v>12.77</v>
      </c>
      <c r="E3870" s="240"/>
      <c r="F3870" s="241"/>
      <c r="G3870" s="405">
        <v>1.38</v>
      </c>
      <c r="H3870" s="240"/>
      <c r="I3870" s="427">
        <f>TRUNC(D3870*G3870,2)</f>
        <v>17.62</v>
      </c>
    </row>
    <row r="3871" spans="1:17" s="198" customFormat="1" x14ac:dyDescent="0.2">
      <c r="A3871" s="199"/>
      <c r="B3871" s="229"/>
      <c r="C3871" s="229"/>
      <c r="D3871" s="199"/>
      <c r="E3871" s="199"/>
      <c r="F3871" s="230" t="s">
        <v>188</v>
      </c>
      <c r="G3871" s="240"/>
      <c r="H3871" s="241"/>
      <c r="I3871" s="438">
        <f>SUM(I3869:I3870)</f>
        <v>26.93</v>
      </c>
      <c r="J3871" s="400"/>
      <c r="K3871" s="400"/>
      <c r="L3871" s="295"/>
      <c r="M3871" s="295"/>
      <c r="N3871" s="295"/>
      <c r="O3871" s="295"/>
      <c r="P3871" s="295"/>
      <c r="Q3871" s="295"/>
    </row>
    <row r="3872" spans="1:17" s="198" customFormat="1" x14ac:dyDescent="0.2">
      <c r="A3872" s="199"/>
      <c r="B3872" s="229"/>
      <c r="C3872" s="229"/>
      <c r="D3872" s="199"/>
      <c r="E3872" s="199"/>
      <c r="F3872" s="199"/>
      <c r="G3872" s="199"/>
      <c r="H3872" s="199"/>
      <c r="I3872" s="439"/>
      <c r="J3872" s="295"/>
      <c r="K3872" s="295"/>
      <c r="L3872" s="295"/>
      <c r="M3872" s="295"/>
      <c r="N3872" s="295"/>
      <c r="O3872" s="295"/>
      <c r="P3872" s="295"/>
      <c r="Q3872" s="295"/>
    </row>
    <row r="3873" spans="1:17" s="198" customFormat="1" x14ac:dyDescent="0.2">
      <c r="A3873" s="245" t="s">
        <v>189</v>
      </c>
      <c r="B3873" s="243" t="s">
        <v>59</v>
      </c>
      <c r="C3873" s="635" t="s">
        <v>17</v>
      </c>
      <c r="D3873" s="243" t="s">
        <v>190</v>
      </c>
      <c r="E3873" s="243" t="s">
        <v>191</v>
      </c>
      <c r="F3873" s="243" t="s">
        <v>192</v>
      </c>
      <c r="G3873" s="1121" t="s">
        <v>94</v>
      </c>
      <c r="H3873" s="1114"/>
      <c r="I3873" s="1115"/>
      <c r="J3873" s="295"/>
      <c r="K3873" s="295"/>
      <c r="L3873" s="295"/>
      <c r="M3873" s="295"/>
      <c r="N3873" s="295"/>
      <c r="O3873" s="295"/>
      <c r="P3873" s="295"/>
      <c r="Q3873" s="295"/>
    </row>
    <row r="3874" spans="1:17" s="198" customFormat="1" x14ac:dyDescent="0.2">
      <c r="A3874" s="244" t="s">
        <v>127</v>
      </c>
      <c r="B3874" s="234">
        <v>2000</v>
      </c>
      <c r="C3874" s="239">
        <v>5</v>
      </c>
      <c r="D3874" s="235" t="s">
        <v>208</v>
      </c>
      <c r="E3874" s="246"/>
      <c r="F3874" s="246"/>
      <c r="G3874" s="240"/>
      <c r="H3874" s="241"/>
      <c r="I3874" s="427">
        <f>TRUNC(C3874/100*I3871,2)</f>
        <v>1.34</v>
      </c>
      <c r="J3874" s="295"/>
      <c r="K3874" s="295"/>
      <c r="L3874" s="295"/>
      <c r="M3874" s="295"/>
      <c r="N3874" s="295"/>
      <c r="O3874" s="295"/>
      <c r="P3874" s="295"/>
      <c r="Q3874" s="295"/>
    </row>
    <row r="3875" spans="1:17" x14ac:dyDescent="0.2">
      <c r="A3875" s="199"/>
      <c r="B3875" s="229"/>
      <c r="C3875" s="199"/>
      <c r="D3875" s="199"/>
      <c r="E3875" s="199"/>
      <c r="F3875" s="230" t="s">
        <v>327</v>
      </c>
      <c r="G3875" s="240"/>
      <c r="H3875" s="241"/>
      <c r="I3875" s="438">
        <f>SUM(I3874)</f>
        <v>1.34</v>
      </c>
      <c r="J3875" s="295"/>
      <c r="K3875" s="295"/>
    </row>
    <row r="3876" spans="1:17" x14ac:dyDescent="0.2">
      <c r="A3876" s="199"/>
      <c r="B3876" s="229"/>
      <c r="C3876" s="199"/>
      <c r="D3876" s="199"/>
      <c r="E3876" s="199"/>
      <c r="F3876" s="199"/>
      <c r="G3876" s="199"/>
      <c r="H3876" s="199"/>
      <c r="I3876" s="439"/>
      <c r="J3876" s="295"/>
      <c r="K3876" s="295"/>
    </row>
    <row r="3877" spans="1:17" x14ac:dyDescent="0.2">
      <c r="A3877" s="247"/>
      <c r="B3877" s="248"/>
      <c r="C3877" s="249"/>
      <c r="D3877" s="249"/>
      <c r="E3877" s="249"/>
      <c r="F3877" s="250" t="s">
        <v>193</v>
      </c>
      <c r="G3877" s="401"/>
      <c r="H3877" s="249"/>
      <c r="I3877" s="445">
        <f>+I3866+I3871+I3875</f>
        <v>45.31</v>
      </c>
      <c r="J3877" s="295"/>
      <c r="K3877" s="295"/>
    </row>
    <row r="3878" spans="1:17" x14ac:dyDescent="0.2">
      <c r="A3878" s="251"/>
      <c r="B3878" s="252"/>
      <c r="C3878" s="253"/>
      <c r="D3878" s="253"/>
      <c r="E3878" s="253"/>
      <c r="F3878" s="254" t="s">
        <v>194</v>
      </c>
      <c r="G3878" s="255"/>
      <c r="H3878" s="253"/>
      <c r="I3878" s="446">
        <v>1</v>
      </c>
      <c r="J3878" s="295"/>
      <c r="K3878" s="295"/>
    </row>
    <row r="3879" spans="1:17" x14ac:dyDescent="0.2">
      <c r="A3879" s="233"/>
      <c r="B3879" s="256"/>
      <c r="C3879" s="241"/>
      <c r="D3879" s="241"/>
      <c r="E3879" s="241"/>
      <c r="F3879" s="257" t="s">
        <v>216</v>
      </c>
      <c r="G3879" s="240"/>
      <c r="H3879" s="241"/>
      <c r="I3879" s="447">
        <f>TRUNC(I3877/I3878,2)</f>
        <v>45.31</v>
      </c>
      <c r="J3879" s="295"/>
      <c r="K3879" s="295"/>
    </row>
    <row r="3880" spans="1:17" x14ac:dyDescent="0.2">
      <c r="A3880" s="636"/>
      <c r="B3880" s="229"/>
      <c r="C3880" s="199"/>
      <c r="D3880" s="199"/>
      <c r="E3880" s="199"/>
      <c r="F3880" s="258"/>
      <c r="G3880" s="199"/>
      <c r="H3880" s="199"/>
      <c r="I3880" s="450"/>
      <c r="J3880" s="295"/>
      <c r="K3880" s="295"/>
    </row>
    <row r="3881" spans="1:17" ht="21" customHeight="1" x14ac:dyDescent="0.2">
      <c r="A3881" s="242" t="s">
        <v>195</v>
      </c>
      <c r="B3881" s="243" t="s">
        <v>59</v>
      </c>
      <c r="C3881" s="243" t="s">
        <v>196</v>
      </c>
      <c r="D3881" s="243" t="s">
        <v>217</v>
      </c>
      <c r="E3881" s="1121" t="s">
        <v>89</v>
      </c>
      <c r="F3881" s="1114"/>
      <c r="G3881" s="1115"/>
      <c r="H3881" s="1121" t="s">
        <v>183</v>
      </c>
      <c r="I3881" s="1115"/>
      <c r="J3881" s="295"/>
      <c r="K3881" s="295"/>
    </row>
    <row r="3882" spans="1:17" x14ac:dyDescent="0.2">
      <c r="A3882" s="259" t="str">
        <f>VLOOKUP(B3882,mat.!$A:$D,2,FALSE)</f>
        <v>Caibros 7 X 7 cm (pontalete)</v>
      </c>
      <c r="B3882" s="234">
        <v>10066</v>
      </c>
      <c r="C3882" s="260" t="str">
        <f>VLOOKUP(B3882,mat.!$A:$D,3,FALSE)</f>
        <v>M3</v>
      </c>
      <c r="D3882" s="261">
        <f>VLOOKUP(B3882,mat.!$A:$D,4,FALSE)</f>
        <v>1460</v>
      </c>
      <c r="E3882" s="255"/>
      <c r="F3882" s="253"/>
      <c r="G3882" s="293">
        <v>3.2000000000000002E-3</v>
      </c>
      <c r="H3882" s="255"/>
      <c r="I3882" s="423">
        <f>TRUNC(D3882*G3882,2)</f>
        <v>4.67</v>
      </c>
      <c r="J3882" s="295"/>
      <c r="K3882" s="295"/>
    </row>
    <row r="3883" spans="1:17" x14ac:dyDescent="0.2">
      <c r="A3883" s="259" t="str">
        <f>VLOOKUP(B3883,mat.!$A:$D,2,FALSE)</f>
        <v>Prego 18 X 24</v>
      </c>
      <c r="B3883" s="234">
        <v>10135</v>
      </c>
      <c r="C3883" s="260" t="str">
        <f>VLOOKUP(B3883,mat.!$A:$D,3,FALSE)</f>
        <v>kg</v>
      </c>
      <c r="D3883" s="261">
        <f>VLOOKUP(B3883,mat.!$A:$D,4,FALSE)</f>
        <v>15.85</v>
      </c>
      <c r="E3883" s="255"/>
      <c r="F3883" s="253"/>
      <c r="G3883" s="405">
        <v>0.2</v>
      </c>
      <c r="H3883" s="255"/>
      <c r="I3883" s="423">
        <f>TRUNC(D3883*G3883,2)</f>
        <v>3.17</v>
      </c>
      <c r="J3883" s="295"/>
      <c r="K3883" s="295"/>
    </row>
    <row r="3884" spans="1:17" x14ac:dyDescent="0.2">
      <c r="A3884" s="259" t="str">
        <f>VLOOKUP(B3884,mat.!$A:$D,2,FALSE)</f>
        <v>Sarrafo 10 X 2,5 cm</v>
      </c>
      <c r="B3884" s="234">
        <v>10067</v>
      </c>
      <c r="C3884" s="260" t="str">
        <f>VLOOKUP(B3884,mat.!$A:$D,3,FALSE)</f>
        <v>M3</v>
      </c>
      <c r="D3884" s="261">
        <f>VLOOKUP(B3884,mat.!$A:$D,4,FALSE)</f>
        <v>1354.54</v>
      </c>
      <c r="E3884" s="255"/>
      <c r="F3884" s="253"/>
      <c r="G3884" s="405">
        <v>2.2000000000000001E-3</v>
      </c>
      <c r="H3884" s="255"/>
      <c r="I3884" s="423">
        <f>TRUNC(D3884*G3884,2)</f>
        <v>2.97</v>
      </c>
      <c r="J3884" s="295"/>
      <c r="K3884" s="295"/>
    </row>
    <row r="3885" spans="1:17" x14ac:dyDescent="0.2">
      <c r="A3885" s="259" t="str">
        <f>VLOOKUP(B3885,mat.!$A:$D,2,FALSE)</f>
        <v>Tábuas de 2,5 cm (Não Aparelhada)</v>
      </c>
      <c r="B3885" s="234">
        <v>10065</v>
      </c>
      <c r="C3885" s="260" t="str">
        <f>VLOOKUP(B3885,mat.!$A:$D,3,FALSE)</f>
        <v>M3</v>
      </c>
      <c r="D3885" s="261">
        <f>VLOOKUP(B3885,mat.!$A:$D,4,FALSE)</f>
        <v>2232</v>
      </c>
      <c r="E3885" s="255"/>
      <c r="F3885" s="253"/>
      <c r="G3885" s="405">
        <v>1.2500000000000001E-2</v>
      </c>
      <c r="H3885" s="255"/>
      <c r="I3885" s="423">
        <f>TRUNC(D3885*G3885,2)</f>
        <v>27.9</v>
      </c>
      <c r="J3885" s="295"/>
      <c r="K3885" s="295"/>
    </row>
    <row r="3886" spans="1:17" x14ac:dyDescent="0.2">
      <c r="A3886" s="199"/>
      <c r="B3886" s="229"/>
      <c r="C3886" s="199"/>
      <c r="D3886" s="199"/>
      <c r="E3886" s="199"/>
      <c r="F3886" s="230" t="s">
        <v>197</v>
      </c>
      <c r="G3886" s="240"/>
      <c r="H3886" s="241"/>
      <c r="I3886" s="438">
        <f>SUM(I3882:I3885)</f>
        <v>38.71</v>
      </c>
      <c r="J3886" s="295"/>
      <c r="K3886" s="295"/>
    </row>
    <row r="3887" spans="1:17" x14ac:dyDescent="0.2">
      <c r="A3887" s="199"/>
      <c r="B3887" s="229"/>
      <c r="C3887" s="199"/>
      <c r="D3887" s="199"/>
      <c r="E3887" s="199"/>
      <c r="F3887" s="199"/>
      <c r="G3887" s="262"/>
      <c r="H3887" s="199"/>
      <c r="I3887" s="439"/>
      <c r="J3887" s="295"/>
      <c r="K3887" s="295"/>
    </row>
    <row r="3888" spans="1:17" x14ac:dyDescent="0.2">
      <c r="A3888" s="263" t="s">
        <v>198</v>
      </c>
      <c r="B3888" s="243" t="s">
        <v>59</v>
      </c>
      <c r="C3888" s="243" t="s">
        <v>196</v>
      </c>
      <c r="D3888" s="635" t="s">
        <v>217</v>
      </c>
      <c r="E3888" s="1121" t="s">
        <v>89</v>
      </c>
      <c r="F3888" s="1114"/>
      <c r="G3888" s="1115"/>
      <c r="H3888" s="1121" t="s">
        <v>183</v>
      </c>
      <c r="I3888" s="1115"/>
    </row>
    <row r="3889" spans="1:17" x14ac:dyDescent="0.2">
      <c r="A3889" s="244"/>
      <c r="B3889" s="234"/>
      <c r="C3889" s="234"/>
      <c r="D3889" s="239"/>
      <c r="E3889" s="240"/>
      <c r="F3889" s="253"/>
      <c r="G3889" s="293"/>
      <c r="H3889" s="240"/>
      <c r="I3889" s="423"/>
    </row>
    <row r="3890" spans="1:17" x14ac:dyDescent="0.2">
      <c r="A3890" s="200"/>
      <c r="B3890" s="264"/>
      <c r="C3890" s="200"/>
      <c r="D3890" s="200"/>
      <c r="E3890" s="200"/>
      <c r="F3890" s="265" t="s">
        <v>199</v>
      </c>
      <c r="G3890" s="255"/>
      <c r="H3890" s="266"/>
      <c r="I3890" s="441">
        <f>SUM(I3889:I3889)</f>
        <v>0</v>
      </c>
    </row>
    <row r="3891" spans="1:17" x14ac:dyDescent="0.2">
      <c r="A3891" s="200"/>
      <c r="B3891" s="264"/>
      <c r="C3891" s="200"/>
      <c r="D3891" s="200"/>
      <c r="E3891" s="200"/>
      <c r="F3891" s="200"/>
      <c r="G3891" s="200"/>
      <c r="H3891" s="200"/>
      <c r="I3891" s="440"/>
    </row>
    <row r="3892" spans="1:17" x14ac:dyDescent="0.2">
      <c r="A3892" s="267" t="s">
        <v>200</v>
      </c>
      <c r="B3892" s="268" t="s">
        <v>59</v>
      </c>
      <c r="C3892" s="268" t="s">
        <v>196</v>
      </c>
      <c r="D3892" s="268" t="s">
        <v>201</v>
      </c>
      <c r="E3892" s="268" t="s">
        <v>202</v>
      </c>
      <c r="F3892" s="268" t="s">
        <v>203</v>
      </c>
      <c r="G3892" s="268" t="s">
        <v>94</v>
      </c>
      <c r="H3892" s="268" t="s">
        <v>89</v>
      </c>
      <c r="I3892" s="442" t="s">
        <v>204</v>
      </c>
    </row>
    <row r="3893" spans="1:17" ht="22.5" x14ac:dyDescent="0.2">
      <c r="A3893" s="259" t="str">
        <f>VLOOKUP(B3893,transp.!A:D,2,FALSE)</f>
        <v>Transporte de Caibros 8 X 8 cm (pontalete)</v>
      </c>
      <c r="B3893" s="234">
        <v>1095</v>
      </c>
      <c r="C3893" s="234" t="str">
        <f>VLOOKUP(B3893,transp.!$A:$J,3,FALSE)</f>
        <v xml:space="preserve"> t  </v>
      </c>
      <c r="D3893" s="269" t="str">
        <f>VLOOKUP(B3893,transp.!$A:$J,4,FALSE)</f>
        <v>0,716XP + 0,745XR</v>
      </c>
      <c r="E3893" s="455">
        <f>VLOOKUP(J3893,Dis!$B:$F,4,FALSE)</f>
        <v>28.4</v>
      </c>
      <c r="F3893" s="455">
        <f>VLOOKUP(J3893,Dis!$B:$F,5,FALSE)</f>
        <v>2.34</v>
      </c>
      <c r="G3893" s="239">
        <f>TRUNC(VLOOKUP(B3893,transp.!$A:$J,5,FALSE)*E3893+VLOOKUP(B3893,transp.!$A:$J,6,FALSE)*F3893+VLOOKUP(B3893,transp.!$A:$J,7,FALSE),2)</f>
        <v>22.07</v>
      </c>
      <c r="H3893" s="271">
        <v>2.5999999999999999E-3</v>
      </c>
      <c r="I3893" s="418">
        <f>TRUNC(G3893*H3893,2)</f>
        <v>0.05</v>
      </c>
      <c r="J3893" s="400" t="s">
        <v>115</v>
      </c>
    </row>
    <row r="3894" spans="1:17" x14ac:dyDescent="0.2">
      <c r="A3894" s="259" t="str">
        <f>VLOOKUP(B3894,transp.!A:D,2,FALSE)</f>
        <v>Transporte de Sarrafo 10 X 2,5 cm</v>
      </c>
      <c r="B3894" s="234">
        <v>1096</v>
      </c>
      <c r="C3894" s="234" t="str">
        <f>VLOOKUP(B3894,transp.!$A:$J,3,FALSE)</f>
        <v xml:space="preserve"> t  </v>
      </c>
      <c r="D3894" s="269" t="str">
        <f>VLOOKUP(B3894,transp.!$A:$J,4,FALSE)</f>
        <v>0,716XP + 0,745XR</v>
      </c>
      <c r="E3894" s="455">
        <f>VLOOKUP(J3894,Dis!$B:$F,4,FALSE)</f>
        <v>28.4</v>
      </c>
      <c r="F3894" s="455">
        <f>VLOOKUP(J3894,Dis!$B:$F,5,FALSE)</f>
        <v>2.34</v>
      </c>
      <c r="G3894" s="239">
        <f>TRUNC(VLOOKUP(B3894,transp.!$A:$J,5,FALSE)*E3894+VLOOKUP(B3894,transp.!$A:$J,6,FALSE)*F3894+VLOOKUP(B3894,transp.!$A:$J,7,FALSE),2)</f>
        <v>22.07</v>
      </c>
      <c r="H3894" s="271">
        <v>1.6999999999999999E-3</v>
      </c>
      <c r="I3894" s="418">
        <f>TRUNC(G3894*H3894,2)</f>
        <v>0.03</v>
      </c>
      <c r="J3894" s="400" t="s">
        <v>115</v>
      </c>
    </row>
    <row r="3895" spans="1:17" x14ac:dyDescent="0.2">
      <c r="A3895" s="259" t="str">
        <f>VLOOKUP(B3895,transp.!A:D,2,FALSE)</f>
        <v>Transporte de Tábuas de 2,5 cm</v>
      </c>
      <c r="B3895" s="234">
        <v>1094</v>
      </c>
      <c r="C3895" s="234" t="str">
        <f>VLOOKUP(B3895,transp.!$A:$J,3,FALSE)</f>
        <v xml:space="preserve"> t  </v>
      </c>
      <c r="D3895" s="269" t="str">
        <f>VLOOKUP(B3895,transp.!$A:$J,4,FALSE)</f>
        <v>0,716XP + 0,745XR</v>
      </c>
      <c r="E3895" s="455">
        <f>VLOOKUP(J3895,Dis!$B:$F,4,FALSE)</f>
        <v>28.4</v>
      </c>
      <c r="F3895" s="455">
        <f>VLOOKUP(J3895,Dis!$B:$F,5,FALSE)</f>
        <v>2.34</v>
      </c>
      <c r="G3895" s="239">
        <f>TRUNC(VLOOKUP(B3895,transp.!$A:$J,5,FALSE)*E3895+VLOOKUP(B3895,transp.!$A:$J,6,FALSE)*F3895+VLOOKUP(B3895,transp.!$A:$J,7,FALSE),2)</f>
        <v>22.07</v>
      </c>
      <c r="H3895" s="271">
        <v>0.01</v>
      </c>
      <c r="I3895" s="418">
        <f>TRUNC(G3895*H3895,2)</f>
        <v>0.22</v>
      </c>
      <c r="J3895" s="400" t="s">
        <v>115</v>
      </c>
    </row>
    <row r="3896" spans="1:17" x14ac:dyDescent="0.2">
      <c r="A3896" s="200"/>
      <c r="B3896" s="264"/>
      <c r="C3896" s="200"/>
      <c r="D3896" s="200"/>
      <c r="E3896" s="200"/>
      <c r="F3896" s="265" t="s">
        <v>205</v>
      </c>
      <c r="G3896" s="240"/>
      <c r="H3896" s="272"/>
      <c r="I3896" s="443">
        <f>SUM(I3893:I3895)</f>
        <v>0.3</v>
      </c>
    </row>
    <row r="3897" spans="1:17" x14ac:dyDescent="0.2">
      <c r="A3897" s="200"/>
      <c r="B3897" s="264"/>
      <c r="C3897" s="200"/>
      <c r="D3897" s="200"/>
      <c r="E3897" s="200"/>
      <c r="F3897" s="200"/>
      <c r="G3897" s="200"/>
      <c r="H3897" s="200"/>
      <c r="I3897" s="444"/>
    </row>
    <row r="3898" spans="1:17" s="198" customFormat="1" x14ac:dyDescent="0.2">
      <c r="A3898" s="273"/>
      <c r="B3898" s="274"/>
      <c r="C3898" s="275"/>
      <c r="D3898" s="275"/>
      <c r="E3898" s="275"/>
      <c r="F3898" s="276" t="s">
        <v>206</v>
      </c>
      <c r="G3898" s="273"/>
      <c r="H3898" s="249"/>
      <c r="I3898" s="445">
        <f>+I3879+I3886+I3890+I3896</f>
        <v>84.32</v>
      </c>
      <c r="J3898" s="400"/>
      <c r="K3898" s="400"/>
      <c r="L3898" s="295"/>
      <c r="M3898" s="295"/>
      <c r="N3898" s="295"/>
      <c r="O3898" s="295"/>
      <c r="P3898" s="295"/>
      <c r="Q3898" s="295"/>
    </row>
    <row r="3899" spans="1:17" x14ac:dyDescent="0.2">
      <c r="A3899" s="255"/>
      <c r="B3899" s="277"/>
      <c r="C3899" s="266"/>
      <c r="D3899" s="266"/>
      <c r="E3899" s="266"/>
      <c r="F3899" s="278" t="str">
        <f>CONCATENATE($H$3," ",$I$3)</f>
        <v>BDI: 23,32</v>
      </c>
      <c r="G3899" s="403"/>
      <c r="H3899" s="253"/>
      <c r="I3899" s="446">
        <f>+ROUND(I3898*$I$4,2)</f>
        <v>19.66</v>
      </c>
    </row>
    <row r="3900" spans="1:17" x14ac:dyDescent="0.2">
      <c r="A3900" s="240"/>
      <c r="B3900" s="279"/>
      <c r="C3900" s="272"/>
      <c r="D3900" s="272"/>
      <c r="E3900" s="272"/>
      <c r="F3900" s="280" t="s">
        <v>207</v>
      </c>
      <c r="G3900" s="404"/>
      <c r="H3900" s="241"/>
      <c r="I3900" s="720">
        <f>+I3898+I3899</f>
        <v>103.98</v>
      </c>
      <c r="J3900" s="415"/>
      <c r="K3900" s="415"/>
      <c r="L3900" s="198"/>
      <c r="M3900" s="198"/>
      <c r="N3900" s="198"/>
      <c r="O3900" s="198"/>
      <c r="P3900" s="198"/>
      <c r="Q3900" s="198"/>
    </row>
    <row r="3901" spans="1:17" x14ac:dyDescent="0.2">
      <c r="A3901" s="1116" t="str">
        <f>$A$1</f>
        <v>COMPOSIÇÃO DE CUSTOS UNITÁRIOS</v>
      </c>
      <c r="B3901" s="1116"/>
      <c r="C3901" s="1116"/>
      <c r="D3901" s="1116"/>
      <c r="E3901" s="1116"/>
      <c r="F3901" s="1116"/>
      <c r="G3901" s="1116"/>
      <c r="H3901" s="1116"/>
      <c r="I3901" s="1116"/>
    </row>
    <row r="3902" spans="1:17" x14ac:dyDescent="0.2">
      <c r="A3902" s="228" t="str">
        <f>$A$2</f>
        <v>Tabela Referencial de Preços - DER-ES</v>
      </c>
      <c r="B3902" s="229"/>
      <c r="C3902" s="199"/>
      <c r="D3902" s="199"/>
      <c r="E3902" s="199"/>
      <c r="F3902" s="199"/>
      <c r="G3902" s="199"/>
      <c r="H3902" s="199"/>
      <c r="I3902" s="414" t="str">
        <f>$I$2</f>
        <v>Data Base: novembro/2020</v>
      </c>
      <c r="J3902" s="400">
        <v>40351</v>
      </c>
      <c r="K3902" s="400">
        <f>VLOOKUP("Preço Unitário Total",F3904:I4015,4,FALSE)</f>
        <v>521.98</v>
      </c>
      <c r="L3902" s="295" t="str">
        <f>VLOOKUP(J3902,'DER 11-20'!A:E,5,FALSE)</f>
        <v>A incluir</v>
      </c>
      <c r="M3902" s="295" t="str">
        <f>VLOOKUP(J3902,'DER 11-20'!$A:$D,2,FALSE)</f>
        <v>Concreto ciclópico com 70% concreto 15,0 MPa e 30% de pedra de mão, tudo incluído</v>
      </c>
    </row>
    <row r="3903" spans="1:17" x14ac:dyDescent="0.2">
      <c r="A3903" s="1117" t="str">
        <f>+CONCATENATE("Serviço: ",J3902," ",VLOOKUP(J3902,'DER 11-20'!$A:$D,2,FALSE))</f>
        <v>Serviço: 40351 Concreto ciclópico com 70% concreto 15,0 MPa e 30% de pedra de mão, tudo incluído</v>
      </c>
      <c r="B3903" s="1117"/>
      <c r="C3903" s="1117"/>
      <c r="D3903" s="1117"/>
      <c r="E3903" s="1117"/>
      <c r="F3903" s="1117"/>
      <c r="G3903" s="1117"/>
      <c r="H3903" s="1117"/>
      <c r="I3903" s="1119" t="str">
        <f>CONCATENATE("Unidade: ", VLOOKUP(J3902,'DER 11-20'!$A:$E,3,FALSE))</f>
        <v>Unidade: M3</v>
      </c>
    </row>
    <row r="3904" spans="1:17" s="198" customFormat="1" x14ac:dyDescent="0.2">
      <c r="A3904" s="1118"/>
      <c r="B3904" s="1118"/>
      <c r="C3904" s="1118"/>
      <c r="D3904" s="1118"/>
      <c r="E3904" s="1118"/>
      <c r="F3904" s="1118"/>
      <c r="G3904" s="1118"/>
      <c r="H3904" s="1118"/>
      <c r="I3904" s="1120"/>
      <c r="J3904" s="400"/>
      <c r="K3904" s="400"/>
      <c r="L3904" s="295"/>
      <c r="M3904" s="295"/>
      <c r="N3904" s="295"/>
      <c r="O3904" s="295"/>
      <c r="P3904" s="295"/>
      <c r="Q3904" s="295"/>
    </row>
    <row r="3905" spans="1:17" s="198" customFormat="1" ht="22.5" x14ac:dyDescent="0.2">
      <c r="A3905" s="231" t="s">
        <v>177</v>
      </c>
      <c r="B3905" s="232" t="s">
        <v>59</v>
      </c>
      <c r="C3905" s="232" t="s">
        <v>178</v>
      </c>
      <c r="D3905" s="232" t="s">
        <v>179</v>
      </c>
      <c r="E3905" s="232" t="s">
        <v>180</v>
      </c>
      <c r="F3905" s="232" t="s">
        <v>181</v>
      </c>
      <c r="G3905" s="232" t="s">
        <v>182</v>
      </c>
      <c r="H3905" s="232" t="s">
        <v>89</v>
      </c>
      <c r="I3905" s="434" t="s">
        <v>183</v>
      </c>
      <c r="J3905" s="400"/>
      <c r="K3905" s="400"/>
      <c r="L3905" s="295"/>
      <c r="M3905" s="295"/>
      <c r="N3905" s="295"/>
      <c r="O3905" s="295"/>
      <c r="P3905" s="295"/>
      <c r="Q3905" s="295"/>
    </row>
    <row r="3906" spans="1:17" s="198" customFormat="1" x14ac:dyDescent="0.2">
      <c r="A3906" s="233"/>
      <c r="B3906" s="234"/>
      <c r="C3906" s="235"/>
      <c r="D3906" s="236"/>
      <c r="E3906" s="203"/>
      <c r="F3906" s="237"/>
      <c r="G3906" s="237"/>
      <c r="H3906" s="238"/>
      <c r="I3906" s="418"/>
      <c r="J3906" s="400"/>
      <c r="K3906" s="400"/>
      <c r="L3906" s="295"/>
      <c r="M3906" s="295"/>
      <c r="N3906" s="295"/>
      <c r="O3906" s="295"/>
      <c r="P3906" s="295"/>
      <c r="Q3906" s="295"/>
    </row>
    <row r="3907" spans="1:17" s="198" customFormat="1" x14ac:dyDescent="0.2">
      <c r="A3907" s="199"/>
      <c r="B3907" s="229"/>
      <c r="C3907" s="229"/>
      <c r="D3907" s="199"/>
      <c r="E3907" s="199"/>
      <c r="F3907" s="230" t="s">
        <v>184</v>
      </c>
      <c r="G3907" s="240"/>
      <c r="H3907" s="241"/>
      <c r="I3907" s="438">
        <f>SUM(I3906:I3906)</f>
        <v>0</v>
      </c>
      <c r="J3907" s="295"/>
      <c r="K3907" s="295"/>
      <c r="L3907" s="295"/>
      <c r="M3907" s="295"/>
      <c r="N3907" s="295"/>
      <c r="O3907" s="295"/>
      <c r="P3907" s="295"/>
      <c r="Q3907" s="295"/>
    </row>
    <row r="3908" spans="1:17" x14ac:dyDescent="0.2">
      <c r="A3908" s="199"/>
      <c r="B3908" s="229"/>
      <c r="C3908" s="229"/>
      <c r="D3908" s="199"/>
      <c r="E3908" s="199"/>
      <c r="F3908" s="199"/>
      <c r="G3908" s="199"/>
      <c r="H3908" s="199"/>
      <c r="I3908" s="439"/>
      <c r="J3908" s="295"/>
      <c r="K3908" s="295"/>
    </row>
    <row r="3909" spans="1:17" x14ac:dyDescent="0.2">
      <c r="A3909" s="242" t="s">
        <v>185</v>
      </c>
      <c r="B3909" s="243" t="s">
        <v>59</v>
      </c>
      <c r="C3909" s="232" t="s">
        <v>357</v>
      </c>
      <c r="D3909" s="243" t="s">
        <v>187</v>
      </c>
      <c r="E3909" s="1121" t="s">
        <v>89</v>
      </c>
      <c r="F3909" s="1114"/>
      <c r="G3909" s="1115"/>
      <c r="H3909" s="1121" t="s">
        <v>183</v>
      </c>
      <c r="I3909" s="1115"/>
      <c r="J3909" s="295"/>
      <c r="K3909" s="295"/>
    </row>
    <row r="3910" spans="1:17" x14ac:dyDescent="0.2">
      <c r="A3910" s="244" t="str">
        <f>VLOOKUP(B3910,m.o.!$A:$H,2,FALSE)</f>
        <v>Ajudante de pedreiro O.A.C.</v>
      </c>
      <c r="B3910" s="234">
        <v>20072</v>
      </c>
      <c r="C3910" s="239">
        <f>VLOOKUP(B3910,m.o.!$A:$F,4,FALSE)</f>
        <v>1.01</v>
      </c>
      <c r="D3910" s="239">
        <f>VLOOKUP(B3910,m.o.!$A:$G,7,FALSE)</f>
        <v>12.65</v>
      </c>
      <c r="E3910" s="255"/>
      <c r="F3910" s="253"/>
      <c r="G3910" s="293">
        <v>0.6</v>
      </c>
      <c r="H3910" s="240"/>
      <c r="I3910" s="427">
        <f>TRUNC(D3910*G3910,2)</f>
        <v>7.59</v>
      </c>
      <c r="J3910" s="295"/>
      <c r="K3910" s="295"/>
    </row>
    <row r="3911" spans="1:17" x14ac:dyDescent="0.2">
      <c r="A3911" s="259" t="str">
        <f>VLOOKUP(B3911,m.o.!$A:$H,2,FALSE)</f>
        <v>Pedreiro de O.A.C.</v>
      </c>
      <c r="B3911" s="234">
        <v>20109</v>
      </c>
      <c r="C3911" s="261">
        <f>VLOOKUP(B3911,m.o.!$A:$F,4,FALSE)</f>
        <v>1.24</v>
      </c>
      <c r="D3911" s="261">
        <f>VLOOKUP(B3911,m.o.!$A:$G,7,FALSE)</f>
        <v>15.53</v>
      </c>
      <c r="E3911" s="255"/>
      <c r="F3911" s="253"/>
      <c r="G3911" s="405">
        <v>0.3</v>
      </c>
      <c r="H3911" s="255"/>
      <c r="I3911" s="423">
        <f>TRUNC(D3911*G3911,2)</f>
        <v>4.6500000000000004</v>
      </c>
      <c r="J3911" s="295"/>
      <c r="K3911" s="295"/>
    </row>
    <row r="3912" spans="1:17" x14ac:dyDescent="0.2">
      <c r="A3912" s="199"/>
      <c r="B3912" s="229"/>
      <c r="C3912" s="229"/>
      <c r="D3912" s="199"/>
      <c r="E3912" s="199"/>
      <c r="F3912" s="230" t="s">
        <v>188</v>
      </c>
      <c r="G3912" s="240"/>
      <c r="H3912" s="241"/>
      <c r="I3912" s="438">
        <f>SUM(I3910:I3911)</f>
        <v>12.24</v>
      </c>
      <c r="J3912" s="295"/>
      <c r="K3912" s="295"/>
    </row>
    <row r="3913" spans="1:17" x14ac:dyDescent="0.2">
      <c r="A3913" s="199"/>
      <c r="B3913" s="229"/>
      <c r="C3913" s="229"/>
      <c r="D3913" s="199"/>
      <c r="E3913" s="199"/>
      <c r="F3913" s="199"/>
      <c r="G3913" s="199"/>
      <c r="H3913" s="199"/>
      <c r="I3913" s="439"/>
      <c r="J3913" s="295"/>
      <c r="K3913" s="295"/>
    </row>
    <row r="3914" spans="1:17" x14ac:dyDescent="0.2">
      <c r="A3914" s="245" t="s">
        <v>189</v>
      </c>
      <c r="B3914" s="243" t="s">
        <v>59</v>
      </c>
      <c r="C3914" s="635" t="s">
        <v>17</v>
      </c>
      <c r="D3914" s="243" t="s">
        <v>190</v>
      </c>
      <c r="E3914" s="243" t="s">
        <v>191</v>
      </c>
      <c r="F3914" s="243" t="s">
        <v>192</v>
      </c>
      <c r="G3914" s="1121" t="s">
        <v>94</v>
      </c>
      <c r="H3914" s="1114"/>
      <c r="I3914" s="1115"/>
      <c r="J3914" s="295"/>
      <c r="K3914" s="295"/>
    </row>
    <row r="3915" spans="1:17" x14ac:dyDescent="0.2">
      <c r="A3915" s="244" t="s">
        <v>127</v>
      </c>
      <c r="B3915" s="234">
        <v>2000</v>
      </c>
      <c r="C3915" s="239">
        <v>5</v>
      </c>
      <c r="D3915" s="235" t="s">
        <v>208</v>
      </c>
      <c r="E3915" s="246"/>
      <c r="F3915" s="246"/>
      <c r="G3915" s="240"/>
      <c r="H3915" s="241"/>
      <c r="I3915" s="427">
        <f>TRUNC(C3915/100*I3912,2)</f>
        <v>0.61</v>
      </c>
      <c r="J3915" s="295"/>
      <c r="K3915" s="295"/>
    </row>
    <row r="3916" spans="1:17" x14ac:dyDescent="0.2">
      <c r="A3916" s="199"/>
      <c r="B3916" s="229"/>
      <c r="C3916" s="199"/>
      <c r="D3916" s="199"/>
      <c r="E3916" s="199"/>
      <c r="F3916" s="230" t="s">
        <v>327</v>
      </c>
      <c r="G3916" s="240"/>
      <c r="H3916" s="241"/>
      <c r="I3916" s="438">
        <f>SUM(I3915)</f>
        <v>0.61</v>
      </c>
      <c r="J3916" s="295"/>
      <c r="K3916" s="295"/>
    </row>
    <row r="3917" spans="1:17" x14ac:dyDescent="0.2">
      <c r="A3917" s="199"/>
      <c r="B3917" s="229"/>
      <c r="C3917" s="199"/>
      <c r="D3917" s="199"/>
      <c r="E3917" s="199"/>
      <c r="F3917" s="199"/>
      <c r="G3917" s="199"/>
      <c r="H3917" s="199"/>
      <c r="I3917" s="439"/>
      <c r="J3917" s="295"/>
      <c r="K3917" s="295"/>
    </row>
    <row r="3918" spans="1:17" x14ac:dyDescent="0.2">
      <c r="A3918" s="247"/>
      <c r="B3918" s="248"/>
      <c r="C3918" s="249"/>
      <c r="D3918" s="249"/>
      <c r="E3918" s="249"/>
      <c r="F3918" s="250" t="s">
        <v>193</v>
      </c>
      <c r="G3918" s="401"/>
      <c r="H3918" s="249"/>
      <c r="I3918" s="445">
        <f>+I3907+I3912+I3916</f>
        <v>12.85</v>
      </c>
      <c r="J3918" s="295"/>
      <c r="K3918" s="295"/>
    </row>
    <row r="3919" spans="1:17" x14ac:dyDescent="0.2">
      <c r="A3919" s="251"/>
      <c r="B3919" s="252"/>
      <c r="C3919" s="253"/>
      <c r="D3919" s="253"/>
      <c r="E3919" s="253"/>
      <c r="F3919" s="254" t="s">
        <v>194</v>
      </c>
      <c r="G3919" s="255"/>
      <c r="H3919" s="253"/>
      <c r="I3919" s="446">
        <v>1</v>
      </c>
      <c r="J3919" s="295"/>
      <c r="K3919" s="295"/>
    </row>
    <row r="3920" spans="1:17" x14ac:dyDescent="0.2">
      <c r="A3920" s="233"/>
      <c r="B3920" s="256"/>
      <c r="C3920" s="241"/>
      <c r="D3920" s="241"/>
      <c r="E3920" s="241"/>
      <c r="F3920" s="257" t="s">
        <v>216</v>
      </c>
      <c r="G3920" s="240"/>
      <c r="H3920" s="241"/>
      <c r="I3920" s="447">
        <f>TRUNC(I3918/I3919,2)</f>
        <v>12.85</v>
      </c>
      <c r="J3920" s="295"/>
      <c r="K3920" s="295"/>
    </row>
    <row r="3921" spans="1:17" x14ac:dyDescent="0.2">
      <c r="A3921" s="636"/>
      <c r="B3921" s="229"/>
      <c r="C3921" s="199"/>
      <c r="D3921" s="199"/>
      <c r="E3921" s="199"/>
      <c r="F3921" s="258"/>
      <c r="G3921" s="199"/>
      <c r="H3921" s="199"/>
      <c r="I3921" s="450"/>
      <c r="J3921" s="295"/>
      <c r="K3921" s="295"/>
    </row>
    <row r="3922" spans="1:17" x14ac:dyDescent="0.2">
      <c r="A3922" s="242" t="s">
        <v>195</v>
      </c>
      <c r="B3922" s="243" t="s">
        <v>59</v>
      </c>
      <c r="C3922" s="243" t="s">
        <v>196</v>
      </c>
      <c r="D3922" s="243" t="s">
        <v>217</v>
      </c>
      <c r="E3922" s="1121" t="s">
        <v>89</v>
      </c>
      <c r="F3922" s="1114"/>
      <c r="G3922" s="1115"/>
      <c r="H3922" s="1121" t="s">
        <v>183</v>
      </c>
      <c r="I3922" s="1115"/>
      <c r="J3922" s="295"/>
      <c r="K3922" s="295"/>
    </row>
    <row r="3923" spans="1:17" x14ac:dyDescent="0.2">
      <c r="A3923" s="259" t="str">
        <f>VLOOKUP(B3923,mat.!$A:$D,2,FALSE)</f>
        <v>Pedra de mao (incl. 0% IUM) s/ frete</v>
      </c>
      <c r="B3923" s="234">
        <v>10121</v>
      </c>
      <c r="C3923" s="260" t="str">
        <f>VLOOKUP(B3923,mat.!$A:$D,3,FALSE)</f>
        <v>m3</v>
      </c>
      <c r="D3923" s="261">
        <f>VLOOKUP(B3923,mat.!$A:$D,4,FALSE)</f>
        <v>73.97</v>
      </c>
      <c r="E3923" s="255"/>
      <c r="F3923" s="253"/>
      <c r="G3923" s="293">
        <v>0.3</v>
      </c>
      <c r="H3923" s="255"/>
      <c r="I3923" s="423">
        <f>TRUNC(D3923*G3923,2)</f>
        <v>22.19</v>
      </c>
    </row>
    <row r="3924" spans="1:17" x14ac:dyDescent="0.2">
      <c r="A3924" s="199"/>
      <c r="B3924" s="229"/>
      <c r="C3924" s="199"/>
      <c r="D3924" s="199"/>
      <c r="E3924" s="199"/>
      <c r="F3924" s="230" t="s">
        <v>197</v>
      </c>
      <c r="G3924" s="240"/>
      <c r="H3924" s="241"/>
      <c r="I3924" s="438">
        <f>SUM(I3923:I3923)</f>
        <v>22.19</v>
      </c>
    </row>
    <row r="3925" spans="1:17" x14ac:dyDescent="0.2">
      <c r="A3925" s="199"/>
      <c r="B3925" s="229"/>
      <c r="C3925" s="199"/>
      <c r="D3925" s="199"/>
      <c r="E3925" s="199"/>
      <c r="F3925" s="199"/>
      <c r="G3925" s="262"/>
      <c r="H3925" s="199"/>
      <c r="I3925" s="439"/>
    </row>
    <row r="3926" spans="1:17" x14ac:dyDescent="0.2">
      <c r="A3926" s="263" t="s">
        <v>198</v>
      </c>
      <c r="B3926" s="243" t="s">
        <v>59</v>
      </c>
      <c r="C3926" s="243" t="s">
        <v>196</v>
      </c>
      <c r="D3926" s="635" t="s">
        <v>217</v>
      </c>
      <c r="E3926" s="1121" t="s">
        <v>89</v>
      </c>
      <c r="F3926" s="1114"/>
      <c r="G3926" s="1115"/>
      <c r="H3926" s="1121" t="s">
        <v>183</v>
      </c>
      <c r="I3926" s="1115"/>
    </row>
    <row r="3927" spans="1:17" ht="22.5" x14ac:dyDescent="0.2">
      <c r="A3927" s="244" t="str">
        <f>VLOOKUP(B3927,'DER 11-20'!$A:$E,2,FALSE)</f>
        <v>Concreto estrutural fck = 15,0 MPa, tudo incluído</v>
      </c>
      <c r="B3927" s="234">
        <v>40358</v>
      </c>
      <c r="C3927" s="234" t="str">
        <f>VLOOKUP(B3927,'DER 11-20'!$A:$E,3,FALSE)</f>
        <v>M3</v>
      </c>
      <c r="D3927" s="239">
        <f>TRUNC(VLOOKUP(B3927,'DER 11-20'!$A:$F,6,FALSE)/(1+$I$4),2)</f>
        <v>547.26</v>
      </c>
      <c r="E3927" s="255"/>
      <c r="F3927" s="253"/>
      <c r="G3927" s="293">
        <v>0.7</v>
      </c>
      <c r="H3927" s="240"/>
      <c r="I3927" s="423">
        <f>TRUNC(D3927*G3927,2)</f>
        <v>383.08</v>
      </c>
    </row>
    <row r="3928" spans="1:17" x14ac:dyDescent="0.2">
      <c r="A3928" s="200"/>
      <c r="B3928" s="264"/>
      <c r="C3928" s="200"/>
      <c r="D3928" s="200"/>
      <c r="E3928" s="200"/>
      <c r="F3928" s="265" t="s">
        <v>199</v>
      </c>
      <c r="G3928" s="255"/>
      <c r="H3928" s="266"/>
      <c r="I3928" s="441">
        <f>SUM(I3927:I3927)</f>
        <v>383.08</v>
      </c>
    </row>
    <row r="3929" spans="1:17" x14ac:dyDescent="0.2">
      <c r="A3929" s="200"/>
      <c r="B3929" s="264"/>
      <c r="C3929" s="200"/>
      <c r="D3929" s="200"/>
      <c r="E3929" s="200"/>
      <c r="F3929" s="200"/>
      <c r="G3929" s="200"/>
      <c r="H3929" s="200"/>
      <c r="I3929" s="440"/>
    </row>
    <row r="3930" spans="1:17" x14ac:dyDescent="0.2">
      <c r="A3930" s="267" t="s">
        <v>200</v>
      </c>
      <c r="B3930" s="268" t="s">
        <v>59</v>
      </c>
      <c r="C3930" s="268" t="s">
        <v>196</v>
      </c>
      <c r="D3930" s="268" t="s">
        <v>201</v>
      </c>
      <c r="E3930" s="268" t="s">
        <v>202</v>
      </c>
      <c r="F3930" s="268" t="s">
        <v>203</v>
      </c>
      <c r="G3930" s="268" t="s">
        <v>94</v>
      </c>
      <c r="H3930" s="268" t="s">
        <v>89</v>
      </c>
      <c r="I3930" s="442" t="s">
        <v>204</v>
      </c>
      <c r="J3930" s="295"/>
    </row>
    <row r="3931" spans="1:17" s="198" customFormat="1" ht="22.5" x14ac:dyDescent="0.2">
      <c r="A3931" s="259" t="str">
        <f>VLOOKUP(B3931,transp.!A:D,2,FALSE)</f>
        <v>Transporte de Pedra de mao (incl. 0% IUM) s/ frete</v>
      </c>
      <c r="B3931" s="234">
        <v>1150</v>
      </c>
      <c r="C3931" s="234" t="str">
        <f>VLOOKUP(B3931,transp.!$A:$J,3,FALSE)</f>
        <v xml:space="preserve"> t  </v>
      </c>
      <c r="D3931" s="269" t="str">
        <f>VLOOKUP(B3931,transp.!$A:$J,4,FALSE)</f>
        <v>0,719XP + 0,749XR</v>
      </c>
      <c r="E3931" s="270">
        <f>VLOOKUP(J3931,Dis!$B:$F,4,FALSE)</f>
        <v>12.9</v>
      </c>
      <c r="F3931" s="270">
        <f>VLOOKUP(J3931,Dis!$B:$F,5,FALSE)</f>
        <v>2.93</v>
      </c>
      <c r="G3931" s="239">
        <f>TRUNC(VLOOKUP(B3931,transp.!$A:$J,5,FALSE)*E3931+VLOOKUP(B3931,transp.!$A:$J,6,FALSE)*F3931+VLOOKUP(B3931,transp.!$A:$J,7,FALSE),2)</f>
        <v>11.46</v>
      </c>
      <c r="H3931" s="271">
        <v>0.45</v>
      </c>
      <c r="I3931" s="418">
        <f>TRUNC(G3931*H3931,2)</f>
        <v>5.15</v>
      </c>
      <c r="J3931" s="400" t="s">
        <v>635</v>
      </c>
      <c r="K3931" s="400"/>
      <c r="L3931" s="295"/>
      <c r="M3931" s="295"/>
      <c r="N3931" s="295"/>
      <c r="O3931" s="295"/>
      <c r="P3931" s="295"/>
      <c r="Q3931" s="295"/>
    </row>
    <row r="3932" spans="1:17" x14ac:dyDescent="0.2">
      <c r="A3932" s="200"/>
      <c r="B3932" s="264"/>
      <c r="C3932" s="200"/>
      <c r="D3932" s="200"/>
      <c r="E3932" s="200"/>
      <c r="F3932" s="265" t="s">
        <v>205</v>
      </c>
      <c r="G3932" s="240"/>
      <c r="H3932" s="272"/>
      <c r="I3932" s="443">
        <f>SUM(I3931:I3931)</f>
        <v>5.15</v>
      </c>
    </row>
    <row r="3933" spans="1:17" x14ac:dyDescent="0.2">
      <c r="A3933" s="200"/>
      <c r="B3933" s="264"/>
      <c r="C3933" s="200"/>
      <c r="D3933" s="200"/>
      <c r="E3933" s="200"/>
      <c r="F3933" s="200"/>
      <c r="G3933" s="200"/>
      <c r="H3933" s="200"/>
      <c r="I3933" s="444"/>
    </row>
    <row r="3934" spans="1:17" x14ac:dyDescent="0.2">
      <c r="A3934" s="273"/>
      <c r="B3934" s="274"/>
      <c r="C3934" s="275"/>
      <c r="D3934" s="275"/>
      <c r="E3934" s="275"/>
      <c r="F3934" s="276" t="s">
        <v>206</v>
      </c>
      <c r="G3934" s="273"/>
      <c r="H3934" s="249"/>
      <c r="I3934" s="445">
        <f>+I3920+I3924+I3928+I3932</f>
        <v>423.27</v>
      </c>
    </row>
    <row r="3935" spans="1:17" x14ac:dyDescent="0.2">
      <c r="A3935" s="255"/>
      <c r="B3935" s="277"/>
      <c r="C3935" s="266"/>
      <c r="D3935" s="266"/>
      <c r="E3935" s="266"/>
      <c r="F3935" s="278" t="str">
        <f>CONCATENATE($H$3," ",$I$3)</f>
        <v>BDI: 23,32</v>
      </c>
      <c r="G3935" s="403"/>
      <c r="H3935" s="253"/>
      <c r="I3935" s="446">
        <f>+ROUND(I3934*$I$4,2)</f>
        <v>98.71</v>
      </c>
    </row>
    <row r="3936" spans="1:17" x14ac:dyDescent="0.2">
      <c r="A3936" s="240"/>
      <c r="B3936" s="279"/>
      <c r="C3936" s="272"/>
      <c r="D3936" s="272"/>
      <c r="E3936" s="272"/>
      <c r="F3936" s="280" t="s">
        <v>207</v>
      </c>
      <c r="G3936" s="404"/>
      <c r="H3936" s="241"/>
      <c r="I3936" s="720">
        <f>+I3934+I3935</f>
        <v>521.98</v>
      </c>
    </row>
    <row r="3937" spans="1:17" x14ac:dyDescent="0.2">
      <c r="A3937" s="1124" t="str">
        <f>$A$1</f>
        <v>COMPOSIÇÃO DE CUSTOS UNITÁRIOS</v>
      </c>
      <c r="B3937" s="1124"/>
      <c r="C3937" s="1124"/>
      <c r="D3937" s="1124"/>
      <c r="E3937" s="1124"/>
      <c r="F3937" s="1124"/>
      <c r="G3937" s="1124"/>
      <c r="H3937" s="1124"/>
      <c r="I3937" s="1124"/>
      <c r="J3937" s="415"/>
      <c r="K3937" s="415"/>
      <c r="L3937" s="198"/>
      <c r="M3937" s="198"/>
      <c r="N3937" s="198"/>
      <c r="O3937" s="198"/>
      <c r="P3937" s="198"/>
      <c r="Q3937" s="198"/>
    </row>
    <row r="3938" spans="1:17" x14ac:dyDescent="0.2">
      <c r="A3938" s="411" t="s">
        <v>214</v>
      </c>
      <c r="B3938" s="412"/>
      <c r="C3938" s="413"/>
      <c r="D3938" s="413"/>
      <c r="E3938" s="413"/>
      <c r="F3938" s="413"/>
      <c r="G3938" s="413"/>
      <c r="H3938" s="413"/>
      <c r="I3938" s="414" t="str">
        <f>I842</f>
        <v>Data Base: novembro/2020</v>
      </c>
      <c r="J3938" s="415">
        <v>40282</v>
      </c>
      <c r="K3938" s="415">
        <f>VLOOKUP("Preço Unitário Total",F3940:I3972,4,FALSE)</f>
        <v>14.26</v>
      </c>
      <c r="L3938" s="198">
        <f>VLOOKUP(J3938,'DER 11-20'!A:E,5,FALSE)</f>
        <v>0</v>
      </c>
      <c r="M3938" s="198" t="str">
        <f>VLOOKUP(J3938,'DER 11-20'!$A:$D,2,FALSE)</f>
        <v>Escavação mecânica em material de 1ª cat. H= 0,00 a 1,50 m</v>
      </c>
      <c r="N3938" s="198"/>
      <c r="O3938" s="198"/>
      <c r="P3938" s="198"/>
      <c r="Q3938" s="198"/>
    </row>
    <row r="3939" spans="1:17" x14ac:dyDescent="0.2">
      <c r="A3939" s="1119" t="str">
        <f>+CONCATENATE("Serviço: ",J3938," ",VLOOKUP(J3938,'DER 11-20'!$A:$D,2,FALSE))</f>
        <v>Serviço: 40282 Escavação mecânica em material de 1ª cat. H= 0,00 a 1,50 m</v>
      </c>
      <c r="B3939" s="1119"/>
      <c r="C3939" s="1119"/>
      <c r="D3939" s="1119"/>
      <c r="E3939" s="1119"/>
      <c r="F3939" s="1119"/>
      <c r="G3939" s="1119"/>
      <c r="H3939" s="1119"/>
      <c r="I3939" s="1119" t="str">
        <f>CONCATENATE("Unidade: ", VLOOKUP(J3938,'DER 11-20'!$A:$E,3,FALSE))</f>
        <v>Unidade: M3</v>
      </c>
      <c r="J3939" s="198"/>
      <c r="K3939" s="198"/>
      <c r="L3939" s="198"/>
      <c r="M3939" s="198"/>
      <c r="N3939" s="198"/>
      <c r="O3939" s="198"/>
      <c r="P3939" s="198"/>
      <c r="Q3939" s="198"/>
    </row>
    <row r="3940" spans="1:17" x14ac:dyDescent="0.2">
      <c r="A3940" s="1120"/>
      <c r="B3940" s="1120"/>
      <c r="C3940" s="1120"/>
      <c r="D3940" s="1120"/>
      <c r="E3940" s="1120"/>
      <c r="F3940" s="1120"/>
      <c r="G3940" s="1120"/>
      <c r="H3940" s="1120"/>
      <c r="I3940" s="1120"/>
      <c r="J3940" s="295"/>
      <c r="K3940" s="295"/>
    </row>
    <row r="3941" spans="1:17" ht="22.5" x14ac:dyDescent="0.2">
      <c r="A3941" s="231" t="s">
        <v>177</v>
      </c>
      <c r="B3941" s="232" t="s">
        <v>59</v>
      </c>
      <c r="C3941" s="232" t="s">
        <v>178</v>
      </c>
      <c r="D3941" s="232" t="s">
        <v>179</v>
      </c>
      <c r="E3941" s="232" t="s">
        <v>180</v>
      </c>
      <c r="F3941" s="232" t="s">
        <v>181</v>
      </c>
      <c r="G3941" s="232" t="s">
        <v>182</v>
      </c>
      <c r="H3941" s="232" t="s">
        <v>89</v>
      </c>
      <c r="I3941" s="434" t="s">
        <v>183</v>
      </c>
      <c r="J3941" s="295"/>
      <c r="K3941" s="295"/>
    </row>
    <row r="3942" spans="1:17" ht="33.75" x14ac:dyDescent="0.2">
      <c r="A3942" s="233" t="str">
        <f>VLOOKUP(B3942,equip.!$A:$G,2,FALSE)</f>
        <v>Escavadeira hidráulica sobre esteiras mod. C X 220 (22t), Case ou equivalente</v>
      </c>
      <c r="B3942" s="234">
        <v>30025</v>
      </c>
      <c r="C3942" s="235">
        <f>VLOOKUP(B3942,equip.!$A$1:$G$239,3,FALSE)</f>
        <v>0</v>
      </c>
      <c r="D3942" s="236">
        <v>1</v>
      </c>
      <c r="E3942" s="203">
        <v>0</v>
      </c>
      <c r="F3942" s="237">
        <f>VLOOKUP(B3942,equip.!$A:$G,6,FALSE)</f>
        <v>227.7</v>
      </c>
      <c r="G3942" s="237">
        <f>VLOOKUP(B3942,equip.!$A:$G,7,FALSE)</f>
        <v>101.44</v>
      </c>
      <c r="H3942" s="238">
        <v>1</v>
      </c>
      <c r="I3942" s="418">
        <f>TRUNC(D3942*F3942*H3942+E3942*G3942*H3942,2)</f>
        <v>227.7</v>
      </c>
      <c r="J3942" s="295"/>
      <c r="K3942" s="295"/>
    </row>
    <row r="3943" spans="1:17" x14ac:dyDescent="0.2">
      <c r="A3943" s="199"/>
      <c r="B3943" s="229"/>
      <c r="C3943" s="229"/>
      <c r="D3943" s="199"/>
      <c r="E3943" s="199"/>
      <c r="F3943" s="230" t="s">
        <v>184</v>
      </c>
      <c r="G3943" s="240"/>
      <c r="H3943" s="241"/>
      <c r="I3943" s="438">
        <f>SUM(I3942:I3942)</f>
        <v>227.7</v>
      </c>
      <c r="J3943" s="295"/>
      <c r="K3943" s="295"/>
    </row>
    <row r="3944" spans="1:17" x14ac:dyDescent="0.2">
      <c r="A3944" s="199"/>
      <c r="B3944" s="229"/>
      <c r="C3944" s="229"/>
      <c r="D3944" s="199"/>
      <c r="E3944" s="199"/>
      <c r="F3944" s="199"/>
      <c r="G3944" s="199"/>
      <c r="H3944" s="199"/>
      <c r="I3944" s="439"/>
      <c r="J3944" s="295"/>
      <c r="K3944" s="295"/>
    </row>
    <row r="3945" spans="1:17" x14ac:dyDescent="0.2">
      <c r="A3945" s="242" t="s">
        <v>185</v>
      </c>
      <c r="B3945" s="243" t="s">
        <v>59</v>
      </c>
      <c r="C3945" s="232" t="s">
        <v>357</v>
      </c>
      <c r="D3945" s="243" t="s">
        <v>187</v>
      </c>
      <c r="E3945" s="1111" t="s">
        <v>89</v>
      </c>
      <c r="F3945" s="1112"/>
      <c r="G3945" s="1113"/>
      <c r="H3945" s="1121" t="s">
        <v>183</v>
      </c>
      <c r="I3945" s="1115"/>
      <c r="J3945" s="295"/>
      <c r="K3945" s="295"/>
    </row>
    <row r="3946" spans="1:17" x14ac:dyDescent="0.2">
      <c r="A3946" s="244" t="str">
        <f>VLOOKUP(B3946,m.o.!$A:$H,2,FALSE)</f>
        <v>Encarregado de O.A.C.</v>
      </c>
      <c r="B3946" s="234">
        <v>20060</v>
      </c>
      <c r="C3946" s="239">
        <f>VLOOKUP(B3946,m.o.!$A:$F,4,FALSE)</f>
        <v>2.2599999999999998</v>
      </c>
      <c r="D3946" s="239">
        <f>VLOOKUP(B3946,m.o.!$A:$G,7,FALSE)</f>
        <v>28.31</v>
      </c>
      <c r="E3946" s="255"/>
      <c r="F3946" s="253"/>
      <c r="G3946" s="293">
        <v>0.5</v>
      </c>
      <c r="H3946" s="240"/>
      <c r="I3946" s="427">
        <f>TRUNC(D3946*G3946,2)</f>
        <v>14.15</v>
      </c>
      <c r="J3946" s="295"/>
      <c r="K3946" s="295"/>
    </row>
    <row r="3947" spans="1:17" x14ac:dyDescent="0.2">
      <c r="A3947" s="259" t="str">
        <f>VLOOKUP(B3947,m.o.!$A:$H,2,FALSE)</f>
        <v>Servente</v>
      </c>
      <c r="B3947" s="234">
        <v>20002</v>
      </c>
      <c r="C3947" s="261">
        <f>VLOOKUP(B3947,m.o.!$A:$F,4,FALSE)</f>
        <v>1</v>
      </c>
      <c r="D3947" s="261">
        <f>VLOOKUP(B3947,m.o.!$A:$G,7,FALSE)</f>
        <v>12.52</v>
      </c>
      <c r="E3947" s="255"/>
      <c r="F3947" s="253"/>
      <c r="G3947" s="405">
        <v>1</v>
      </c>
      <c r="H3947" s="255"/>
      <c r="I3947" s="423">
        <f>TRUNC(D3947*G3947,2)</f>
        <v>12.52</v>
      </c>
      <c r="J3947" s="295"/>
      <c r="K3947" s="295"/>
    </row>
    <row r="3948" spans="1:17" x14ac:dyDescent="0.2">
      <c r="A3948" s="199"/>
      <c r="B3948" s="229"/>
      <c r="C3948" s="229"/>
      <c r="D3948" s="199"/>
      <c r="E3948" s="199"/>
      <c r="F3948" s="230" t="s">
        <v>188</v>
      </c>
      <c r="G3948" s="240"/>
      <c r="H3948" s="241"/>
      <c r="I3948" s="438">
        <f>SUM(I3946:I3947)</f>
        <v>26.67</v>
      </c>
      <c r="J3948" s="295"/>
      <c r="K3948" s="295"/>
    </row>
    <row r="3949" spans="1:17" s="198" customFormat="1" x14ac:dyDescent="0.2">
      <c r="A3949" s="199"/>
      <c r="B3949" s="229"/>
      <c r="C3949" s="229"/>
      <c r="D3949" s="199"/>
      <c r="E3949" s="199"/>
      <c r="F3949" s="199"/>
      <c r="G3949" s="199"/>
      <c r="H3949" s="199"/>
      <c r="I3949" s="439"/>
      <c r="J3949" s="295"/>
      <c r="K3949" s="295"/>
      <c r="L3949" s="295"/>
      <c r="M3949" s="295"/>
      <c r="N3949" s="295"/>
      <c r="O3949" s="295"/>
      <c r="P3949" s="295"/>
      <c r="Q3949" s="295"/>
    </row>
    <row r="3950" spans="1:17" x14ac:dyDescent="0.2">
      <c r="A3950" s="245" t="s">
        <v>189</v>
      </c>
      <c r="B3950" s="243" t="s">
        <v>59</v>
      </c>
      <c r="C3950" s="635" t="s">
        <v>17</v>
      </c>
      <c r="D3950" s="243" t="s">
        <v>190</v>
      </c>
      <c r="E3950" s="243" t="s">
        <v>191</v>
      </c>
      <c r="F3950" s="243" t="s">
        <v>192</v>
      </c>
      <c r="G3950" s="1121" t="s">
        <v>94</v>
      </c>
      <c r="H3950" s="1114"/>
      <c r="I3950" s="1115"/>
      <c r="J3950" s="295"/>
      <c r="K3950" s="295"/>
    </row>
    <row r="3951" spans="1:17" x14ac:dyDescent="0.2">
      <c r="A3951" s="244"/>
      <c r="B3951" s="234"/>
      <c r="C3951" s="239"/>
      <c r="D3951" s="235"/>
      <c r="E3951" s="246"/>
      <c r="F3951" s="246"/>
      <c r="G3951" s="240"/>
      <c r="H3951" s="241"/>
      <c r="I3951" s="427">
        <f>TRUNC(C3951/100*I3948,2)</f>
        <v>0</v>
      </c>
      <c r="J3951" s="295"/>
      <c r="K3951" s="295"/>
    </row>
    <row r="3952" spans="1:17" x14ac:dyDescent="0.2">
      <c r="A3952" s="199"/>
      <c r="B3952" s="229"/>
      <c r="C3952" s="199"/>
      <c r="D3952" s="199"/>
      <c r="E3952" s="199"/>
      <c r="F3952" s="230" t="s">
        <v>327</v>
      </c>
      <c r="G3952" s="240"/>
      <c r="H3952" s="241"/>
      <c r="I3952" s="438">
        <f>SUM(I3951)</f>
        <v>0</v>
      </c>
      <c r="J3952" s="295"/>
      <c r="K3952" s="295"/>
    </row>
    <row r="3953" spans="1:11" x14ac:dyDescent="0.2">
      <c r="A3953" s="199"/>
      <c r="B3953" s="229"/>
      <c r="C3953" s="199"/>
      <c r="D3953" s="199"/>
      <c r="E3953" s="199"/>
      <c r="F3953" s="199"/>
      <c r="G3953" s="199"/>
      <c r="H3953" s="199"/>
      <c r="I3953" s="439"/>
      <c r="J3953" s="295"/>
      <c r="K3953" s="295"/>
    </row>
    <row r="3954" spans="1:11" x14ac:dyDescent="0.2">
      <c r="A3954" s="247"/>
      <c r="B3954" s="248"/>
      <c r="C3954" s="249"/>
      <c r="D3954" s="249"/>
      <c r="E3954" s="249"/>
      <c r="F3954" s="250" t="s">
        <v>193</v>
      </c>
      <c r="G3954" s="401"/>
      <c r="H3954" s="249"/>
      <c r="I3954" s="445">
        <f>+I3943+I3948+I3952</f>
        <v>254.37</v>
      </c>
      <c r="J3954" s="295"/>
      <c r="K3954" s="295"/>
    </row>
    <row r="3955" spans="1:11" x14ac:dyDescent="0.2">
      <c r="A3955" s="251"/>
      <c r="B3955" s="252"/>
      <c r="C3955" s="253"/>
      <c r="D3955" s="253"/>
      <c r="E3955" s="253"/>
      <c r="F3955" s="254" t="s">
        <v>194</v>
      </c>
      <c r="G3955" s="255"/>
      <c r="H3955" s="253"/>
      <c r="I3955" s="446">
        <v>22</v>
      </c>
      <c r="K3955" s="295"/>
    </row>
    <row r="3956" spans="1:11" x14ac:dyDescent="0.2">
      <c r="A3956" s="233"/>
      <c r="B3956" s="256"/>
      <c r="C3956" s="241"/>
      <c r="D3956" s="241"/>
      <c r="E3956" s="241"/>
      <c r="F3956" s="257" t="s">
        <v>216</v>
      </c>
      <c r="G3956" s="240"/>
      <c r="H3956" s="241"/>
      <c r="I3956" s="447">
        <f>TRUNC(I3954/I3955,2)</f>
        <v>11.56</v>
      </c>
      <c r="K3956" s="295"/>
    </row>
    <row r="3957" spans="1:11" x14ac:dyDescent="0.2">
      <c r="A3957" s="636"/>
      <c r="B3957" s="229"/>
      <c r="C3957" s="199"/>
      <c r="D3957" s="199"/>
      <c r="E3957" s="199"/>
      <c r="F3957" s="258"/>
      <c r="G3957" s="199"/>
      <c r="H3957" s="199"/>
      <c r="I3957" s="450"/>
      <c r="K3957" s="295"/>
    </row>
    <row r="3958" spans="1:11" x14ac:dyDescent="0.2">
      <c r="A3958" s="242" t="s">
        <v>195</v>
      </c>
      <c r="B3958" s="243" t="s">
        <v>59</v>
      </c>
      <c r="C3958" s="243" t="s">
        <v>196</v>
      </c>
      <c r="D3958" s="243" t="s">
        <v>217</v>
      </c>
      <c r="E3958" s="1121" t="s">
        <v>89</v>
      </c>
      <c r="F3958" s="1114"/>
      <c r="G3958" s="1115"/>
      <c r="H3958" s="1121" t="s">
        <v>183</v>
      </c>
      <c r="I3958" s="1115"/>
      <c r="K3958" s="295"/>
    </row>
    <row r="3959" spans="1:11" x14ac:dyDescent="0.2">
      <c r="A3959" s="259"/>
      <c r="B3959" s="234"/>
      <c r="C3959" s="260"/>
      <c r="D3959" s="261"/>
      <c r="E3959" s="255"/>
      <c r="F3959" s="253"/>
      <c r="G3959" s="293"/>
      <c r="H3959" s="255"/>
      <c r="I3959" s="423">
        <f>TRUNC(D3959*G3959,2)</f>
        <v>0</v>
      </c>
      <c r="K3959" s="295"/>
    </row>
    <row r="3960" spans="1:11" x14ac:dyDescent="0.2">
      <c r="A3960" s="199"/>
      <c r="B3960" s="229"/>
      <c r="C3960" s="199"/>
      <c r="D3960" s="199"/>
      <c r="E3960" s="199"/>
      <c r="F3960" s="230" t="s">
        <v>197</v>
      </c>
      <c r="G3960" s="240"/>
      <c r="H3960" s="241"/>
      <c r="I3960" s="438">
        <f>SUM(I3959:I3959)</f>
        <v>0</v>
      </c>
      <c r="K3960" s="295"/>
    </row>
    <row r="3961" spans="1:11" x14ac:dyDescent="0.2">
      <c r="A3961" s="199"/>
      <c r="B3961" s="229"/>
      <c r="C3961" s="199"/>
      <c r="D3961" s="199"/>
      <c r="E3961" s="199"/>
      <c r="F3961" s="199"/>
      <c r="G3961" s="262"/>
      <c r="H3961" s="199"/>
      <c r="I3961" s="439"/>
      <c r="K3961" s="295"/>
    </row>
    <row r="3962" spans="1:11" x14ac:dyDescent="0.2">
      <c r="A3962" s="263" t="s">
        <v>198</v>
      </c>
      <c r="B3962" s="243" t="s">
        <v>59</v>
      </c>
      <c r="C3962" s="243" t="s">
        <v>196</v>
      </c>
      <c r="D3962" s="635" t="s">
        <v>217</v>
      </c>
      <c r="E3962" s="1111" t="s">
        <v>89</v>
      </c>
      <c r="F3962" s="1112"/>
      <c r="G3962" s="1113"/>
      <c r="H3962" s="1114" t="s">
        <v>183</v>
      </c>
      <c r="I3962" s="1115"/>
      <c r="K3962" s="295"/>
    </row>
    <row r="3963" spans="1:11" x14ac:dyDescent="0.2">
      <c r="A3963" s="244"/>
      <c r="B3963" s="260"/>
      <c r="C3963" s="234"/>
      <c r="D3963" s="239"/>
      <c r="E3963" s="240"/>
      <c r="F3963" s="241"/>
      <c r="G3963" s="409"/>
      <c r="H3963" s="240"/>
      <c r="I3963" s="423"/>
      <c r="K3963" s="295"/>
    </row>
    <row r="3964" spans="1:11" x14ac:dyDescent="0.2">
      <c r="A3964" s="200"/>
      <c r="B3964" s="264"/>
      <c r="C3964" s="200"/>
      <c r="D3964" s="200"/>
      <c r="E3964" s="200"/>
      <c r="F3964" s="265" t="s">
        <v>199</v>
      </c>
      <c r="G3964" s="255"/>
      <c r="H3964" s="266"/>
      <c r="I3964" s="441">
        <f>SUM(I3961:I3963)</f>
        <v>0</v>
      </c>
      <c r="K3964" s="295"/>
    </row>
    <row r="3965" spans="1:11" x14ac:dyDescent="0.2">
      <c r="A3965" s="200"/>
      <c r="B3965" s="264"/>
      <c r="C3965" s="200"/>
      <c r="D3965" s="200"/>
      <c r="E3965" s="200"/>
      <c r="F3965" s="200"/>
      <c r="G3965" s="200"/>
      <c r="H3965" s="200"/>
      <c r="I3965" s="440"/>
      <c r="K3965" s="295"/>
    </row>
    <row r="3966" spans="1:11" x14ac:dyDescent="0.2">
      <c r="A3966" s="267" t="s">
        <v>200</v>
      </c>
      <c r="B3966" s="268" t="s">
        <v>59</v>
      </c>
      <c r="C3966" s="268" t="s">
        <v>196</v>
      </c>
      <c r="D3966" s="268" t="s">
        <v>201</v>
      </c>
      <c r="E3966" s="268" t="s">
        <v>202</v>
      </c>
      <c r="F3966" s="268" t="s">
        <v>203</v>
      </c>
      <c r="G3966" s="268" t="s">
        <v>94</v>
      </c>
      <c r="H3966" s="268" t="s">
        <v>89</v>
      </c>
      <c r="I3966" s="442" t="s">
        <v>204</v>
      </c>
      <c r="K3966" s="295"/>
    </row>
    <row r="3967" spans="1:11" x14ac:dyDescent="0.2">
      <c r="A3967" s="244"/>
      <c r="B3967" s="234"/>
      <c r="C3967" s="234"/>
      <c r="D3967" s="269"/>
      <c r="E3967" s="270"/>
      <c r="F3967" s="270"/>
      <c r="G3967" s="239"/>
      <c r="H3967" s="271"/>
      <c r="I3967" s="418">
        <f>TRUNC(G3967*H3967,2)</f>
        <v>0</v>
      </c>
      <c r="K3967" s="295"/>
    </row>
    <row r="3968" spans="1:11" x14ac:dyDescent="0.2">
      <c r="A3968" s="200"/>
      <c r="B3968" s="264"/>
      <c r="C3968" s="200"/>
      <c r="D3968" s="200"/>
      <c r="E3968" s="200"/>
      <c r="F3968" s="265" t="s">
        <v>205</v>
      </c>
      <c r="G3968" s="240"/>
      <c r="H3968" s="272"/>
      <c r="I3968" s="443">
        <f>SUM(I3967:I3967)</f>
        <v>0</v>
      </c>
      <c r="K3968" s="295"/>
    </row>
    <row r="3969" spans="1:17" x14ac:dyDescent="0.2">
      <c r="A3969" s="200"/>
      <c r="B3969" s="264"/>
      <c r="C3969" s="200"/>
      <c r="D3969" s="200"/>
      <c r="E3969" s="200"/>
      <c r="F3969" s="200"/>
      <c r="G3969" s="200"/>
      <c r="H3969" s="200"/>
      <c r="I3969" s="444"/>
      <c r="K3969" s="295"/>
    </row>
    <row r="3970" spans="1:17" x14ac:dyDescent="0.2">
      <c r="A3970" s="273"/>
      <c r="B3970" s="274"/>
      <c r="C3970" s="275"/>
      <c r="D3970" s="275"/>
      <c r="E3970" s="275"/>
      <c r="F3970" s="276" t="s">
        <v>206</v>
      </c>
      <c r="G3970" s="273"/>
      <c r="H3970" s="249"/>
      <c r="I3970" s="445">
        <f>+I3956+I3960+I3964+I3968</f>
        <v>11.56</v>
      </c>
      <c r="K3970" s="295"/>
    </row>
    <row r="3971" spans="1:17" x14ac:dyDescent="0.2">
      <c r="A3971" s="255"/>
      <c r="B3971" s="277"/>
      <c r="C3971" s="266"/>
      <c r="D3971" s="266"/>
      <c r="E3971" s="266"/>
      <c r="F3971" s="278" t="str">
        <f>CONCATENATE($H$3," ",$I$3)</f>
        <v>BDI: 23,32</v>
      </c>
      <c r="G3971" s="403"/>
      <c r="H3971" s="253"/>
      <c r="I3971" s="446">
        <f>+ROUND(I3970*$I$4,2)</f>
        <v>2.7</v>
      </c>
    </row>
    <row r="3972" spans="1:17" x14ac:dyDescent="0.2">
      <c r="A3972" s="240"/>
      <c r="B3972" s="279"/>
      <c r="C3972" s="272"/>
      <c r="D3972" s="272"/>
      <c r="E3972" s="272"/>
      <c r="F3972" s="280" t="s">
        <v>207</v>
      </c>
      <c r="G3972" s="404"/>
      <c r="H3972" s="241"/>
      <c r="I3972" s="720">
        <f>+I3970+I3971</f>
        <v>14.26</v>
      </c>
      <c r="J3972" s="415"/>
      <c r="K3972" s="415"/>
      <c r="L3972" s="198"/>
      <c r="M3972" s="198"/>
      <c r="N3972" s="198"/>
      <c r="O3972" s="198"/>
      <c r="P3972" s="198"/>
      <c r="Q3972" s="198"/>
    </row>
    <row r="3973" spans="1:17" x14ac:dyDescent="0.2">
      <c r="A3973" s="1124" t="str">
        <f>$A$1</f>
        <v>COMPOSIÇÃO DE CUSTOS UNITÁRIOS</v>
      </c>
      <c r="B3973" s="1124"/>
      <c r="C3973" s="1124"/>
      <c r="D3973" s="1124"/>
      <c r="E3973" s="1124"/>
      <c r="F3973" s="1124"/>
      <c r="G3973" s="1124"/>
      <c r="H3973" s="1124"/>
      <c r="I3973" s="1124"/>
      <c r="J3973" s="415"/>
      <c r="K3973" s="415"/>
      <c r="L3973" s="198"/>
      <c r="M3973" s="198"/>
      <c r="N3973" s="198"/>
      <c r="O3973" s="198"/>
      <c r="P3973" s="198"/>
      <c r="Q3973" s="198"/>
    </row>
    <row r="3974" spans="1:17" s="198" customFormat="1" x14ac:dyDescent="0.2">
      <c r="A3974" s="411" t="str">
        <f>$A$2</f>
        <v>Tabela Referencial de Preços - DER-ES</v>
      </c>
      <c r="B3974" s="412"/>
      <c r="C3974" s="413"/>
      <c r="D3974" s="413"/>
      <c r="E3974" s="413"/>
      <c r="F3974" s="413"/>
      <c r="G3974" s="413"/>
      <c r="H3974" s="413"/>
      <c r="I3974" s="414" t="str">
        <f>$I$2</f>
        <v>Data Base: novembro/2020</v>
      </c>
      <c r="J3974" s="415">
        <v>40349</v>
      </c>
      <c r="K3974" s="415">
        <f>VLOOKUP("Preço Unitário Total",F3976:I4015,4,FALSE)</f>
        <v>536.16999999999996</v>
      </c>
      <c r="L3974" s="198" t="str">
        <f>VLOOKUP(J3974,'DER 11-20'!A:E,5,FALSE)</f>
        <v>A incluir</v>
      </c>
      <c r="M3974" s="198" t="str">
        <f>VLOOKUP(J3974,'DER 11-20'!$A:$D,2,FALSE)</f>
        <v>Concreto de regularização, tudo incluído</v>
      </c>
    </row>
    <row r="3975" spans="1:17" s="198" customFormat="1" x14ac:dyDescent="0.2">
      <c r="A3975" s="1119" t="str">
        <f>+CONCATENATE("Serviço: ",J3974," ",VLOOKUP(J3974,'DER 11-20'!$A:$D,2,FALSE))</f>
        <v>Serviço: 40349 Concreto de regularização, tudo incluído</v>
      </c>
      <c r="B3975" s="1119"/>
      <c r="C3975" s="1119"/>
      <c r="D3975" s="1119"/>
      <c r="E3975" s="1119"/>
      <c r="F3975" s="1119"/>
      <c r="G3975" s="1119"/>
      <c r="H3975" s="1119"/>
      <c r="I3975" s="1119" t="str">
        <f>CONCATENATE("Unidade: ", VLOOKUP(J3974,'DER 11-20'!$A:$E,3,FALSE))</f>
        <v>Unidade: M3</v>
      </c>
      <c r="J3975" s="415"/>
      <c r="K3975" s="415"/>
    </row>
    <row r="3976" spans="1:17" x14ac:dyDescent="0.2">
      <c r="A3976" s="1120"/>
      <c r="B3976" s="1120"/>
      <c r="C3976" s="1120"/>
      <c r="D3976" s="1120"/>
      <c r="E3976" s="1120"/>
      <c r="F3976" s="1120"/>
      <c r="G3976" s="1120"/>
      <c r="H3976" s="1120"/>
      <c r="I3976" s="1120"/>
    </row>
    <row r="3977" spans="1:17" ht="22.5" x14ac:dyDescent="0.2">
      <c r="A3977" s="231" t="s">
        <v>177</v>
      </c>
      <c r="B3977" s="232" t="s">
        <v>59</v>
      </c>
      <c r="C3977" s="232" t="s">
        <v>178</v>
      </c>
      <c r="D3977" s="232" t="s">
        <v>179</v>
      </c>
      <c r="E3977" s="232" t="s">
        <v>180</v>
      </c>
      <c r="F3977" s="232" t="s">
        <v>181</v>
      </c>
      <c r="G3977" s="232" t="s">
        <v>182</v>
      </c>
      <c r="H3977" s="232" t="s">
        <v>89</v>
      </c>
      <c r="I3977" s="434" t="s">
        <v>183</v>
      </c>
      <c r="J3977" s="295"/>
      <c r="K3977" s="295"/>
    </row>
    <row r="3978" spans="1:17" ht="22.5" x14ac:dyDescent="0.2">
      <c r="A3978" s="233" t="str">
        <f>VLOOKUP(B3978,equip.!$A:$G,2,FALSE)</f>
        <v>Betoneira 600 l com carregador (elétrica)</v>
      </c>
      <c r="B3978" s="234">
        <v>30070</v>
      </c>
      <c r="C3978" s="235">
        <f>VLOOKUP(B3978,equip.!$A$1:$G$239,3,FALSE)</f>
        <v>0</v>
      </c>
      <c r="D3978" s="236">
        <v>1</v>
      </c>
      <c r="E3978" s="203">
        <v>0</v>
      </c>
      <c r="F3978" s="237">
        <f>VLOOKUP(B3978,equip.!$A:$G,6,FALSE)</f>
        <v>26.5</v>
      </c>
      <c r="G3978" s="237">
        <f>VLOOKUP(B3978,equip.!$A:$G,7,FALSE)</f>
        <v>21.55</v>
      </c>
      <c r="H3978" s="238">
        <v>1</v>
      </c>
      <c r="I3978" s="418">
        <f>TRUNC(D3978*F3978*H3978+E3978*G3978*H3978,2)</f>
        <v>26.5</v>
      </c>
      <c r="J3978" s="295"/>
      <c r="K3978" s="295"/>
    </row>
    <row r="3979" spans="1:17" x14ac:dyDescent="0.2">
      <c r="A3979" s="233" t="str">
        <f>VLOOKUP(B3979,equip.!$A:$G,2,FALSE)</f>
        <v>Carrinho de mão</v>
      </c>
      <c r="B3979" s="234">
        <v>30076</v>
      </c>
      <c r="C3979" s="235">
        <f>VLOOKUP(B3979,equip.!$A$1:$G$239,3,FALSE)</f>
        <v>0</v>
      </c>
      <c r="D3979" s="236">
        <v>1</v>
      </c>
      <c r="E3979" s="203">
        <v>0</v>
      </c>
      <c r="F3979" s="237">
        <f>VLOOKUP(B3979,equip.!$A:$G,6,FALSE)</f>
        <v>0.19</v>
      </c>
      <c r="G3979" s="237">
        <f>VLOOKUP(B3979,equip.!$A:$G,7,FALSE)</f>
        <v>0.13</v>
      </c>
      <c r="H3979" s="238">
        <v>3</v>
      </c>
      <c r="I3979" s="418">
        <f>TRUNC(D3979*F3979*H3979+E3979*G3979*H3979,2)</f>
        <v>0.56999999999999995</v>
      </c>
      <c r="J3979" s="295"/>
      <c r="K3979" s="295"/>
    </row>
    <row r="3980" spans="1:17" ht="33.75" x14ac:dyDescent="0.2">
      <c r="A3980" s="233" t="str">
        <f>VLOOKUP(B3980,equip.!$A:$G,2,FALSE)</f>
        <v>Vibrador de imersao AA67 c/ mangote, marca de referência ATLAS COPCO ou equivalente</v>
      </c>
      <c r="B3980" s="234">
        <v>30071</v>
      </c>
      <c r="C3980" s="235">
        <f>VLOOKUP(B3980,equip.!$A$1:$G$239,3,FALSE)</f>
        <v>0</v>
      </c>
      <c r="D3980" s="236">
        <v>1</v>
      </c>
      <c r="E3980" s="203">
        <v>0</v>
      </c>
      <c r="F3980" s="237">
        <f>VLOOKUP(B3980,equip.!$A:$G,6,FALSE)</f>
        <v>15.98</v>
      </c>
      <c r="G3980" s="237">
        <f>VLOOKUP(B3980,equip.!$A:$G,7,FALSE)</f>
        <v>13.16</v>
      </c>
      <c r="H3980" s="238">
        <v>2</v>
      </c>
      <c r="I3980" s="418">
        <f>TRUNC(D3980*F3980*H3980+E3980*G3980*H3980,2)</f>
        <v>31.96</v>
      </c>
      <c r="J3980" s="295"/>
      <c r="K3980" s="295"/>
      <c r="O3980" s="198"/>
    </row>
    <row r="3981" spans="1:17" x14ac:dyDescent="0.2">
      <c r="A3981" s="199"/>
      <c r="B3981" s="229"/>
      <c r="C3981" s="229"/>
      <c r="D3981" s="199"/>
      <c r="E3981" s="199"/>
      <c r="F3981" s="230" t="s">
        <v>184</v>
      </c>
      <c r="G3981" s="240"/>
      <c r="H3981" s="241"/>
      <c r="I3981" s="438">
        <f>SUM(I3978:I3980)</f>
        <v>59.03</v>
      </c>
      <c r="J3981" s="295"/>
      <c r="K3981" s="295"/>
    </row>
    <row r="3982" spans="1:17" x14ac:dyDescent="0.2">
      <c r="A3982" s="199"/>
      <c r="B3982" s="229"/>
      <c r="C3982" s="229"/>
      <c r="D3982" s="199"/>
      <c r="E3982" s="199"/>
      <c r="F3982" s="199"/>
      <c r="G3982" s="199"/>
      <c r="H3982" s="199"/>
      <c r="I3982" s="439"/>
      <c r="J3982" s="295"/>
      <c r="K3982" s="295"/>
    </row>
    <row r="3983" spans="1:17" x14ac:dyDescent="0.2">
      <c r="A3983" s="242" t="s">
        <v>185</v>
      </c>
      <c r="B3983" s="243" t="s">
        <v>59</v>
      </c>
      <c r="C3983" s="232" t="s">
        <v>357</v>
      </c>
      <c r="D3983" s="243" t="s">
        <v>187</v>
      </c>
      <c r="E3983" s="1111" t="s">
        <v>89</v>
      </c>
      <c r="F3983" s="1112"/>
      <c r="G3983" s="1113"/>
      <c r="H3983" s="1121" t="s">
        <v>183</v>
      </c>
      <c r="I3983" s="1115"/>
      <c r="J3983" s="295"/>
      <c r="K3983" s="295"/>
    </row>
    <row r="3984" spans="1:17" x14ac:dyDescent="0.2">
      <c r="A3984" s="244" t="str">
        <f>VLOOKUP(B3984,m.o.!$A:$H,2,FALSE)</f>
        <v>Encarregado de O.A.C.</v>
      </c>
      <c r="B3984" s="234">
        <v>20060</v>
      </c>
      <c r="C3984" s="239">
        <f>VLOOKUP(B3984,m.o.!$A:$F,4,FALSE)</f>
        <v>2.2599999999999998</v>
      </c>
      <c r="D3984" s="239">
        <f>VLOOKUP(B3984,m.o.!$A:$G,7,FALSE)</f>
        <v>28.31</v>
      </c>
      <c r="E3984" s="255"/>
      <c r="F3984" s="253"/>
      <c r="G3984" s="293">
        <v>1</v>
      </c>
      <c r="H3984" s="240"/>
      <c r="I3984" s="427">
        <f>TRUNC(D3984*G3984,2)</f>
        <v>28.31</v>
      </c>
      <c r="J3984" s="295"/>
      <c r="K3984" s="295"/>
    </row>
    <row r="3985" spans="1:15" x14ac:dyDescent="0.2">
      <c r="A3985" s="244" t="str">
        <f>VLOOKUP(B3985,m.o.!$A:$H,2,FALSE)</f>
        <v>Operário braçal</v>
      </c>
      <c r="B3985" s="234">
        <v>20107</v>
      </c>
      <c r="C3985" s="239">
        <f>VLOOKUP(B3985,m.o.!$A:$F,4,FALSE)</f>
        <v>1.02</v>
      </c>
      <c r="D3985" s="239">
        <f>VLOOKUP(B3985,m.o.!$A:$G,7,FALSE)</f>
        <v>12.77</v>
      </c>
      <c r="E3985" s="255"/>
      <c r="F3985" s="253"/>
      <c r="G3985" s="293">
        <v>10</v>
      </c>
      <c r="H3985" s="240"/>
      <c r="I3985" s="427">
        <f>TRUNC(D3985*G3985,2)</f>
        <v>127.7</v>
      </c>
      <c r="J3985" s="295"/>
      <c r="K3985" s="295"/>
    </row>
    <row r="3986" spans="1:15" x14ac:dyDescent="0.2">
      <c r="A3986" s="244" t="str">
        <f>VLOOKUP(B3986,m.o.!$A:$H,2,FALSE)</f>
        <v>Pedreiro de O.A.C.</v>
      </c>
      <c r="B3986" s="234">
        <v>20109</v>
      </c>
      <c r="C3986" s="239">
        <f>VLOOKUP(B3986,m.o.!$A:$F,4,FALSE)</f>
        <v>1.24</v>
      </c>
      <c r="D3986" s="239">
        <f>VLOOKUP(B3986,m.o.!$A:$G,7,FALSE)</f>
        <v>15.53</v>
      </c>
      <c r="E3986" s="255"/>
      <c r="F3986" s="253"/>
      <c r="G3986" s="293">
        <v>2</v>
      </c>
      <c r="H3986" s="240"/>
      <c r="I3986" s="427">
        <f>TRUNC(D3986*G3986,2)</f>
        <v>31.06</v>
      </c>
      <c r="J3986" s="295"/>
      <c r="K3986" s="295"/>
    </row>
    <row r="3987" spans="1:15" x14ac:dyDescent="0.2">
      <c r="A3987" s="199"/>
      <c r="B3987" s="229"/>
      <c r="C3987" s="229"/>
      <c r="D3987" s="199"/>
      <c r="E3987" s="199"/>
      <c r="F3987" s="230" t="s">
        <v>188</v>
      </c>
      <c r="G3987" s="240"/>
      <c r="H3987" s="241"/>
      <c r="I3987" s="438">
        <f>SUM(I3984:I3986)</f>
        <v>187.07</v>
      </c>
      <c r="J3987" s="295"/>
      <c r="K3987" s="295"/>
      <c r="O3987" s="198"/>
    </row>
    <row r="3988" spans="1:15" x14ac:dyDescent="0.2">
      <c r="A3988" s="199"/>
      <c r="B3988" s="229"/>
      <c r="C3988" s="229"/>
      <c r="D3988" s="199"/>
      <c r="E3988" s="199"/>
      <c r="F3988" s="199"/>
      <c r="G3988" s="199"/>
      <c r="H3988" s="199"/>
      <c r="I3988" s="439"/>
      <c r="J3988" s="295"/>
      <c r="K3988" s="295"/>
      <c r="O3988" s="198"/>
    </row>
    <row r="3989" spans="1:15" x14ac:dyDescent="0.2">
      <c r="A3989" s="245" t="s">
        <v>189</v>
      </c>
      <c r="B3989" s="243" t="s">
        <v>59</v>
      </c>
      <c r="C3989" s="635" t="s">
        <v>17</v>
      </c>
      <c r="D3989" s="243" t="s">
        <v>190</v>
      </c>
      <c r="E3989" s="243" t="s">
        <v>191</v>
      </c>
      <c r="F3989" s="243" t="s">
        <v>192</v>
      </c>
      <c r="G3989" s="1121" t="s">
        <v>94</v>
      </c>
      <c r="H3989" s="1114"/>
      <c r="I3989" s="1115"/>
      <c r="J3989" s="295"/>
      <c r="K3989" s="295"/>
    </row>
    <row r="3990" spans="1:15" x14ac:dyDescent="0.2">
      <c r="A3990" s="244" t="s">
        <v>127</v>
      </c>
      <c r="B3990" s="234">
        <v>2000</v>
      </c>
      <c r="C3990" s="239">
        <v>5</v>
      </c>
      <c r="D3990" s="235" t="s">
        <v>208</v>
      </c>
      <c r="E3990" s="246"/>
      <c r="F3990" s="246"/>
      <c r="G3990" s="240"/>
      <c r="H3990" s="241"/>
      <c r="I3990" s="427">
        <f>TRUNC(C3990/100*I3987,2)</f>
        <v>9.35</v>
      </c>
      <c r="J3990" s="295"/>
      <c r="K3990" s="295"/>
    </row>
    <row r="3991" spans="1:15" x14ac:dyDescent="0.2">
      <c r="A3991" s="199"/>
      <c r="B3991" s="229"/>
      <c r="C3991" s="199"/>
      <c r="D3991" s="199"/>
      <c r="E3991" s="199"/>
      <c r="F3991" s="230" t="s">
        <v>327</v>
      </c>
      <c r="G3991" s="240"/>
      <c r="H3991" s="241"/>
      <c r="I3991" s="438">
        <f>SUM(I3990)</f>
        <v>9.35</v>
      </c>
      <c r="J3991" s="295"/>
      <c r="K3991" s="295"/>
    </row>
    <row r="3992" spans="1:15" x14ac:dyDescent="0.2">
      <c r="A3992" s="199"/>
      <c r="B3992" s="229"/>
      <c r="C3992" s="199"/>
      <c r="D3992" s="199"/>
      <c r="E3992" s="199"/>
      <c r="F3992" s="199"/>
      <c r="G3992" s="199"/>
      <c r="H3992" s="199"/>
      <c r="I3992" s="439"/>
      <c r="J3992" s="295"/>
      <c r="K3992" s="295"/>
    </row>
    <row r="3993" spans="1:15" x14ac:dyDescent="0.2">
      <c r="A3993" s="247"/>
      <c r="B3993" s="248"/>
      <c r="C3993" s="249"/>
      <c r="D3993" s="249"/>
      <c r="E3993" s="249"/>
      <c r="F3993" s="250" t="s">
        <v>193</v>
      </c>
      <c r="G3993" s="401"/>
      <c r="H3993" s="249"/>
      <c r="I3993" s="445">
        <f>+I3981+I3987+I3991</f>
        <v>255.45</v>
      </c>
    </row>
    <row r="3994" spans="1:15" x14ac:dyDescent="0.2">
      <c r="A3994" s="251"/>
      <c r="B3994" s="252"/>
      <c r="C3994" s="253"/>
      <c r="D3994" s="253"/>
      <c r="E3994" s="253"/>
      <c r="F3994" s="254" t="s">
        <v>194</v>
      </c>
      <c r="G3994" s="255"/>
      <c r="H3994" s="253"/>
      <c r="I3994" s="446">
        <v>1.2</v>
      </c>
    </row>
    <row r="3995" spans="1:15" x14ac:dyDescent="0.2">
      <c r="A3995" s="233"/>
      <c r="B3995" s="256"/>
      <c r="C3995" s="241"/>
      <c r="D3995" s="241"/>
      <c r="E3995" s="241"/>
      <c r="F3995" s="257" t="s">
        <v>216</v>
      </c>
      <c r="G3995" s="240"/>
      <c r="H3995" s="241"/>
      <c r="I3995" s="447">
        <f>TRUNC(I3993/I3994,2)</f>
        <v>212.87</v>
      </c>
    </row>
    <row r="3996" spans="1:15" x14ac:dyDescent="0.2">
      <c r="A3996" s="636"/>
      <c r="B3996" s="229"/>
      <c r="C3996" s="199"/>
      <c r="D3996" s="199"/>
      <c r="E3996" s="199"/>
      <c r="F3996" s="258"/>
      <c r="G3996" s="199"/>
      <c r="H3996" s="199"/>
      <c r="I3996" s="450"/>
    </row>
    <row r="3997" spans="1:15" x14ac:dyDescent="0.2">
      <c r="A3997" s="242" t="s">
        <v>195</v>
      </c>
      <c r="B3997" s="243" t="s">
        <v>59</v>
      </c>
      <c r="C3997" s="243" t="s">
        <v>196</v>
      </c>
      <c r="D3997" s="243" t="s">
        <v>217</v>
      </c>
      <c r="E3997" s="1121" t="s">
        <v>89</v>
      </c>
      <c r="F3997" s="1114"/>
      <c r="G3997" s="1115"/>
      <c r="H3997" s="1121" t="s">
        <v>183</v>
      </c>
      <c r="I3997" s="1115"/>
    </row>
    <row r="3998" spans="1:15" ht="22.5" x14ac:dyDescent="0.2">
      <c r="A3998" s="259" t="str">
        <f>VLOOKUP(B3998,mat.!$A:$D,2,FALSE)</f>
        <v>Areia grossa jazida com carregamento mecânico</v>
      </c>
      <c r="B3998" s="234">
        <v>10109</v>
      </c>
      <c r="C3998" s="260" t="str">
        <f>VLOOKUP(B3998,mat.!$A:$D,3,FALSE)</f>
        <v>m3</v>
      </c>
      <c r="D3998" s="261">
        <f>VLOOKUP(B3998,mat.!$A:$D,4,FALSE)</f>
        <v>60</v>
      </c>
      <c r="E3998" s="255"/>
      <c r="F3998" s="253"/>
      <c r="G3998" s="789">
        <v>0.61319999999999997</v>
      </c>
      <c r="H3998" s="255"/>
      <c r="I3998" s="423">
        <f>TRUNC(D3998*G3998,2)</f>
        <v>36.79</v>
      </c>
    </row>
    <row r="3999" spans="1:15" x14ac:dyDescent="0.2">
      <c r="A3999" s="259" t="str">
        <f>VLOOKUP(B3999,mat.!$A:$D,2,FALSE)</f>
        <v>Cimento CP III</v>
      </c>
      <c r="B3999" s="234">
        <v>10092</v>
      </c>
      <c r="C3999" s="260" t="str">
        <f>VLOOKUP(B3999,mat.!$A:$D,3,FALSE)</f>
        <v>kg</v>
      </c>
      <c r="D3999" s="261">
        <f>VLOOKUP(B3999,mat.!$A:$D,4,FALSE)</f>
        <v>0.41</v>
      </c>
      <c r="E3999" s="255"/>
      <c r="F3999" s="253"/>
      <c r="G3999" s="789">
        <v>169.05</v>
      </c>
      <c r="H3999" s="255"/>
      <c r="I3999" s="423">
        <f>TRUNC(D3999*G3999,2)</f>
        <v>69.31</v>
      </c>
    </row>
    <row r="4000" spans="1:15" x14ac:dyDescent="0.2">
      <c r="A4000" s="259" t="str">
        <f>VLOOKUP(B4000,mat.!$A:$D,2,FALSE)</f>
        <v>Pedra britada p/ concreto, sem frete</v>
      </c>
      <c r="B4000" s="234">
        <v>10125</v>
      </c>
      <c r="C4000" s="260" t="str">
        <f>VLOOKUP(B4000,mat.!$A:$D,3,FALSE)</f>
        <v>m3</v>
      </c>
      <c r="D4000" s="261">
        <f>VLOOKUP(B4000,mat.!$A:$D,4,FALSE)</f>
        <v>70.75</v>
      </c>
      <c r="E4000" s="255"/>
      <c r="F4000" s="253"/>
      <c r="G4000" s="789">
        <v>0.95760000000000001</v>
      </c>
      <c r="H4000" s="255"/>
      <c r="I4000" s="423">
        <f>TRUNC(D4000*G4000,2)</f>
        <v>67.75</v>
      </c>
    </row>
    <row r="4001" spans="1:17" x14ac:dyDescent="0.2">
      <c r="A4001" s="199"/>
      <c r="B4001" s="229"/>
      <c r="C4001" s="199"/>
      <c r="D4001" s="199"/>
      <c r="E4001" s="199"/>
      <c r="F4001" s="230" t="s">
        <v>197</v>
      </c>
      <c r="G4001" s="240"/>
      <c r="H4001" s="241"/>
      <c r="I4001" s="438">
        <f>SUM(I3998:I4000)</f>
        <v>173.85</v>
      </c>
    </row>
    <row r="4002" spans="1:17" x14ac:dyDescent="0.2">
      <c r="A4002" s="199"/>
      <c r="B4002" s="229"/>
      <c r="C4002" s="199"/>
      <c r="D4002" s="199"/>
      <c r="E4002" s="199"/>
      <c r="F4002" s="199"/>
      <c r="G4002" s="262"/>
      <c r="H4002" s="199"/>
      <c r="I4002" s="439"/>
    </row>
    <row r="4003" spans="1:17" x14ac:dyDescent="0.2">
      <c r="A4003" s="263" t="s">
        <v>198</v>
      </c>
      <c r="B4003" s="243" t="s">
        <v>59</v>
      </c>
      <c r="C4003" s="243" t="s">
        <v>196</v>
      </c>
      <c r="D4003" s="635" t="s">
        <v>217</v>
      </c>
      <c r="E4003" s="1111" t="s">
        <v>89</v>
      </c>
      <c r="F4003" s="1112"/>
      <c r="G4003" s="1113"/>
      <c r="H4003" s="1114" t="s">
        <v>183</v>
      </c>
      <c r="I4003" s="1115"/>
      <c r="J4003" s="415"/>
      <c r="K4003" s="415"/>
      <c r="L4003" s="198"/>
      <c r="M4003" s="198"/>
    </row>
    <row r="4004" spans="1:17" x14ac:dyDescent="0.2">
      <c r="A4004" s="416"/>
      <c r="B4004" s="417"/>
      <c r="C4004" s="417"/>
      <c r="D4004" s="418"/>
      <c r="E4004" s="419"/>
      <c r="F4004" s="420"/>
      <c r="G4004" s="421"/>
      <c r="H4004" s="422"/>
      <c r="I4004" s="423"/>
    </row>
    <row r="4005" spans="1:17" x14ac:dyDescent="0.2">
      <c r="A4005" s="200"/>
      <c r="B4005" s="264"/>
      <c r="C4005" s="200"/>
      <c r="D4005" s="200"/>
      <c r="E4005" s="200"/>
      <c r="F4005" s="265" t="s">
        <v>199</v>
      </c>
      <c r="G4005" s="255"/>
      <c r="H4005" s="266"/>
      <c r="I4005" s="441">
        <f>SUM(I4004:I4004)</f>
        <v>0</v>
      </c>
    </row>
    <row r="4006" spans="1:17" ht="24" customHeight="1" x14ac:dyDescent="0.2">
      <c r="A4006" s="200"/>
      <c r="B4006" s="264"/>
      <c r="C4006" s="200"/>
      <c r="D4006" s="200"/>
      <c r="E4006" s="200"/>
      <c r="F4006" s="200"/>
      <c r="G4006" s="200"/>
      <c r="H4006" s="200"/>
      <c r="I4006" s="440"/>
    </row>
    <row r="4007" spans="1:17" x14ac:dyDescent="0.2">
      <c r="A4007" s="267" t="s">
        <v>200</v>
      </c>
      <c r="B4007" s="268" t="s">
        <v>59</v>
      </c>
      <c r="C4007" s="268" t="s">
        <v>196</v>
      </c>
      <c r="D4007" s="268" t="s">
        <v>201</v>
      </c>
      <c r="E4007" s="268" t="s">
        <v>202</v>
      </c>
      <c r="F4007" s="268" t="s">
        <v>203</v>
      </c>
      <c r="G4007" s="268" t="s">
        <v>94</v>
      </c>
      <c r="H4007" s="268" t="s">
        <v>89</v>
      </c>
      <c r="I4007" s="442" t="s">
        <v>204</v>
      </c>
    </row>
    <row r="4008" spans="1:17" ht="22.5" customHeight="1" x14ac:dyDescent="0.2">
      <c r="A4008" s="259" t="str">
        <f>VLOOKUP(B4008,transp.!A:D,2,FALSE)</f>
        <v>Transp. de Areia grossa jazida c/ carreg.mecânico</v>
      </c>
      <c r="B4008" s="234">
        <v>1026</v>
      </c>
      <c r="C4008" s="234" t="str">
        <f>VLOOKUP(B4008,transp.!$A:$J,3,FALSE)</f>
        <v xml:space="preserve"> t  </v>
      </c>
      <c r="D4008" s="269" t="str">
        <f>VLOOKUP(B4008,transp.!$A:$J,4,FALSE)</f>
        <v>0,719XP + 0,749XR + 2,997</v>
      </c>
      <c r="E4008" s="455">
        <f>VLOOKUP(J4008,Dis!$B:$F,4,FALSE)</f>
        <v>29.1</v>
      </c>
      <c r="F4008" s="455">
        <f>VLOOKUP(J4008,Dis!$B:$F,5,FALSE)</f>
        <v>5.5</v>
      </c>
      <c r="G4008" s="239">
        <f>TRUNC(VLOOKUP(B4008,transp.!$A:$J,5,FALSE)*E4008+VLOOKUP(B4008,transp.!$A:$J,6,FALSE)*F4008+VLOOKUP(B4008,transp.!$A:$J,7,FALSE),2)</f>
        <v>28.03</v>
      </c>
      <c r="H4008" s="271">
        <v>0.91979999999999995</v>
      </c>
      <c r="I4008" s="418">
        <f>TRUNC(G4008*H4008,2)</f>
        <v>25.78</v>
      </c>
      <c r="J4008" s="400" t="s">
        <v>113</v>
      </c>
    </row>
    <row r="4009" spans="1:17" x14ac:dyDescent="0.2">
      <c r="A4009" s="259" t="str">
        <f>VLOOKUP(B4009,transp.!A:D,2,FALSE)</f>
        <v>Transp. de Cimento</v>
      </c>
      <c r="B4009" s="234">
        <v>1153</v>
      </c>
      <c r="C4009" s="234" t="str">
        <f>VLOOKUP(B4009,transp.!$A:$J,3,FALSE)</f>
        <v xml:space="preserve"> t  </v>
      </c>
      <c r="D4009" s="269" t="str">
        <f>VLOOKUP(B4009,transp.!$A:$J,4,FALSE)</f>
        <v>0,716XP + 0,745XR</v>
      </c>
      <c r="E4009" s="455">
        <f>VLOOKUP(J4009,Dis!$B:$F,4,FALSE)</f>
        <v>37</v>
      </c>
      <c r="F4009" s="455">
        <f>VLOOKUP(J4009,Dis!$B:$F,5,FALSE)</f>
        <v>4.83</v>
      </c>
      <c r="G4009" s="239">
        <f>TRUNC(VLOOKUP(B4009,transp.!$A:$J,5,FALSE)*E4009+VLOOKUP(B4009,transp.!$A:$J,6,FALSE)*F4009+VLOOKUP(B4009,transp.!$A:$J,7,FALSE),2)</f>
        <v>30.09</v>
      </c>
      <c r="H4009" s="271">
        <v>0.1691</v>
      </c>
      <c r="I4009" s="418">
        <f>TRUNC(G4009*H4009,2)</f>
        <v>5.08</v>
      </c>
      <c r="J4009" s="400" t="s">
        <v>159</v>
      </c>
    </row>
    <row r="4010" spans="1:17" ht="22.5" x14ac:dyDescent="0.2">
      <c r="A4010" s="259" t="str">
        <f>VLOOKUP(B4010,transp.!A:D,2,FALSE)</f>
        <v>Transp. de Pedra britada p/ concreto</v>
      </c>
      <c r="B4010" s="234">
        <v>1162</v>
      </c>
      <c r="C4010" s="234" t="str">
        <f>VLOOKUP(B4010,transp.!$A:$J,3,FALSE)</f>
        <v xml:space="preserve"> t  </v>
      </c>
      <c r="D4010" s="269" t="str">
        <f>VLOOKUP(B4010,transp.!$A:$J,4,FALSE)</f>
        <v>0,719XP + 0,749XR + 2,997</v>
      </c>
      <c r="E4010" s="455">
        <f>VLOOKUP(J4010,Dis!$B:$F,4,FALSE)</f>
        <v>12.5</v>
      </c>
      <c r="F4010" s="455">
        <f>VLOOKUP(J4010,Dis!$B:$F,5,FALSE)</f>
        <v>0</v>
      </c>
      <c r="G4010" s="239">
        <f>TRUNC(VLOOKUP(B4010,transp.!$A:$J,5,FALSE)*E4010+VLOOKUP(B4010,transp.!$A:$J,6,FALSE)*F4010+VLOOKUP(B4010,transp.!$A:$J,7,FALSE),2)</f>
        <v>11.98</v>
      </c>
      <c r="H4010" s="271">
        <v>1.4363999999999999</v>
      </c>
      <c r="I4010" s="418">
        <f>TRUNC(G4010*H4010,2)</f>
        <v>17.2</v>
      </c>
      <c r="J4010" s="400" t="s">
        <v>111</v>
      </c>
    </row>
    <row r="4011" spans="1:17" x14ac:dyDescent="0.2">
      <c r="A4011" s="200"/>
      <c r="B4011" s="264"/>
      <c r="C4011" s="200"/>
      <c r="D4011" s="200"/>
      <c r="E4011" s="200"/>
      <c r="F4011" s="265" t="s">
        <v>205</v>
      </c>
      <c r="G4011" s="240"/>
      <c r="H4011" s="272"/>
      <c r="I4011" s="443">
        <f>SUM(I4008:I4010)</f>
        <v>48.06</v>
      </c>
    </row>
    <row r="4012" spans="1:17" x14ac:dyDescent="0.2">
      <c r="A4012" s="200"/>
      <c r="B4012" s="264"/>
      <c r="C4012" s="200"/>
      <c r="D4012" s="200"/>
      <c r="E4012" s="200"/>
      <c r="F4012" s="200"/>
      <c r="G4012" s="200"/>
      <c r="H4012" s="200"/>
      <c r="I4012" s="444"/>
      <c r="J4012" s="410"/>
    </row>
    <row r="4013" spans="1:17" x14ac:dyDescent="0.2">
      <c r="A4013" s="273"/>
      <c r="B4013" s="274"/>
      <c r="C4013" s="275"/>
      <c r="D4013" s="275"/>
      <c r="E4013" s="275"/>
      <c r="F4013" s="276" t="s">
        <v>206</v>
      </c>
      <c r="G4013" s="273"/>
      <c r="H4013" s="249"/>
      <c r="I4013" s="445">
        <f>+I3995+I4001+I4005+I4011</f>
        <v>434.78</v>
      </c>
    </row>
    <row r="4014" spans="1:17" x14ac:dyDescent="0.2">
      <c r="A4014" s="255"/>
      <c r="B4014" s="277"/>
      <c r="C4014" s="266"/>
      <c r="D4014" s="266"/>
      <c r="E4014" s="266"/>
      <c r="F4014" s="278" t="str">
        <f>CONCATENATE($H$3," ",$I$3)</f>
        <v>BDI: 23,32</v>
      </c>
      <c r="G4014" s="403"/>
      <c r="H4014" s="253"/>
      <c r="I4014" s="446">
        <f>+ROUND(I4013*$I$4,2)</f>
        <v>101.39</v>
      </c>
      <c r="J4014" s="410"/>
    </row>
    <row r="4015" spans="1:17" s="198" customFormat="1" x14ac:dyDescent="0.2">
      <c r="A4015" s="240"/>
      <c r="B4015" s="279"/>
      <c r="C4015" s="272"/>
      <c r="D4015" s="272"/>
      <c r="E4015" s="272"/>
      <c r="F4015" s="280" t="s">
        <v>207</v>
      </c>
      <c r="G4015" s="404"/>
      <c r="H4015" s="241"/>
      <c r="I4015" s="720">
        <f>+I4013+I4014</f>
        <v>536.16999999999996</v>
      </c>
      <c r="J4015" s="400"/>
      <c r="K4015" s="400"/>
      <c r="L4015" s="295"/>
      <c r="M4015" s="295"/>
      <c r="N4015" s="295"/>
      <c r="O4015" s="295"/>
      <c r="P4015" s="295"/>
      <c r="Q4015" s="295"/>
    </row>
    <row r="4016" spans="1:17" x14ac:dyDescent="0.2">
      <c r="A4016" s="1124" t="str">
        <f>$A$1</f>
        <v>COMPOSIÇÃO DE CUSTOS UNITÁRIOS</v>
      </c>
      <c r="B4016" s="1124"/>
      <c r="C4016" s="1124"/>
      <c r="D4016" s="1124"/>
      <c r="E4016" s="1124"/>
      <c r="F4016" s="1124"/>
      <c r="G4016" s="1124"/>
      <c r="H4016" s="1124"/>
      <c r="I4016" s="1124"/>
      <c r="J4016" s="415"/>
      <c r="K4016" s="415"/>
      <c r="L4016" s="198"/>
      <c r="M4016" s="198"/>
      <c r="N4016" s="198"/>
      <c r="O4016" s="198"/>
      <c r="P4016" s="198"/>
      <c r="Q4016" s="198"/>
    </row>
    <row r="4017" spans="1:15" s="198" customFormat="1" x14ac:dyDescent="0.2">
      <c r="A4017" s="411" t="str">
        <f>$A$2</f>
        <v>Tabela Referencial de Preços - DER-ES</v>
      </c>
      <c r="B4017" s="412"/>
      <c r="C4017" s="413"/>
      <c r="D4017" s="413"/>
      <c r="E4017" s="413"/>
      <c r="F4017" s="413"/>
      <c r="G4017" s="413"/>
      <c r="H4017" s="413"/>
      <c r="I4017" s="414" t="str">
        <f>$I$2</f>
        <v>Data Base: novembro/2020</v>
      </c>
      <c r="J4017" s="415">
        <v>40328</v>
      </c>
      <c r="K4017" s="415">
        <f>VLOOKUP("Preço Unitário Total",F4019:I4057,4,FALSE)</f>
        <v>134.55000000000001</v>
      </c>
      <c r="L4017" s="198" t="str">
        <f>VLOOKUP(J4017,'DER 11-20'!A:E,5,FALSE)</f>
        <v>A incluir</v>
      </c>
      <c r="M4017" s="198" t="str">
        <f>VLOOKUP(J4017,'DER 11-20'!$A:$D,2,FALSE)</f>
        <v>Escoramento e cimbramento (bueiro celular), inclusive fornecimento e transportes das madeiras</v>
      </c>
    </row>
    <row r="4018" spans="1:15" s="198" customFormat="1" x14ac:dyDescent="0.2">
      <c r="A4018" s="1119" t="str">
        <f>+CONCATENATE("Serviço: ",J4017," ",VLOOKUP(J4017,'DER 11-20'!$A:$D,2,FALSE))</f>
        <v>Serviço: 40328 Escoramento e cimbramento (bueiro celular), inclusive fornecimento e transportes das madeiras</v>
      </c>
      <c r="B4018" s="1119"/>
      <c r="C4018" s="1119"/>
      <c r="D4018" s="1119"/>
      <c r="E4018" s="1119"/>
      <c r="F4018" s="1119"/>
      <c r="G4018" s="1119"/>
      <c r="H4018" s="1119"/>
      <c r="I4018" s="1119" t="str">
        <f>CONCATENATE("Unidade: ", VLOOKUP(J4017,'DER 11-20'!$A:$E,3,FALSE))</f>
        <v>Unidade: M3</v>
      </c>
      <c r="J4018" s="415"/>
      <c r="K4018" s="415"/>
    </row>
    <row r="4019" spans="1:15" x14ac:dyDescent="0.2">
      <c r="A4019" s="1120"/>
      <c r="B4019" s="1120"/>
      <c r="C4019" s="1120"/>
      <c r="D4019" s="1120"/>
      <c r="E4019" s="1120"/>
      <c r="F4019" s="1120"/>
      <c r="G4019" s="1120"/>
      <c r="H4019" s="1120"/>
      <c r="I4019" s="1120"/>
    </row>
    <row r="4020" spans="1:15" ht="22.5" x14ac:dyDescent="0.2">
      <c r="A4020" s="231" t="s">
        <v>177</v>
      </c>
      <c r="B4020" s="232" t="s">
        <v>59</v>
      </c>
      <c r="C4020" s="232" t="s">
        <v>178</v>
      </c>
      <c r="D4020" s="232" t="s">
        <v>179</v>
      </c>
      <c r="E4020" s="232" t="s">
        <v>180</v>
      </c>
      <c r="F4020" s="232" t="s">
        <v>181</v>
      </c>
      <c r="G4020" s="232" t="s">
        <v>182</v>
      </c>
      <c r="H4020" s="232" t="s">
        <v>89</v>
      </c>
      <c r="I4020" s="434" t="s">
        <v>183</v>
      </c>
      <c r="J4020" s="295"/>
      <c r="K4020" s="295"/>
    </row>
    <row r="4021" spans="1:15" x14ac:dyDescent="0.2">
      <c r="A4021" s="233" t="str">
        <f>VLOOKUP(B4021,equip.!$A:$G,2,FALSE)</f>
        <v>Serra circular (WEG) ou equivalente</v>
      </c>
      <c r="B4021" s="234">
        <v>30073</v>
      </c>
      <c r="C4021" s="235" t="str">
        <f>VLOOKUP(B4021,equip.!$A$1:$G$239,3,FALSE)</f>
        <v>M</v>
      </c>
      <c r="D4021" s="236">
        <v>0.5</v>
      </c>
      <c r="E4021" s="203">
        <v>0.5</v>
      </c>
      <c r="F4021" s="237">
        <f>VLOOKUP(B4021,equip.!$A:$G,6,FALSE)</f>
        <v>19.45</v>
      </c>
      <c r="G4021" s="237">
        <f>VLOOKUP(B4021,equip.!$A:$G,7,FALSE)</f>
        <v>16.010000000000002</v>
      </c>
      <c r="H4021" s="238">
        <v>1</v>
      </c>
      <c r="I4021" s="418">
        <f>TRUNC(D4021*F4021*H4021+E4021*G4021*H4021,2)</f>
        <v>17.73</v>
      </c>
      <c r="J4021" s="295"/>
      <c r="K4021" s="295"/>
    </row>
    <row r="4022" spans="1:15" x14ac:dyDescent="0.2">
      <c r="A4022" s="199"/>
      <c r="B4022" s="229"/>
      <c r="C4022" s="229"/>
      <c r="D4022" s="199"/>
      <c r="E4022" s="199"/>
      <c r="F4022" s="230" t="s">
        <v>184</v>
      </c>
      <c r="G4022" s="240"/>
      <c r="H4022" s="241"/>
      <c r="I4022" s="438">
        <f>SUM(I4021:I4021)</f>
        <v>17.73</v>
      </c>
      <c r="J4022" s="295"/>
      <c r="K4022" s="295"/>
    </row>
    <row r="4023" spans="1:15" x14ac:dyDescent="0.2">
      <c r="A4023" s="199"/>
      <c r="B4023" s="229"/>
      <c r="C4023" s="229"/>
      <c r="D4023" s="199"/>
      <c r="E4023" s="199"/>
      <c r="F4023" s="199"/>
      <c r="G4023" s="199"/>
      <c r="H4023" s="199"/>
      <c r="I4023" s="439"/>
      <c r="J4023" s="295"/>
      <c r="K4023" s="295"/>
    </row>
    <row r="4024" spans="1:15" x14ac:dyDescent="0.2">
      <c r="A4024" s="242" t="s">
        <v>185</v>
      </c>
      <c r="B4024" s="243" t="s">
        <v>59</v>
      </c>
      <c r="C4024" s="232" t="s">
        <v>357</v>
      </c>
      <c r="D4024" s="243" t="s">
        <v>187</v>
      </c>
      <c r="E4024" s="1111" t="s">
        <v>89</v>
      </c>
      <c r="F4024" s="1112"/>
      <c r="G4024" s="1113"/>
      <c r="H4024" s="1121" t="s">
        <v>183</v>
      </c>
      <c r="I4024" s="1115"/>
      <c r="J4024" s="295"/>
      <c r="K4024" s="295"/>
    </row>
    <row r="4025" spans="1:15" x14ac:dyDescent="0.2">
      <c r="A4025" s="244" t="str">
        <f>VLOOKUP(B4025,m.o.!$A:$H,2,FALSE)</f>
        <v>Ajudante de carpinteiro</v>
      </c>
      <c r="B4025" s="234">
        <v>20039</v>
      </c>
      <c r="C4025" s="239">
        <f>VLOOKUP(B4025,m.o.!$A:$F,4,FALSE)</f>
        <v>1.01</v>
      </c>
      <c r="D4025" s="239">
        <f>VLOOKUP(B4025,m.o.!$A:$G,7,FALSE)</f>
        <v>12.65</v>
      </c>
      <c r="E4025" s="255"/>
      <c r="F4025" s="253"/>
      <c r="G4025" s="293">
        <v>2</v>
      </c>
      <c r="H4025" s="240"/>
      <c r="I4025" s="427">
        <f>TRUNC(D4025*G4025,2)</f>
        <v>25.3</v>
      </c>
      <c r="J4025" s="295"/>
      <c r="K4025" s="295"/>
    </row>
    <row r="4026" spans="1:15" x14ac:dyDescent="0.2">
      <c r="A4026" s="244" t="str">
        <f>VLOOKUP(B4026,m.o.!$A:$H,2,FALSE)</f>
        <v>Carpinteiro de O.A.E.</v>
      </c>
      <c r="B4026" s="234">
        <v>20040</v>
      </c>
      <c r="C4026" s="239">
        <f>VLOOKUP(B4026,m.o.!$A:$F,4,FALSE)</f>
        <v>1.65</v>
      </c>
      <c r="D4026" s="239">
        <f>VLOOKUP(B4026,m.o.!$A:$G,7,FALSE)</f>
        <v>20.66</v>
      </c>
      <c r="E4026" s="255"/>
      <c r="F4026" s="253"/>
      <c r="G4026" s="293">
        <v>1</v>
      </c>
      <c r="H4026" s="240"/>
      <c r="I4026" s="427">
        <f>TRUNC(D4026*G4026,2)</f>
        <v>20.66</v>
      </c>
      <c r="J4026" s="295"/>
      <c r="K4026" s="295"/>
    </row>
    <row r="4027" spans="1:15" x14ac:dyDescent="0.2">
      <c r="A4027" s="244" t="str">
        <f>VLOOKUP(B4027,m.o.!$A:$H,2,FALSE)</f>
        <v>Encarregado O.A.E.</v>
      </c>
      <c r="B4027" s="234">
        <v>20062</v>
      </c>
      <c r="C4027" s="239">
        <f>VLOOKUP(B4027,m.o.!$A:$F,4,FALSE)</f>
        <v>2.2599999999999998</v>
      </c>
      <c r="D4027" s="239">
        <f>VLOOKUP(B4027,m.o.!$A:$G,7,FALSE)</f>
        <v>28.31</v>
      </c>
      <c r="E4027" s="255"/>
      <c r="F4027" s="253"/>
      <c r="G4027" s="293">
        <v>0.1</v>
      </c>
      <c r="H4027" s="240"/>
      <c r="I4027" s="427">
        <f>TRUNC(D4027*G4027,2)</f>
        <v>2.83</v>
      </c>
      <c r="J4027" s="295"/>
      <c r="K4027" s="295"/>
    </row>
    <row r="4028" spans="1:15" x14ac:dyDescent="0.2">
      <c r="A4028" s="199"/>
      <c r="B4028" s="229"/>
      <c r="C4028" s="229"/>
      <c r="D4028" s="199"/>
      <c r="E4028" s="199"/>
      <c r="F4028" s="230" t="s">
        <v>188</v>
      </c>
      <c r="G4028" s="240"/>
      <c r="H4028" s="241"/>
      <c r="I4028" s="438">
        <f>SUM(I4025:I4027)</f>
        <v>48.79</v>
      </c>
      <c r="J4028" s="295"/>
      <c r="K4028" s="295"/>
      <c r="O4028" s="198"/>
    </row>
    <row r="4029" spans="1:15" x14ac:dyDescent="0.2">
      <c r="A4029" s="199"/>
      <c r="B4029" s="229"/>
      <c r="C4029" s="229"/>
      <c r="D4029" s="199"/>
      <c r="E4029" s="199"/>
      <c r="F4029" s="199"/>
      <c r="G4029" s="199"/>
      <c r="H4029" s="199"/>
      <c r="I4029" s="439"/>
      <c r="J4029" s="295"/>
      <c r="K4029" s="295"/>
      <c r="O4029" s="198"/>
    </row>
    <row r="4030" spans="1:15" x14ac:dyDescent="0.2">
      <c r="A4030" s="245" t="s">
        <v>189</v>
      </c>
      <c r="B4030" s="243" t="s">
        <v>59</v>
      </c>
      <c r="C4030" s="821" t="s">
        <v>17</v>
      </c>
      <c r="D4030" s="243" t="s">
        <v>190</v>
      </c>
      <c r="E4030" s="243" t="s">
        <v>191</v>
      </c>
      <c r="F4030" s="243" t="s">
        <v>192</v>
      </c>
      <c r="G4030" s="1121" t="s">
        <v>94</v>
      </c>
      <c r="H4030" s="1114"/>
      <c r="I4030" s="1115"/>
      <c r="J4030" s="295"/>
      <c r="K4030" s="295"/>
    </row>
    <row r="4031" spans="1:15" x14ac:dyDescent="0.2">
      <c r="A4031" s="244" t="s">
        <v>127</v>
      </c>
      <c r="B4031" s="234">
        <v>2000</v>
      </c>
      <c r="C4031" s="239">
        <v>5</v>
      </c>
      <c r="D4031" s="235" t="s">
        <v>208</v>
      </c>
      <c r="E4031" s="246"/>
      <c r="F4031" s="246"/>
      <c r="G4031" s="240"/>
      <c r="H4031" s="241"/>
      <c r="I4031" s="427">
        <f>TRUNC(C4031/100*I4028,2)</f>
        <v>2.4300000000000002</v>
      </c>
      <c r="J4031" s="295"/>
      <c r="K4031" s="295"/>
    </row>
    <row r="4032" spans="1:15" x14ac:dyDescent="0.2">
      <c r="A4032" s="199"/>
      <c r="B4032" s="229"/>
      <c r="C4032" s="199"/>
      <c r="D4032" s="199"/>
      <c r="E4032" s="199"/>
      <c r="F4032" s="230" t="s">
        <v>327</v>
      </c>
      <c r="G4032" s="240"/>
      <c r="H4032" s="241"/>
      <c r="I4032" s="438">
        <f>SUM(I4031)</f>
        <v>2.4300000000000002</v>
      </c>
      <c r="J4032" s="295"/>
      <c r="K4032" s="295"/>
    </row>
    <row r="4033" spans="1:13" x14ac:dyDescent="0.2">
      <c r="A4033" s="199"/>
      <c r="B4033" s="229"/>
      <c r="C4033" s="199"/>
      <c r="D4033" s="199"/>
      <c r="E4033" s="199"/>
      <c r="F4033" s="199"/>
      <c r="G4033" s="199"/>
      <c r="H4033" s="199"/>
      <c r="I4033" s="439"/>
      <c r="J4033" s="295"/>
      <c r="K4033" s="295"/>
    </row>
    <row r="4034" spans="1:13" x14ac:dyDescent="0.2">
      <c r="A4034" s="247"/>
      <c r="B4034" s="248"/>
      <c r="C4034" s="249"/>
      <c r="D4034" s="249"/>
      <c r="E4034" s="249"/>
      <c r="F4034" s="250" t="s">
        <v>193</v>
      </c>
      <c r="G4034" s="401"/>
      <c r="H4034" s="249"/>
      <c r="I4034" s="445">
        <f>+I4022+I4028+I4032</f>
        <v>68.95</v>
      </c>
    </row>
    <row r="4035" spans="1:13" x14ac:dyDescent="0.2">
      <c r="A4035" s="251"/>
      <c r="B4035" s="252"/>
      <c r="C4035" s="253"/>
      <c r="D4035" s="253"/>
      <c r="E4035" s="253"/>
      <c r="F4035" s="254" t="s">
        <v>194</v>
      </c>
      <c r="G4035" s="255"/>
      <c r="H4035" s="253"/>
      <c r="I4035" s="446">
        <v>1</v>
      </c>
    </row>
    <row r="4036" spans="1:13" x14ac:dyDescent="0.2">
      <c r="A4036" s="233"/>
      <c r="B4036" s="256"/>
      <c r="C4036" s="241"/>
      <c r="D4036" s="241"/>
      <c r="E4036" s="241"/>
      <c r="F4036" s="257" t="s">
        <v>216</v>
      </c>
      <c r="G4036" s="240"/>
      <c r="H4036" s="241"/>
      <c r="I4036" s="447">
        <f>TRUNC(I4034/I4035,2)</f>
        <v>68.95</v>
      </c>
    </row>
    <row r="4037" spans="1:13" x14ac:dyDescent="0.2">
      <c r="A4037" s="822"/>
      <c r="B4037" s="229"/>
      <c r="C4037" s="199"/>
      <c r="D4037" s="199"/>
      <c r="E4037" s="199"/>
      <c r="F4037" s="258"/>
      <c r="G4037" s="199"/>
      <c r="H4037" s="199"/>
      <c r="I4037" s="450"/>
    </row>
    <row r="4038" spans="1:13" x14ac:dyDescent="0.2">
      <c r="A4038" s="242" t="s">
        <v>195</v>
      </c>
      <c r="B4038" s="243" t="s">
        <v>59</v>
      </c>
      <c r="C4038" s="243" t="s">
        <v>196</v>
      </c>
      <c r="D4038" s="243" t="s">
        <v>217</v>
      </c>
      <c r="E4038" s="1121" t="s">
        <v>89</v>
      </c>
      <c r="F4038" s="1114"/>
      <c r="G4038" s="1115"/>
      <c r="H4038" s="1121" t="s">
        <v>183</v>
      </c>
      <c r="I4038" s="1115"/>
    </row>
    <row r="4039" spans="1:13" ht="22.5" x14ac:dyDescent="0.2">
      <c r="A4039" s="259" t="str">
        <f>VLOOKUP(B4039,mat.!$A:$D,2,FALSE)</f>
        <v>Escoras de eucalipto (4,00m - D=0,10m)</v>
      </c>
      <c r="B4039" s="234">
        <v>10073</v>
      </c>
      <c r="C4039" s="260" t="str">
        <f>VLOOKUP(B4039,mat.!$A:$D,3,FALSE)</f>
        <v>DZ</v>
      </c>
      <c r="D4039" s="261">
        <f>VLOOKUP(B4039,mat.!$A:$D,4,FALSE)</f>
        <v>79.599999999999994</v>
      </c>
      <c r="E4039" s="255"/>
      <c r="F4039" s="253"/>
      <c r="G4039" s="789">
        <v>8.3299999999999999E-2</v>
      </c>
      <c r="H4039" s="255"/>
      <c r="I4039" s="423">
        <f>TRUNC(D4039*G4039,2)</f>
        <v>6.63</v>
      </c>
    </row>
    <row r="4040" spans="1:13" x14ac:dyDescent="0.2">
      <c r="A4040" s="259" t="str">
        <f>VLOOKUP(B4040,mat.!$A:$D,2,FALSE)</f>
        <v>Prego 18 X 24</v>
      </c>
      <c r="B4040" s="234">
        <v>10135</v>
      </c>
      <c r="C4040" s="260" t="str">
        <f>VLOOKUP(B4040,mat.!$A:$D,3,FALSE)</f>
        <v>kg</v>
      </c>
      <c r="D4040" s="261">
        <f>VLOOKUP(B4040,mat.!$A:$D,4,FALSE)</f>
        <v>15.85</v>
      </c>
      <c r="E4040" s="255"/>
      <c r="F4040" s="253"/>
      <c r="G4040" s="789">
        <v>0.2</v>
      </c>
      <c r="H4040" s="255"/>
      <c r="I4040" s="423">
        <f>TRUNC(D4040*G4040,2)</f>
        <v>3.17</v>
      </c>
    </row>
    <row r="4041" spans="1:13" x14ac:dyDescent="0.2">
      <c r="A4041" s="259" t="str">
        <f>VLOOKUP(B4041,mat.!$A:$D,2,FALSE)</f>
        <v>Sarrafo 10 X 2,5 cm</v>
      </c>
      <c r="B4041" s="234">
        <v>10067</v>
      </c>
      <c r="C4041" s="260" t="str">
        <f>VLOOKUP(B4041,mat.!$A:$D,3,FALSE)</f>
        <v>M3</v>
      </c>
      <c r="D4041" s="261">
        <f>VLOOKUP(B4041,mat.!$A:$D,4,FALSE)</f>
        <v>1354.54</v>
      </c>
      <c r="E4041" s="255"/>
      <c r="F4041" s="253"/>
      <c r="G4041" s="789">
        <v>1.0999999999999999E-2</v>
      </c>
      <c r="H4041" s="255"/>
      <c r="I4041" s="423">
        <f>TRUNC(D4041*G4041,2)</f>
        <v>14.89</v>
      </c>
    </row>
    <row r="4042" spans="1:13" x14ac:dyDescent="0.2">
      <c r="A4042" s="259" t="str">
        <f>VLOOKUP(B4042,mat.!$A:$D,2,FALSE)</f>
        <v>Taipá de 1ª com 2,5 cm</v>
      </c>
      <c r="B4042" s="234">
        <v>10057</v>
      </c>
      <c r="C4042" s="260" t="str">
        <f>VLOOKUP(B4042,mat.!$A:$D,3,FALSE)</f>
        <v>m3</v>
      </c>
      <c r="D4042" s="261">
        <f>VLOOKUP(B4042,mat.!$A:$D,4,FALSE)</f>
        <v>1301.2</v>
      </c>
      <c r="E4042" s="255"/>
      <c r="F4042" s="253"/>
      <c r="G4042" s="789">
        <v>1.0999999999999999E-2</v>
      </c>
      <c r="H4042" s="255"/>
      <c r="I4042" s="423">
        <f>TRUNC(D4042*G4042,2)</f>
        <v>14.31</v>
      </c>
    </row>
    <row r="4043" spans="1:13" x14ac:dyDescent="0.2">
      <c r="A4043" s="199"/>
      <c r="B4043" s="229"/>
      <c r="C4043" s="199"/>
      <c r="D4043" s="199"/>
      <c r="E4043" s="199"/>
      <c r="F4043" s="230" t="s">
        <v>197</v>
      </c>
      <c r="G4043" s="240"/>
      <c r="H4043" s="241"/>
      <c r="I4043" s="438">
        <f>SUM(I4039:I4042)</f>
        <v>39</v>
      </c>
    </row>
    <row r="4044" spans="1:13" x14ac:dyDescent="0.2">
      <c r="A4044" s="199"/>
      <c r="B4044" s="229"/>
      <c r="C4044" s="199"/>
      <c r="D4044" s="199"/>
      <c r="E4044" s="199"/>
      <c r="F4044" s="199"/>
      <c r="G4044" s="262"/>
      <c r="H4044" s="199"/>
      <c r="I4044" s="439"/>
    </row>
    <row r="4045" spans="1:13" x14ac:dyDescent="0.2">
      <c r="A4045" s="263" t="s">
        <v>198</v>
      </c>
      <c r="B4045" s="243" t="s">
        <v>59</v>
      </c>
      <c r="C4045" s="243" t="s">
        <v>196</v>
      </c>
      <c r="D4045" s="821" t="s">
        <v>217</v>
      </c>
      <c r="E4045" s="1111" t="s">
        <v>89</v>
      </c>
      <c r="F4045" s="1112"/>
      <c r="G4045" s="1113"/>
      <c r="H4045" s="1114" t="s">
        <v>183</v>
      </c>
      <c r="I4045" s="1115"/>
      <c r="J4045" s="415"/>
      <c r="K4045" s="415"/>
      <c r="L4045" s="198"/>
      <c r="M4045" s="198"/>
    </row>
    <row r="4046" spans="1:13" x14ac:dyDescent="0.2">
      <c r="A4046" s="416"/>
      <c r="B4046" s="417"/>
      <c r="C4046" s="417"/>
      <c r="D4046" s="418"/>
      <c r="E4046" s="419"/>
      <c r="F4046" s="420"/>
      <c r="G4046" s="421"/>
      <c r="H4046" s="422"/>
      <c r="I4046" s="423"/>
    </row>
    <row r="4047" spans="1:13" x14ac:dyDescent="0.2">
      <c r="A4047" s="200"/>
      <c r="B4047" s="264"/>
      <c r="C4047" s="200"/>
      <c r="D4047" s="200"/>
      <c r="E4047" s="200"/>
      <c r="F4047" s="265" t="s">
        <v>199</v>
      </c>
      <c r="G4047" s="255"/>
      <c r="H4047" s="266"/>
      <c r="I4047" s="441">
        <f>SUM(I4046:I4046)</f>
        <v>0</v>
      </c>
      <c r="J4047" s="295"/>
    </row>
    <row r="4048" spans="1:13" ht="24" customHeight="1" x14ac:dyDescent="0.2">
      <c r="A4048" s="200"/>
      <c r="B4048" s="264"/>
      <c r="C4048" s="200"/>
      <c r="D4048" s="200"/>
      <c r="E4048" s="200"/>
      <c r="F4048" s="200"/>
      <c r="G4048" s="200"/>
      <c r="H4048" s="200"/>
      <c r="I4048" s="440"/>
      <c r="J4048" s="295"/>
    </row>
    <row r="4049" spans="1:17" x14ac:dyDescent="0.2">
      <c r="A4049" s="267" t="s">
        <v>200</v>
      </c>
      <c r="B4049" s="268" t="s">
        <v>59</v>
      </c>
      <c r="C4049" s="268" t="s">
        <v>196</v>
      </c>
      <c r="D4049" s="268" t="s">
        <v>201</v>
      </c>
      <c r="E4049" s="268" t="s">
        <v>202</v>
      </c>
      <c r="F4049" s="268" t="s">
        <v>203</v>
      </c>
      <c r="G4049" s="268" t="s">
        <v>94</v>
      </c>
      <c r="H4049" s="268" t="s">
        <v>89</v>
      </c>
      <c r="I4049" s="442" t="s">
        <v>204</v>
      </c>
      <c r="J4049" s="295"/>
    </row>
    <row r="4050" spans="1:17" x14ac:dyDescent="0.2">
      <c r="A4050" s="259" t="str">
        <f>VLOOKUP(B4050,transp.!A:D,2,FALSE)</f>
        <v>Transp. de Madeira roliça</v>
      </c>
      <c r="B4050" s="234">
        <v>1168</v>
      </c>
      <c r="C4050" s="234" t="str">
        <f>VLOOKUP(B4050,transp.!$A:$J,3,FALSE)</f>
        <v xml:space="preserve"> t  </v>
      </c>
      <c r="D4050" s="269" t="str">
        <f>VLOOKUP(B4050,transp.!$A:$J,4,FALSE)</f>
        <v>0,716XP + 0,745XR</v>
      </c>
      <c r="E4050" s="455">
        <f>VLOOKUP(J4050,Dis!$B:$F,4,FALSE)</f>
        <v>28.4</v>
      </c>
      <c r="F4050" s="455">
        <f>VLOOKUP(J4050,Dis!$B:$F,5,FALSE)</f>
        <v>2.34</v>
      </c>
      <c r="G4050" s="239">
        <f>TRUNC(VLOOKUP(B4050,transp.!$A:$J,5,FALSE)*E4050+VLOOKUP(B4050,transp.!$A:$J,6,FALSE)*F4050+VLOOKUP(B4050,transp.!$A:$J,7,FALSE),2)</f>
        <v>22.07</v>
      </c>
      <c r="H4050" s="271">
        <v>3.1E-2</v>
      </c>
      <c r="I4050" s="418">
        <f>TRUNC(G4050*H4050,2)</f>
        <v>0.68</v>
      </c>
      <c r="J4050" s="400" t="s">
        <v>649</v>
      </c>
    </row>
    <row r="4051" spans="1:17" x14ac:dyDescent="0.2">
      <c r="A4051" s="259" t="str">
        <f>VLOOKUP(B4051,transp.!A:D,2,FALSE)</f>
        <v>Transporte de Sarrafo 10 X 2,5 cm</v>
      </c>
      <c r="B4051" s="234">
        <v>1096</v>
      </c>
      <c r="C4051" s="234" t="str">
        <f>VLOOKUP(B4051,transp.!$A:$J,3,FALSE)</f>
        <v xml:space="preserve"> t  </v>
      </c>
      <c r="D4051" s="269" t="str">
        <f>VLOOKUP(B4051,transp.!$A:$J,4,FALSE)</f>
        <v>0,716XP + 0,745XR</v>
      </c>
      <c r="E4051" s="455">
        <f>VLOOKUP(J4051,Dis!$B:$F,4,FALSE)</f>
        <v>28.4</v>
      </c>
      <c r="F4051" s="455">
        <f>VLOOKUP(J4051,Dis!$B:$F,5,FALSE)</f>
        <v>2.34</v>
      </c>
      <c r="G4051" s="239">
        <f>TRUNC(VLOOKUP(B4051,transp.!$A:$J,5,FALSE)*E4051+VLOOKUP(B4051,transp.!$A:$J,6,FALSE)*F4051+VLOOKUP(B4051,transp.!$A:$J,7,FALSE),2)</f>
        <v>22.07</v>
      </c>
      <c r="H4051" s="271">
        <v>1.0999999999999999E-2</v>
      </c>
      <c r="I4051" s="418">
        <f>TRUNC(G4051*H4051,2)</f>
        <v>0.24</v>
      </c>
      <c r="J4051" s="400" t="s">
        <v>649</v>
      </c>
    </row>
    <row r="4052" spans="1:17" x14ac:dyDescent="0.2">
      <c r="A4052" s="259" t="str">
        <f>VLOOKUP(B4052,transp.!A:D,2,FALSE)</f>
        <v>Transp. de Taipá de 1ª com 2,5 cm</v>
      </c>
      <c r="B4052" s="234">
        <v>1115</v>
      </c>
      <c r="C4052" s="234" t="str">
        <f>VLOOKUP(B4052,transp.!$A:$J,3,FALSE)</f>
        <v xml:space="preserve"> t  </v>
      </c>
      <c r="D4052" s="269" t="str">
        <f>VLOOKUP(B4052,transp.!$A:$J,4,FALSE)</f>
        <v>0,716XP + 0,745XR</v>
      </c>
      <c r="E4052" s="455">
        <f>VLOOKUP(J4052,Dis!$B:$F,4,FALSE)</f>
        <v>28.4</v>
      </c>
      <c r="F4052" s="455">
        <f>VLOOKUP(J4052,Dis!$B:$F,5,FALSE)</f>
        <v>2.34</v>
      </c>
      <c r="G4052" s="239">
        <f>TRUNC(VLOOKUP(B4052,transp.!$A:$J,5,FALSE)*E4052+VLOOKUP(B4052,transp.!$A:$J,6,FALSE)*F4052+VLOOKUP(B4052,transp.!$A:$J,7,FALSE),2)</f>
        <v>22.07</v>
      </c>
      <c r="H4052" s="271">
        <v>1.0999999999999999E-2</v>
      </c>
      <c r="I4052" s="418">
        <f>TRUNC(G4052*H4052,2)</f>
        <v>0.24</v>
      </c>
      <c r="J4052" s="400" t="s">
        <v>649</v>
      </c>
    </row>
    <row r="4053" spans="1:17" x14ac:dyDescent="0.2">
      <c r="A4053" s="200"/>
      <c r="B4053" s="264"/>
      <c r="C4053" s="200"/>
      <c r="D4053" s="200"/>
      <c r="E4053" s="200"/>
      <c r="F4053" s="265" t="s">
        <v>205</v>
      </c>
      <c r="G4053" s="240"/>
      <c r="H4053" s="272"/>
      <c r="I4053" s="443">
        <f>SUM(I4050:I4052)</f>
        <v>1.1599999999999999</v>
      </c>
    </row>
    <row r="4054" spans="1:17" x14ac:dyDescent="0.2">
      <c r="A4054" s="200"/>
      <c r="B4054" s="264"/>
      <c r="C4054" s="200"/>
      <c r="D4054" s="200"/>
      <c r="E4054" s="200"/>
      <c r="F4054" s="200"/>
      <c r="G4054" s="200"/>
      <c r="H4054" s="200"/>
      <c r="I4054" s="444"/>
      <c r="J4054" s="410"/>
    </row>
    <row r="4055" spans="1:17" x14ac:dyDescent="0.2">
      <c r="A4055" s="273"/>
      <c r="B4055" s="274"/>
      <c r="C4055" s="275"/>
      <c r="D4055" s="275"/>
      <c r="E4055" s="275"/>
      <c r="F4055" s="276" t="s">
        <v>206</v>
      </c>
      <c r="G4055" s="273"/>
      <c r="H4055" s="249"/>
      <c r="I4055" s="445">
        <f>+I4036+I4043+I4047+I4053</f>
        <v>109.11</v>
      </c>
    </row>
    <row r="4056" spans="1:17" x14ac:dyDescent="0.2">
      <c r="A4056" s="255"/>
      <c r="B4056" s="277"/>
      <c r="C4056" s="266"/>
      <c r="D4056" s="266"/>
      <c r="E4056" s="266"/>
      <c r="F4056" s="278" t="str">
        <f>CONCATENATE($H$3," ",$I$3)</f>
        <v>BDI: 23,32</v>
      </c>
      <c r="G4056" s="403"/>
      <c r="H4056" s="253"/>
      <c r="I4056" s="446">
        <f>+ROUND(I4055*$I$4,2)</f>
        <v>25.44</v>
      </c>
      <c r="J4056" s="410"/>
    </row>
    <row r="4057" spans="1:17" s="198" customFormat="1" x14ac:dyDescent="0.2">
      <c r="A4057" s="240"/>
      <c r="B4057" s="279"/>
      <c r="C4057" s="272"/>
      <c r="D4057" s="272"/>
      <c r="E4057" s="272"/>
      <c r="F4057" s="280" t="s">
        <v>207</v>
      </c>
      <c r="G4057" s="404"/>
      <c r="H4057" s="241"/>
      <c r="I4057" s="720">
        <f>+I4055+I4056</f>
        <v>134.55000000000001</v>
      </c>
      <c r="J4057" s="400"/>
      <c r="K4057" s="400"/>
      <c r="L4057" s="295"/>
      <c r="M4057" s="295"/>
      <c r="N4057" s="295"/>
      <c r="O4057" s="295"/>
      <c r="P4057" s="295"/>
      <c r="Q4057" s="295"/>
    </row>
    <row r="4058" spans="1:17" x14ac:dyDescent="0.2">
      <c r="A4058" s="1122" t="str">
        <f>$A$1</f>
        <v>COMPOSIÇÃO DE CUSTOS UNITÁRIOS</v>
      </c>
      <c r="B4058" s="1122"/>
      <c r="C4058" s="1122"/>
      <c r="D4058" s="1122"/>
      <c r="E4058" s="1122"/>
      <c r="F4058" s="1122"/>
      <c r="G4058" s="1122"/>
      <c r="H4058" s="1122"/>
      <c r="I4058" s="1122"/>
    </row>
    <row r="4059" spans="1:17" x14ac:dyDescent="0.2">
      <c r="A4059" s="228" t="str">
        <f>$A$2</f>
        <v>Tabela Referencial de Preços - DER-ES</v>
      </c>
      <c r="B4059" s="229"/>
      <c r="C4059" s="199"/>
      <c r="D4059" s="199"/>
      <c r="E4059" s="199"/>
      <c r="F4059" s="199"/>
      <c r="G4059" s="199"/>
      <c r="H4059" s="199"/>
      <c r="I4059" s="414" t="str">
        <f>$I$2</f>
        <v>Data Base: novembro/2020</v>
      </c>
      <c r="J4059" s="400">
        <v>40658</v>
      </c>
      <c r="K4059" s="400">
        <f>VLOOKUP("Preço Unitário Total",F4061:I4745,4,FALSE)</f>
        <v>6.24</v>
      </c>
      <c r="L4059" s="295">
        <f>VLOOKUP(J4059,'[3]DER 06-15'!A:E,5,FALSE)</f>
        <v>0</v>
      </c>
      <c r="M4059" s="295" t="str">
        <f>VLOOKUP(J4059,'[3]DER 06-15'!$A:$D,2,FALSE)</f>
        <v>Caiação de meio fios, sarjetas, etc</v>
      </c>
    </row>
    <row r="4060" spans="1:17" x14ac:dyDescent="0.2">
      <c r="A4060" s="1117" t="str">
        <f>+CONCATENATE("Serviço: ",J4059," ",VLOOKUP(J4059,'DER 11-20'!$A:$D,2,FALSE))</f>
        <v>Serviço: 40658 Caiação de meio fios, sarjetas, etc</v>
      </c>
      <c r="B4060" s="1117"/>
      <c r="C4060" s="1117"/>
      <c r="D4060" s="1117"/>
      <c r="E4060" s="1117"/>
      <c r="F4060" s="1117"/>
      <c r="G4060" s="1117"/>
      <c r="H4060" s="1117"/>
      <c r="I4060" s="1119" t="str">
        <f>CONCATENATE("Unidade: ", VLOOKUP(J4059,'[4]DER 06-15'!$A:$E,3,FALSE))</f>
        <v>Unidade: m²</v>
      </c>
    </row>
    <row r="4061" spans="1:17" x14ac:dyDescent="0.2">
      <c r="A4061" s="1118"/>
      <c r="B4061" s="1118"/>
      <c r="C4061" s="1118"/>
      <c r="D4061" s="1118"/>
      <c r="E4061" s="1118"/>
      <c r="F4061" s="1118"/>
      <c r="G4061" s="1118"/>
      <c r="H4061" s="1118"/>
      <c r="I4061" s="1120"/>
    </row>
    <row r="4062" spans="1:17" ht="22.5" x14ac:dyDescent="0.2">
      <c r="A4062" s="231" t="s">
        <v>177</v>
      </c>
      <c r="B4062" s="232" t="s">
        <v>59</v>
      </c>
      <c r="C4062" s="232" t="s">
        <v>178</v>
      </c>
      <c r="D4062" s="232" t="s">
        <v>179</v>
      </c>
      <c r="E4062" s="232" t="s">
        <v>180</v>
      </c>
      <c r="F4062" s="232" t="s">
        <v>181</v>
      </c>
      <c r="G4062" s="232" t="s">
        <v>182</v>
      </c>
      <c r="H4062" s="232" t="s">
        <v>89</v>
      </c>
      <c r="I4062" s="434" t="s">
        <v>183</v>
      </c>
    </row>
    <row r="4063" spans="1:17" x14ac:dyDescent="0.2">
      <c r="A4063" s="199"/>
      <c r="B4063" s="229"/>
      <c r="C4063" s="229"/>
      <c r="D4063" s="199"/>
      <c r="E4063" s="199"/>
      <c r="F4063" s="230" t="s">
        <v>184</v>
      </c>
      <c r="G4063" s="240"/>
      <c r="H4063" s="241"/>
      <c r="I4063" s="438"/>
    </row>
    <row r="4064" spans="1:17" x14ac:dyDescent="0.2">
      <c r="A4064" s="199"/>
      <c r="B4064" s="229"/>
      <c r="C4064" s="229"/>
      <c r="D4064" s="199"/>
      <c r="E4064" s="199"/>
      <c r="F4064" s="199"/>
      <c r="G4064" s="199"/>
      <c r="H4064" s="199"/>
      <c r="I4064" s="439"/>
      <c r="J4064" s="295"/>
      <c r="K4064" s="295"/>
    </row>
    <row r="4065" spans="1:11" x14ac:dyDescent="0.2">
      <c r="A4065" s="242" t="s">
        <v>185</v>
      </c>
      <c r="B4065" s="243" t="s">
        <v>59</v>
      </c>
      <c r="C4065" s="232" t="s">
        <v>357</v>
      </c>
      <c r="D4065" s="243" t="s">
        <v>187</v>
      </c>
      <c r="E4065" s="1121" t="s">
        <v>89</v>
      </c>
      <c r="F4065" s="1114"/>
      <c r="G4065" s="1115"/>
      <c r="H4065" s="1121" t="s">
        <v>183</v>
      </c>
      <c r="I4065" s="1115"/>
      <c r="J4065" s="295"/>
      <c r="K4065" s="295"/>
    </row>
    <row r="4066" spans="1:11" x14ac:dyDescent="0.2">
      <c r="A4066" s="244" t="str">
        <f>VLOOKUP(B4066,m.o.!$A:$H,2,FALSE)</f>
        <v>Encarregado de O.A.C.</v>
      </c>
      <c r="B4066" s="234">
        <v>20060</v>
      </c>
      <c r="C4066" s="239">
        <f>VLOOKUP(B4066,m.o.!$A:$F,4,FALSE)</f>
        <v>2.2599999999999998</v>
      </c>
      <c r="D4066" s="239">
        <f>VLOOKUP(B4066,m.o.!$A:$G,7,FALSE)</f>
        <v>28.31</v>
      </c>
      <c r="E4066" s="255"/>
      <c r="F4066" s="253"/>
      <c r="G4066" s="293">
        <v>1</v>
      </c>
      <c r="H4066" s="240"/>
      <c r="I4066" s="427">
        <f>TRUNC(D4066*G4066,2)</f>
        <v>28.31</v>
      </c>
      <c r="J4066" s="295"/>
      <c r="K4066" s="295"/>
    </row>
    <row r="4067" spans="1:11" x14ac:dyDescent="0.2">
      <c r="A4067" s="244" t="str">
        <f>VLOOKUP(B4067,m.o.!$A:$H,2,FALSE)</f>
        <v>Pintor</v>
      </c>
      <c r="B4067" s="234">
        <v>20111</v>
      </c>
      <c r="C4067" s="239">
        <f>VLOOKUP(B4067,m.o.!$A:$F,4,FALSE)</f>
        <v>1.24</v>
      </c>
      <c r="D4067" s="239">
        <f>VLOOKUP(B4067,m.o.!$A:$G,7,FALSE)</f>
        <v>15.53</v>
      </c>
      <c r="E4067" s="255"/>
      <c r="F4067" s="253"/>
      <c r="G4067" s="293">
        <v>4</v>
      </c>
      <c r="H4067" s="240"/>
      <c r="I4067" s="427">
        <f>TRUNC(D4067*G4067,2)</f>
        <v>62.12</v>
      </c>
      <c r="J4067" s="295"/>
      <c r="K4067" s="295"/>
    </row>
    <row r="4068" spans="1:11" x14ac:dyDescent="0.2">
      <c r="A4068" s="199"/>
      <c r="B4068" s="229"/>
      <c r="C4068" s="229"/>
      <c r="D4068" s="199"/>
      <c r="E4068" s="199"/>
      <c r="F4068" s="230" t="s">
        <v>188</v>
      </c>
      <c r="G4068" s="240"/>
      <c r="H4068" s="241"/>
      <c r="I4068" s="438">
        <f>SUM(I4066:I4067)</f>
        <v>90.43</v>
      </c>
      <c r="J4068" s="295"/>
      <c r="K4068" s="295"/>
    </row>
    <row r="4069" spans="1:11" x14ac:dyDescent="0.2">
      <c r="A4069" s="199"/>
      <c r="B4069" s="229"/>
      <c r="C4069" s="229"/>
      <c r="D4069" s="199"/>
      <c r="E4069" s="199"/>
      <c r="F4069" s="199"/>
      <c r="G4069" s="199"/>
      <c r="H4069" s="199"/>
      <c r="I4069" s="439"/>
      <c r="J4069" s="295"/>
      <c r="K4069" s="295"/>
    </row>
    <row r="4070" spans="1:11" x14ac:dyDescent="0.2">
      <c r="A4070" s="245" t="s">
        <v>189</v>
      </c>
      <c r="B4070" s="243" t="s">
        <v>59</v>
      </c>
      <c r="C4070" s="635" t="s">
        <v>17</v>
      </c>
      <c r="D4070" s="243" t="s">
        <v>190</v>
      </c>
      <c r="E4070" s="243" t="s">
        <v>191</v>
      </c>
      <c r="F4070" s="243" t="s">
        <v>192</v>
      </c>
      <c r="G4070" s="1121" t="s">
        <v>94</v>
      </c>
      <c r="H4070" s="1114"/>
      <c r="I4070" s="1115"/>
      <c r="J4070" s="295"/>
      <c r="K4070" s="295"/>
    </row>
    <row r="4071" spans="1:11" x14ac:dyDescent="0.2">
      <c r="A4071" s="244" t="s">
        <v>127</v>
      </c>
      <c r="B4071" s="234">
        <v>2000</v>
      </c>
      <c r="C4071" s="239">
        <v>5</v>
      </c>
      <c r="D4071" s="235" t="s">
        <v>208</v>
      </c>
      <c r="E4071" s="246"/>
      <c r="F4071" s="246"/>
      <c r="G4071" s="240"/>
      <c r="H4071" s="241"/>
      <c r="I4071" s="427">
        <f>TRUNC(C4071/100*I4068,2)</f>
        <v>4.5199999999999996</v>
      </c>
      <c r="J4071" s="295"/>
      <c r="K4071" s="295"/>
    </row>
    <row r="4072" spans="1:11" x14ac:dyDescent="0.2">
      <c r="A4072" s="199"/>
      <c r="B4072" s="229"/>
      <c r="C4072" s="199"/>
      <c r="D4072" s="199"/>
      <c r="E4072" s="199"/>
      <c r="F4072" s="230" t="s">
        <v>327</v>
      </c>
      <c r="G4072" s="240"/>
      <c r="H4072" s="241"/>
      <c r="I4072" s="438">
        <f>I4071</f>
        <v>4.5199999999999996</v>
      </c>
      <c r="J4072" s="295"/>
      <c r="K4072" s="295"/>
    </row>
    <row r="4073" spans="1:11" x14ac:dyDescent="0.2">
      <c r="A4073" s="199"/>
      <c r="B4073" s="229"/>
      <c r="C4073" s="199"/>
      <c r="D4073" s="199"/>
      <c r="E4073" s="199"/>
      <c r="F4073" s="199"/>
      <c r="G4073" s="199"/>
      <c r="H4073" s="199"/>
      <c r="I4073" s="439"/>
      <c r="J4073" s="295"/>
      <c r="K4073" s="295"/>
    </row>
    <row r="4074" spans="1:11" x14ac:dyDescent="0.2">
      <c r="A4074" s="247"/>
      <c r="B4074" s="248"/>
      <c r="C4074" s="249"/>
      <c r="D4074" s="249"/>
      <c r="E4074" s="249"/>
      <c r="F4074" s="250" t="s">
        <v>193</v>
      </c>
      <c r="G4074" s="401"/>
      <c r="H4074" s="249"/>
      <c r="I4074" s="445">
        <f>+I4063+I4068+I4072</f>
        <v>94.95</v>
      </c>
      <c r="J4074" s="295"/>
      <c r="K4074" s="295"/>
    </row>
    <row r="4075" spans="1:11" ht="23.25" customHeight="1" x14ac:dyDescent="0.2">
      <c r="A4075" s="251"/>
      <c r="B4075" s="252"/>
      <c r="C4075" s="253"/>
      <c r="D4075" s="253"/>
      <c r="E4075" s="253"/>
      <c r="F4075" s="254" t="s">
        <v>194</v>
      </c>
      <c r="G4075" s="255"/>
      <c r="H4075" s="253"/>
      <c r="I4075" s="446">
        <v>20</v>
      </c>
      <c r="J4075" s="295"/>
      <c r="K4075" s="295"/>
    </row>
    <row r="4076" spans="1:11" x14ac:dyDescent="0.2">
      <c r="A4076" s="233"/>
      <c r="B4076" s="256"/>
      <c r="C4076" s="241"/>
      <c r="D4076" s="241"/>
      <c r="E4076" s="241"/>
      <c r="F4076" s="257" t="s">
        <v>216</v>
      </c>
      <c r="G4076" s="240"/>
      <c r="H4076" s="241"/>
      <c r="I4076" s="447">
        <f>TRUNC(I4074/I4075,2)</f>
        <v>4.74</v>
      </c>
      <c r="J4076" s="295"/>
      <c r="K4076" s="295"/>
    </row>
    <row r="4077" spans="1:11" x14ac:dyDescent="0.2">
      <c r="A4077" s="636"/>
      <c r="B4077" s="229"/>
      <c r="C4077" s="199"/>
      <c r="D4077" s="199"/>
      <c r="E4077" s="199"/>
      <c r="F4077" s="258"/>
      <c r="G4077" s="199"/>
      <c r="H4077" s="199"/>
      <c r="I4077" s="450"/>
      <c r="J4077" s="295"/>
      <c r="K4077" s="295"/>
    </row>
    <row r="4078" spans="1:11" x14ac:dyDescent="0.2">
      <c r="A4078" s="242" t="s">
        <v>195</v>
      </c>
      <c r="B4078" s="243" t="s">
        <v>59</v>
      </c>
      <c r="C4078" s="243" t="s">
        <v>196</v>
      </c>
      <c r="D4078" s="243" t="s">
        <v>217</v>
      </c>
      <c r="E4078" s="1121" t="s">
        <v>89</v>
      </c>
      <c r="F4078" s="1114"/>
      <c r="G4078" s="1115"/>
      <c r="H4078" s="1121" t="s">
        <v>183</v>
      </c>
      <c r="I4078" s="1115"/>
      <c r="J4078" s="295"/>
      <c r="K4078" s="295"/>
    </row>
    <row r="4079" spans="1:11" x14ac:dyDescent="0.2">
      <c r="A4079" s="259" t="str">
        <f>VLOOKUP(B4079,mat.!$A:$D,2,FALSE)</f>
        <v>Cal (saco de 7 kg)</v>
      </c>
      <c r="B4079" s="234">
        <v>10312</v>
      </c>
      <c r="C4079" s="260" t="str">
        <f>VLOOKUP(B4079,mat.!$A:$D,3,FALSE)</f>
        <v>kg</v>
      </c>
      <c r="D4079" s="261">
        <f>VLOOKUP(B4079,mat.!$A:$D,4,FALSE)</f>
        <v>1.33</v>
      </c>
      <c r="E4079" s="255"/>
      <c r="F4079" s="253"/>
      <c r="G4079" s="293">
        <v>0.1</v>
      </c>
      <c r="H4079" s="255"/>
      <c r="I4079" s="423">
        <f>TRUNC(D4079*G4079,2)</f>
        <v>0.13</v>
      </c>
      <c r="J4079" s="295"/>
      <c r="K4079" s="295"/>
    </row>
    <row r="4080" spans="1:11" x14ac:dyDescent="0.2">
      <c r="A4080" s="259" t="str">
        <f>VLOOKUP(B4080,mat.!$A:$D,2,FALSE)</f>
        <v>Oleo de linhaça</v>
      </c>
      <c r="B4080" s="234">
        <v>10309</v>
      </c>
      <c r="C4080" s="260" t="str">
        <f>VLOOKUP(B4080,mat.!$A:$D,3,FALSE)</f>
        <v>L</v>
      </c>
      <c r="D4080" s="261">
        <f>VLOOKUP(B4080,mat.!$A:$D,4,FALSE)</f>
        <v>19.09</v>
      </c>
      <c r="E4080" s="255"/>
      <c r="F4080" s="253"/>
      <c r="G4080" s="293">
        <v>0.01</v>
      </c>
      <c r="H4080" s="255"/>
      <c r="I4080" s="423">
        <f>TRUNC(D4080*G4080,2)</f>
        <v>0.19</v>
      </c>
    </row>
    <row r="4081" spans="1:17" x14ac:dyDescent="0.2">
      <c r="A4081" s="199"/>
      <c r="B4081" s="229"/>
      <c r="C4081" s="199"/>
      <c r="D4081" s="199"/>
      <c r="E4081" s="199"/>
      <c r="F4081" s="230" t="s">
        <v>197</v>
      </c>
      <c r="G4081" s="240"/>
      <c r="H4081" s="241"/>
      <c r="I4081" s="438">
        <f>SUM(I4079:I4080)</f>
        <v>0.32</v>
      </c>
    </row>
    <row r="4082" spans="1:17" x14ac:dyDescent="0.2">
      <c r="A4082" s="199"/>
      <c r="B4082" s="229"/>
      <c r="C4082" s="199"/>
      <c r="D4082" s="199"/>
      <c r="E4082" s="199"/>
      <c r="F4082" s="199"/>
      <c r="G4082" s="262"/>
      <c r="H4082" s="199"/>
      <c r="I4082" s="439"/>
    </row>
    <row r="4083" spans="1:17" x14ac:dyDescent="0.2">
      <c r="A4083" s="263" t="s">
        <v>198</v>
      </c>
      <c r="B4083" s="243" t="s">
        <v>59</v>
      </c>
      <c r="C4083" s="243" t="s">
        <v>196</v>
      </c>
      <c r="D4083" s="635" t="s">
        <v>217</v>
      </c>
      <c r="E4083" s="1121" t="s">
        <v>89</v>
      </c>
      <c r="F4083" s="1114"/>
      <c r="G4083" s="1115"/>
      <c r="H4083" s="1121" t="s">
        <v>183</v>
      </c>
      <c r="I4083" s="1115"/>
      <c r="J4083" s="415"/>
      <c r="K4083" s="415"/>
      <c r="L4083" s="198"/>
      <c r="M4083" s="198"/>
      <c r="N4083" s="198"/>
      <c r="O4083" s="198"/>
      <c r="P4083" s="198"/>
      <c r="Q4083" s="198"/>
    </row>
    <row r="4084" spans="1:17" x14ac:dyDescent="0.2">
      <c r="A4084" s="416"/>
      <c r="B4084" s="417"/>
      <c r="C4084" s="417"/>
      <c r="D4084" s="418"/>
      <c r="E4084" s="419"/>
      <c r="F4084" s="420"/>
      <c r="G4084" s="421"/>
      <c r="H4084" s="422"/>
      <c r="I4084" s="423"/>
    </row>
    <row r="4085" spans="1:17" x14ac:dyDescent="0.2">
      <c r="A4085" s="200"/>
      <c r="B4085" s="264"/>
      <c r="C4085" s="200"/>
      <c r="D4085" s="200"/>
      <c r="E4085" s="200"/>
      <c r="F4085" s="265" t="s">
        <v>199</v>
      </c>
      <c r="G4085" s="255"/>
      <c r="H4085" s="266"/>
      <c r="I4085" s="441">
        <f>SUM(I4084:I4084)</f>
        <v>0</v>
      </c>
    </row>
    <row r="4086" spans="1:17" x14ac:dyDescent="0.2">
      <c r="A4086" s="200"/>
      <c r="B4086" s="264"/>
      <c r="C4086" s="200"/>
      <c r="D4086" s="200"/>
      <c r="E4086" s="200"/>
      <c r="F4086" s="200"/>
      <c r="G4086" s="200"/>
      <c r="H4086" s="200"/>
      <c r="I4086" s="440"/>
    </row>
    <row r="4087" spans="1:17" x14ac:dyDescent="0.2">
      <c r="A4087" s="267" t="s">
        <v>200</v>
      </c>
      <c r="B4087" s="268" t="s">
        <v>59</v>
      </c>
      <c r="C4087" s="268" t="s">
        <v>196</v>
      </c>
      <c r="D4087" s="268" t="s">
        <v>201</v>
      </c>
      <c r="E4087" s="268" t="s">
        <v>202</v>
      </c>
      <c r="F4087" s="268" t="s">
        <v>203</v>
      </c>
      <c r="G4087" s="268" t="s">
        <v>94</v>
      </c>
      <c r="H4087" s="268" t="s">
        <v>89</v>
      </c>
      <c r="I4087" s="442" t="s">
        <v>204</v>
      </c>
    </row>
    <row r="4088" spans="1:17" x14ac:dyDescent="0.2">
      <c r="A4088" s="200"/>
      <c r="B4088" s="264"/>
      <c r="C4088" s="200"/>
      <c r="D4088" s="200"/>
      <c r="E4088" s="200"/>
      <c r="F4088" s="265" t="s">
        <v>205</v>
      </c>
      <c r="G4088" s="240"/>
      <c r="H4088" s="272"/>
      <c r="I4088" s="443"/>
    </row>
    <row r="4089" spans="1:17" x14ac:dyDescent="0.2">
      <c r="A4089" s="200"/>
      <c r="B4089" s="264"/>
      <c r="C4089" s="200"/>
      <c r="D4089" s="200"/>
      <c r="E4089" s="200"/>
      <c r="F4089" s="200"/>
      <c r="G4089" s="200"/>
      <c r="H4089" s="200"/>
      <c r="I4089" s="444"/>
      <c r="J4089" s="410"/>
    </row>
    <row r="4090" spans="1:17" s="198" customFormat="1" x14ac:dyDescent="0.2">
      <c r="A4090" s="273"/>
      <c r="B4090" s="274"/>
      <c r="C4090" s="275"/>
      <c r="D4090" s="275"/>
      <c r="E4090" s="275"/>
      <c r="F4090" s="276" t="s">
        <v>206</v>
      </c>
      <c r="G4090" s="273"/>
      <c r="H4090" s="249"/>
      <c r="I4090" s="445">
        <f>+I4076+I4081+I4085+I4088</f>
        <v>5.0599999999999996</v>
      </c>
      <c r="J4090" s="400"/>
      <c r="K4090" s="400"/>
      <c r="L4090" s="295"/>
      <c r="M4090" s="295"/>
      <c r="N4090" s="295"/>
      <c r="O4090" s="295"/>
      <c r="P4090" s="295"/>
      <c r="Q4090" s="295"/>
    </row>
    <row r="4091" spans="1:17" s="198" customFormat="1" x14ac:dyDescent="0.2">
      <c r="A4091" s="255"/>
      <c r="B4091" s="277"/>
      <c r="C4091" s="266"/>
      <c r="D4091" s="266"/>
      <c r="E4091" s="266"/>
      <c r="F4091" s="278" t="str">
        <f>CONCATENATE($H$3," ",$I$3)</f>
        <v>BDI: 23,32</v>
      </c>
      <c r="G4091" s="403"/>
      <c r="H4091" s="253"/>
      <c r="I4091" s="446">
        <f>+ROUND(I4090*$I$4,2)</f>
        <v>1.18</v>
      </c>
      <c r="J4091" s="410"/>
      <c r="K4091" s="400"/>
      <c r="L4091" s="295"/>
      <c r="M4091" s="295"/>
      <c r="N4091" s="295"/>
      <c r="O4091" s="295"/>
      <c r="P4091" s="295"/>
      <c r="Q4091" s="295"/>
    </row>
    <row r="4092" spans="1:17" s="198" customFormat="1" x14ac:dyDescent="0.2">
      <c r="A4092" s="240"/>
      <c r="B4092" s="279"/>
      <c r="C4092" s="272"/>
      <c r="D4092" s="272"/>
      <c r="E4092" s="272"/>
      <c r="F4092" s="280" t="s">
        <v>207</v>
      </c>
      <c r="G4092" s="404"/>
      <c r="H4092" s="241"/>
      <c r="I4092" s="720">
        <f>+I4090+I4091</f>
        <v>6.24</v>
      </c>
      <c r="J4092" s="400"/>
      <c r="K4092" s="400"/>
      <c r="L4092" s="295"/>
      <c r="M4092" s="295"/>
      <c r="N4092" s="295"/>
      <c r="O4092" s="295"/>
      <c r="P4092" s="295"/>
      <c r="Q4092" s="295"/>
    </row>
    <row r="4093" spans="1:17" s="198" customFormat="1" x14ac:dyDescent="0.2">
      <c r="A4093" s="1123" t="str">
        <f>$A$1</f>
        <v>COMPOSIÇÃO DE CUSTOS UNITÁRIOS</v>
      </c>
      <c r="B4093" s="1123"/>
      <c r="C4093" s="1123"/>
      <c r="D4093" s="1123"/>
      <c r="E4093" s="1123"/>
      <c r="F4093" s="1123"/>
      <c r="G4093" s="1123"/>
      <c r="H4093" s="1123"/>
      <c r="I4093" s="1123"/>
      <c r="J4093" s="415"/>
      <c r="K4093" s="415"/>
    </row>
    <row r="4094" spans="1:17" s="198" customFormat="1" x14ac:dyDescent="0.2">
      <c r="A4094" s="411" t="str">
        <f>$A$2</f>
        <v>Tabela Referencial de Preços - DER-ES</v>
      </c>
      <c r="B4094" s="412"/>
      <c r="C4094" s="413"/>
      <c r="D4094" s="413"/>
      <c r="E4094" s="413"/>
      <c r="F4094" s="413"/>
      <c r="G4094" s="413"/>
      <c r="H4094" s="413"/>
      <c r="I4094" s="414" t="str">
        <f>$I$2</f>
        <v>Data Base: novembro/2020</v>
      </c>
      <c r="J4094" s="415">
        <v>42199</v>
      </c>
      <c r="K4094" s="415">
        <f>VLOOKUP("Preço Unitário Total",F4096:I4223,4,FALSE)</f>
        <v>1.7</v>
      </c>
      <c r="L4094" s="198">
        <f>VLOOKUP(J4094,'DER 11-20'!A:E,5,FALSE)</f>
        <v>0</v>
      </c>
      <c r="M4094" s="198" t="str">
        <f>VLOOKUP(J4094,'DER 11-20'!$A:$D,2,FALSE)</f>
        <v>Conformação manual de taludes</v>
      </c>
    </row>
    <row r="4095" spans="1:17" s="198" customFormat="1" x14ac:dyDescent="0.2">
      <c r="A4095" s="1119" t="str">
        <f>+CONCATENATE("Serviço: ",J4094," ",VLOOKUP(J4094,'DER 11-20'!$A:$D,2,FALSE))</f>
        <v>Serviço: 42199 Conformação manual de taludes</v>
      </c>
      <c r="B4095" s="1119"/>
      <c r="C4095" s="1119"/>
      <c r="D4095" s="1119"/>
      <c r="E4095" s="1119"/>
      <c r="F4095" s="1119"/>
      <c r="G4095" s="1119"/>
      <c r="H4095" s="1119"/>
      <c r="I4095" s="1119" t="str">
        <f>CONCATENATE("Unidade: ", VLOOKUP(J4094,'DER 11-20'!$A:$E,3,FALSE))</f>
        <v>Unidade: M2</v>
      </c>
      <c r="J4095" s="415"/>
      <c r="K4095" s="415"/>
    </row>
    <row r="4096" spans="1:17" s="198" customFormat="1" x14ac:dyDescent="0.2">
      <c r="A4096" s="1120"/>
      <c r="B4096" s="1120"/>
      <c r="C4096" s="1120"/>
      <c r="D4096" s="1120"/>
      <c r="E4096" s="1120"/>
      <c r="F4096" s="1120"/>
      <c r="G4096" s="1120"/>
      <c r="H4096" s="1120"/>
      <c r="I4096" s="1120"/>
      <c r="J4096" s="415"/>
      <c r="K4096" s="415"/>
    </row>
    <row r="4097" spans="1:15" ht="22.5" x14ac:dyDescent="0.2">
      <c r="A4097" s="231" t="s">
        <v>177</v>
      </c>
      <c r="B4097" s="232" t="s">
        <v>59</v>
      </c>
      <c r="C4097" s="232" t="s">
        <v>178</v>
      </c>
      <c r="D4097" s="232" t="s">
        <v>179</v>
      </c>
      <c r="E4097" s="232" t="s">
        <v>180</v>
      </c>
      <c r="F4097" s="232" t="s">
        <v>181</v>
      </c>
      <c r="G4097" s="232" t="s">
        <v>182</v>
      </c>
      <c r="H4097" s="232" t="s">
        <v>89</v>
      </c>
      <c r="I4097" s="434" t="s">
        <v>183</v>
      </c>
    </row>
    <row r="4098" spans="1:15" x14ac:dyDescent="0.2">
      <c r="A4098" s="199"/>
      <c r="B4098" s="229"/>
      <c r="C4098" s="229"/>
      <c r="D4098" s="199"/>
      <c r="E4098" s="199"/>
      <c r="F4098" s="230" t="s">
        <v>184</v>
      </c>
      <c r="G4098" s="240"/>
      <c r="H4098" s="241"/>
      <c r="I4098" s="438"/>
    </row>
    <row r="4099" spans="1:15" x14ac:dyDescent="0.2">
      <c r="A4099" s="199"/>
      <c r="B4099" s="229"/>
      <c r="C4099" s="229"/>
      <c r="D4099" s="199"/>
      <c r="E4099" s="199"/>
      <c r="F4099" s="199"/>
      <c r="G4099" s="199"/>
      <c r="H4099" s="199"/>
      <c r="I4099" s="439"/>
    </row>
    <row r="4100" spans="1:15" x14ac:dyDescent="0.2">
      <c r="A4100" s="242" t="s">
        <v>185</v>
      </c>
      <c r="B4100" s="243" t="s">
        <v>59</v>
      </c>
      <c r="C4100" s="232" t="s">
        <v>357</v>
      </c>
      <c r="D4100" s="243" t="s">
        <v>187</v>
      </c>
      <c r="E4100" s="1121" t="s">
        <v>89</v>
      </c>
      <c r="F4100" s="1114"/>
      <c r="G4100" s="1115"/>
      <c r="H4100" s="1121" t="s">
        <v>183</v>
      </c>
      <c r="I4100" s="1115"/>
    </row>
    <row r="4101" spans="1:15" x14ac:dyDescent="0.2">
      <c r="A4101" s="244" t="str">
        <f>VLOOKUP(B4101,m.o.!$A:$H,2,FALSE)</f>
        <v>Servente</v>
      </c>
      <c r="B4101" s="234">
        <v>20002</v>
      </c>
      <c r="C4101" s="239">
        <f>VLOOKUP(B4101,m.o.!$A:$F,4,FALSE)</f>
        <v>1</v>
      </c>
      <c r="D4101" s="239">
        <f>VLOOKUP(B4101,m.o.!$A:$G,7,FALSE)</f>
        <v>12.52</v>
      </c>
      <c r="E4101" s="255"/>
      <c r="F4101" s="253"/>
      <c r="G4101" s="293">
        <v>14</v>
      </c>
      <c r="H4101" s="240"/>
      <c r="I4101" s="427">
        <f>TRUNC(D4101*G4101,2)</f>
        <v>175.28</v>
      </c>
    </row>
    <row r="4102" spans="1:15" x14ac:dyDescent="0.2">
      <c r="A4102" s="244" t="str">
        <f>VLOOKUP(B4102,m.o.!$A:$H,2,FALSE)</f>
        <v>Técnico em meio ambiente</v>
      </c>
      <c r="B4102" s="234">
        <v>20010</v>
      </c>
      <c r="C4102" s="239">
        <f>VLOOKUP(B4102,m.o.!$A:$F,5,FALSE)</f>
        <v>2677.13</v>
      </c>
      <c r="D4102" s="239">
        <f>VLOOKUP(B4102,m.o.!$A:$G,7,FALSE)</f>
        <v>4926.99</v>
      </c>
      <c r="E4102" s="255"/>
      <c r="F4102" s="253"/>
      <c r="G4102" s="293">
        <v>4.4999999999999997E-3</v>
      </c>
      <c r="H4102" s="240"/>
      <c r="I4102" s="427">
        <f>TRUNC(D4102*G4102,2)</f>
        <v>22.17</v>
      </c>
    </row>
    <row r="4103" spans="1:15" x14ac:dyDescent="0.2">
      <c r="A4103" s="199"/>
      <c r="B4103" s="229"/>
      <c r="C4103" s="229"/>
      <c r="D4103" s="199"/>
      <c r="E4103" s="199"/>
      <c r="F4103" s="230" t="s">
        <v>188</v>
      </c>
      <c r="G4103" s="240"/>
      <c r="H4103" s="241"/>
      <c r="I4103" s="438">
        <f>SUM(I4101:I4102)</f>
        <v>197.45</v>
      </c>
    </row>
    <row r="4104" spans="1:15" x14ac:dyDescent="0.2">
      <c r="A4104" s="199"/>
      <c r="B4104" s="229"/>
      <c r="C4104" s="229"/>
      <c r="D4104" s="199"/>
      <c r="E4104" s="199"/>
      <c r="F4104" s="199"/>
      <c r="G4104" s="199"/>
      <c r="H4104" s="199"/>
      <c r="I4104" s="439"/>
    </row>
    <row r="4105" spans="1:15" x14ac:dyDescent="0.2">
      <c r="A4105" s="245" t="s">
        <v>189</v>
      </c>
      <c r="B4105" s="243" t="s">
        <v>59</v>
      </c>
      <c r="C4105" s="635" t="s">
        <v>17</v>
      </c>
      <c r="D4105" s="243" t="s">
        <v>190</v>
      </c>
      <c r="E4105" s="243" t="s">
        <v>191</v>
      </c>
      <c r="F4105" s="243" t="s">
        <v>192</v>
      </c>
      <c r="G4105" s="1121" t="s">
        <v>94</v>
      </c>
      <c r="H4105" s="1114"/>
      <c r="I4105" s="1115"/>
    </row>
    <row r="4106" spans="1:15" x14ac:dyDescent="0.2">
      <c r="A4106" s="244" t="s">
        <v>127</v>
      </c>
      <c r="B4106" s="234">
        <v>2000</v>
      </c>
      <c r="C4106" s="239">
        <v>5</v>
      </c>
      <c r="D4106" s="235" t="s">
        <v>208</v>
      </c>
      <c r="E4106" s="246"/>
      <c r="F4106" s="246"/>
      <c r="G4106" s="240"/>
      <c r="H4106" s="241"/>
      <c r="I4106" s="427">
        <f>TRUNC(C4106/100*I4103,2)</f>
        <v>9.8699999999999992</v>
      </c>
    </row>
    <row r="4107" spans="1:15" x14ac:dyDescent="0.2">
      <c r="A4107" s="199"/>
      <c r="B4107" s="229"/>
      <c r="C4107" s="199"/>
      <c r="D4107" s="199"/>
      <c r="E4107" s="199"/>
      <c r="F4107" s="230" t="s">
        <v>327</v>
      </c>
      <c r="G4107" s="240"/>
      <c r="H4107" s="241"/>
      <c r="I4107" s="438">
        <f>I4106</f>
        <v>9.8699999999999992</v>
      </c>
    </row>
    <row r="4108" spans="1:15" x14ac:dyDescent="0.2">
      <c r="A4108" s="199"/>
      <c r="B4108" s="229"/>
      <c r="C4108" s="199"/>
      <c r="D4108" s="199"/>
      <c r="E4108" s="199"/>
      <c r="F4108" s="199"/>
      <c r="G4108" s="199"/>
      <c r="H4108" s="199"/>
      <c r="I4108" s="439"/>
    </row>
    <row r="4109" spans="1:15" x14ac:dyDescent="0.2">
      <c r="A4109" s="247"/>
      <c r="B4109" s="248"/>
      <c r="C4109" s="249"/>
      <c r="D4109" s="249"/>
      <c r="E4109" s="249"/>
      <c r="F4109" s="250" t="s">
        <v>193</v>
      </c>
      <c r="G4109" s="401"/>
      <c r="H4109" s="249"/>
      <c r="I4109" s="445">
        <f>+I4098+I4103+I4107</f>
        <v>207.32</v>
      </c>
      <c r="O4109" s="198"/>
    </row>
    <row r="4110" spans="1:15" x14ac:dyDescent="0.2">
      <c r="A4110" s="251"/>
      <c r="B4110" s="252"/>
      <c r="C4110" s="253"/>
      <c r="D4110" s="253"/>
      <c r="E4110" s="253"/>
      <c r="F4110" s="254" t="s">
        <v>194</v>
      </c>
      <c r="G4110" s="255"/>
      <c r="H4110" s="253"/>
      <c r="I4110" s="446">
        <v>150</v>
      </c>
    </row>
    <row r="4111" spans="1:15" ht="27.75" customHeight="1" x14ac:dyDescent="0.2">
      <c r="A4111" s="233"/>
      <c r="B4111" s="256"/>
      <c r="C4111" s="241"/>
      <c r="D4111" s="241"/>
      <c r="E4111" s="241"/>
      <c r="F4111" s="257" t="s">
        <v>216</v>
      </c>
      <c r="G4111" s="240"/>
      <c r="H4111" s="241"/>
      <c r="I4111" s="447">
        <f>TRUNC(I4109/I4110,2)</f>
        <v>1.38</v>
      </c>
    </row>
    <row r="4112" spans="1:15" x14ac:dyDescent="0.2">
      <c r="A4112" s="636"/>
      <c r="B4112" s="229"/>
      <c r="C4112" s="199"/>
      <c r="D4112" s="199"/>
      <c r="E4112" s="199"/>
      <c r="F4112" s="258"/>
      <c r="G4112" s="199"/>
      <c r="H4112" s="199"/>
      <c r="I4112" s="450"/>
    </row>
    <row r="4113" spans="1:17" x14ac:dyDescent="0.2">
      <c r="A4113" s="242" t="s">
        <v>195</v>
      </c>
      <c r="B4113" s="243" t="s">
        <v>59</v>
      </c>
      <c r="C4113" s="243" t="s">
        <v>196</v>
      </c>
      <c r="D4113" s="243" t="s">
        <v>217</v>
      </c>
      <c r="E4113" s="1121" t="s">
        <v>89</v>
      </c>
      <c r="F4113" s="1114"/>
      <c r="G4113" s="1115"/>
      <c r="H4113" s="1121" t="s">
        <v>183</v>
      </c>
      <c r="I4113" s="1115"/>
    </row>
    <row r="4114" spans="1:17" x14ac:dyDescent="0.2">
      <c r="A4114" s="199"/>
      <c r="B4114" s="229"/>
      <c r="C4114" s="199"/>
      <c r="D4114" s="199"/>
      <c r="E4114" s="199"/>
      <c r="F4114" s="230" t="s">
        <v>197</v>
      </c>
      <c r="G4114" s="240"/>
      <c r="H4114" s="241"/>
      <c r="I4114" s="438"/>
    </row>
    <row r="4115" spans="1:17" x14ac:dyDescent="0.2">
      <c r="A4115" s="199"/>
      <c r="B4115" s="229"/>
      <c r="C4115" s="199"/>
      <c r="D4115" s="199"/>
      <c r="E4115" s="199"/>
      <c r="F4115" s="199"/>
      <c r="G4115" s="262"/>
      <c r="H4115" s="199"/>
      <c r="I4115" s="439"/>
    </row>
    <row r="4116" spans="1:17" x14ac:dyDescent="0.2">
      <c r="A4116" s="263" t="s">
        <v>198</v>
      </c>
      <c r="B4116" s="243" t="s">
        <v>59</v>
      </c>
      <c r="C4116" s="243" t="s">
        <v>196</v>
      </c>
      <c r="D4116" s="635" t="s">
        <v>217</v>
      </c>
      <c r="E4116" s="1121" t="s">
        <v>89</v>
      </c>
      <c r="F4116" s="1114"/>
      <c r="G4116" s="1115"/>
      <c r="H4116" s="1121" t="s">
        <v>183</v>
      </c>
      <c r="I4116" s="1115"/>
      <c r="J4116" s="415"/>
      <c r="K4116" s="415"/>
      <c r="L4116" s="198"/>
      <c r="M4116" s="198"/>
      <c r="N4116" s="198"/>
    </row>
    <row r="4117" spans="1:17" x14ac:dyDescent="0.2">
      <c r="A4117" s="416"/>
      <c r="B4117" s="417"/>
      <c r="C4117" s="417"/>
      <c r="D4117" s="418"/>
      <c r="E4117" s="419"/>
      <c r="F4117" s="420"/>
      <c r="G4117" s="421"/>
      <c r="H4117" s="422"/>
      <c r="I4117" s="423"/>
    </row>
    <row r="4118" spans="1:17" x14ac:dyDescent="0.2">
      <c r="A4118" s="200"/>
      <c r="B4118" s="264"/>
      <c r="C4118" s="200"/>
      <c r="D4118" s="200"/>
      <c r="E4118" s="200"/>
      <c r="F4118" s="265" t="s">
        <v>199</v>
      </c>
      <c r="G4118" s="255"/>
      <c r="H4118" s="266"/>
      <c r="I4118" s="441">
        <f>SUM(I4117:I4117)</f>
        <v>0</v>
      </c>
    </row>
    <row r="4119" spans="1:17" x14ac:dyDescent="0.2">
      <c r="A4119" s="200"/>
      <c r="B4119" s="264"/>
      <c r="C4119" s="200"/>
      <c r="D4119" s="200"/>
      <c r="E4119" s="200"/>
      <c r="F4119" s="200"/>
      <c r="G4119" s="200"/>
      <c r="H4119" s="200"/>
      <c r="I4119" s="440"/>
    </row>
    <row r="4120" spans="1:17" x14ac:dyDescent="0.2">
      <c r="A4120" s="267" t="s">
        <v>200</v>
      </c>
      <c r="B4120" s="268" t="s">
        <v>59</v>
      </c>
      <c r="C4120" s="268" t="s">
        <v>196</v>
      </c>
      <c r="D4120" s="268" t="s">
        <v>201</v>
      </c>
      <c r="E4120" s="268" t="s">
        <v>202</v>
      </c>
      <c r="F4120" s="268" t="s">
        <v>203</v>
      </c>
      <c r="G4120" s="268" t="s">
        <v>94</v>
      </c>
      <c r="H4120" s="268" t="s">
        <v>89</v>
      </c>
      <c r="I4120" s="442" t="s">
        <v>204</v>
      </c>
      <c r="P4120" s="198"/>
      <c r="Q4120" s="198"/>
    </row>
    <row r="4121" spans="1:17" x14ac:dyDescent="0.2">
      <c r="A4121" s="200"/>
      <c r="B4121" s="264"/>
      <c r="C4121" s="200"/>
      <c r="D4121" s="200"/>
      <c r="E4121" s="200"/>
      <c r="F4121" s="265" t="s">
        <v>205</v>
      </c>
      <c r="G4121" s="240"/>
      <c r="H4121" s="272"/>
      <c r="I4121" s="443"/>
    </row>
    <row r="4122" spans="1:17" x14ac:dyDescent="0.2">
      <c r="A4122" s="200"/>
      <c r="B4122" s="264"/>
      <c r="C4122" s="200"/>
      <c r="D4122" s="200"/>
      <c r="E4122" s="200"/>
      <c r="F4122" s="200"/>
      <c r="G4122" s="200"/>
      <c r="H4122" s="200"/>
      <c r="I4122" s="444"/>
      <c r="J4122" s="410"/>
    </row>
    <row r="4123" spans="1:17" x14ac:dyDescent="0.2">
      <c r="A4123" s="273"/>
      <c r="B4123" s="274"/>
      <c r="C4123" s="275"/>
      <c r="D4123" s="275"/>
      <c r="E4123" s="275"/>
      <c r="F4123" s="276" t="s">
        <v>206</v>
      </c>
      <c r="G4123" s="273"/>
      <c r="H4123" s="249"/>
      <c r="I4123" s="445">
        <f>+I4111+I4114+I4118+I4121</f>
        <v>1.38</v>
      </c>
    </row>
    <row r="4124" spans="1:17" x14ac:dyDescent="0.2">
      <c r="A4124" s="255"/>
      <c r="B4124" s="277"/>
      <c r="C4124" s="266"/>
      <c r="D4124" s="266"/>
      <c r="E4124" s="266"/>
      <c r="F4124" s="278" t="str">
        <f>CONCATENATE($H$3," ",$I$3)</f>
        <v>BDI: 23,32</v>
      </c>
      <c r="G4124" s="403"/>
      <c r="H4124" s="253"/>
      <c r="I4124" s="446">
        <f>+ROUND(I4123*$I$4,2)</f>
        <v>0.32</v>
      </c>
      <c r="J4124" s="410"/>
    </row>
    <row r="4125" spans="1:17" x14ac:dyDescent="0.2">
      <c r="A4125" s="240"/>
      <c r="B4125" s="279"/>
      <c r="C4125" s="272"/>
      <c r="D4125" s="272"/>
      <c r="E4125" s="272"/>
      <c r="F4125" s="280" t="s">
        <v>207</v>
      </c>
      <c r="G4125" s="404"/>
      <c r="H4125" s="241"/>
      <c r="I4125" s="720">
        <f>+I4123+I4124</f>
        <v>1.7</v>
      </c>
    </row>
    <row r="4126" spans="1:17" x14ac:dyDescent="0.2">
      <c r="A4126" s="1124" t="str">
        <f>$A$1</f>
        <v>COMPOSIÇÃO DE CUSTOS UNITÁRIOS</v>
      </c>
      <c r="B4126" s="1124"/>
      <c r="C4126" s="1124"/>
      <c r="D4126" s="1124"/>
      <c r="E4126" s="1124"/>
      <c r="F4126" s="1124"/>
      <c r="G4126" s="1124"/>
      <c r="H4126" s="1124"/>
      <c r="I4126" s="1124"/>
      <c r="J4126" s="415"/>
      <c r="K4126" s="415"/>
      <c r="L4126" s="198"/>
      <c r="M4126" s="198"/>
      <c r="N4126" s="198"/>
      <c r="O4126" s="198"/>
      <c r="P4126" s="198"/>
      <c r="Q4126" s="198"/>
    </row>
    <row r="4127" spans="1:17" x14ac:dyDescent="0.2">
      <c r="A4127" s="411" t="str">
        <f>$A$2</f>
        <v>Tabela Referencial de Preços - DER-ES</v>
      </c>
      <c r="B4127" s="412"/>
      <c r="C4127" s="413"/>
      <c r="D4127" s="413"/>
      <c r="E4127" s="413"/>
      <c r="F4127" s="413"/>
      <c r="G4127" s="413"/>
      <c r="H4127" s="413"/>
      <c r="I4127" s="414" t="str">
        <f>$I$2</f>
        <v>Data Base: novembro/2020</v>
      </c>
      <c r="J4127" s="415">
        <v>40302</v>
      </c>
      <c r="K4127" s="415">
        <f>VLOOKUP("Preço Unitário Total",F4129:I4223,4,FALSE)</f>
        <v>73.459999999999994</v>
      </c>
      <c r="L4127" s="198">
        <f>VLOOKUP(J4127,'DER 11-20'!A:E,5,FALSE)</f>
        <v>0</v>
      </c>
      <c r="M4127" s="198" t="str">
        <f>VLOOKUP(J4127,'DER 11-20'!$A:$D,2,FALSE)</f>
        <v>Reaterro de cavas c/ compactação manual (apiloamento)</v>
      </c>
      <c r="N4127" s="198"/>
      <c r="O4127" s="198"/>
      <c r="P4127" s="198"/>
      <c r="Q4127" s="198"/>
    </row>
    <row r="4128" spans="1:17" x14ac:dyDescent="0.2">
      <c r="A4128" s="1119" t="str">
        <f>+CONCATENATE("Serviço: ",J4127," ",VLOOKUP(J4127,'DER 11-20'!$A:$D,2,FALSE))</f>
        <v>Serviço: 40302 Reaterro de cavas c/ compactação manual (apiloamento)</v>
      </c>
      <c r="B4128" s="1119"/>
      <c r="C4128" s="1119"/>
      <c r="D4128" s="1119"/>
      <c r="E4128" s="1119"/>
      <c r="F4128" s="1119"/>
      <c r="G4128" s="1119"/>
      <c r="H4128" s="1119"/>
      <c r="I4128" s="1119" t="str">
        <f>CONCATENATE("Unidade: ", VLOOKUP(J4127,'DER 11-20'!$A:$E,3,FALSE))</f>
        <v>Unidade: M3</v>
      </c>
      <c r="J4128" s="415"/>
      <c r="K4128" s="415"/>
      <c r="L4128" s="198"/>
      <c r="M4128" s="198"/>
      <c r="N4128" s="198"/>
      <c r="O4128" s="198"/>
      <c r="P4128" s="198"/>
      <c r="Q4128" s="198"/>
    </row>
    <row r="4129" spans="1:17" x14ac:dyDescent="0.2">
      <c r="A4129" s="1120"/>
      <c r="B4129" s="1120"/>
      <c r="C4129" s="1120"/>
      <c r="D4129" s="1120"/>
      <c r="E4129" s="1120"/>
      <c r="F4129" s="1120"/>
      <c r="G4129" s="1120"/>
      <c r="H4129" s="1120"/>
      <c r="I4129" s="1120"/>
      <c r="J4129" s="415"/>
      <c r="K4129" s="415"/>
      <c r="L4129" s="198"/>
      <c r="M4129" s="198"/>
      <c r="N4129" s="198"/>
      <c r="O4129" s="198"/>
      <c r="P4129" s="198"/>
      <c r="Q4129" s="198"/>
    </row>
    <row r="4130" spans="1:17" ht="22.5" x14ac:dyDescent="0.2">
      <c r="A4130" s="231" t="s">
        <v>177</v>
      </c>
      <c r="B4130" s="232" t="s">
        <v>59</v>
      </c>
      <c r="C4130" s="232" t="s">
        <v>178</v>
      </c>
      <c r="D4130" s="232" t="s">
        <v>179</v>
      </c>
      <c r="E4130" s="232" t="s">
        <v>180</v>
      </c>
      <c r="F4130" s="232" t="s">
        <v>181</v>
      </c>
      <c r="G4130" s="232" t="s">
        <v>182</v>
      </c>
      <c r="H4130" s="232" t="s">
        <v>89</v>
      </c>
      <c r="I4130" s="434" t="s">
        <v>183</v>
      </c>
    </row>
    <row r="4131" spans="1:17" x14ac:dyDescent="0.2">
      <c r="A4131" s="199"/>
      <c r="B4131" s="229"/>
      <c r="C4131" s="229"/>
      <c r="D4131" s="199"/>
      <c r="E4131" s="199"/>
      <c r="F4131" s="230" t="s">
        <v>184</v>
      </c>
      <c r="G4131" s="240"/>
      <c r="H4131" s="241"/>
      <c r="I4131" s="438"/>
    </row>
    <row r="4132" spans="1:17" x14ac:dyDescent="0.2">
      <c r="A4132" s="199"/>
      <c r="B4132" s="229"/>
      <c r="C4132" s="229"/>
      <c r="D4132" s="199"/>
      <c r="E4132" s="199"/>
      <c r="F4132" s="199"/>
      <c r="G4132" s="199"/>
      <c r="H4132" s="199"/>
      <c r="I4132" s="439"/>
    </row>
    <row r="4133" spans="1:17" x14ac:dyDescent="0.2">
      <c r="A4133" s="242" t="s">
        <v>185</v>
      </c>
      <c r="B4133" s="243" t="s">
        <v>59</v>
      </c>
      <c r="C4133" s="232" t="s">
        <v>357</v>
      </c>
      <c r="D4133" s="243" t="s">
        <v>187</v>
      </c>
      <c r="E4133" s="1111" t="s">
        <v>89</v>
      </c>
      <c r="F4133" s="1112"/>
      <c r="G4133" s="1113"/>
      <c r="H4133" s="1121" t="s">
        <v>183</v>
      </c>
      <c r="I4133" s="1115"/>
    </row>
    <row r="4134" spans="1:17" x14ac:dyDescent="0.2">
      <c r="A4134" s="244" t="str">
        <f>VLOOKUP(B4134,m.o.!$A:$H,2,FALSE)</f>
        <v>Encarregado de O.A.C.</v>
      </c>
      <c r="B4134" s="234">
        <v>20060</v>
      </c>
      <c r="C4134" s="239">
        <f>VLOOKUP(B4134,m.o.!$A:$F,4,FALSE)</f>
        <v>2.2599999999999998</v>
      </c>
      <c r="D4134" s="239">
        <f>VLOOKUP(B4134,m.o.!$A:$G,7,FALSE)</f>
        <v>28.31</v>
      </c>
      <c r="E4134" s="255"/>
      <c r="F4134" s="253"/>
      <c r="G4134" s="293">
        <v>0.2</v>
      </c>
      <c r="H4134" s="240"/>
      <c r="I4134" s="427">
        <f>TRUNC(D4134*G4134,2)</f>
        <v>5.66</v>
      </c>
    </row>
    <row r="4135" spans="1:17" x14ac:dyDescent="0.2">
      <c r="A4135" s="244" t="str">
        <f>VLOOKUP(B4135,m.o.!$A:$H,2,FALSE)</f>
        <v>Operário braçal</v>
      </c>
      <c r="B4135" s="234">
        <v>20107</v>
      </c>
      <c r="C4135" s="239">
        <f>VLOOKUP(B4135,m.o.!$A:$F,4,FALSE)</f>
        <v>1.02</v>
      </c>
      <c r="D4135" s="239">
        <f>VLOOKUP(B4135,m.o.!$A:$G,7,FALSE)</f>
        <v>12.77</v>
      </c>
      <c r="E4135" s="255"/>
      <c r="F4135" s="253"/>
      <c r="G4135" s="293">
        <v>4</v>
      </c>
      <c r="H4135" s="240"/>
      <c r="I4135" s="427">
        <f>TRUNC(D4135*G4135,2)</f>
        <v>51.08</v>
      </c>
    </row>
    <row r="4136" spans="1:17" x14ac:dyDescent="0.2">
      <c r="A4136" s="199"/>
      <c r="B4136" s="229"/>
      <c r="C4136" s="229"/>
      <c r="D4136" s="199"/>
      <c r="E4136" s="199"/>
      <c r="F4136" s="230" t="s">
        <v>188</v>
      </c>
      <c r="G4136" s="240"/>
      <c r="H4136" s="241"/>
      <c r="I4136" s="438">
        <f>SUM(I4134:I4135)</f>
        <v>56.74</v>
      </c>
    </row>
    <row r="4137" spans="1:17" x14ac:dyDescent="0.2">
      <c r="A4137" s="199"/>
      <c r="B4137" s="229"/>
      <c r="C4137" s="229"/>
      <c r="D4137" s="199"/>
      <c r="E4137" s="199"/>
      <c r="F4137" s="199"/>
      <c r="G4137" s="199"/>
      <c r="H4137" s="199"/>
      <c r="I4137" s="439"/>
    </row>
    <row r="4138" spans="1:17" x14ac:dyDescent="0.2">
      <c r="A4138" s="245" t="s">
        <v>189</v>
      </c>
      <c r="B4138" s="243" t="s">
        <v>59</v>
      </c>
      <c r="C4138" s="635" t="s">
        <v>17</v>
      </c>
      <c r="D4138" s="243" t="s">
        <v>190</v>
      </c>
      <c r="E4138" s="243" t="s">
        <v>191</v>
      </c>
      <c r="F4138" s="243" t="s">
        <v>192</v>
      </c>
      <c r="G4138" s="1121" t="s">
        <v>94</v>
      </c>
      <c r="H4138" s="1114"/>
      <c r="I4138" s="1115"/>
    </row>
    <row r="4139" spans="1:17" x14ac:dyDescent="0.2">
      <c r="A4139" s="244" t="s">
        <v>127</v>
      </c>
      <c r="B4139" s="234">
        <v>2000</v>
      </c>
      <c r="C4139" s="239">
        <v>5</v>
      </c>
      <c r="D4139" s="235" t="s">
        <v>208</v>
      </c>
      <c r="E4139" s="246"/>
      <c r="F4139" s="246"/>
      <c r="G4139" s="240"/>
      <c r="H4139" s="241"/>
      <c r="I4139" s="427">
        <f>TRUNC(C4139/100*I4136,2)</f>
        <v>2.83</v>
      </c>
    </row>
    <row r="4140" spans="1:17" x14ac:dyDescent="0.2">
      <c r="A4140" s="199"/>
      <c r="B4140" s="229"/>
      <c r="C4140" s="199"/>
      <c r="D4140" s="199"/>
      <c r="E4140" s="199"/>
      <c r="F4140" s="230" t="s">
        <v>327</v>
      </c>
      <c r="G4140" s="240"/>
      <c r="H4140" s="241"/>
      <c r="I4140" s="438">
        <f>I4139</f>
        <v>2.83</v>
      </c>
    </row>
    <row r="4141" spans="1:17" x14ac:dyDescent="0.2">
      <c r="A4141" s="199"/>
      <c r="B4141" s="229"/>
      <c r="C4141" s="199"/>
      <c r="D4141" s="199"/>
      <c r="E4141" s="199"/>
      <c r="F4141" s="199"/>
      <c r="G4141" s="199"/>
      <c r="H4141" s="199"/>
      <c r="I4141" s="439"/>
      <c r="O4141" s="198"/>
    </row>
    <row r="4142" spans="1:17" x14ac:dyDescent="0.2">
      <c r="A4142" s="247"/>
      <c r="B4142" s="248"/>
      <c r="C4142" s="249"/>
      <c r="D4142" s="249"/>
      <c r="E4142" s="249"/>
      <c r="F4142" s="250" t="s">
        <v>193</v>
      </c>
      <c r="G4142" s="401"/>
      <c r="H4142" s="249"/>
      <c r="I4142" s="445">
        <f>+I4131+I4136+I4140</f>
        <v>59.57</v>
      </c>
    </row>
    <row r="4143" spans="1:17" x14ac:dyDescent="0.2">
      <c r="A4143" s="251"/>
      <c r="B4143" s="252"/>
      <c r="C4143" s="253"/>
      <c r="D4143" s="253"/>
      <c r="E4143" s="253"/>
      <c r="F4143" s="254" t="s">
        <v>194</v>
      </c>
      <c r="G4143" s="255"/>
      <c r="H4143" s="253"/>
      <c r="I4143" s="446">
        <v>1</v>
      </c>
    </row>
    <row r="4144" spans="1:17" x14ac:dyDescent="0.2">
      <c r="A4144" s="233"/>
      <c r="B4144" s="256"/>
      <c r="C4144" s="241"/>
      <c r="D4144" s="241"/>
      <c r="E4144" s="241"/>
      <c r="F4144" s="257" t="s">
        <v>216</v>
      </c>
      <c r="G4144" s="240"/>
      <c r="H4144" s="241"/>
      <c r="I4144" s="447">
        <f>TRUNC(I4142/I4143,2)</f>
        <v>59.57</v>
      </c>
    </row>
    <row r="4145" spans="1:17" x14ac:dyDescent="0.2">
      <c r="A4145" s="636"/>
      <c r="B4145" s="229"/>
      <c r="C4145" s="199"/>
      <c r="D4145" s="199"/>
      <c r="E4145" s="199"/>
      <c r="F4145" s="258"/>
      <c r="G4145" s="199"/>
      <c r="H4145" s="199"/>
      <c r="I4145" s="450"/>
    </row>
    <row r="4146" spans="1:17" x14ac:dyDescent="0.2">
      <c r="A4146" s="242" t="s">
        <v>195</v>
      </c>
      <c r="B4146" s="243" t="s">
        <v>59</v>
      </c>
      <c r="C4146" s="243" t="s">
        <v>196</v>
      </c>
      <c r="D4146" s="243" t="s">
        <v>217</v>
      </c>
      <c r="E4146" s="1121" t="s">
        <v>89</v>
      </c>
      <c r="F4146" s="1114"/>
      <c r="G4146" s="1115"/>
      <c r="H4146" s="1121" t="s">
        <v>183</v>
      </c>
      <c r="I4146" s="1115"/>
    </row>
    <row r="4147" spans="1:17" x14ac:dyDescent="0.2">
      <c r="A4147" s="199"/>
      <c r="B4147" s="229"/>
      <c r="C4147" s="199"/>
      <c r="D4147" s="199"/>
      <c r="E4147" s="199"/>
      <c r="F4147" s="230" t="s">
        <v>197</v>
      </c>
      <c r="G4147" s="240"/>
      <c r="H4147" s="241"/>
      <c r="I4147" s="438"/>
    </row>
    <row r="4148" spans="1:17" x14ac:dyDescent="0.2">
      <c r="A4148" s="199"/>
      <c r="B4148" s="229"/>
      <c r="C4148" s="199"/>
      <c r="D4148" s="199"/>
      <c r="E4148" s="199"/>
      <c r="F4148" s="199"/>
      <c r="G4148" s="262"/>
      <c r="H4148" s="199"/>
      <c r="I4148" s="439"/>
    </row>
    <row r="4149" spans="1:17" x14ac:dyDescent="0.2">
      <c r="A4149" s="263" t="s">
        <v>198</v>
      </c>
      <c r="B4149" s="243" t="s">
        <v>59</v>
      </c>
      <c r="C4149" s="243" t="s">
        <v>196</v>
      </c>
      <c r="D4149" s="635" t="s">
        <v>217</v>
      </c>
      <c r="E4149" s="1111" t="s">
        <v>89</v>
      </c>
      <c r="F4149" s="1112"/>
      <c r="G4149" s="1113"/>
      <c r="H4149" s="1114" t="s">
        <v>183</v>
      </c>
      <c r="I4149" s="1115"/>
      <c r="J4149" s="415"/>
      <c r="K4149" s="415"/>
      <c r="L4149" s="198"/>
      <c r="M4149" s="198"/>
      <c r="N4149" s="198"/>
    </row>
    <row r="4150" spans="1:17" x14ac:dyDescent="0.2">
      <c r="A4150" s="416"/>
      <c r="B4150" s="417"/>
      <c r="C4150" s="417"/>
      <c r="D4150" s="418"/>
      <c r="E4150" s="419"/>
      <c r="F4150" s="420"/>
      <c r="G4150" s="421"/>
      <c r="H4150" s="422"/>
      <c r="I4150" s="423"/>
    </row>
    <row r="4151" spans="1:17" x14ac:dyDescent="0.2">
      <c r="A4151" s="200"/>
      <c r="B4151" s="264"/>
      <c r="C4151" s="200"/>
      <c r="D4151" s="200"/>
      <c r="E4151" s="200"/>
      <c r="F4151" s="265" t="s">
        <v>199</v>
      </c>
      <c r="G4151" s="255"/>
      <c r="H4151" s="266"/>
      <c r="I4151" s="441">
        <f>SUM(I4150:I4150)</f>
        <v>0</v>
      </c>
    </row>
    <row r="4152" spans="1:17" x14ac:dyDescent="0.2">
      <c r="A4152" s="200"/>
      <c r="B4152" s="264"/>
      <c r="C4152" s="200"/>
      <c r="D4152" s="200"/>
      <c r="E4152" s="200"/>
      <c r="F4152" s="200"/>
      <c r="G4152" s="200"/>
      <c r="H4152" s="200"/>
      <c r="I4152" s="440"/>
    </row>
    <row r="4153" spans="1:17" x14ac:dyDescent="0.2">
      <c r="A4153" s="267" t="s">
        <v>200</v>
      </c>
      <c r="B4153" s="268" t="s">
        <v>59</v>
      </c>
      <c r="C4153" s="268" t="s">
        <v>196</v>
      </c>
      <c r="D4153" s="268" t="s">
        <v>201</v>
      </c>
      <c r="E4153" s="268" t="s">
        <v>202</v>
      </c>
      <c r="F4153" s="268" t="s">
        <v>203</v>
      </c>
      <c r="G4153" s="268" t="s">
        <v>94</v>
      </c>
      <c r="H4153" s="268" t="s">
        <v>89</v>
      </c>
      <c r="I4153" s="442" t="s">
        <v>204</v>
      </c>
      <c r="P4153" s="198"/>
      <c r="Q4153" s="198"/>
    </row>
    <row r="4154" spans="1:17" x14ac:dyDescent="0.2">
      <c r="A4154" s="200"/>
      <c r="B4154" s="264"/>
      <c r="C4154" s="200"/>
      <c r="D4154" s="200"/>
      <c r="E4154" s="200"/>
      <c r="F4154" s="265" t="s">
        <v>205</v>
      </c>
      <c r="G4154" s="240"/>
      <c r="H4154" s="272"/>
      <c r="I4154" s="443"/>
    </row>
    <row r="4155" spans="1:17" x14ac:dyDescent="0.2">
      <c r="A4155" s="200"/>
      <c r="B4155" s="264"/>
      <c r="C4155" s="200"/>
      <c r="D4155" s="200"/>
      <c r="E4155" s="200"/>
      <c r="F4155" s="200"/>
      <c r="G4155" s="200"/>
      <c r="H4155" s="200"/>
      <c r="I4155" s="444"/>
      <c r="J4155" s="410"/>
    </row>
    <row r="4156" spans="1:17" x14ac:dyDescent="0.2">
      <c r="A4156" s="273"/>
      <c r="B4156" s="274"/>
      <c r="C4156" s="275"/>
      <c r="D4156" s="275"/>
      <c r="E4156" s="275"/>
      <c r="F4156" s="276" t="s">
        <v>206</v>
      </c>
      <c r="G4156" s="273"/>
      <c r="H4156" s="249"/>
      <c r="I4156" s="445">
        <f>+I4144+I4147+I4151+I4154</f>
        <v>59.57</v>
      </c>
    </row>
    <row r="4157" spans="1:17" x14ac:dyDescent="0.2">
      <c r="A4157" s="255"/>
      <c r="B4157" s="277"/>
      <c r="C4157" s="266"/>
      <c r="D4157" s="266"/>
      <c r="E4157" s="266"/>
      <c r="F4157" s="278" t="str">
        <f>CONCATENATE($H$3," ",$I$3)</f>
        <v>BDI: 23,32</v>
      </c>
      <c r="G4157" s="403"/>
      <c r="H4157" s="253"/>
      <c r="I4157" s="446">
        <f>+ROUND(I4156*$I$4,2)</f>
        <v>13.89</v>
      </c>
      <c r="J4157" s="410"/>
    </row>
    <row r="4158" spans="1:17" x14ac:dyDescent="0.2">
      <c r="A4158" s="240"/>
      <c r="B4158" s="279"/>
      <c r="C4158" s="272"/>
      <c r="D4158" s="272"/>
      <c r="E4158" s="272"/>
      <c r="F4158" s="280" t="s">
        <v>207</v>
      </c>
      <c r="G4158" s="404"/>
      <c r="H4158" s="241"/>
      <c r="I4158" s="720">
        <f>+I4156+I4157</f>
        <v>73.459999999999994</v>
      </c>
    </row>
    <row r="4159" spans="1:17" x14ac:dyDescent="0.2">
      <c r="A4159" s="1124" t="str">
        <f>$A$1</f>
        <v>COMPOSIÇÃO DE CUSTOS UNITÁRIOS</v>
      </c>
      <c r="B4159" s="1124"/>
      <c r="C4159" s="1124"/>
      <c r="D4159" s="1124"/>
      <c r="E4159" s="1124"/>
      <c r="F4159" s="1124"/>
      <c r="G4159" s="1124"/>
      <c r="H4159" s="1124"/>
      <c r="I4159" s="1124"/>
      <c r="J4159" s="415"/>
      <c r="K4159" s="415"/>
      <c r="L4159" s="198"/>
      <c r="M4159" s="198"/>
      <c r="N4159" s="198"/>
      <c r="O4159" s="198"/>
      <c r="P4159" s="198"/>
      <c r="Q4159" s="198"/>
    </row>
    <row r="4160" spans="1:17" x14ac:dyDescent="0.2">
      <c r="A4160" s="411" t="str">
        <f>$A$2</f>
        <v>Tabela Referencial de Preços - DER-ES</v>
      </c>
      <c r="B4160" s="412"/>
      <c r="C4160" s="413"/>
      <c r="D4160" s="413"/>
      <c r="E4160" s="413"/>
      <c r="F4160" s="413"/>
      <c r="G4160" s="413"/>
      <c r="H4160" s="413"/>
      <c r="I4160" s="414" t="str">
        <f>$I$2</f>
        <v>Data Base: novembro/2020</v>
      </c>
      <c r="J4160" s="415">
        <v>40256</v>
      </c>
      <c r="K4160" s="415">
        <f>VLOOKUP("Preço Unitário Total",F4162:I4223,4,FALSE)</f>
        <v>102.87</v>
      </c>
      <c r="L4160" s="198">
        <f>VLOOKUP(J4160,'DER 11-20'!A:E,5,FALSE)</f>
        <v>0</v>
      </c>
      <c r="M4160" s="198" t="str">
        <f>VLOOKUP(J4160,'DER 11-20'!$A:$D,2,FALSE)</f>
        <v>Escavação manual furos, valetas mat. 1ª cat. H= 0,00 a 1,50 m (dim. reduz.)</v>
      </c>
      <c r="N4160" s="198"/>
      <c r="O4160" s="198"/>
      <c r="P4160" s="198"/>
      <c r="Q4160" s="198"/>
    </row>
    <row r="4161" spans="1:17" x14ac:dyDescent="0.2">
      <c r="A4161" s="1119" t="str">
        <f>+CONCATENATE("Serviço: ",J4160," ",VLOOKUP(J4160,'DER 11-20'!$A:$D,2,FALSE))</f>
        <v>Serviço: 40256 Escavação manual furos, valetas mat. 1ª cat. H= 0,00 a 1,50 m (dim. reduz.)</v>
      </c>
      <c r="B4161" s="1119"/>
      <c r="C4161" s="1119"/>
      <c r="D4161" s="1119"/>
      <c r="E4161" s="1119"/>
      <c r="F4161" s="1119"/>
      <c r="G4161" s="1119"/>
      <c r="H4161" s="1119"/>
      <c r="I4161" s="1119" t="str">
        <f>CONCATENATE("Unidade: ", VLOOKUP(J4160,'DER 11-20'!$A:$E,3,FALSE))</f>
        <v>Unidade: M3</v>
      </c>
      <c r="J4161" s="415"/>
      <c r="K4161" s="415"/>
      <c r="L4161" s="198"/>
      <c r="M4161" s="198"/>
      <c r="N4161" s="198"/>
      <c r="O4161" s="198"/>
      <c r="P4161" s="198"/>
      <c r="Q4161" s="198"/>
    </row>
    <row r="4162" spans="1:17" x14ac:dyDescent="0.2">
      <c r="A4162" s="1120"/>
      <c r="B4162" s="1120"/>
      <c r="C4162" s="1120"/>
      <c r="D4162" s="1120"/>
      <c r="E4162" s="1120"/>
      <c r="F4162" s="1120"/>
      <c r="G4162" s="1120"/>
      <c r="H4162" s="1120"/>
      <c r="I4162" s="1120"/>
      <c r="J4162" s="415"/>
      <c r="K4162" s="415"/>
      <c r="L4162" s="198"/>
      <c r="M4162" s="198"/>
      <c r="N4162" s="198"/>
      <c r="O4162" s="198"/>
      <c r="P4162" s="198"/>
      <c r="Q4162" s="198"/>
    </row>
    <row r="4163" spans="1:17" ht="22.5" x14ac:dyDescent="0.2">
      <c r="A4163" s="231" t="s">
        <v>177</v>
      </c>
      <c r="B4163" s="232" t="s">
        <v>59</v>
      </c>
      <c r="C4163" s="232" t="s">
        <v>178</v>
      </c>
      <c r="D4163" s="232" t="s">
        <v>179</v>
      </c>
      <c r="E4163" s="232" t="s">
        <v>180</v>
      </c>
      <c r="F4163" s="232" t="s">
        <v>181</v>
      </c>
      <c r="G4163" s="232" t="s">
        <v>182</v>
      </c>
      <c r="H4163" s="232" t="s">
        <v>89</v>
      </c>
      <c r="I4163" s="434" t="s">
        <v>183</v>
      </c>
    </row>
    <row r="4164" spans="1:17" x14ac:dyDescent="0.2">
      <c r="A4164" s="199"/>
      <c r="B4164" s="229"/>
      <c r="C4164" s="229"/>
      <c r="D4164" s="199"/>
      <c r="E4164" s="199"/>
      <c r="F4164" s="230" t="s">
        <v>184</v>
      </c>
      <c r="G4164" s="240"/>
      <c r="H4164" s="241"/>
      <c r="I4164" s="438"/>
    </row>
    <row r="4165" spans="1:17" x14ac:dyDescent="0.2">
      <c r="A4165" s="199"/>
      <c r="B4165" s="229"/>
      <c r="C4165" s="229"/>
      <c r="D4165" s="199"/>
      <c r="E4165" s="199"/>
      <c r="F4165" s="199"/>
      <c r="G4165" s="199"/>
      <c r="H4165" s="199"/>
      <c r="I4165" s="439"/>
    </row>
    <row r="4166" spans="1:17" x14ac:dyDescent="0.2">
      <c r="A4166" s="242" t="s">
        <v>185</v>
      </c>
      <c r="B4166" s="243" t="s">
        <v>59</v>
      </c>
      <c r="C4166" s="232" t="s">
        <v>357</v>
      </c>
      <c r="D4166" s="243" t="s">
        <v>187</v>
      </c>
      <c r="E4166" s="1111" t="s">
        <v>89</v>
      </c>
      <c r="F4166" s="1112"/>
      <c r="G4166" s="1113"/>
      <c r="H4166" s="1121" t="s">
        <v>183</v>
      </c>
      <c r="I4166" s="1115"/>
    </row>
    <row r="4167" spans="1:17" x14ac:dyDescent="0.2">
      <c r="A4167" s="244" t="str">
        <f>VLOOKUP(B4167,m.o.!$A:$H,2,FALSE)</f>
        <v>Encarregado de O.A.C.</v>
      </c>
      <c r="B4167" s="234">
        <v>20060</v>
      </c>
      <c r="C4167" s="239">
        <f>VLOOKUP(B4167,m.o.!$A:$F,4,FALSE)</f>
        <v>2.2599999999999998</v>
      </c>
      <c r="D4167" s="239">
        <f>VLOOKUP(B4167,m.o.!$A:$G,7,FALSE)</f>
        <v>28.31</v>
      </c>
      <c r="E4167" s="255"/>
      <c r="F4167" s="253"/>
      <c r="G4167" s="293">
        <v>0.1</v>
      </c>
      <c r="H4167" s="240"/>
      <c r="I4167" s="427">
        <f>TRUNC(D4167*G4167,2)</f>
        <v>2.83</v>
      </c>
    </row>
    <row r="4168" spans="1:17" x14ac:dyDescent="0.2">
      <c r="A4168" s="244" t="str">
        <f>VLOOKUP(B4168,m.o.!$A:$H,2,FALSE)</f>
        <v>Operário braçal</v>
      </c>
      <c r="B4168" s="234">
        <v>20107</v>
      </c>
      <c r="C4168" s="239">
        <f>VLOOKUP(B4168,m.o.!$A:$F,4,FALSE)</f>
        <v>1.02</v>
      </c>
      <c r="D4168" s="239">
        <f>VLOOKUP(B4168,m.o.!$A:$G,7,FALSE)</f>
        <v>12.77</v>
      </c>
      <c r="E4168" s="255"/>
      <c r="F4168" s="253"/>
      <c r="G4168" s="293">
        <v>6</v>
      </c>
      <c r="H4168" s="240"/>
      <c r="I4168" s="427">
        <f>TRUNC(D4168*G4168,2)</f>
        <v>76.62</v>
      </c>
    </row>
    <row r="4169" spans="1:17" x14ac:dyDescent="0.2">
      <c r="A4169" s="199"/>
      <c r="B4169" s="229"/>
      <c r="C4169" s="229"/>
      <c r="D4169" s="199"/>
      <c r="E4169" s="199"/>
      <c r="F4169" s="230" t="s">
        <v>188</v>
      </c>
      <c r="G4169" s="240"/>
      <c r="H4169" s="241"/>
      <c r="I4169" s="438">
        <f>SUM(I4167:I4168)</f>
        <v>79.45</v>
      </c>
    </row>
    <row r="4170" spans="1:17" x14ac:dyDescent="0.2">
      <c r="A4170" s="199"/>
      <c r="B4170" s="229"/>
      <c r="C4170" s="229"/>
      <c r="D4170" s="199"/>
      <c r="E4170" s="199"/>
      <c r="F4170" s="199"/>
      <c r="G4170" s="199"/>
      <c r="H4170" s="199"/>
      <c r="I4170" s="439"/>
    </row>
    <row r="4171" spans="1:17" x14ac:dyDescent="0.2">
      <c r="A4171" s="245" t="s">
        <v>189</v>
      </c>
      <c r="B4171" s="243" t="s">
        <v>59</v>
      </c>
      <c r="C4171" s="635" t="s">
        <v>17</v>
      </c>
      <c r="D4171" s="243" t="s">
        <v>190</v>
      </c>
      <c r="E4171" s="243" t="s">
        <v>191</v>
      </c>
      <c r="F4171" s="243" t="s">
        <v>192</v>
      </c>
      <c r="G4171" s="1121" t="s">
        <v>94</v>
      </c>
      <c r="H4171" s="1114"/>
      <c r="I4171" s="1115"/>
    </row>
    <row r="4172" spans="1:17" x14ac:dyDescent="0.2">
      <c r="A4172" s="244" t="s">
        <v>127</v>
      </c>
      <c r="B4172" s="234">
        <v>2000</v>
      </c>
      <c r="C4172" s="239">
        <v>5</v>
      </c>
      <c r="D4172" s="235" t="s">
        <v>208</v>
      </c>
      <c r="E4172" s="246"/>
      <c r="F4172" s="246"/>
      <c r="G4172" s="240"/>
      <c r="H4172" s="241"/>
      <c r="I4172" s="427">
        <f>TRUNC(C4172/100*I4169,2)</f>
        <v>3.97</v>
      </c>
    </row>
    <row r="4173" spans="1:17" x14ac:dyDescent="0.2">
      <c r="A4173" s="199"/>
      <c r="B4173" s="229"/>
      <c r="C4173" s="199"/>
      <c r="D4173" s="199"/>
      <c r="E4173" s="199"/>
      <c r="F4173" s="230" t="s">
        <v>327</v>
      </c>
      <c r="G4173" s="240"/>
      <c r="H4173" s="241"/>
      <c r="I4173" s="438">
        <f>I4172</f>
        <v>3.97</v>
      </c>
    </row>
    <row r="4174" spans="1:17" x14ac:dyDescent="0.2">
      <c r="A4174" s="199"/>
      <c r="B4174" s="229"/>
      <c r="C4174" s="199"/>
      <c r="D4174" s="199"/>
      <c r="E4174" s="199"/>
      <c r="F4174" s="199"/>
      <c r="G4174" s="199"/>
      <c r="H4174" s="199"/>
      <c r="I4174" s="439"/>
      <c r="O4174" s="198"/>
    </row>
    <row r="4175" spans="1:17" x14ac:dyDescent="0.2">
      <c r="A4175" s="247"/>
      <c r="B4175" s="248"/>
      <c r="C4175" s="249"/>
      <c r="D4175" s="249"/>
      <c r="E4175" s="249"/>
      <c r="F4175" s="250" t="s">
        <v>193</v>
      </c>
      <c r="G4175" s="401"/>
      <c r="H4175" s="249"/>
      <c r="I4175" s="445">
        <f>+I4164+I4169+I4173</f>
        <v>83.42</v>
      </c>
    </row>
    <row r="4176" spans="1:17" x14ac:dyDescent="0.2">
      <c r="A4176" s="251"/>
      <c r="B4176" s="252"/>
      <c r="C4176" s="253"/>
      <c r="D4176" s="253"/>
      <c r="E4176" s="253"/>
      <c r="F4176" s="254" t="s">
        <v>194</v>
      </c>
      <c r="G4176" s="255"/>
      <c r="H4176" s="253"/>
      <c r="I4176" s="446">
        <v>1</v>
      </c>
    </row>
    <row r="4177" spans="1:17" x14ac:dyDescent="0.2">
      <c r="A4177" s="233"/>
      <c r="B4177" s="256"/>
      <c r="C4177" s="241"/>
      <c r="D4177" s="241"/>
      <c r="E4177" s="241"/>
      <c r="F4177" s="257" t="s">
        <v>216</v>
      </c>
      <c r="G4177" s="240"/>
      <c r="H4177" s="241"/>
      <c r="I4177" s="447">
        <f>TRUNC(I4175/I4176,2)</f>
        <v>83.42</v>
      </c>
    </row>
    <row r="4178" spans="1:17" x14ac:dyDescent="0.2">
      <c r="A4178" s="636"/>
      <c r="B4178" s="229"/>
      <c r="C4178" s="199"/>
      <c r="D4178" s="199"/>
      <c r="E4178" s="199"/>
      <c r="F4178" s="258"/>
      <c r="G4178" s="199"/>
      <c r="H4178" s="199"/>
      <c r="I4178" s="450"/>
    </row>
    <row r="4179" spans="1:17" x14ac:dyDescent="0.2">
      <c r="A4179" s="242" t="s">
        <v>195</v>
      </c>
      <c r="B4179" s="243" t="s">
        <v>59</v>
      </c>
      <c r="C4179" s="243" t="s">
        <v>196</v>
      </c>
      <c r="D4179" s="243" t="s">
        <v>217</v>
      </c>
      <c r="E4179" s="1121" t="s">
        <v>89</v>
      </c>
      <c r="F4179" s="1114"/>
      <c r="G4179" s="1115"/>
      <c r="H4179" s="1121" t="s">
        <v>183</v>
      </c>
      <c r="I4179" s="1115"/>
    </row>
    <row r="4180" spans="1:17" x14ac:dyDescent="0.2">
      <c r="A4180" s="199"/>
      <c r="B4180" s="229"/>
      <c r="C4180" s="199"/>
      <c r="D4180" s="199"/>
      <c r="E4180" s="199"/>
      <c r="F4180" s="230" t="s">
        <v>197</v>
      </c>
      <c r="G4180" s="240"/>
      <c r="H4180" s="241"/>
      <c r="I4180" s="438"/>
    </row>
    <row r="4181" spans="1:17" x14ac:dyDescent="0.2">
      <c r="A4181" s="199"/>
      <c r="B4181" s="229"/>
      <c r="C4181" s="199"/>
      <c r="D4181" s="199"/>
      <c r="E4181" s="199"/>
      <c r="F4181" s="199"/>
      <c r="G4181" s="262"/>
      <c r="H4181" s="199"/>
      <c r="I4181" s="439"/>
    </row>
    <row r="4182" spans="1:17" x14ac:dyDescent="0.2">
      <c r="A4182" s="263" t="s">
        <v>198</v>
      </c>
      <c r="B4182" s="243" t="s">
        <v>59</v>
      </c>
      <c r="C4182" s="243" t="s">
        <v>196</v>
      </c>
      <c r="D4182" s="635" t="s">
        <v>217</v>
      </c>
      <c r="E4182" s="1111" t="s">
        <v>89</v>
      </c>
      <c r="F4182" s="1112"/>
      <c r="G4182" s="1113"/>
      <c r="H4182" s="1114" t="s">
        <v>183</v>
      </c>
      <c r="I4182" s="1115"/>
      <c r="J4182" s="415"/>
      <c r="K4182" s="415"/>
      <c r="L4182" s="198"/>
      <c r="M4182" s="198"/>
      <c r="N4182" s="198"/>
    </row>
    <row r="4183" spans="1:17" x14ac:dyDescent="0.2">
      <c r="A4183" s="416"/>
      <c r="B4183" s="417"/>
      <c r="C4183" s="417"/>
      <c r="D4183" s="418"/>
      <c r="E4183" s="419"/>
      <c r="F4183" s="420"/>
      <c r="G4183" s="421"/>
      <c r="H4183" s="422"/>
      <c r="I4183" s="423"/>
    </row>
    <row r="4184" spans="1:17" x14ac:dyDescent="0.2">
      <c r="A4184" s="200"/>
      <c r="B4184" s="264"/>
      <c r="C4184" s="200"/>
      <c r="D4184" s="200"/>
      <c r="E4184" s="200"/>
      <c r="F4184" s="265" t="s">
        <v>199</v>
      </c>
      <c r="G4184" s="255"/>
      <c r="H4184" s="266"/>
      <c r="I4184" s="441">
        <f>SUM(I4183:I4183)</f>
        <v>0</v>
      </c>
    </row>
    <row r="4185" spans="1:17" x14ac:dyDescent="0.2">
      <c r="A4185" s="200"/>
      <c r="B4185" s="264"/>
      <c r="C4185" s="200"/>
      <c r="D4185" s="200"/>
      <c r="E4185" s="200"/>
      <c r="F4185" s="200"/>
      <c r="G4185" s="200"/>
      <c r="H4185" s="200"/>
      <c r="I4185" s="440"/>
    </row>
    <row r="4186" spans="1:17" x14ac:dyDescent="0.2">
      <c r="A4186" s="267" t="s">
        <v>200</v>
      </c>
      <c r="B4186" s="268" t="s">
        <v>59</v>
      </c>
      <c r="C4186" s="268" t="s">
        <v>196</v>
      </c>
      <c r="D4186" s="268" t="s">
        <v>201</v>
      </c>
      <c r="E4186" s="268" t="s">
        <v>202</v>
      </c>
      <c r="F4186" s="268" t="s">
        <v>203</v>
      </c>
      <c r="G4186" s="268" t="s">
        <v>94</v>
      </c>
      <c r="H4186" s="268" t="s">
        <v>89</v>
      </c>
      <c r="I4186" s="442" t="s">
        <v>204</v>
      </c>
      <c r="P4186" s="198"/>
      <c r="Q4186" s="198"/>
    </row>
    <row r="4187" spans="1:17" x14ac:dyDescent="0.2">
      <c r="A4187" s="200"/>
      <c r="B4187" s="264"/>
      <c r="C4187" s="200"/>
      <c r="D4187" s="200"/>
      <c r="E4187" s="200"/>
      <c r="F4187" s="265" t="s">
        <v>205</v>
      </c>
      <c r="G4187" s="240"/>
      <c r="H4187" s="272"/>
      <c r="I4187" s="443"/>
    </row>
    <row r="4188" spans="1:17" x14ac:dyDescent="0.2">
      <c r="A4188" s="200"/>
      <c r="B4188" s="264"/>
      <c r="C4188" s="200"/>
      <c r="D4188" s="200"/>
      <c r="E4188" s="200"/>
      <c r="F4188" s="200"/>
      <c r="G4188" s="200"/>
      <c r="H4188" s="200"/>
      <c r="I4188" s="444"/>
      <c r="J4188" s="410"/>
    </row>
    <row r="4189" spans="1:17" x14ac:dyDescent="0.2">
      <c r="A4189" s="273"/>
      <c r="B4189" s="274"/>
      <c r="C4189" s="275"/>
      <c r="D4189" s="275"/>
      <c r="E4189" s="275"/>
      <c r="F4189" s="276" t="s">
        <v>206</v>
      </c>
      <c r="G4189" s="273"/>
      <c r="H4189" s="249"/>
      <c r="I4189" s="445">
        <f>+I4177+I4180+I4184+I4187</f>
        <v>83.42</v>
      </c>
    </row>
    <row r="4190" spans="1:17" x14ac:dyDescent="0.2">
      <c r="A4190" s="255"/>
      <c r="B4190" s="277"/>
      <c r="C4190" s="266"/>
      <c r="D4190" s="266"/>
      <c r="E4190" s="266"/>
      <c r="F4190" s="278" t="str">
        <f>CONCATENATE($H$3," ",$I$3)</f>
        <v>BDI: 23,32</v>
      </c>
      <c r="G4190" s="403"/>
      <c r="H4190" s="253"/>
      <c r="I4190" s="446">
        <f>+ROUND(I4189*$I$4,2)</f>
        <v>19.45</v>
      </c>
      <c r="J4190" s="410"/>
    </row>
    <row r="4191" spans="1:17" x14ac:dyDescent="0.2">
      <c r="A4191" s="240"/>
      <c r="B4191" s="279"/>
      <c r="C4191" s="272"/>
      <c r="D4191" s="272"/>
      <c r="E4191" s="272"/>
      <c r="F4191" s="280" t="s">
        <v>207</v>
      </c>
      <c r="G4191" s="404"/>
      <c r="H4191" s="241"/>
      <c r="I4191" s="720">
        <f>+I4189+I4190</f>
        <v>102.87</v>
      </c>
    </row>
    <row r="4192" spans="1:17" x14ac:dyDescent="0.2">
      <c r="A4192" s="1123" t="str">
        <f>$A$1</f>
        <v>COMPOSIÇÃO DE CUSTOS UNITÁRIOS</v>
      </c>
      <c r="B4192" s="1123"/>
      <c r="C4192" s="1123"/>
      <c r="D4192" s="1123"/>
      <c r="E4192" s="1123"/>
      <c r="F4192" s="1123"/>
      <c r="G4192" s="1123"/>
      <c r="H4192" s="1123"/>
      <c r="I4192" s="1123"/>
      <c r="J4192" s="415"/>
      <c r="K4192" s="415"/>
      <c r="L4192" s="198"/>
      <c r="M4192" s="198"/>
      <c r="N4192" s="198"/>
      <c r="O4192" s="198"/>
      <c r="P4192" s="198"/>
      <c r="Q4192" s="198"/>
    </row>
    <row r="4193" spans="1:17" x14ac:dyDescent="0.2">
      <c r="A4193" s="411" t="str">
        <f>$A$2</f>
        <v>Tabela Referencial de Preços - DER-ES</v>
      </c>
      <c r="B4193" s="412"/>
      <c r="C4193" s="413"/>
      <c r="D4193" s="413"/>
      <c r="E4193" s="413"/>
      <c r="F4193" s="413"/>
      <c r="G4193" s="413"/>
      <c r="H4193" s="413"/>
      <c r="I4193" s="414" t="str">
        <f>$I$2</f>
        <v>Data Base: novembro/2020</v>
      </c>
      <c r="J4193" s="415">
        <v>42878</v>
      </c>
      <c r="K4193" s="415">
        <f>VLOOKUP("Preço Unitário Total",F4195:I4223,4,FALSE)</f>
        <v>4937.2299999999996</v>
      </c>
      <c r="L4193" s="198">
        <f>VLOOKUP(J4193,'DER 11-20'!A:E,5,FALSE)</f>
        <v>0</v>
      </c>
      <c r="M4193" s="198" t="str">
        <f>VLOOKUP(J4193,'DER 11-20'!$A:$D,2,FALSE)</f>
        <v>Aluguel de automóvel VW/ Gol (flex) 1,6 ou equivalente, exclusive motorista, inclusive combustível</v>
      </c>
      <c r="N4193" s="198"/>
      <c r="O4193" s="198"/>
      <c r="P4193" s="198"/>
      <c r="Q4193" s="198"/>
    </row>
    <row r="4194" spans="1:17" x14ac:dyDescent="0.2">
      <c r="A4194" s="1119" t="str">
        <f>+CONCATENATE("Serviço: ",J4193," ",VLOOKUP(J4193,'DER 11-20'!$A:$D,2,FALSE))</f>
        <v>Serviço: 42878 Aluguel de automóvel VW/ Gol (flex) 1,6 ou equivalente, exclusive motorista, inclusive combustível</v>
      </c>
      <c r="B4194" s="1119"/>
      <c r="C4194" s="1119"/>
      <c r="D4194" s="1119"/>
      <c r="E4194" s="1119"/>
      <c r="F4194" s="1119"/>
      <c r="G4194" s="1119"/>
      <c r="H4194" s="1119"/>
      <c r="I4194" s="1119" t="str">
        <f>CONCATENATE("Unidade: ", VLOOKUP(J4193,'DER 11-20'!$A:$E,3,FALSE))</f>
        <v>Unidade: Mes</v>
      </c>
      <c r="J4194" s="415"/>
      <c r="K4194" s="415"/>
      <c r="L4194" s="198"/>
      <c r="M4194" s="198"/>
      <c r="N4194" s="198"/>
      <c r="O4194" s="198"/>
      <c r="P4194" s="198"/>
      <c r="Q4194" s="198"/>
    </row>
    <row r="4195" spans="1:17" x14ac:dyDescent="0.2">
      <c r="A4195" s="1120"/>
      <c r="B4195" s="1120"/>
      <c r="C4195" s="1120"/>
      <c r="D4195" s="1120"/>
      <c r="E4195" s="1120"/>
      <c r="F4195" s="1120"/>
      <c r="G4195" s="1120"/>
      <c r="H4195" s="1120"/>
      <c r="I4195" s="1120"/>
      <c r="J4195" s="415"/>
      <c r="K4195" s="415"/>
      <c r="L4195" s="198"/>
      <c r="M4195" s="198"/>
      <c r="N4195" s="198"/>
      <c r="O4195" s="198"/>
      <c r="P4195" s="198"/>
      <c r="Q4195" s="198"/>
    </row>
    <row r="4196" spans="1:17" ht="22.5" x14ac:dyDescent="0.2">
      <c r="A4196" s="231" t="s">
        <v>177</v>
      </c>
      <c r="B4196" s="232" t="s">
        <v>59</v>
      </c>
      <c r="C4196" s="232" t="s">
        <v>178</v>
      </c>
      <c r="D4196" s="232" t="s">
        <v>179</v>
      </c>
      <c r="E4196" s="232" t="s">
        <v>180</v>
      </c>
      <c r="F4196" s="232" t="s">
        <v>181</v>
      </c>
      <c r="G4196" s="232" t="s">
        <v>182</v>
      </c>
      <c r="H4196" s="232" t="s">
        <v>89</v>
      </c>
      <c r="I4196" s="434" t="s">
        <v>183</v>
      </c>
    </row>
    <row r="4197" spans="1:17" x14ac:dyDescent="0.2">
      <c r="A4197" s="199"/>
      <c r="B4197" s="229"/>
      <c r="C4197" s="229"/>
      <c r="D4197" s="199"/>
      <c r="E4197" s="199"/>
      <c r="F4197" s="230" t="s">
        <v>184</v>
      </c>
      <c r="G4197" s="240"/>
      <c r="H4197" s="241"/>
      <c r="I4197" s="438"/>
    </row>
    <row r="4198" spans="1:17" x14ac:dyDescent="0.2">
      <c r="A4198" s="199"/>
      <c r="B4198" s="229"/>
      <c r="C4198" s="229"/>
      <c r="D4198" s="199"/>
      <c r="E4198" s="199"/>
      <c r="F4198" s="199"/>
      <c r="G4198" s="199"/>
      <c r="H4198" s="199"/>
      <c r="I4198" s="439"/>
    </row>
    <row r="4199" spans="1:17" x14ac:dyDescent="0.2">
      <c r="A4199" s="242" t="s">
        <v>185</v>
      </c>
      <c r="B4199" s="243" t="s">
        <v>59</v>
      </c>
      <c r="C4199" s="232" t="s">
        <v>357</v>
      </c>
      <c r="D4199" s="243" t="s">
        <v>187</v>
      </c>
      <c r="E4199" s="1121" t="s">
        <v>89</v>
      </c>
      <c r="F4199" s="1114"/>
      <c r="G4199" s="1115"/>
      <c r="H4199" s="1121" t="s">
        <v>183</v>
      </c>
      <c r="I4199" s="1115"/>
    </row>
    <row r="4200" spans="1:17" x14ac:dyDescent="0.2">
      <c r="A4200" s="199"/>
      <c r="B4200" s="229"/>
      <c r="C4200" s="229"/>
      <c r="D4200" s="199"/>
      <c r="E4200" s="199"/>
      <c r="F4200" s="230" t="s">
        <v>188</v>
      </c>
      <c r="G4200" s="240"/>
      <c r="H4200" s="241"/>
      <c r="I4200" s="438"/>
    </row>
    <row r="4201" spans="1:17" x14ac:dyDescent="0.2">
      <c r="A4201" s="199"/>
      <c r="B4201" s="229"/>
      <c r="C4201" s="229"/>
      <c r="D4201" s="199"/>
      <c r="E4201" s="199"/>
      <c r="F4201" s="199"/>
      <c r="G4201" s="199"/>
      <c r="H4201" s="199"/>
      <c r="I4201" s="439"/>
    </row>
    <row r="4202" spans="1:17" x14ac:dyDescent="0.2">
      <c r="A4202" s="245" t="s">
        <v>189</v>
      </c>
      <c r="B4202" s="243" t="s">
        <v>59</v>
      </c>
      <c r="C4202" s="635" t="s">
        <v>17</v>
      </c>
      <c r="D4202" s="243" t="s">
        <v>190</v>
      </c>
      <c r="E4202" s="243" t="s">
        <v>191</v>
      </c>
      <c r="F4202" s="243" t="s">
        <v>192</v>
      </c>
      <c r="G4202" s="1121" t="s">
        <v>94</v>
      </c>
      <c r="H4202" s="1114"/>
      <c r="I4202" s="1115"/>
    </row>
    <row r="4203" spans="1:17" x14ac:dyDescent="0.2">
      <c r="A4203" s="199"/>
      <c r="B4203" s="229"/>
      <c r="C4203" s="199"/>
      <c r="D4203" s="199"/>
      <c r="E4203" s="199"/>
      <c r="F4203" s="230" t="s">
        <v>327</v>
      </c>
      <c r="G4203" s="240"/>
      <c r="H4203" s="241"/>
      <c r="I4203" s="438"/>
    </row>
    <row r="4204" spans="1:17" x14ac:dyDescent="0.2">
      <c r="A4204" s="199"/>
      <c r="B4204" s="229"/>
      <c r="C4204" s="199"/>
      <c r="D4204" s="199"/>
      <c r="E4204" s="199"/>
      <c r="F4204" s="199"/>
      <c r="G4204" s="199"/>
      <c r="H4204" s="199"/>
      <c r="I4204" s="439"/>
    </row>
    <row r="4205" spans="1:17" x14ac:dyDescent="0.2">
      <c r="A4205" s="247"/>
      <c r="B4205" s="248"/>
      <c r="C4205" s="249"/>
      <c r="D4205" s="249"/>
      <c r="E4205" s="249"/>
      <c r="F4205" s="250" t="s">
        <v>193</v>
      </c>
      <c r="G4205" s="401"/>
      <c r="H4205" s="249"/>
      <c r="I4205" s="445">
        <f>+I4197+I4200+I4203</f>
        <v>0</v>
      </c>
    </row>
    <row r="4206" spans="1:17" x14ac:dyDescent="0.2">
      <c r="A4206" s="251"/>
      <c r="B4206" s="252"/>
      <c r="C4206" s="253"/>
      <c r="D4206" s="253"/>
      <c r="E4206" s="253"/>
      <c r="F4206" s="254" t="s">
        <v>194</v>
      </c>
      <c r="G4206" s="255"/>
      <c r="H4206" s="253"/>
      <c r="I4206" s="446">
        <v>1</v>
      </c>
    </row>
    <row r="4207" spans="1:17" x14ac:dyDescent="0.2">
      <c r="A4207" s="233"/>
      <c r="B4207" s="256"/>
      <c r="C4207" s="241"/>
      <c r="D4207" s="241"/>
      <c r="E4207" s="241"/>
      <c r="F4207" s="257" t="s">
        <v>216</v>
      </c>
      <c r="G4207" s="240"/>
      <c r="H4207" s="241"/>
      <c r="I4207" s="447">
        <f>TRUNC(I4205/I4206,2)</f>
        <v>0</v>
      </c>
    </row>
    <row r="4208" spans="1:17" x14ac:dyDescent="0.2">
      <c r="A4208" s="636"/>
      <c r="B4208" s="229"/>
      <c r="C4208" s="199"/>
      <c r="D4208" s="199"/>
      <c r="E4208" s="199"/>
      <c r="F4208" s="258"/>
      <c r="G4208" s="199"/>
      <c r="H4208" s="199"/>
      <c r="I4208" s="450"/>
    </row>
    <row r="4209" spans="1:17" x14ac:dyDescent="0.2">
      <c r="A4209" s="242" t="s">
        <v>195</v>
      </c>
      <c r="B4209" s="243" t="s">
        <v>59</v>
      </c>
      <c r="C4209" s="243" t="s">
        <v>196</v>
      </c>
      <c r="D4209" s="243" t="s">
        <v>217</v>
      </c>
      <c r="E4209" s="1121" t="s">
        <v>89</v>
      </c>
      <c r="F4209" s="1114"/>
      <c r="G4209" s="1115"/>
      <c r="H4209" s="1121" t="s">
        <v>183</v>
      </c>
      <c r="I4209" s="1115"/>
    </row>
    <row r="4210" spans="1:17" ht="33.75" x14ac:dyDescent="0.2">
      <c r="A4210" s="259" t="str">
        <f>VLOOKUP(B4210,mat.!$A:$D,2,FALSE)</f>
        <v>Aluguel mensal de veículos tipo Gol 1.6, exclusive motorista e combustível</v>
      </c>
      <c r="B4210" s="234">
        <v>10585</v>
      </c>
      <c r="C4210" s="260" t="str">
        <f>VLOOKUP(B4210,mat.!$A:$D,3,FALSE)</f>
        <v>Mes</v>
      </c>
      <c r="D4210" s="261">
        <f>VLOOKUP(B4210,mat.!$A:$D,4,FALSE)</f>
        <v>1878.59</v>
      </c>
      <c r="E4210" s="255"/>
      <c r="F4210" s="253"/>
      <c r="G4210" s="293">
        <v>1</v>
      </c>
      <c r="H4210" s="255"/>
      <c r="I4210" s="427">
        <f>TRUNC(D4210*G4210,2)</f>
        <v>1878.59</v>
      </c>
    </row>
    <row r="4211" spans="1:17" x14ac:dyDescent="0.2">
      <c r="A4211" s="259" t="str">
        <f>VLOOKUP(B4211,mat.!$A:$D,2,FALSE)</f>
        <v>Gasolina</v>
      </c>
      <c r="B4211" s="234">
        <v>10859</v>
      </c>
      <c r="C4211" s="260" t="str">
        <f>VLOOKUP(B4211,mat.!$A:$D,3,FALSE)</f>
        <v>L</v>
      </c>
      <c r="D4211" s="261">
        <f>VLOOKUP(B4211,mat.!$A:$D,4,FALSE)</f>
        <v>4.25</v>
      </c>
      <c r="E4211" s="255"/>
      <c r="F4211" s="253"/>
      <c r="G4211" s="293">
        <v>500</v>
      </c>
      <c r="H4211" s="255"/>
      <c r="I4211" s="423">
        <f>TRUNC(D4211*G4211,2)</f>
        <v>2125</v>
      </c>
    </row>
    <row r="4212" spans="1:17" x14ac:dyDescent="0.2">
      <c r="A4212" s="199"/>
      <c r="B4212" s="229"/>
      <c r="C4212" s="199"/>
      <c r="D4212" s="199"/>
      <c r="E4212" s="199"/>
      <c r="F4212" s="230" t="s">
        <v>197</v>
      </c>
      <c r="G4212" s="240"/>
      <c r="H4212" s="241"/>
      <c r="I4212" s="438">
        <f>SUM(I4210:I4211)</f>
        <v>4003.59</v>
      </c>
    </row>
    <row r="4213" spans="1:17" x14ac:dyDescent="0.2">
      <c r="A4213" s="199"/>
      <c r="B4213" s="229"/>
      <c r="C4213" s="199"/>
      <c r="D4213" s="199"/>
      <c r="E4213" s="199"/>
      <c r="F4213" s="199"/>
      <c r="G4213" s="262"/>
      <c r="H4213" s="199"/>
      <c r="I4213" s="439"/>
    </row>
    <row r="4214" spans="1:17" x14ac:dyDescent="0.2">
      <c r="A4214" s="263" t="s">
        <v>198</v>
      </c>
      <c r="B4214" s="243" t="s">
        <v>59</v>
      </c>
      <c r="C4214" s="243" t="s">
        <v>196</v>
      </c>
      <c r="D4214" s="635" t="s">
        <v>217</v>
      </c>
      <c r="E4214" s="1121" t="s">
        <v>89</v>
      </c>
      <c r="F4214" s="1114"/>
      <c r="G4214" s="1115"/>
      <c r="H4214" s="1121" t="s">
        <v>183</v>
      </c>
      <c r="I4214" s="1115"/>
      <c r="J4214" s="415"/>
      <c r="K4214" s="415"/>
      <c r="L4214" s="198"/>
      <c r="M4214" s="198"/>
      <c r="N4214" s="198"/>
    </row>
    <row r="4215" spans="1:17" x14ac:dyDescent="0.2">
      <c r="A4215" s="416"/>
      <c r="B4215" s="417"/>
      <c r="C4215" s="417"/>
      <c r="D4215" s="418"/>
      <c r="E4215" s="419"/>
      <c r="F4215" s="420"/>
      <c r="G4215" s="421"/>
      <c r="H4215" s="422"/>
      <c r="I4215" s="423"/>
    </row>
    <row r="4216" spans="1:17" x14ac:dyDescent="0.2">
      <c r="A4216" s="200"/>
      <c r="B4216" s="264"/>
      <c r="C4216" s="200"/>
      <c r="D4216" s="200"/>
      <c r="E4216" s="200"/>
      <c r="F4216" s="265" t="s">
        <v>199</v>
      </c>
      <c r="G4216" s="255"/>
      <c r="H4216" s="266"/>
      <c r="I4216" s="441">
        <f>SUM(I4215:I4215)</f>
        <v>0</v>
      </c>
    </row>
    <row r="4217" spans="1:17" x14ac:dyDescent="0.2">
      <c r="A4217" s="200"/>
      <c r="B4217" s="264"/>
      <c r="C4217" s="200"/>
      <c r="D4217" s="200"/>
      <c r="E4217" s="200"/>
      <c r="F4217" s="200"/>
      <c r="G4217" s="200"/>
      <c r="H4217" s="200"/>
      <c r="I4217" s="440"/>
    </row>
    <row r="4218" spans="1:17" x14ac:dyDescent="0.2">
      <c r="A4218" s="267" t="s">
        <v>200</v>
      </c>
      <c r="B4218" s="268" t="s">
        <v>59</v>
      </c>
      <c r="C4218" s="268" t="s">
        <v>196</v>
      </c>
      <c r="D4218" s="268" t="s">
        <v>201</v>
      </c>
      <c r="E4218" s="268" t="s">
        <v>202</v>
      </c>
      <c r="F4218" s="268" t="s">
        <v>203</v>
      </c>
      <c r="G4218" s="268" t="s">
        <v>94</v>
      </c>
      <c r="H4218" s="268" t="s">
        <v>89</v>
      </c>
      <c r="I4218" s="442" t="s">
        <v>204</v>
      </c>
    </row>
    <row r="4219" spans="1:17" x14ac:dyDescent="0.2">
      <c r="A4219" s="200"/>
      <c r="B4219" s="264"/>
      <c r="C4219" s="200"/>
      <c r="D4219" s="200"/>
      <c r="E4219" s="200"/>
      <c r="F4219" s="265" t="s">
        <v>205</v>
      </c>
      <c r="G4219" s="240"/>
      <c r="H4219" s="272"/>
      <c r="I4219" s="443"/>
      <c r="P4219" s="198"/>
      <c r="Q4219" s="198"/>
    </row>
    <row r="4220" spans="1:17" x14ac:dyDescent="0.2">
      <c r="A4220" s="200"/>
      <c r="B4220" s="264"/>
      <c r="C4220" s="200"/>
      <c r="D4220" s="200"/>
      <c r="E4220" s="200"/>
      <c r="F4220" s="200"/>
      <c r="G4220" s="200"/>
      <c r="H4220" s="200"/>
      <c r="I4220" s="444"/>
      <c r="J4220" s="410"/>
    </row>
    <row r="4221" spans="1:17" x14ac:dyDescent="0.2">
      <c r="A4221" s="273"/>
      <c r="B4221" s="274"/>
      <c r="C4221" s="275"/>
      <c r="D4221" s="275"/>
      <c r="E4221" s="275"/>
      <c r="F4221" s="276" t="s">
        <v>206</v>
      </c>
      <c r="G4221" s="273"/>
      <c r="H4221" s="249"/>
      <c r="I4221" s="445">
        <f>+I4207+I4212+I4216+I4219</f>
        <v>4003.59</v>
      </c>
    </row>
    <row r="4222" spans="1:17" x14ac:dyDescent="0.2">
      <c r="A4222" s="255"/>
      <c r="B4222" s="277"/>
      <c r="C4222" s="266"/>
      <c r="D4222" s="266"/>
      <c r="E4222" s="266"/>
      <c r="F4222" s="278" t="str">
        <f>CONCATENATE($H$3," ",$I$3)</f>
        <v>BDI: 23,32</v>
      </c>
      <c r="G4222" s="403"/>
      <c r="H4222" s="253"/>
      <c r="I4222" s="446">
        <f>+ROUND(I4221*$I$4,2)</f>
        <v>933.64</v>
      </c>
      <c r="J4222" s="410"/>
    </row>
    <row r="4223" spans="1:17" x14ac:dyDescent="0.2">
      <c r="A4223" s="240"/>
      <c r="B4223" s="279"/>
      <c r="C4223" s="272"/>
      <c r="D4223" s="272"/>
      <c r="E4223" s="272"/>
      <c r="F4223" s="280" t="s">
        <v>207</v>
      </c>
      <c r="G4223" s="404"/>
      <c r="H4223" s="241"/>
      <c r="I4223" s="720">
        <f>+I4221+I4222</f>
        <v>4937.2299999999996</v>
      </c>
    </row>
    <row r="4224" spans="1:17" x14ac:dyDescent="0.2">
      <c r="A4224" s="1123" t="str">
        <f>$A$1</f>
        <v>COMPOSIÇÃO DE CUSTOS UNITÁRIOS</v>
      </c>
      <c r="B4224" s="1123"/>
      <c r="C4224" s="1123"/>
      <c r="D4224" s="1123"/>
      <c r="E4224" s="1123"/>
      <c r="F4224" s="1123"/>
      <c r="G4224" s="1123"/>
      <c r="H4224" s="1123"/>
      <c r="I4224" s="1123"/>
      <c r="J4224" s="415"/>
      <c r="K4224" s="415"/>
      <c r="L4224" s="198"/>
      <c r="M4224" s="198"/>
      <c r="N4224" s="198"/>
      <c r="O4224" s="198"/>
      <c r="P4224" s="198"/>
      <c r="Q4224" s="198"/>
    </row>
    <row r="4225" spans="1:17" x14ac:dyDescent="0.2">
      <c r="A4225" s="411" t="str">
        <f>$A$2</f>
        <v>Tabela Referencial de Preços - DER-ES</v>
      </c>
      <c r="B4225" s="412"/>
      <c r="C4225" s="413"/>
      <c r="D4225" s="413"/>
      <c r="E4225" s="413"/>
      <c r="F4225" s="413"/>
      <c r="G4225" s="413"/>
      <c r="H4225" s="413"/>
      <c r="I4225" s="414" t="str">
        <f>$I$2</f>
        <v>Data Base: novembro/2020</v>
      </c>
      <c r="J4225" s="415">
        <v>42888</v>
      </c>
      <c r="K4225" s="415">
        <f>VLOOKUP("Preço Unitário Total",F4227:I4255,4,FALSE)</f>
        <v>8393</v>
      </c>
      <c r="L4225" s="198">
        <f>VLOOKUP(J4225,'DER 11-20'!A:E,5,FALSE)</f>
        <v>0</v>
      </c>
      <c r="M4225" s="198" t="str">
        <f>VLOOKUP(J4225,'DER 11-20'!$A:$D,2,FALSE)</f>
        <v>Aluguel mensal de automóvel utilitário inclusive combustível, exclusive motorista</v>
      </c>
      <c r="N4225" s="198"/>
      <c r="O4225" s="198"/>
      <c r="P4225" s="198"/>
      <c r="Q4225" s="198"/>
    </row>
    <row r="4226" spans="1:17" x14ac:dyDescent="0.2">
      <c r="A4226" s="1119" t="str">
        <f>+CONCATENATE("Serviço: ",J4225," ",VLOOKUP(J4225,'DER 11-20'!$A:$D,2,FALSE))</f>
        <v>Serviço: 42888 Aluguel mensal de automóvel utilitário inclusive combustível, exclusive motorista</v>
      </c>
      <c r="B4226" s="1119"/>
      <c r="C4226" s="1119"/>
      <c r="D4226" s="1119"/>
      <c r="E4226" s="1119"/>
      <c r="F4226" s="1119"/>
      <c r="G4226" s="1119"/>
      <c r="H4226" s="1119"/>
      <c r="I4226" s="1119" t="str">
        <f>CONCATENATE("Unidade: ", VLOOKUP(J4225,'DER 11-20'!$A:$E,3,FALSE))</f>
        <v>Unidade: Mes</v>
      </c>
      <c r="J4226" s="415"/>
      <c r="K4226" s="415"/>
      <c r="L4226" s="198"/>
      <c r="M4226" s="198"/>
      <c r="N4226" s="198"/>
      <c r="O4226" s="198"/>
      <c r="P4226" s="198"/>
      <c r="Q4226" s="198"/>
    </row>
    <row r="4227" spans="1:17" x14ac:dyDescent="0.2">
      <c r="A4227" s="1120"/>
      <c r="B4227" s="1120"/>
      <c r="C4227" s="1120"/>
      <c r="D4227" s="1120"/>
      <c r="E4227" s="1120"/>
      <c r="F4227" s="1120"/>
      <c r="G4227" s="1120"/>
      <c r="H4227" s="1120"/>
      <c r="I4227" s="1120"/>
      <c r="J4227" s="415"/>
      <c r="K4227" s="415"/>
      <c r="L4227" s="198"/>
      <c r="M4227" s="198"/>
      <c r="N4227" s="198"/>
      <c r="O4227" s="198"/>
      <c r="P4227" s="198"/>
      <c r="Q4227" s="198"/>
    </row>
    <row r="4228" spans="1:17" ht="22.5" x14ac:dyDescent="0.2">
      <c r="A4228" s="231" t="s">
        <v>177</v>
      </c>
      <c r="B4228" s="232" t="s">
        <v>59</v>
      </c>
      <c r="C4228" s="232" t="s">
        <v>178</v>
      </c>
      <c r="D4228" s="232" t="s">
        <v>179</v>
      </c>
      <c r="E4228" s="232" t="s">
        <v>180</v>
      </c>
      <c r="F4228" s="232" t="s">
        <v>181</v>
      </c>
      <c r="G4228" s="232" t="s">
        <v>182</v>
      </c>
      <c r="H4228" s="232" t="s">
        <v>89</v>
      </c>
      <c r="I4228" s="434" t="s">
        <v>183</v>
      </c>
    </row>
    <row r="4229" spans="1:17" x14ac:dyDescent="0.2">
      <c r="A4229" s="199"/>
      <c r="B4229" s="229"/>
      <c r="C4229" s="229"/>
      <c r="D4229" s="199"/>
      <c r="E4229" s="199"/>
      <c r="F4229" s="230" t="s">
        <v>184</v>
      </c>
      <c r="G4229" s="240"/>
      <c r="H4229" s="241"/>
      <c r="I4229" s="438"/>
    </row>
    <row r="4230" spans="1:17" x14ac:dyDescent="0.2">
      <c r="A4230" s="199"/>
      <c r="B4230" s="229"/>
      <c r="C4230" s="229"/>
      <c r="D4230" s="199"/>
      <c r="E4230" s="199"/>
      <c r="F4230" s="199"/>
      <c r="G4230" s="199"/>
      <c r="H4230" s="199"/>
      <c r="I4230" s="439"/>
    </row>
    <row r="4231" spans="1:17" x14ac:dyDescent="0.2">
      <c r="A4231" s="242" t="s">
        <v>185</v>
      </c>
      <c r="B4231" s="243" t="s">
        <v>59</v>
      </c>
      <c r="C4231" s="232" t="s">
        <v>357</v>
      </c>
      <c r="D4231" s="243" t="s">
        <v>187</v>
      </c>
      <c r="E4231" s="1121" t="s">
        <v>89</v>
      </c>
      <c r="F4231" s="1114"/>
      <c r="G4231" s="1115"/>
      <c r="H4231" s="1121" t="s">
        <v>183</v>
      </c>
      <c r="I4231" s="1115"/>
    </row>
    <row r="4232" spans="1:17" x14ac:dyDescent="0.2">
      <c r="A4232" s="199"/>
      <c r="B4232" s="229"/>
      <c r="C4232" s="229"/>
      <c r="D4232" s="199"/>
      <c r="E4232" s="199"/>
      <c r="F4232" s="230" t="s">
        <v>188</v>
      </c>
      <c r="G4232" s="240"/>
      <c r="H4232" s="241"/>
      <c r="I4232" s="438"/>
    </row>
    <row r="4233" spans="1:17" x14ac:dyDescent="0.2">
      <c r="A4233" s="199"/>
      <c r="B4233" s="229"/>
      <c r="C4233" s="229"/>
      <c r="D4233" s="199"/>
      <c r="E4233" s="199"/>
      <c r="F4233" s="199"/>
      <c r="G4233" s="199"/>
      <c r="H4233" s="199"/>
      <c r="I4233" s="439"/>
    </row>
    <row r="4234" spans="1:17" x14ac:dyDescent="0.2">
      <c r="A4234" s="245" t="s">
        <v>189</v>
      </c>
      <c r="B4234" s="243" t="s">
        <v>59</v>
      </c>
      <c r="C4234" s="773" t="s">
        <v>17</v>
      </c>
      <c r="D4234" s="243" t="s">
        <v>190</v>
      </c>
      <c r="E4234" s="243" t="s">
        <v>191</v>
      </c>
      <c r="F4234" s="243" t="s">
        <v>192</v>
      </c>
      <c r="G4234" s="1121" t="s">
        <v>94</v>
      </c>
      <c r="H4234" s="1114"/>
      <c r="I4234" s="1115"/>
    </row>
    <row r="4235" spans="1:17" x14ac:dyDescent="0.2">
      <c r="A4235" s="199"/>
      <c r="B4235" s="229"/>
      <c r="C4235" s="199"/>
      <c r="D4235" s="199"/>
      <c r="E4235" s="199"/>
      <c r="F4235" s="230" t="s">
        <v>327</v>
      </c>
      <c r="G4235" s="240"/>
      <c r="H4235" s="241"/>
      <c r="I4235" s="438"/>
    </row>
    <row r="4236" spans="1:17" x14ac:dyDescent="0.2">
      <c r="A4236" s="199"/>
      <c r="B4236" s="229"/>
      <c r="C4236" s="199"/>
      <c r="D4236" s="199"/>
      <c r="E4236" s="199"/>
      <c r="F4236" s="199"/>
      <c r="G4236" s="199"/>
      <c r="H4236" s="199"/>
      <c r="I4236" s="439"/>
    </row>
    <row r="4237" spans="1:17" x14ac:dyDescent="0.2">
      <c r="A4237" s="247"/>
      <c r="B4237" s="248"/>
      <c r="C4237" s="249"/>
      <c r="D4237" s="249"/>
      <c r="E4237" s="249"/>
      <c r="F4237" s="250" t="s">
        <v>193</v>
      </c>
      <c r="G4237" s="401"/>
      <c r="H4237" s="249"/>
      <c r="I4237" s="445">
        <f>+I4229+I4232+I4235</f>
        <v>0</v>
      </c>
    </row>
    <row r="4238" spans="1:17" x14ac:dyDescent="0.2">
      <c r="A4238" s="251"/>
      <c r="B4238" s="252"/>
      <c r="C4238" s="253"/>
      <c r="D4238" s="253"/>
      <c r="E4238" s="253"/>
      <c r="F4238" s="254" t="s">
        <v>194</v>
      </c>
      <c r="G4238" s="255"/>
      <c r="H4238" s="253"/>
      <c r="I4238" s="446">
        <v>1</v>
      </c>
    </row>
    <row r="4239" spans="1:17" x14ac:dyDescent="0.2">
      <c r="A4239" s="233"/>
      <c r="B4239" s="256"/>
      <c r="C4239" s="241"/>
      <c r="D4239" s="241"/>
      <c r="E4239" s="241"/>
      <c r="F4239" s="257" t="s">
        <v>216</v>
      </c>
      <c r="G4239" s="240"/>
      <c r="H4239" s="241"/>
      <c r="I4239" s="447">
        <f>TRUNC(I4237/I4238,2)</f>
        <v>0</v>
      </c>
    </row>
    <row r="4240" spans="1:17" x14ac:dyDescent="0.2">
      <c r="A4240" s="772"/>
      <c r="B4240" s="229"/>
      <c r="C4240" s="199"/>
      <c r="D4240" s="199"/>
      <c r="E4240" s="199"/>
      <c r="F4240" s="258"/>
      <c r="G4240" s="199"/>
      <c r="H4240" s="199"/>
      <c r="I4240" s="450"/>
    </row>
    <row r="4241" spans="1:17" x14ac:dyDescent="0.2">
      <c r="A4241" s="242" t="s">
        <v>195</v>
      </c>
      <c r="B4241" s="243" t="s">
        <v>59</v>
      </c>
      <c r="C4241" s="243" t="s">
        <v>196</v>
      </c>
      <c r="D4241" s="243" t="s">
        <v>217</v>
      </c>
      <c r="E4241" s="1121" t="s">
        <v>89</v>
      </c>
      <c r="F4241" s="1114"/>
      <c r="G4241" s="1115"/>
      <c r="H4241" s="1121" t="s">
        <v>183</v>
      </c>
      <c r="I4241" s="1115"/>
    </row>
    <row r="4242" spans="1:17" ht="22.5" x14ac:dyDescent="0.2">
      <c r="A4242" s="259" t="str">
        <f>VLOOKUP(B4242,mat.!$A:$D,2,FALSE)</f>
        <v>Aluguel mensal de utilitário exclusive motorista e combustível</v>
      </c>
      <c r="B4242" s="234">
        <v>10586</v>
      </c>
      <c r="C4242" s="260" t="str">
        <f>VLOOKUP(B4242,mat.!$A:$D,3,FALSE)</f>
        <v>Mes</v>
      </c>
      <c r="D4242" s="261">
        <f>VLOOKUP(B4242,mat.!$A:$D,4,FALSE)</f>
        <v>4680.87</v>
      </c>
      <c r="E4242" s="255"/>
      <c r="F4242" s="253"/>
      <c r="G4242" s="293">
        <v>1</v>
      </c>
      <c r="H4242" s="255"/>
      <c r="I4242" s="427">
        <f>TRUNC(D4242*G4242,2)</f>
        <v>4680.87</v>
      </c>
    </row>
    <row r="4243" spans="1:17" x14ac:dyDescent="0.2">
      <c r="A4243" s="259" t="str">
        <f>VLOOKUP(B4243,mat.!$A:$D,2,FALSE)</f>
        <v>Gasolina</v>
      </c>
      <c r="B4243" s="234">
        <v>10859</v>
      </c>
      <c r="C4243" s="260" t="str">
        <f>VLOOKUP(B4243,mat.!$A:$D,3,FALSE)</f>
        <v>L</v>
      </c>
      <c r="D4243" s="261">
        <f>VLOOKUP(B4243,mat.!$A:$D,4,FALSE)</f>
        <v>4.25</v>
      </c>
      <c r="E4243" s="255"/>
      <c r="F4243" s="253"/>
      <c r="G4243" s="293">
        <v>500</v>
      </c>
      <c r="H4243" s="255"/>
      <c r="I4243" s="423">
        <f>TRUNC(D4243*G4243,2)</f>
        <v>2125</v>
      </c>
    </row>
    <row r="4244" spans="1:17" x14ac:dyDescent="0.2">
      <c r="A4244" s="199"/>
      <c r="B4244" s="229"/>
      <c r="C4244" s="199"/>
      <c r="D4244" s="199"/>
      <c r="E4244" s="199"/>
      <c r="F4244" s="230" t="s">
        <v>197</v>
      </c>
      <c r="G4244" s="240"/>
      <c r="H4244" s="241"/>
      <c r="I4244" s="438">
        <f>SUM(I4242:I4243)</f>
        <v>6805.87</v>
      </c>
    </row>
    <row r="4245" spans="1:17" x14ac:dyDescent="0.2">
      <c r="A4245" s="199"/>
      <c r="B4245" s="229"/>
      <c r="C4245" s="199"/>
      <c r="D4245" s="199"/>
      <c r="E4245" s="199"/>
      <c r="F4245" s="199"/>
      <c r="G4245" s="262"/>
      <c r="H4245" s="199"/>
      <c r="I4245" s="439"/>
    </row>
    <row r="4246" spans="1:17" x14ac:dyDescent="0.2">
      <c r="A4246" s="263" t="s">
        <v>198</v>
      </c>
      <c r="B4246" s="243" t="s">
        <v>59</v>
      </c>
      <c r="C4246" s="243" t="s">
        <v>196</v>
      </c>
      <c r="D4246" s="773" t="s">
        <v>217</v>
      </c>
      <c r="E4246" s="1121" t="s">
        <v>89</v>
      </c>
      <c r="F4246" s="1114"/>
      <c r="G4246" s="1115"/>
      <c r="H4246" s="1121" t="s">
        <v>183</v>
      </c>
      <c r="I4246" s="1115"/>
      <c r="J4246" s="415"/>
      <c r="K4246" s="415"/>
      <c r="L4246" s="198"/>
      <c r="M4246" s="198"/>
      <c r="N4246" s="198"/>
    </row>
    <row r="4247" spans="1:17" x14ac:dyDescent="0.2">
      <c r="A4247" s="416"/>
      <c r="B4247" s="417"/>
      <c r="C4247" s="417"/>
      <c r="D4247" s="418"/>
      <c r="E4247" s="419"/>
      <c r="F4247" s="420"/>
      <c r="G4247" s="421"/>
      <c r="H4247" s="422"/>
      <c r="I4247" s="423"/>
    </row>
    <row r="4248" spans="1:17" x14ac:dyDescent="0.2">
      <c r="A4248" s="200"/>
      <c r="B4248" s="264"/>
      <c r="C4248" s="200"/>
      <c r="D4248" s="200"/>
      <c r="E4248" s="200"/>
      <c r="F4248" s="265" t="s">
        <v>199</v>
      </c>
      <c r="G4248" s="255"/>
      <c r="H4248" s="266"/>
      <c r="I4248" s="441">
        <f>SUM(I4247:I4247)</f>
        <v>0</v>
      </c>
    </row>
    <row r="4249" spans="1:17" x14ac:dyDescent="0.2">
      <c r="A4249" s="200"/>
      <c r="B4249" s="264"/>
      <c r="C4249" s="200"/>
      <c r="D4249" s="200"/>
      <c r="E4249" s="200"/>
      <c r="F4249" s="200"/>
      <c r="G4249" s="200"/>
      <c r="H4249" s="200"/>
      <c r="I4249" s="440"/>
    </row>
    <row r="4250" spans="1:17" x14ac:dyDescent="0.2">
      <c r="A4250" s="267" t="s">
        <v>200</v>
      </c>
      <c r="B4250" s="268" t="s">
        <v>59</v>
      </c>
      <c r="C4250" s="268" t="s">
        <v>196</v>
      </c>
      <c r="D4250" s="268" t="s">
        <v>201</v>
      </c>
      <c r="E4250" s="268" t="s">
        <v>202</v>
      </c>
      <c r="F4250" s="268" t="s">
        <v>203</v>
      </c>
      <c r="G4250" s="268" t="s">
        <v>94</v>
      </c>
      <c r="H4250" s="268" t="s">
        <v>89</v>
      </c>
      <c r="I4250" s="442" t="s">
        <v>204</v>
      </c>
    </row>
    <row r="4251" spans="1:17" x14ac:dyDescent="0.2">
      <c r="A4251" s="200"/>
      <c r="B4251" s="264"/>
      <c r="C4251" s="200"/>
      <c r="D4251" s="200"/>
      <c r="E4251" s="200"/>
      <c r="F4251" s="265" t="s">
        <v>205</v>
      </c>
      <c r="G4251" s="240"/>
      <c r="H4251" s="272"/>
      <c r="I4251" s="443"/>
      <c r="P4251" s="198"/>
      <c r="Q4251" s="198"/>
    </row>
    <row r="4252" spans="1:17" x14ac:dyDescent="0.2">
      <c r="A4252" s="200"/>
      <c r="B4252" s="264"/>
      <c r="C4252" s="200"/>
      <c r="D4252" s="200"/>
      <c r="E4252" s="200"/>
      <c r="F4252" s="200"/>
      <c r="G4252" s="200"/>
      <c r="H4252" s="200"/>
      <c r="I4252" s="444"/>
      <c r="J4252" s="410"/>
    </row>
    <row r="4253" spans="1:17" x14ac:dyDescent="0.2">
      <c r="A4253" s="273"/>
      <c r="B4253" s="274"/>
      <c r="C4253" s="275"/>
      <c r="D4253" s="275"/>
      <c r="E4253" s="275"/>
      <c r="F4253" s="276" t="s">
        <v>206</v>
      </c>
      <c r="G4253" s="273"/>
      <c r="H4253" s="249"/>
      <c r="I4253" s="445">
        <f>+I4239+I4244+I4248+I4251</f>
        <v>6805.87</v>
      </c>
    </row>
    <row r="4254" spans="1:17" x14ac:dyDescent="0.2">
      <c r="A4254" s="255"/>
      <c r="B4254" s="277"/>
      <c r="C4254" s="266"/>
      <c r="D4254" s="266"/>
      <c r="E4254" s="266"/>
      <c r="F4254" s="278" t="str">
        <f>CONCATENATE($H$3," ",$I$3)</f>
        <v>BDI: 23,32</v>
      </c>
      <c r="G4254" s="403"/>
      <c r="H4254" s="253"/>
      <c r="I4254" s="446">
        <f>+ROUND(I4253*$I$4,2)</f>
        <v>1587.13</v>
      </c>
      <c r="J4254" s="410"/>
    </row>
    <row r="4255" spans="1:17" x14ac:dyDescent="0.2">
      <c r="A4255" s="240"/>
      <c r="B4255" s="279"/>
      <c r="C4255" s="272"/>
      <c r="D4255" s="272"/>
      <c r="E4255" s="272"/>
      <c r="F4255" s="280" t="s">
        <v>207</v>
      </c>
      <c r="G4255" s="404"/>
      <c r="H4255" s="241"/>
      <c r="I4255" s="720">
        <f>+I4253+I4254</f>
        <v>8393</v>
      </c>
    </row>
    <row r="4256" spans="1:17" x14ac:dyDescent="0.2">
      <c r="A4256" s="1116" t="str">
        <f>$A$1</f>
        <v>COMPOSIÇÃO DE CUSTOS UNITÁRIOS</v>
      </c>
      <c r="B4256" s="1116"/>
      <c r="C4256" s="1116"/>
      <c r="D4256" s="1116"/>
      <c r="E4256" s="1116"/>
      <c r="F4256" s="1116"/>
      <c r="G4256" s="1116"/>
      <c r="H4256" s="1116"/>
      <c r="I4256" s="1116"/>
    </row>
    <row r="4257" spans="1:13" x14ac:dyDescent="0.2">
      <c r="A4257" s="228" t="str">
        <f>$A$2</f>
        <v>Tabela Referencial de Preços - DER-ES</v>
      </c>
      <c r="B4257" s="229"/>
      <c r="C4257" s="199"/>
      <c r="D4257" s="199"/>
      <c r="E4257" s="199"/>
      <c r="F4257" s="199"/>
      <c r="G4257" s="199"/>
      <c r="H4257" s="199"/>
      <c r="I4257" s="414" t="str">
        <f>$I$2</f>
        <v>Data Base: novembro/2020</v>
      </c>
    </row>
    <row r="4258" spans="1:13" x14ac:dyDescent="0.2">
      <c r="A4258" s="1117" t="str">
        <f>+CONCATENATE("Serviço: ",J4258," ",VLOOKUP(J4258,'DER 11-20'!$A:$D,2,FALSE))</f>
        <v>Serviço: 40258 Escavação manual em mat. 1ª cat. H= 0,00 a 1,50 m</v>
      </c>
      <c r="B4258" s="1117"/>
      <c r="C4258" s="1117"/>
      <c r="D4258" s="1117"/>
      <c r="E4258" s="1117"/>
      <c r="F4258" s="1117"/>
      <c r="G4258" s="1117"/>
      <c r="H4258" s="1117"/>
      <c r="I4258" s="1119" t="str">
        <f>CONCATENATE("Unidade: ", VLOOKUP(J4258,'DER 11-20'!$A:$E,3,FALSE))</f>
        <v>Unidade: M3</v>
      </c>
      <c r="J4258" s="400">
        <v>40258</v>
      </c>
      <c r="K4258" s="400">
        <f>VLOOKUP("Preço Unitário Total",F4259:I4848,4,FALSE)</f>
        <v>69.8</v>
      </c>
      <c r="L4258" s="295">
        <f>VLOOKUP(J4258,'DER 11-20'!A:E,5,FALSE)</f>
        <v>0</v>
      </c>
      <c r="M4258" s="295" t="str">
        <f>VLOOKUP(J4258,'DER 11-20'!$A:$D,2,FALSE)</f>
        <v>Escavação manual em mat. 1ª cat. H= 0,00 a 1,50 m</v>
      </c>
    </row>
    <row r="4259" spans="1:13" x14ac:dyDescent="0.2">
      <c r="A4259" s="1118"/>
      <c r="B4259" s="1118"/>
      <c r="C4259" s="1118"/>
      <c r="D4259" s="1118"/>
      <c r="E4259" s="1118"/>
      <c r="F4259" s="1118"/>
      <c r="G4259" s="1118"/>
      <c r="H4259" s="1118"/>
      <c r="I4259" s="1120"/>
    </row>
    <row r="4260" spans="1:13" ht="22.5" x14ac:dyDescent="0.2">
      <c r="A4260" s="231" t="s">
        <v>177</v>
      </c>
      <c r="B4260" s="232" t="s">
        <v>59</v>
      </c>
      <c r="C4260" s="232" t="s">
        <v>178</v>
      </c>
      <c r="D4260" s="232" t="s">
        <v>179</v>
      </c>
      <c r="E4260" s="232" t="s">
        <v>180</v>
      </c>
      <c r="F4260" s="232" t="s">
        <v>181</v>
      </c>
      <c r="G4260" s="232" t="s">
        <v>182</v>
      </c>
      <c r="H4260" s="232" t="s">
        <v>89</v>
      </c>
      <c r="I4260" s="434" t="s">
        <v>183</v>
      </c>
    </row>
    <row r="4261" spans="1:13" x14ac:dyDescent="0.2">
      <c r="A4261" s="199"/>
      <c r="B4261" s="229"/>
      <c r="C4261" s="229"/>
      <c r="D4261" s="199"/>
      <c r="E4261" s="199"/>
      <c r="F4261" s="230" t="s">
        <v>184</v>
      </c>
      <c r="G4261" s="240"/>
      <c r="H4261" s="241"/>
      <c r="I4261" s="438"/>
    </row>
    <row r="4262" spans="1:13" x14ac:dyDescent="0.2">
      <c r="A4262" s="199"/>
      <c r="B4262" s="229"/>
      <c r="C4262" s="229"/>
      <c r="D4262" s="199"/>
      <c r="E4262" s="199"/>
      <c r="F4262" s="199"/>
      <c r="G4262" s="199"/>
      <c r="H4262" s="199"/>
      <c r="I4262" s="439"/>
    </row>
    <row r="4263" spans="1:13" x14ac:dyDescent="0.2">
      <c r="A4263" s="242" t="s">
        <v>185</v>
      </c>
      <c r="B4263" s="243" t="s">
        <v>59</v>
      </c>
      <c r="C4263" s="232" t="s">
        <v>357</v>
      </c>
      <c r="D4263" s="243" t="s">
        <v>187</v>
      </c>
      <c r="E4263" s="1111" t="s">
        <v>89</v>
      </c>
      <c r="F4263" s="1112"/>
      <c r="G4263" s="1113"/>
      <c r="H4263" s="1121" t="s">
        <v>183</v>
      </c>
      <c r="I4263" s="1115"/>
    </row>
    <row r="4264" spans="1:13" x14ac:dyDescent="0.2">
      <c r="A4264" s="244" t="str">
        <f>VLOOKUP(B4264,m.o.!$A:$H,2,FALSE)</f>
        <v>Encarregado de O.A.C.</v>
      </c>
      <c r="B4264" s="234">
        <v>20060</v>
      </c>
      <c r="C4264" s="239">
        <f>VLOOKUP(B4264,m.o.!$A:$F,4,FALSE)</f>
        <v>2.2599999999999998</v>
      </c>
      <c r="D4264" s="239">
        <f>VLOOKUP(B4264,m.o.!$A:$G,7,FALSE)</f>
        <v>28.31</v>
      </c>
      <c r="E4264" s="255"/>
      <c r="F4264" s="253"/>
      <c r="G4264" s="293">
        <v>0.1</v>
      </c>
      <c r="H4264" s="240"/>
      <c r="I4264" s="427">
        <f>TRUNC(D4264*G4264,2)</f>
        <v>2.83</v>
      </c>
    </row>
    <row r="4265" spans="1:13" x14ac:dyDescent="0.2">
      <c r="A4265" s="244" t="str">
        <f>VLOOKUP(B4265,m.o.!$A:$H,2,FALSE)</f>
        <v>Operário braçal</v>
      </c>
      <c r="B4265" s="234">
        <v>20107</v>
      </c>
      <c r="C4265" s="239">
        <f>VLOOKUP(B4265,m.o.!$A:$F,4,FALSE)</f>
        <v>1.02</v>
      </c>
      <c r="D4265" s="239">
        <f>VLOOKUP(B4265,m.o.!$A:$G,7,FALSE)</f>
        <v>12.77</v>
      </c>
      <c r="E4265" s="255"/>
      <c r="F4265" s="253"/>
      <c r="G4265" s="293">
        <v>4</v>
      </c>
      <c r="H4265" s="240"/>
      <c r="I4265" s="427">
        <f>TRUNC(D4265*G4265,2)</f>
        <v>51.08</v>
      </c>
    </row>
    <row r="4266" spans="1:13" x14ac:dyDescent="0.2">
      <c r="A4266" s="199"/>
      <c r="B4266" s="229"/>
      <c r="C4266" s="229"/>
      <c r="D4266" s="199"/>
      <c r="E4266" s="199"/>
      <c r="F4266" s="230" t="s">
        <v>188</v>
      </c>
      <c r="G4266" s="240"/>
      <c r="H4266" s="241"/>
      <c r="I4266" s="438">
        <f>SUM(I4264:I4265)</f>
        <v>53.91</v>
      </c>
    </row>
    <row r="4267" spans="1:13" x14ac:dyDescent="0.2">
      <c r="A4267" s="199"/>
      <c r="B4267" s="229"/>
      <c r="C4267" s="229"/>
      <c r="D4267" s="199"/>
      <c r="E4267" s="199"/>
      <c r="F4267" s="199"/>
      <c r="G4267" s="199"/>
      <c r="H4267" s="199"/>
      <c r="I4267" s="439"/>
    </row>
    <row r="4268" spans="1:13" x14ac:dyDescent="0.2">
      <c r="A4268" s="245" t="s">
        <v>189</v>
      </c>
      <c r="B4268" s="243" t="s">
        <v>59</v>
      </c>
      <c r="C4268" s="635" t="s">
        <v>17</v>
      </c>
      <c r="D4268" s="243" t="s">
        <v>190</v>
      </c>
      <c r="E4268" s="243" t="s">
        <v>191</v>
      </c>
      <c r="F4268" s="243" t="s">
        <v>192</v>
      </c>
      <c r="G4268" s="1121" t="s">
        <v>94</v>
      </c>
      <c r="H4268" s="1114"/>
      <c r="I4268" s="1115"/>
    </row>
    <row r="4269" spans="1:13" x14ac:dyDescent="0.2">
      <c r="A4269" s="244" t="s">
        <v>127</v>
      </c>
      <c r="B4269" s="234">
        <v>2000</v>
      </c>
      <c r="C4269" s="239">
        <v>5</v>
      </c>
      <c r="D4269" s="235" t="s">
        <v>208</v>
      </c>
      <c r="E4269" s="246"/>
      <c r="F4269" s="246"/>
      <c r="G4269" s="240"/>
      <c r="H4269" s="241"/>
      <c r="I4269" s="427">
        <f>TRUNC(C4269/100*I4266,2)</f>
        <v>2.69</v>
      </c>
    </row>
    <row r="4270" spans="1:13" x14ac:dyDescent="0.2">
      <c r="A4270" s="199"/>
      <c r="B4270" s="229"/>
      <c r="C4270" s="199"/>
      <c r="D4270" s="199"/>
      <c r="E4270" s="199"/>
      <c r="F4270" s="230" t="s">
        <v>327</v>
      </c>
      <c r="G4270" s="240"/>
      <c r="H4270" s="241"/>
      <c r="I4270" s="438">
        <f>SUM(I4269)</f>
        <v>2.69</v>
      </c>
    </row>
    <row r="4271" spans="1:13" x14ac:dyDescent="0.2">
      <c r="A4271" s="199"/>
      <c r="B4271" s="229"/>
      <c r="C4271" s="199"/>
      <c r="D4271" s="199"/>
      <c r="E4271" s="199"/>
      <c r="F4271" s="199"/>
      <c r="G4271" s="199"/>
      <c r="H4271" s="199"/>
      <c r="I4271" s="439"/>
    </row>
    <row r="4272" spans="1:13" x14ac:dyDescent="0.2">
      <c r="A4272" s="247"/>
      <c r="B4272" s="248"/>
      <c r="C4272" s="249"/>
      <c r="D4272" s="249"/>
      <c r="E4272" s="249"/>
      <c r="F4272" s="250" t="s">
        <v>193</v>
      </c>
      <c r="G4272" s="401"/>
      <c r="H4272" s="249"/>
      <c r="I4272" s="445">
        <f>+I4261+I4266+I4270</f>
        <v>56.6</v>
      </c>
    </row>
    <row r="4273" spans="1:17" x14ac:dyDescent="0.2">
      <c r="A4273" s="251"/>
      <c r="B4273" s="252"/>
      <c r="C4273" s="253"/>
      <c r="D4273" s="253"/>
      <c r="E4273" s="253"/>
      <c r="F4273" s="254" t="s">
        <v>194</v>
      </c>
      <c r="G4273" s="255"/>
      <c r="H4273" s="253"/>
      <c r="I4273" s="446">
        <v>1</v>
      </c>
    </row>
    <row r="4274" spans="1:17" x14ac:dyDescent="0.2">
      <c r="A4274" s="233"/>
      <c r="B4274" s="256"/>
      <c r="C4274" s="241"/>
      <c r="D4274" s="241"/>
      <c r="E4274" s="241"/>
      <c r="F4274" s="257" t="s">
        <v>216</v>
      </c>
      <c r="G4274" s="240"/>
      <c r="H4274" s="241"/>
      <c r="I4274" s="447">
        <f>TRUNC(I4272/I4273,2)</f>
        <v>56.6</v>
      </c>
    </row>
    <row r="4275" spans="1:17" x14ac:dyDescent="0.2">
      <c r="A4275" s="636"/>
      <c r="B4275" s="229"/>
      <c r="C4275" s="199"/>
      <c r="D4275" s="199"/>
      <c r="E4275" s="199"/>
      <c r="F4275" s="258"/>
      <c r="G4275" s="199"/>
      <c r="H4275" s="199"/>
      <c r="I4275" s="450"/>
    </row>
    <row r="4276" spans="1:17" x14ac:dyDescent="0.2">
      <c r="A4276" s="242" t="s">
        <v>195</v>
      </c>
      <c r="B4276" s="243" t="s">
        <v>59</v>
      </c>
      <c r="C4276" s="243" t="s">
        <v>196</v>
      </c>
      <c r="D4276" s="243" t="s">
        <v>217</v>
      </c>
      <c r="E4276" s="1121" t="s">
        <v>89</v>
      </c>
      <c r="F4276" s="1114"/>
      <c r="G4276" s="1115"/>
      <c r="H4276" s="1121" t="s">
        <v>183</v>
      </c>
      <c r="I4276" s="1115"/>
    </row>
    <row r="4277" spans="1:17" x14ac:dyDescent="0.2">
      <c r="A4277" s="199"/>
      <c r="B4277" s="229"/>
      <c r="C4277" s="199"/>
      <c r="D4277" s="199"/>
      <c r="E4277" s="199"/>
      <c r="F4277" s="230" t="s">
        <v>197</v>
      </c>
      <c r="G4277" s="240"/>
      <c r="H4277" s="241"/>
      <c r="I4277" s="438"/>
    </row>
    <row r="4278" spans="1:17" x14ac:dyDescent="0.2">
      <c r="A4278" s="199"/>
      <c r="B4278" s="229"/>
      <c r="C4278" s="199"/>
      <c r="D4278" s="199"/>
      <c r="E4278" s="199"/>
      <c r="F4278" s="199"/>
      <c r="G4278" s="262"/>
      <c r="H4278" s="199"/>
      <c r="I4278" s="439"/>
    </row>
    <row r="4279" spans="1:17" x14ac:dyDescent="0.2">
      <c r="A4279" s="263" t="s">
        <v>198</v>
      </c>
      <c r="B4279" s="243" t="s">
        <v>59</v>
      </c>
      <c r="C4279" s="243" t="s">
        <v>196</v>
      </c>
      <c r="D4279" s="635" t="s">
        <v>217</v>
      </c>
      <c r="E4279" s="1111" t="s">
        <v>89</v>
      </c>
      <c r="F4279" s="1112"/>
      <c r="G4279" s="1113"/>
      <c r="H4279" s="1114" t="s">
        <v>183</v>
      </c>
      <c r="I4279" s="1115"/>
    </row>
    <row r="4280" spans="1:17" x14ac:dyDescent="0.2">
      <c r="A4280" s="416"/>
      <c r="B4280" s="417"/>
      <c r="C4280" s="417"/>
      <c r="D4280" s="418"/>
      <c r="E4280" s="419"/>
      <c r="F4280" s="420"/>
      <c r="G4280" s="421"/>
      <c r="H4280" s="422"/>
      <c r="I4280" s="423"/>
      <c r="J4280" s="415"/>
      <c r="K4280" s="415"/>
      <c r="L4280" s="198"/>
      <c r="M4280" s="198"/>
      <c r="N4280" s="198"/>
      <c r="O4280" s="198"/>
      <c r="P4280" s="198"/>
      <c r="Q4280" s="198"/>
    </row>
    <row r="4281" spans="1:17" x14ac:dyDescent="0.2">
      <c r="A4281" s="200"/>
      <c r="B4281" s="264"/>
      <c r="C4281" s="200"/>
      <c r="D4281" s="200"/>
      <c r="E4281" s="200"/>
      <c r="F4281" s="265" t="s">
        <v>199</v>
      </c>
      <c r="G4281" s="255"/>
      <c r="H4281" s="266"/>
      <c r="I4281" s="441">
        <f>SUM(I4280:I4280)</f>
        <v>0</v>
      </c>
    </row>
    <row r="4282" spans="1:17" x14ac:dyDescent="0.2">
      <c r="A4282" s="200"/>
      <c r="B4282" s="264"/>
      <c r="C4282" s="200"/>
      <c r="D4282" s="200"/>
      <c r="E4282" s="200"/>
      <c r="F4282" s="200"/>
      <c r="G4282" s="200"/>
      <c r="H4282" s="200"/>
      <c r="I4282" s="440"/>
    </row>
    <row r="4283" spans="1:17" x14ac:dyDescent="0.2">
      <c r="A4283" s="267" t="s">
        <v>200</v>
      </c>
      <c r="B4283" s="268" t="s">
        <v>59</v>
      </c>
      <c r="C4283" s="268" t="s">
        <v>196</v>
      </c>
      <c r="D4283" s="268" t="s">
        <v>201</v>
      </c>
      <c r="E4283" s="268" t="s">
        <v>202</v>
      </c>
      <c r="F4283" s="268" t="s">
        <v>203</v>
      </c>
      <c r="G4283" s="268" t="s">
        <v>94</v>
      </c>
      <c r="H4283" s="268" t="s">
        <v>89</v>
      </c>
      <c r="I4283" s="442" t="s">
        <v>204</v>
      </c>
    </row>
    <row r="4284" spans="1:17" x14ac:dyDescent="0.2">
      <c r="A4284" s="200"/>
      <c r="B4284" s="264"/>
      <c r="C4284" s="200"/>
      <c r="D4284" s="200"/>
      <c r="E4284" s="200"/>
      <c r="F4284" s="265" t="s">
        <v>205</v>
      </c>
      <c r="G4284" s="240"/>
      <c r="H4284" s="272"/>
      <c r="I4284" s="443"/>
    </row>
    <row r="4285" spans="1:17" x14ac:dyDescent="0.2">
      <c r="A4285" s="200"/>
      <c r="B4285" s="264"/>
      <c r="C4285" s="200"/>
      <c r="D4285" s="200"/>
      <c r="E4285" s="200"/>
      <c r="F4285" s="200"/>
      <c r="G4285" s="200"/>
      <c r="H4285" s="200"/>
      <c r="I4285" s="444"/>
    </row>
    <row r="4286" spans="1:17" x14ac:dyDescent="0.2">
      <c r="A4286" s="273"/>
      <c r="B4286" s="274"/>
      <c r="C4286" s="275"/>
      <c r="D4286" s="275"/>
      <c r="E4286" s="275"/>
      <c r="F4286" s="276" t="s">
        <v>206</v>
      </c>
      <c r="G4286" s="273"/>
      <c r="H4286" s="249"/>
      <c r="I4286" s="445">
        <f>+I4274+I4277+I4281+I4284</f>
        <v>56.6</v>
      </c>
      <c r="J4286" s="410"/>
    </row>
    <row r="4287" spans="1:17" x14ac:dyDescent="0.2">
      <c r="A4287" s="255"/>
      <c r="B4287" s="277"/>
      <c r="C4287" s="266"/>
      <c r="D4287" s="266"/>
      <c r="E4287" s="266"/>
      <c r="F4287" s="278" t="str">
        <f>CONCATENATE($H$3," ",$I$3)</f>
        <v>BDI: 23,32</v>
      </c>
      <c r="G4287" s="403"/>
      <c r="H4287" s="253"/>
      <c r="I4287" s="446">
        <f>+ROUND(I4286*$I$4,2)</f>
        <v>13.2</v>
      </c>
    </row>
    <row r="4288" spans="1:17" x14ac:dyDescent="0.2">
      <c r="A4288" s="240"/>
      <c r="B4288" s="279"/>
      <c r="C4288" s="272"/>
      <c r="D4288" s="272"/>
      <c r="E4288" s="272"/>
      <c r="F4288" s="280" t="s">
        <v>207</v>
      </c>
      <c r="G4288" s="404"/>
      <c r="H4288" s="241"/>
      <c r="I4288" s="720">
        <f>+I4286+I4287</f>
        <v>69.8</v>
      </c>
      <c r="J4288" s="410"/>
    </row>
    <row r="4289" spans="1:13" x14ac:dyDescent="0.2">
      <c r="A4289" s="1116" t="str">
        <f>$A$1</f>
        <v>COMPOSIÇÃO DE CUSTOS UNITÁRIOS</v>
      </c>
      <c r="B4289" s="1116"/>
      <c r="C4289" s="1116"/>
      <c r="D4289" s="1116"/>
      <c r="E4289" s="1116"/>
      <c r="F4289" s="1116"/>
      <c r="G4289" s="1116"/>
      <c r="H4289" s="1116"/>
      <c r="I4289" s="1116"/>
    </row>
    <row r="4290" spans="1:13" x14ac:dyDescent="0.2">
      <c r="A4290" s="228" t="str">
        <f>$A$2</f>
        <v>Tabela Referencial de Preços - DER-ES</v>
      </c>
      <c r="B4290" s="229"/>
      <c r="C4290" s="199"/>
      <c r="D4290" s="199"/>
      <c r="E4290" s="199"/>
      <c r="F4290" s="199"/>
      <c r="G4290" s="199"/>
      <c r="H4290" s="199"/>
      <c r="I4290" s="414" t="str">
        <f>$I$2</f>
        <v>Data Base: novembro/2020</v>
      </c>
    </row>
    <row r="4291" spans="1:13" x14ac:dyDescent="0.2">
      <c r="A4291" s="1117" t="str">
        <f>+CONCATENATE("Serviço: ",J4291," ",VLOOKUP(J4291,'DER 11-20'!$A:$D,2,FALSE))</f>
        <v>Serviço: 40300 Apiloamento manual</v>
      </c>
      <c r="B4291" s="1117"/>
      <c r="C4291" s="1117"/>
      <c r="D4291" s="1117"/>
      <c r="E4291" s="1117"/>
      <c r="F4291" s="1117"/>
      <c r="G4291" s="1117"/>
      <c r="H4291" s="1117"/>
      <c r="I4291" s="1119" t="str">
        <f>CONCATENATE("Unidade: ", VLOOKUP(J4291,'DER 11-20'!$A:$E,3,FALSE))</f>
        <v>Unidade: M3</v>
      </c>
      <c r="J4291" s="400">
        <v>40300</v>
      </c>
      <c r="K4291" s="400">
        <f>VLOOKUP("Preço Unitário Total",F4292:I4848,4,FALSE)</f>
        <v>56.92</v>
      </c>
      <c r="L4291" s="295">
        <f>VLOOKUP(J4291,'DER 11-20'!A:E,5,FALSE)</f>
        <v>0</v>
      </c>
      <c r="M4291" s="295" t="str">
        <f>VLOOKUP(J4291,'DER 11-20'!$A:$D,2,FALSE)</f>
        <v>Apiloamento manual</v>
      </c>
    </row>
    <row r="4292" spans="1:13" x14ac:dyDescent="0.2">
      <c r="A4292" s="1118"/>
      <c r="B4292" s="1118"/>
      <c r="C4292" s="1118"/>
      <c r="D4292" s="1118"/>
      <c r="E4292" s="1118"/>
      <c r="F4292" s="1118"/>
      <c r="G4292" s="1118"/>
      <c r="H4292" s="1118"/>
      <c r="I4292" s="1120"/>
    </row>
    <row r="4293" spans="1:13" ht="22.5" x14ac:dyDescent="0.2">
      <c r="A4293" s="231" t="s">
        <v>177</v>
      </c>
      <c r="B4293" s="232" t="s">
        <v>59</v>
      </c>
      <c r="C4293" s="232" t="s">
        <v>178</v>
      </c>
      <c r="D4293" s="232" t="s">
        <v>179</v>
      </c>
      <c r="E4293" s="232" t="s">
        <v>180</v>
      </c>
      <c r="F4293" s="232" t="s">
        <v>181</v>
      </c>
      <c r="G4293" s="232" t="s">
        <v>182</v>
      </c>
      <c r="H4293" s="232" t="s">
        <v>89</v>
      </c>
      <c r="I4293" s="434" t="s">
        <v>183</v>
      </c>
    </row>
    <row r="4294" spans="1:13" x14ac:dyDescent="0.2">
      <c r="A4294" s="199"/>
      <c r="B4294" s="229"/>
      <c r="C4294" s="229"/>
      <c r="D4294" s="199"/>
      <c r="E4294" s="199"/>
      <c r="F4294" s="230" t="s">
        <v>184</v>
      </c>
      <c r="G4294" s="240"/>
      <c r="H4294" s="241"/>
      <c r="I4294" s="438"/>
    </row>
    <row r="4295" spans="1:13" x14ac:dyDescent="0.2">
      <c r="A4295" s="199"/>
      <c r="B4295" s="229"/>
      <c r="C4295" s="229"/>
      <c r="D4295" s="199"/>
      <c r="E4295" s="199"/>
      <c r="F4295" s="199"/>
      <c r="G4295" s="199"/>
      <c r="H4295" s="199"/>
      <c r="I4295" s="439"/>
    </row>
    <row r="4296" spans="1:13" x14ac:dyDescent="0.2">
      <c r="A4296" s="242" t="s">
        <v>185</v>
      </c>
      <c r="B4296" s="243" t="s">
        <v>59</v>
      </c>
      <c r="C4296" s="232" t="s">
        <v>357</v>
      </c>
      <c r="D4296" s="243" t="s">
        <v>187</v>
      </c>
      <c r="E4296" s="1111" t="s">
        <v>89</v>
      </c>
      <c r="F4296" s="1112"/>
      <c r="G4296" s="1113"/>
      <c r="H4296" s="1121" t="s">
        <v>183</v>
      </c>
      <c r="I4296" s="1115"/>
    </row>
    <row r="4297" spans="1:13" x14ac:dyDescent="0.2">
      <c r="A4297" s="244" t="str">
        <f>VLOOKUP(B4297,m.o.!$A:$H,2,FALSE)</f>
        <v>Encarregado de O.A.C.</v>
      </c>
      <c r="B4297" s="234">
        <v>20060</v>
      </c>
      <c r="C4297" s="239">
        <f>VLOOKUP(B4297,m.o.!$A:$F,4,FALSE)</f>
        <v>2.2599999999999998</v>
      </c>
      <c r="D4297" s="239">
        <f>VLOOKUP(B4297,m.o.!$A:$G,7,FALSE)</f>
        <v>28.31</v>
      </c>
      <c r="E4297" s="255"/>
      <c r="F4297" s="253"/>
      <c r="G4297" s="293">
        <v>0.2</v>
      </c>
      <c r="H4297" s="240"/>
      <c r="I4297" s="427">
        <f>TRUNC(D4297*G4297,2)</f>
        <v>5.66</v>
      </c>
    </row>
    <row r="4298" spans="1:13" x14ac:dyDescent="0.2">
      <c r="A4298" s="244" t="str">
        <f>VLOOKUP(B4298,m.o.!$A:$H,2,FALSE)</f>
        <v>Operário braçal</v>
      </c>
      <c r="B4298" s="234">
        <v>20107</v>
      </c>
      <c r="C4298" s="239">
        <f>VLOOKUP(B4298,m.o.!$A:$F,4,FALSE)</f>
        <v>1.02</v>
      </c>
      <c r="D4298" s="239">
        <f>VLOOKUP(B4298,m.o.!$A:$G,7,FALSE)</f>
        <v>12.77</v>
      </c>
      <c r="E4298" s="255"/>
      <c r="F4298" s="253"/>
      <c r="G4298" s="293">
        <v>3</v>
      </c>
      <c r="H4298" s="240"/>
      <c r="I4298" s="427">
        <f>TRUNC(D4298*G4298,2)</f>
        <v>38.31</v>
      </c>
    </row>
    <row r="4299" spans="1:13" x14ac:dyDescent="0.2">
      <c r="A4299" s="199"/>
      <c r="B4299" s="229"/>
      <c r="C4299" s="229"/>
      <c r="D4299" s="199"/>
      <c r="E4299" s="199"/>
      <c r="F4299" s="230" t="s">
        <v>188</v>
      </c>
      <c r="G4299" s="240"/>
      <c r="H4299" s="241"/>
      <c r="I4299" s="438">
        <f>SUM(I4297:I4298)</f>
        <v>43.97</v>
      </c>
    </row>
    <row r="4300" spans="1:13" x14ac:dyDescent="0.2">
      <c r="A4300" s="199"/>
      <c r="B4300" s="229"/>
      <c r="C4300" s="229"/>
      <c r="D4300" s="199"/>
      <c r="E4300" s="199"/>
      <c r="F4300" s="199"/>
      <c r="G4300" s="199"/>
      <c r="H4300" s="199"/>
      <c r="I4300" s="439"/>
    </row>
    <row r="4301" spans="1:13" x14ac:dyDescent="0.2">
      <c r="A4301" s="245" t="s">
        <v>189</v>
      </c>
      <c r="B4301" s="243" t="s">
        <v>59</v>
      </c>
      <c r="C4301" s="635" t="s">
        <v>17</v>
      </c>
      <c r="D4301" s="243" t="s">
        <v>190</v>
      </c>
      <c r="E4301" s="243" t="s">
        <v>191</v>
      </c>
      <c r="F4301" s="243" t="s">
        <v>192</v>
      </c>
      <c r="G4301" s="1121" t="s">
        <v>94</v>
      </c>
      <c r="H4301" s="1114"/>
      <c r="I4301" s="1115"/>
    </row>
    <row r="4302" spans="1:13" x14ac:dyDescent="0.2">
      <c r="A4302" s="244" t="s">
        <v>127</v>
      </c>
      <c r="B4302" s="234">
        <v>2000</v>
      </c>
      <c r="C4302" s="239">
        <v>5</v>
      </c>
      <c r="D4302" s="235" t="s">
        <v>208</v>
      </c>
      <c r="E4302" s="246"/>
      <c r="F4302" s="246"/>
      <c r="G4302" s="240"/>
      <c r="H4302" s="241"/>
      <c r="I4302" s="427">
        <f>TRUNC(C4302/100*I4299,2)</f>
        <v>2.19</v>
      </c>
    </row>
    <row r="4303" spans="1:13" x14ac:dyDescent="0.2">
      <c r="A4303" s="199"/>
      <c r="B4303" s="229"/>
      <c r="C4303" s="199"/>
      <c r="D4303" s="199"/>
      <c r="E4303" s="199"/>
      <c r="F4303" s="230" t="s">
        <v>327</v>
      </c>
      <c r="G4303" s="240"/>
      <c r="H4303" s="241"/>
      <c r="I4303" s="438">
        <f>SUM(I4302)</f>
        <v>2.19</v>
      </c>
    </row>
    <row r="4304" spans="1:13" x14ac:dyDescent="0.2">
      <c r="A4304" s="199"/>
      <c r="B4304" s="229"/>
      <c r="C4304" s="199"/>
      <c r="D4304" s="199"/>
      <c r="E4304" s="199"/>
      <c r="F4304" s="199"/>
      <c r="G4304" s="199"/>
      <c r="H4304" s="199"/>
      <c r="I4304" s="439"/>
    </row>
    <row r="4305" spans="1:17" x14ac:dyDescent="0.2">
      <c r="A4305" s="247"/>
      <c r="B4305" s="248"/>
      <c r="C4305" s="249"/>
      <c r="D4305" s="249"/>
      <c r="E4305" s="249"/>
      <c r="F4305" s="250" t="s">
        <v>193</v>
      </c>
      <c r="G4305" s="401"/>
      <c r="H4305" s="249"/>
      <c r="I4305" s="445">
        <f>+I4294+I4299+I4303</f>
        <v>46.16</v>
      </c>
    </row>
    <row r="4306" spans="1:17" x14ac:dyDescent="0.2">
      <c r="A4306" s="251"/>
      <c r="B4306" s="252"/>
      <c r="C4306" s="253"/>
      <c r="D4306" s="253"/>
      <c r="E4306" s="253"/>
      <c r="F4306" s="254" t="s">
        <v>194</v>
      </c>
      <c r="G4306" s="255"/>
      <c r="H4306" s="253"/>
      <c r="I4306" s="446">
        <v>1</v>
      </c>
    </row>
    <row r="4307" spans="1:17" x14ac:dyDescent="0.2">
      <c r="A4307" s="233"/>
      <c r="B4307" s="256"/>
      <c r="C4307" s="241"/>
      <c r="D4307" s="241"/>
      <c r="E4307" s="241"/>
      <c r="F4307" s="257" t="s">
        <v>216</v>
      </c>
      <c r="G4307" s="240"/>
      <c r="H4307" s="241"/>
      <c r="I4307" s="447">
        <f>TRUNC(I4305/I4306,2)</f>
        <v>46.16</v>
      </c>
    </row>
    <row r="4308" spans="1:17" x14ac:dyDescent="0.2">
      <c r="A4308" s="636"/>
      <c r="B4308" s="229"/>
      <c r="C4308" s="199"/>
      <c r="D4308" s="199"/>
      <c r="E4308" s="199"/>
      <c r="F4308" s="258"/>
      <c r="G4308" s="199"/>
      <c r="H4308" s="199"/>
      <c r="I4308" s="450"/>
    </row>
    <row r="4309" spans="1:17" x14ac:dyDescent="0.2">
      <c r="A4309" s="242" t="s">
        <v>195</v>
      </c>
      <c r="B4309" s="243" t="s">
        <v>59</v>
      </c>
      <c r="C4309" s="243" t="s">
        <v>196</v>
      </c>
      <c r="D4309" s="243" t="s">
        <v>217</v>
      </c>
      <c r="E4309" s="1121" t="s">
        <v>89</v>
      </c>
      <c r="F4309" s="1114"/>
      <c r="G4309" s="1115"/>
      <c r="H4309" s="1121" t="s">
        <v>183</v>
      </c>
      <c r="I4309" s="1115"/>
    </row>
    <row r="4310" spans="1:17" x14ac:dyDescent="0.2">
      <c r="A4310" s="199"/>
      <c r="B4310" s="229"/>
      <c r="C4310" s="199"/>
      <c r="D4310" s="199"/>
      <c r="E4310" s="199"/>
      <c r="F4310" s="230" t="s">
        <v>197</v>
      </c>
      <c r="G4310" s="240"/>
      <c r="H4310" s="241"/>
      <c r="I4310" s="438"/>
    </row>
    <row r="4311" spans="1:17" x14ac:dyDescent="0.2">
      <c r="A4311" s="199"/>
      <c r="B4311" s="229"/>
      <c r="C4311" s="199"/>
      <c r="D4311" s="199"/>
      <c r="E4311" s="199"/>
      <c r="F4311" s="199"/>
      <c r="G4311" s="262"/>
      <c r="H4311" s="199"/>
      <c r="I4311" s="439"/>
    </row>
    <row r="4312" spans="1:17" x14ac:dyDescent="0.2">
      <c r="A4312" s="263" t="s">
        <v>198</v>
      </c>
      <c r="B4312" s="243" t="s">
        <v>59</v>
      </c>
      <c r="C4312" s="243" t="s">
        <v>196</v>
      </c>
      <c r="D4312" s="635" t="s">
        <v>217</v>
      </c>
      <c r="E4312" s="1111" t="s">
        <v>89</v>
      </c>
      <c r="F4312" s="1112"/>
      <c r="G4312" s="1113"/>
      <c r="H4312" s="1114" t="s">
        <v>183</v>
      </c>
      <c r="I4312" s="1115"/>
    </row>
    <row r="4313" spans="1:17" x14ac:dyDescent="0.2">
      <c r="A4313" s="416"/>
      <c r="B4313" s="417"/>
      <c r="C4313" s="417"/>
      <c r="D4313" s="418"/>
      <c r="E4313" s="419"/>
      <c r="F4313" s="420"/>
      <c r="G4313" s="421"/>
      <c r="H4313" s="422"/>
      <c r="I4313" s="423"/>
      <c r="J4313" s="415"/>
      <c r="K4313" s="415"/>
      <c r="L4313" s="198"/>
      <c r="M4313" s="198"/>
      <c r="N4313" s="198"/>
      <c r="O4313" s="198"/>
      <c r="P4313" s="198"/>
      <c r="Q4313" s="198"/>
    </row>
    <row r="4314" spans="1:17" x14ac:dyDescent="0.2">
      <c r="A4314" s="200"/>
      <c r="B4314" s="264"/>
      <c r="C4314" s="200"/>
      <c r="D4314" s="200"/>
      <c r="E4314" s="200"/>
      <c r="F4314" s="265" t="s">
        <v>199</v>
      </c>
      <c r="G4314" s="255"/>
      <c r="H4314" s="266"/>
      <c r="I4314" s="441">
        <f>SUM(I4313:I4313)</f>
        <v>0</v>
      </c>
    </row>
    <row r="4315" spans="1:17" x14ac:dyDescent="0.2">
      <c r="A4315" s="200"/>
      <c r="B4315" s="264"/>
      <c r="C4315" s="200"/>
      <c r="D4315" s="200"/>
      <c r="E4315" s="200"/>
      <c r="F4315" s="200"/>
      <c r="G4315" s="200"/>
      <c r="H4315" s="200"/>
      <c r="I4315" s="440"/>
    </row>
    <row r="4316" spans="1:17" x14ac:dyDescent="0.2">
      <c r="A4316" s="267" t="s">
        <v>200</v>
      </c>
      <c r="B4316" s="268" t="s">
        <v>59</v>
      </c>
      <c r="C4316" s="268" t="s">
        <v>196</v>
      </c>
      <c r="D4316" s="268" t="s">
        <v>201</v>
      </c>
      <c r="E4316" s="268" t="s">
        <v>202</v>
      </c>
      <c r="F4316" s="268" t="s">
        <v>203</v>
      </c>
      <c r="G4316" s="268" t="s">
        <v>94</v>
      </c>
      <c r="H4316" s="268" t="s">
        <v>89</v>
      </c>
      <c r="I4316" s="442" t="s">
        <v>204</v>
      </c>
    </row>
    <row r="4317" spans="1:17" x14ac:dyDescent="0.2">
      <c r="A4317" s="200"/>
      <c r="B4317" s="264"/>
      <c r="C4317" s="200"/>
      <c r="D4317" s="200"/>
      <c r="E4317" s="200"/>
      <c r="F4317" s="265" t="s">
        <v>205</v>
      </c>
      <c r="G4317" s="240"/>
      <c r="H4317" s="272"/>
      <c r="I4317" s="443"/>
    </row>
    <row r="4318" spans="1:17" x14ac:dyDescent="0.2">
      <c r="A4318" s="200"/>
      <c r="B4318" s="264"/>
      <c r="C4318" s="200"/>
      <c r="D4318" s="200"/>
      <c r="E4318" s="200"/>
      <c r="F4318" s="200"/>
      <c r="G4318" s="200"/>
      <c r="H4318" s="200"/>
      <c r="I4318" s="444"/>
    </row>
    <row r="4319" spans="1:17" x14ac:dyDescent="0.2">
      <c r="A4319" s="273"/>
      <c r="B4319" s="274"/>
      <c r="C4319" s="275"/>
      <c r="D4319" s="275"/>
      <c r="E4319" s="275"/>
      <c r="F4319" s="276" t="s">
        <v>206</v>
      </c>
      <c r="G4319" s="273"/>
      <c r="H4319" s="249"/>
      <c r="I4319" s="445">
        <f>+I4307+I4310+I4314+I4317</f>
        <v>46.16</v>
      </c>
      <c r="J4319" s="410"/>
    </row>
    <row r="4320" spans="1:17" x14ac:dyDescent="0.2">
      <c r="A4320" s="255"/>
      <c r="B4320" s="277"/>
      <c r="C4320" s="266"/>
      <c r="D4320" s="266"/>
      <c r="E4320" s="266"/>
      <c r="F4320" s="278" t="str">
        <f>CONCATENATE($H$3," ",$I$3)</f>
        <v>BDI: 23,32</v>
      </c>
      <c r="G4320" s="403"/>
      <c r="H4320" s="253"/>
      <c r="I4320" s="446">
        <f>+ROUND(I4319*$I$4,2)</f>
        <v>10.76</v>
      </c>
    </row>
    <row r="4321" spans="1:13" x14ac:dyDescent="0.2">
      <c r="A4321" s="240"/>
      <c r="B4321" s="279"/>
      <c r="C4321" s="272"/>
      <c r="D4321" s="272"/>
      <c r="E4321" s="272"/>
      <c r="F4321" s="280" t="s">
        <v>207</v>
      </c>
      <c r="G4321" s="404"/>
      <c r="H4321" s="241"/>
      <c r="I4321" s="720">
        <f>+I4319+I4320</f>
        <v>56.92</v>
      </c>
      <c r="J4321" s="410"/>
    </row>
    <row r="4322" spans="1:13" x14ac:dyDescent="0.2">
      <c r="A4322" s="1122" t="str">
        <f>$A$1</f>
        <v>COMPOSIÇÃO DE CUSTOS UNITÁRIOS</v>
      </c>
      <c r="B4322" s="1122"/>
      <c r="C4322" s="1122"/>
      <c r="D4322" s="1122"/>
      <c r="E4322" s="1122"/>
      <c r="F4322" s="1122"/>
      <c r="G4322" s="1122"/>
      <c r="H4322" s="1122"/>
      <c r="I4322" s="1122"/>
    </row>
    <row r="4323" spans="1:13" x14ac:dyDescent="0.2">
      <c r="A4323" s="228" t="str">
        <f>$A$2</f>
        <v>Tabela Referencial de Preços - DER-ES</v>
      </c>
      <c r="B4323" s="229"/>
      <c r="C4323" s="199"/>
      <c r="D4323" s="199"/>
      <c r="E4323" s="199"/>
      <c r="F4323" s="199"/>
      <c r="G4323" s="199"/>
      <c r="H4323" s="199"/>
      <c r="I4323" s="414" t="str">
        <f>$I$2</f>
        <v>Data Base: novembro/2020</v>
      </c>
    </row>
    <row r="4324" spans="1:13" x14ac:dyDescent="0.2">
      <c r="A4324" s="1117" t="str">
        <f>+CONCATENATE("Serviço: ",J4324," ",VLOOKUP(J4324,'DER 11-20'!$A:$D,2,FALSE))</f>
        <v>Serviço: 42475 Concreto estrutural fck = 10,0 MPa, inclusive transportes areia, cimento e pedra britada</v>
      </c>
      <c r="B4324" s="1117"/>
      <c r="C4324" s="1117"/>
      <c r="D4324" s="1117"/>
      <c r="E4324" s="1117"/>
      <c r="F4324" s="1117"/>
      <c r="G4324" s="1117"/>
      <c r="H4324" s="1117"/>
      <c r="I4324" s="1119" t="str">
        <f>CONCATENATE("Unidade: ", VLOOKUP(J4324,'DER 11-20'!$A:$E,3,FALSE))</f>
        <v>Unidade: M3</v>
      </c>
      <c r="J4324" s="400">
        <v>42475</v>
      </c>
      <c r="K4324" s="400">
        <f>VLOOKUP("Preço Unitário Total",F4325:I4800,4,FALSE)</f>
        <v>630.25</v>
      </c>
      <c r="L4324" s="295" t="str">
        <f>VLOOKUP(J4324,'DER 11-20'!A:E,5,FALSE)</f>
        <v>A incluir</v>
      </c>
      <c r="M4324" s="295" t="str">
        <f>VLOOKUP(J4324,'DER 11-20'!$A:$D,2,FALSE)</f>
        <v>Concreto estrutural fck = 10,0 MPa, inclusive transportes areia, cimento e pedra britada</v>
      </c>
    </row>
    <row r="4325" spans="1:13" x14ac:dyDescent="0.2">
      <c r="A4325" s="1118"/>
      <c r="B4325" s="1118"/>
      <c r="C4325" s="1118"/>
      <c r="D4325" s="1118"/>
      <c r="E4325" s="1118"/>
      <c r="F4325" s="1118"/>
      <c r="G4325" s="1118"/>
      <c r="H4325" s="1118"/>
      <c r="I4325" s="1120"/>
    </row>
    <row r="4326" spans="1:13" ht="22.5" x14ac:dyDescent="0.2">
      <c r="A4326" s="231" t="s">
        <v>177</v>
      </c>
      <c r="B4326" s="232" t="s">
        <v>59</v>
      </c>
      <c r="C4326" s="232" t="s">
        <v>178</v>
      </c>
      <c r="D4326" s="232" t="s">
        <v>179</v>
      </c>
      <c r="E4326" s="232" t="s">
        <v>180</v>
      </c>
      <c r="F4326" s="232" t="s">
        <v>181</v>
      </c>
      <c r="G4326" s="232" t="s">
        <v>182</v>
      </c>
      <c r="H4326" s="232" t="s">
        <v>89</v>
      </c>
      <c r="I4326" s="434" t="s">
        <v>183</v>
      </c>
    </row>
    <row r="4327" spans="1:13" ht="22.5" x14ac:dyDescent="0.2">
      <c r="A4327" s="233" t="str">
        <f>VLOOKUP(B4327,equip.!$A:$G,2,FALSE)</f>
        <v>Betoneira 600 l com carregador (elétrica)</v>
      </c>
      <c r="B4327" s="234">
        <v>30070</v>
      </c>
      <c r="C4327" s="235">
        <f>VLOOKUP(B4327,equip.!$A$1:$G$240,3,FALSE)</f>
        <v>0</v>
      </c>
      <c r="D4327" s="236">
        <v>1</v>
      </c>
      <c r="E4327" s="203">
        <v>0</v>
      </c>
      <c r="F4327" s="237">
        <f>VLOOKUP(B4327,equip.!$A:$G,6,FALSE)</f>
        <v>26.5</v>
      </c>
      <c r="G4327" s="237">
        <f>VLOOKUP(B4327,equip.!$A:$G,7,FALSE)</f>
        <v>21.55</v>
      </c>
      <c r="H4327" s="238">
        <v>1</v>
      </c>
      <c r="I4327" s="418">
        <f>TRUNC(D4327*F4327*H4327+E4327*G4327*H4327,2)</f>
        <v>26.5</v>
      </c>
    </row>
    <row r="4328" spans="1:13" x14ac:dyDescent="0.2">
      <c r="A4328" s="233" t="str">
        <f>VLOOKUP(B4328,equip.!$A:$G,2,FALSE)</f>
        <v>Carrinho de mão</v>
      </c>
      <c r="B4328" s="234">
        <v>30076</v>
      </c>
      <c r="C4328" s="235">
        <f>VLOOKUP(B4328,equip.!$A$1:$G$240,3,FALSE)</f>
        <v>0</v>
      </c>
      <c r="D4328" s="236">
        <v>1</v>
      </c>
      <c r="E4328" s="203">
        <v>0</v>
      </c>
      <c r="F4328" s="237">
        <f>VLOOKUP(B4328,equip.!$A:$G,6,FALSE)</f>
        <v>0.19</v>
      </c>
      <c r="G4328" s="237">
        <f>VLOOKUP(B4328,equip.!$A:$G,7,FALSE)</f>
        <v>0.13</v>
      </c>
      <c r="H4328" s="238">
        <v>3</v>
      </c>
      <c r="I4328" s="418">
        <f>TRUNC(D4328*F4328*H4328+E4328*G4328*H4328,2)</f>
        <v>0.56999999999999995</v>
      </c>
    </row>
    <row r="4329" spans="1:13" ht="33.75" x14ac:dyDescent="0.2">
      <c r="A4329" s="233" t="str">
        <f>VLOOKUP(B4329,equip.!$A:$G,2,FALSE)</f>
        <v>Vibrador de imersao AA67 c/ mangote, marca de referência ATLAS COPCO ou equivalente</v>
      </c>
      <c r="B4329" s="234">
        <v>30071</v>
      </c>
      <c r="C4329" s="235">
        <f>VLOOKUP(B4329,equip.!$A$1:$G$240,3,FALSE)</f>
        <v>0</v>
      </c>
      <c r="D4329" s="236">
        <v>1</v>
      </c>
      <c r="E4329" s="203">
        <v>0</v>
      </c>
      <c r="F4329" s="237">
        <f>VLOOKUP(B4329,equip.!$A:$G,6,FALSE)</f>
        <v>15.98</v>
      </c>
      <c r="G4329" s="237">
        <f>VLOOKUP(B4329,equip.!$A:$G,7,FALSE)</f>
        <v>13.16</v>
      </c>
      <c r="H4329" s="238">
        <v>2</v>
      </c>
      <c r="I4329" s="418">
        <f>TRUNC(D4329*F4329*H4329+E4329*G4329*H4329,2)</f>
        <v>31.96</v>
      </c>
      <c r="J4329" s="295"/>
      <c r="K4329" s="295"/>
    </row>
    <row r="4330" spans="1:13" x14ac:dyDescent="0.2">
      <c r="A4330" s="199"/>
      <c r="B4330" s="229"/>
      <c r="C4330" s="229"/>
      <c r="D4330" s="199"/>
      <c r="E4330" s="199"/>
      <c r="F4330" s="230" t="s">
        <v>184</v>
      </c>
      <c r="G4330" s="240"/>
      <c r="H4330" s="241"/>
      <c r="I4330" s="438">
        <f>SUM(I4327:I4329)</f>
        <v>59.03</v>
      </c>
      <c r="J4330" s="295"/>
      <c r="K4330" s="295"/>
    </row>
    <row r="4331" spans="1:13" x14ac:dyDescent="0.2">
      <c r="A4331" s="199"/>
      <c r="B4331" s="229"/>
      <c r="C4331" s="229"/>
      <c r="D4331" s="199"/>
      <c r="E4331" s="199"/>
      <c r="F4331" s="199"/>
      <c r="G4331" s="199"/>
      <c r="H4331" s="199"/>
      <c r="I4331" s="439"/>
      <c r="J4331" s="295"/>
      <c r="K4331" s="295"/>
    </row>
    <row r="4332" spans="1:13" x14ac:dyDescent="0.2">
      <c r="A4332" s="242" t="s">
        <v>185</v>
      </c>
      <c r="B4332" s="243" t="s">
        <v>59</v>
      </c>
      <c r="C4332" s="232" t="s">
        <v>357</v>
      </c>
      <c r="D4332" s="243" t="s">
        <v>187</v>
      </c>
      <c r="E4332" s="1121" t="s">
        <v>89</v>
      </c>
      <c r="F4332" s="1114"/>
      <c r="G4332" s="1115"/>
      <c r="H4332" s="1121" t="s">
        <v>183</v>
      </c>
      <c r="I4332" s="1115"/>
      <c r="J4332" s="295"/>
      <c r="K4332" s="295"/>
    </row>
    <row r="4333" spans="1:13" x14ac:dyDescent="0.2">
      <c r="A4333" s="244" t="str">
        <f>VLOOKUP(B4333,m.o.!$A:$H,2,FALSE)</f>
        <v>Encarregado de O.A.C.</v>
      </c>
      <c r="B4333" s="234">
        <v>20060</v>
      </c>
      <c r="C4333" s="239">
        <f>VLOOKUP(B4333,m.o.!$A:$F,4,FALSE)</f>
        <v>2.2599999999999998</v>
      </c>
      <c r="D4333" s="239">
        <f>VLOOKUP(B4333,m.o.!$A:$G,7,FALSE)</f>
        <v>28.31</v>
      </c>
      <c r="E4333" s="255"/>
      <c r="F4333" s="253"/>
      <c r="G4333" s="293">
        <v>1</v>
      </c>
      <c r="H4333" s="240"/>
      <c r="I4333" s="427">
        <f>TRUNC(D4333*G4333,2)</f>
        <v>28.31</v>
      </c>
      <c r="J4333" s="295"/>
      <c r="K4333" s="295"/>
    </row>
    <row r="4334" spans="1:13" x14ac:dyDescent="0.2">
      <c r="A4334" s="244" t="str">
        <f>VLOOKUP(B4334,m.o.!$A:$H,2,FALSE)</f>
        <v>Operário braçal</v>
      </c>
      <c r="B4334" s="234">
        <v>20107</v>
      </c>
      <c r="C4334" s="239">
        <f>VLOOKUP(B4334,m.o.!$A:$F,4,FALSE)</f>
        <v>1.02</v>
      </c>
      <c r="D4334" s="239">
        <f>VLOOKUP(B4334,m.o.!$A:$G,7,FALSE)</f>
        <v>12.77</v>
      </c>
      <c r="E4334" s="240"/>
      <c r="F4334" s="241"/>
      <c r="G4334" s="405">
        <v>10</v>
      </c>
      <c r="H4334" s="240"/>
      <c r="I4334" s="427">
        <f>TRUNC(D4334*G4334,2)</f>
        <v>127.7</v>
      </c>
      <c r="J4334" s="295"/>
      <c r="K4334" s="295"/>
    </row>
    <row r="4335" spans="1:13" x14ac:dyDescent="0.2">
      <c r="A4335" s="259" t="str">
        <f>VLOOKUP(B4335,m.o.!$A:$H,2,FALSE)</f>
        <v>Pedreiro de O.A.C.</v>
      </c>
      <c r="B4335" s="234">
        <v>20109</v>
      </c>
      <c r="C4335" s="261">
        <f>VLOOKUP(B4335,m.o.!$A:$F,4,FALSE)</f>
        <v>1.24</v>
      </c>
      <c r="D4335" s="261">
        <f>VLOOKUP(B4335,m.o.!$A:$G,7,FALSE)</f>
        <v>15.53</v>
      </c>
      <c r="E4335" s="255"/>
      <c r="F4335" s="253"/>
      <c r="G4335" s="405">
        <v>2</v>
      </c>
      <c r="H4335" s="255"/>
      <c r="I4335" s="423">
        <f>TRUNC(D4335*G4335,2)</f>
        <v>31.06</v>
      </c>
      <c r="J4335" s="295"/>
      <c r="K4335" s="295"/>
    </row>
    <row r="4336" spans="1:13" x14ac:dyDescent="0.2">
      <c r="A4336" s="199"/>
      <c r="B4336" s="229"/>
      <c r="C4336" s="229"/>
      <c r="D4336" s="199"/>
      <c r="E4336" s="199"/>
      <c r="F4336" s="230" t="s">
        <v>188</v>
      </c>
      <c r="G4336" s="240"/>
      <c r="H4336" s="241"/>
      <c r="I4336" s="438">
        <f>SUM(I4333:I4335)</f>
        <v>187.07</v>
      </c>
      <c r="J4336" s="295"/>
      <c r="K4336" s="295"/>
    </row>
    <row r="4337" spans="1:11" x14ac:dyDescent="0.2">
      <c r="A4337" s="199"/>
      <c r="B4337" s="229"/>
      <c r="C4337" s="229"/>
      <c r="D4337" s="199"/>
      <c r="E4337" s="199"/>
      <c r="F4337" s="199"/>
      <c r="G4337" s="199"/>
      <c r="H4337" s="199"/>
      <c r="I4337" s="439"/>
      <c r="J4337" s="295"/>
      <c r="K4337" s="295"/>
    </row>
    <row r="4338" spans="1:11" x14ac:dyDescent="0.2">
      <c r="A4338" s="245" t="s">
        <v>189</v>
      </c>
      <c r="B4338" s="243" t="s">
        <v>59</v>
      </c>
      <c r="C4338" s="635" t="s">
        <v>17</v>
      </c>
      <c r="D4338" s="243" t="s">
        <v>190</v>
      </c>
      <c r="E4338" s="243" t="s">
        <v>191</v>
      </c>
      <c r="F4338" s="243" t="s">
        <v>192</v>
      </c>
      <c r="G4338" s="1121" t="s">
        <v>94</v>
      </c>
      <c r="H4338" s="1114"/>
      <c r="I4338" s="1115"/>
      <c r="J4338" s="295"/>
      <c r="K4338" s="295"/>
    </row>
    <row r="4339" spans="1:11" x14ac:dyDescent="0.2">
      <c r="A4339" s="244" t="s">
        <v>127</v>
      </c>
      <c r="B4339" s="234">
        <v>2000</v>
      </c>
      <c r="C4339" s="239">
        <v>5</v>
      </c>
      <c r="D4339" s="235" t="s">
        <v>208</v>
      </c>
      <c r="E4339" s="246"/>
      <c r="F4339" s="246"/>
      <c r="G4339" s="240"/>
      <c r="H4339" s="241"/>
      <c r="I4339" s="427">
        <f>TRUNC(C4339/100*I4336,2)</f>
        <v>9.35</v>
      </c>
      <c r="J4339" s="295"/>
      <c r="K4339" s="295"/>
    </row>
    <row r="4340" spans="1:11" x14ac:dyDescent="0.2">
      <c r="A4340" s="199"/>
      <c r="B4340" s="229"/>
      <c r="C4340" s="199"/>
      <c r="D4340" s="199"/>
      <c r="E4340" s="199"/>
      <c r="F4340" s="230" t="s">
        <v>327</v>
      </c>
      <c r="G4340" s="240"/>
      <c r="H4340" s="241"/>
      <c r="I4340" s="438">
        <f>SUM(I4339)</f>
        <v>9.35</v>
      </c>
      <c r="J4340" s="295"/>
      <c r="K4340" s="295"/>
    </row>
    <row r="4341" spans="1:11" x14ac:dyDescent="0.2">
      <c r="A4341" s="199"/>
      <c r="B4341" s="229"/>
      <c r="C4341" s="199"/>
      <c r="D4341" s="199"/>
      <c r="E4341" s="199"/>
      <c r="F4341" s="199"/>
      <c r="G4341" s="199"/>
      <c r="H4341" s="199"/>
      <c r="I4341" s="439"/>
      <c r="J4341" s="295"/>
      <c r="K4341" s="295"/>
    </row>
    <row r="4342" spans="1:11" x14ac:dyDescent="0.2">
      <c r="A4342" s="247"/>
      <c r="B4342" s="248"/>
      <c r="C4342" s="249"/>
      <c r="D4342" s="249"/>
      <c r="E4342" s="249"/>
      <c r="F4342" s="250" t="s">
        <v>193</v>
      </c>
      <c r="G4342" s="401"/>
      <c r="H4342" s="249"/>
      <c r="I4342" s="445">
        <f>+I4330+I4336+I4340</f>
        <v>255.45</v>
      </c>
      <c r="J4342" s="295"/>
      <c r="K4342" s="295"/>
    </row>
    <row r="4343" spans="1:11" x14ac:dyDescent="0.2">
      <c r="A4343" s="251"/>
      <c r="B4343" s="252"/>
      <c r="C4343" s="253"/>
      <c r="D4343" s="253"/>
      <c r="E4343" s="253"/>
      <c r="F4343" s="254" t="s">
        <v>194</v>
      </c>
      <c r="G4343" s="255"/>
      <c r="H4343" s="253"/>
      <c r="I4343" s="446">
        <v>1</v>
      </c>
      <c r="J4343" s="295"/>
      <c r="K4343" s="295"/>
    </row>
    <row r="4344" spans="1:11" x14ac:dyDescent="0.2">
      <c r="A4344" s="233"/>
      <c r="B4344" s="256"/>
      <c r="C4344" s="241"/>
      <c r="D4344" s="241"/>
      <c r="E4344" s="241"/>
      <c r="F4344" s="257" t="s">
        <v>216</v>
      </c>
      <c r="G4344" s="240"/>
      <c r="H4344" s="241"/>
      <c r="I4344" s="447">
        <f>TRUNC(I4342/I4343,2)</f>
        <v>255.45</v>
      </c>
      <c r="J4344" s="295"/>
      <c r="K4344" s="295"/>
    </row>
    <row r="4345" spans="1:11" x14ac:dyDescent="0.2">
      <c r="A4345" s="636"/>
      <c r="B4345" s="229"/>
      <c r="C4345" s="199"/>
      <c r="D4345" s="199"/>
      <c r="E4345" s="199"/>
      <c r="F4345" s="258"/>
      <c r="G4345" s="199"/>
      <c r="H4345" s="199"/>
      <c r="I4345" s="450"/>
      <c r="K4345" s="295"/>
    </row>
    <row r="4346" spans="1:11" x14ac:dyDescent="0.2">
      <c r="A4346" s="242" t="s">
        <v>195</v>
      </c>
      <c r="B4346" s="243" t="s">
        <v>59</v>
      </c>
      <c r="C4346" s="243" t="s">
        <v>196</v>
      </c>
      <c r="D4346" s="243" t="s">
        <v>217</v>
      </c>
      <c r="E4346" s="1121" t="s">
        <v>89</v>
      </c>
      <c r="F4346" s="1114"/>
      <c r="G4346" s="1115"/>
      <c r="H4346" s="1121" t="s">
        <v>183</v>
      </c>
      <c r="I4346" s="1115"/>
      <c r="K4346" s="295"/>
    </row>
    <row r="4347" spans="1:11" ht="22.5" x14ac:dyDescent="0.2">
      <c r="A4347" s="259" t="str">
        <f>VLOOKUP(B4347,mat.!$A:$D,2,FALSE)</f>
        <v>Areia grossa jazida com carregamento mecânico</v>
      </c>
      <c r="B4347" s="234">
        <v>10109</v>
      </c>
      <c r="C4347" s="260" t="str">
        <f>VLOOKUP(B4347,mat.!$A:$D,3,FALSE)</f>
        <v>m3</v>
      </c>
      <c r="D4347" s="261">
        <f>VLOOKUP(B4347,mat.!$A:$D,4,FALSE)</f>
        <v>60</v>
      </c>
      <c r="E4347" s="255"/>
      <c r="F4347" s="253"/>
      <c r="G4347" s="293">
        <v>0.69</v>
      </c>
      <c r="H4347" s="255"/>
      <c r="I4347" s="423">
        <f>TRUNC(D4347*G4347,2)</f>
        <v>41.4</v>
      </c>
      <c r="K4347" s="295"/>
    </row>
    <row r="4348" spans="1:11" x14ac:dyDescent="0.2">
      <c r="A4348" s="259" t="str">
        <f>VLOOKUP(B4348,mat.!$A:$D,2,FALSE)</f>
        <v>Cimento CP III</v>
      </c>
      <c r="B4348" s="234">
        <v>10092</v>
      </c>
      <c r="C4348" s="260" t="str">
        <f>VLOOKUP(B4348,mat.!$A:$D,3,FALSE)</f>
        <v>kg</v>
      </c>
      <c r="D4348" s="261">
        <f>VLOOKUP(B4348,mat.!$A:$D,4,FALSE)</f>
        <v>0.41</v>
      </c>
      <c r="E4348" s="255"/>
      <c r="F4348" s="253"/>
      <c r="G4348" s="405">
        <v>262</v>
      </c>
      <c r="H4348" s="255"/>
      <c r="I4348" s="423">
        <f>TRUNC(D4348*G4348,2)</f>
        <v>107.42</v>
      </c>
      <c r="K4348" s="295"/>
    </row>
    <row r="4349" spans="1:11" x14ac:dyDescent="0.2">
      <c r="A4349" s="259" t="str">
        <f>VLOOKUP(B4349,mat.!$A:$D,2,FALSE)</f>
        <v>Pedra britada p/ concreto, sem frete</v>
      </c>
      <c r="B4349" s="234">
        <v>10125</v>
      </c>
      <c r="C4349" s="260" t="str">
        <f>VLOOKUP(B4349,mat.!$A:$D,3,FALSE)</f>
        <v>m3</v>
      </c>
      <c r="D4349" s="261">
        <f>VLOOKUP(B4349,mat.!$A:$D,4,FALSE)</f>
        <v>70.75</v>
      </c>
      <c r="E4349" s="255"/>
      <c r="F4349" s="253"/>
      <c r="G4349" s="405">
        <v>0.78800000000000003</v>
      </c>
      <c r="H4349" s="255"/>
      <c r="I4349" s="423">
        <f>TRUNC(D4349*G4349,2)</f>
        <v>55.75</v>
      </c>
      <c r="K4349" s="295"/>
    </row>
    <row r="4350" spans="1:11" x14ac:dyDescent="0.2">
      <c r="A4350" s="199"/>
      <c r="B4350" s="229"/>
      <c r="C4350" s="199"/>
      <c r="D4350" s="199"/>
      <c r="E4350" s="199"/>
      <c r="F4350" s="230" t="s">
        <v>197</v>
      </c>
      <c r="G4350" s="240"/>
      <c r="H4350" s="241"/>
      <c r="I4350" s="438">
        <f>SUM(I4347:I4349)</f>
        <v>204.57</v>
      </c>
      <c r="K4350" s="295"/>
    </row>
    <row r="4351" spans="1:11" x14ac:dyDescent="0.2">
      <c r="A4351" s="199"/>
      <c r="B4351" s="229"/>
      <c r="C4351" s="199"/>
      <c r="D4351" s="199"/>
      <c r="E4351" s="199"/>
      <c r="F4351" s="199"/>
      <c r="G4351" s="262"/>
      <c r="H4351" s="199"/>
      <c r="I4351" s="439"/>
      <c r="K4351" s="295"/>
    </row>
    <row r="4352" spans="1:11" x14ac:dyDescent="0.2">
      <c r="A4352" s="263" t="s">
        <v>198</v>
      </c>
      <c r="B4352" s="243" t="s">
        <v>59</v>
      </c>
      <c r="C4352" s="243" t="s">
        <v>196</v>
      </c>
      <c r="D4352" s="635" t="s">
        <v>217</v>
      </c>
      <c r="E4352" s="1121" t="s">
        <v>89</v>
      </c>
      <c r="F4352" s="1114"/>
      <c r="G4352" s="1115"/>
      <c r="H4352" s="1121" t="s">
        <v>183</v>
      </c>
      <c r="I4352" s="1115"/>
      <c r="K4352" s="295"/>
    </row>
    <row r="4353" spans="1:13" x14ac:dyDescent="0.2">
      <c r="A4353" s="244"/>
      <c r="B4353" s="234"/>
      <c r="C4353" s="234"/>
      <c r="D4353" s="239"/>
      <c r="E4353" s="255"/>
      <c r="F4353" s="253"/>
      <c r="G4353" s="293"/>
      <c r="H4353" s="240"/>
      <c r="I4353" s="423"/>
      <c r="J4353" s="295"/>
      <c r="K4353" s="295"/>
    </row>
    <row r="4354" spans="1:13" x14ac:dyDescent="0.2">
      <c r="A4354" s="200"/>
      <c r="B4354" s="264"/>
      <c r="C4354" s="200"/>
      <c r="D4354" s="200"/>
      <c r="E4354" s="200"/>
      <c r="F4354" s="265" t="s">
        <v>199</v>
      </c>
      <c r="G4354" s="255"/>
      <c r="H4354" s="266"/>
      <c r="I4354" s="441">
        <f>SUM(I4353:I4353)</f>
        <v>0</v>
      </c>
      <c r="K4354" s="295"/>
    </row>
    <row r="4355" spans="1:13" x14ac:dyDescent="0.2">
      <c r="A4355" s="200"/>
      <c r="B4355" s="264"/>
      <c r="C4355" s="200"/>
      <c r="D4355" s="200"/>
      <c r="E4355" s="200"/>
      <c r="F4355" s="200"/>
      <c r="G4355" s="200"/>
      <c r="H4355" s="200"/>
      <c r="I4355" s="440"/>
      <c r="K4355" s="295"/>
    </row>
    <row r="4356" spans="1:13" x14ac:dyDescent="0.2">
      <c r="A4356" s="267" t="s">
        <v>200</v>
      </c>
      <c r="B4356" s="268" t="s">
        <v>59</v>
      </c>
      <c r="C4356" s="268" t="s">
        <v>196</v>
      </c>
      <c r="D4356" s="268" t="s">
        <v>201</v>
      </c>
      <c r="E4356" s="268" t="s">
        <v>202</v>
      </c>
      <c r="F4356" s="268" t="s">
        <v>203</v>
      </c>
      <c r="G4356" s="268" t="s">
        <v>94</v>
      </c>
      <c r="H4356" s="268" t="s">
        <v>89</v>
      </c>
      <c r="I4356" s="442" t="s">
        <v>204</v>
      </c>
      <c r="K4356" s="295"/>
    </row>
    <row r="4357" spans="1:13" ht="22.5" x14ac:dyDescent="0.2">
      <c r="A4357" s="259" t="str">
        <f>VLOOKUP(B4357,transp.!A:D,2,FALSE)</f>
        <v>Transp. de Areia grossa jazida c/ carreg.mecânico</v>
      </c>
      <c r="B4357" s="234">
        <v>1026</v>
      </c>
      <c r="C4357" s="234" t="str">
        <f>VLOOKUP(B4357,transp.!$A:$J,3,FALSE)</f>
        <v xml:space="preserve"> t  </v>
      </c>
      <c r="D4357" s="269" t="str">
        <f>VLOOKUP(B4357,transp.!$A:$J,4,FALSE)</f>
        <v>0,719XP + 0,749XR + 2,997</v>
      </c>
      <c r="E4357" s="455">
        <f>VLOOKUP(J4357,Dis!$B:$F,4,FALSE)</f>
        <v>29.1</v>
      </c>
      <c r="F4357" s="455">
        <f>VLOOKUP(J4357,Dis!$B:$F,5,FALSE)</f>
        <v>5.5</v>
      </c>
      <c r="G4357" s="239">
        <f>TRUNC(VLOOKUP(B4357,transp.!$A:$J,5,FALSE)*E4357+VLOOKUP(B4357,transp.!$A:$J,6,FALSE)*F4357+VLOOKUP(B4357,transp.!$A:$J,7,FALSE),2)</f>
        <v>28.03</v>
      </c>
      <c r="H4357" s="271">
        <v>1.0349999999999999</v>
      </c>
      <c r="I4357" s="418">
        <f>TRUNC(G4357*H4357,2)</f>
        <v>29.01</v>
      </c>
      <c r="J4357" s="400" t="s">
        <v>113</v>
      </c>
      <c r="K4357" s="295"/>
    </row>
    <row r="4358" spans="1:13" x14ac:dyDescent="0.2">
      <c r="A4358" s="259" t="str">
        <f>VLOOKUP(B4358,transp.!A:D,2,FALSE)</f>
        <v>Transp. de Cimento</v>
      </c>
      <c r="B4358" s="234">
        <v>1153</v>
      </c>
      <c r="C4358" s="234" t="str">
        <f>VLOOKUP(B4358,transp.!$A:$J,3,FALSE)</f>
        <v xml:space="preserve"> t  </v>
      </c>
      <c r="D4358" s="269" t="str">
        <f>VLOOKUP(B4358,transp.!$A:$J,4,FALSE)</f>
        <v>0,716XP + 0,745XR</v>
      </c>
      <c r="E4358" s="455">
        <f>VLOOKUP(J4358,Dis!$B:$F,4,FALSE)</f>
        <v>37</v>
      </c>
      <c r="F4358" s="455">
        <f>VLOOKUP(J4358,Dis!$B:$F,5,FALSE)</f>
        <v>4.83</v>
      </c>
      <c r="G4358" s="239">
        <f>TRUNC(VLOOKUP(B4358,transp.!$A:$J,5,FALSE)*E4358+VLOOKUP(B4358,transp.!$A:$J,6,FALSE)*F4358+VLOOKUP(B4358,transp.!$A:$J,7,FALSE),2)</f>
        <v>30.09</v>
      </c>
      <c r="H4358" s="271">
        <v>0.26200000000000001</v>
      </c>
      <c r="I4358" s="418">
        <f>TRUNC(G4358*H4358,2)</f>
        <v>7.88</v>
      </c>
      <c r="J4358" s="400" t="s">
        <v>159</v>
      </c>
      <c r="K4358" s="295"/>
    </row>
    <row r="4359" spans="1:13" ht="22.5" x14ac:dyDescent="0.2">
      <c r="A4359" s="259" t="str">
        <f>VLOOKUP(B4359,transp.!A:D,2,FALSE)</f>
        <v>Transp. de Pedra britada p/ concreto</v>
      </c>
      <c r="B4359" s="234">
        <v>1162</v>
      </c>
      <c r="C4359" s="234" t="str">
        <f>VLOOKUP(B4359,transp.!$A:$J,3,FALSE)</f>
        <v xml:space="preserve"> t  </v>
      </c>
      <c r="D4359" s="269" t="str">
        <f>VLOOKUP(B4359,transp.!$A:$J,4,FALSE)</f>
        <v>0,719XP + 0,749XR + 2,997</v>
      </c>
      <c r="E4359" s="455">
        <f>VLOOKUP(J4359,Dis!$B:$F,4,FALSE)</f>
        <v>12.5</v>
      </c>
      <c r="F4359" s="455">
        <f>VLOOKUP(J4359,Dis!$B:$F,5,FALSE)</f>
        <v>0</v>
      </c>
      <c r="G4359" s="239">
        <f>TRUNC(VLOOKUP(B4359,transp.!$A:$J,5,FALSE)*E4359+VLOOKUP(B4359,transp.!$A:$J,6,FALSE)*F4359+VLOOKUP(B4359,transp.!$A:$J,7,FALSE),2)</f>
        <v>11.98</v>
      </c>
      <c r="H4359" s="271">
        <v>1.1819999999999999</v>
      </c>
      <c r="I4359" s="418">
        <f>TRUNC(G4359*H4359,2)</f>
        <v>14.16</v>
      </c>
      <c r="J4359" s="400" t="s">
        <v>111</v>
      </c>
      <c r="K4359" s="295"/>
    </row>
    <row r="4360" spans="1:13" x14ac:dyDescent="0.2">
      <c r="A4360" s="200"/>
      <c r="B4360" s="264"/>
      <c r="C4360" s="200"/>
      <c r="D4360" s="200"/>
      <c r="E4360" s="200"/>
      <c r="F4360" s="265" t="s">
        <v>205</v>
      </c>
      <c r="G4360" s="240"/>
      <c r="H4360" s="272"/>
      <c r="I4360" s="443">
        <f>SUM(I4357:I4359)</f>
        <v>51.05</v>
      </c>
      <c r="K4360" s="295"/>
    </row>
    <row r="4361" spans="1:13" x14ac:dyDescent="0.2">
      <c r="A4361" s="200"/>
      <c r="B4361" s="264"/>
      <c r="C4361" s="200"/>
      <c r="D4361" s="200"/>
      <c r="E4361" s="200"/>
      <c r="F4361" s="200"/>
      <c r="G4361" s="200"/>
      <c r="H4361" s="200"/>
      <c r="I4361" s="444"/>
    </row>
    <row r="4362" spans="1:13" x14ac:dyDescent="0.2">
      <c r="A4362" s="273"/>
      <c r="B4362" s="274"/>
      <c r="C4362" s="275"/>
      <c r="D4362" s="275"/>
      <c r="E4362" s="275"/>
      <c r="F4362" s="276" t="s">
        <v>206</v>
      </c>
      <c r="G4362" s="273"/>
      <c r="H4362" s="249"/>
      <c r="I4362" s="445">
        <f>+I4344+I4350+I4354+I4360</f>
        <v>511.07</v>
      </c>
      <c r="K4362" s="410"/>
    </row>
    <row r="4363" spans="1:13" x14ac:dyDescent="0.2">
      <c r="A4363" s="255"/>
      <c r="B4363" s="277"/>
      <c r="C4363" s="266"/>
      <c r="D4363" s="266"/>
      <c r="E4363" s="266"/>
      <c r="F4363" s="278" t="str">
        <f>CONCATENATE($H$3," ",$I$3)</f>
        <v>BDI: 23,32</v>
      </c>
      <c r="G4363" s="403"/>
      <c r="H4363" s="253"/>
      <c r="I4363" s="446">
        <f>+ROUND(I4362*$I$4,2)</f>
        <v>119.18</v>
      </c>
    </row>
    <row r="4364" spans="1:13" x14ac:dyDescent="0.2">
      <c r="A4364" s="240"/>
      <c r="B4364" s="279"/>
      <c r="C4364" s="272"/>
      <c r="D4364" s="272"/>
      <c r="E4364" s="272"/>
      <c r="F4364" s="280" t="s">
        <v>207</v>
      </c>
      <c r="G4364" s="404"/>
      <c r="H4364" s="241"/>
      <c r="I4364" s="720">
        <f>+I4362+I4363</f>
        <v>630.25</v>
      </c>
    </row>
    <row r="4365" spans="1:13" x14ac:dyDescent="0.2">
      <c r="A4365" s="1116" t="str">
        <f>$A$1</f>
        <v>COMPOSIÇÃO DE CUSTOS UNITÁRIOS</v>
      </c>
      <c r="B4365" s="1116"/>
      <c r="C4365" s="1116"/>
      <c r="D4365" s="1116"/>
      <c r="E4365" s="1116"/>
      <c r="F4365" s="1116"/>
      <c r="G4365" s="1116"/>
      <c r="H4365" s="1116"/>
      <c r="I4365" s="1116"/>
    </row>
    <row r="4366" spans="1:13" x14ac:dyDescent="0.2">
      <c r="A4366" s="228" t="str">
        <f>$A$2</f>
        <v>Tabela Referencial de Preços - DER-ES</v>
      </c>
      <c r="B4366" s="229"/>
      <c r="C4366" s="199"/>
      <c r="D4366" s="199"/>
      <c r="E4366" s="199"/>
      <c r="F4366" s="199"/>
      <c r="G4366" s="199"/>
      <c r="H4366" s="199"/>
      <c r="I4366" s="414" t="str">
        <f>$I$2</f>
        <v>Data Base: novembro/2020</v>
      </c>
    </row>
    <row r="4367" spans="1:13" x14ac:dyDescent="0.2">
      <c r="A4367" s="1117" t="str">
        <f>+CONCATENATE("Serviço: ",J4367," ",VLOOKUP(J4367,'DER 11-20'!$A:$D,2,FALSE))</f>
        <v>Serviço: 40311 Formas planas de madeira com 01 (um) reaproveitamento, inclusive fornecimento e transporte das madeiras</v>
      </c>
      <c r="B4367" s="1117"/>
      <c r="C4367" s="1117"/>
      <c r="D4367" s="1117"/>
      <c r="E4367" s="1117"/>
      <c r="F4367" s="1117"/>
      <c r="G4367" s="1117"/>
      <c r="H4367" s="1117"/>
      <c r="I4367" s="1119" t="str">
        <f>CONCATENATE("Unidade: ", VLOOKUP(J4367,'DER 11-20'!$A:$E,3,FALSE))</f>
        <v>Unidade: M2</v>
      </c>
      <c r="J4367" s="400">
        <v>40311</v>
      </c>
      <c r="K4367" s="400">
        <f>VLOOKUP("Preço Unitário Total",F4368:I4638,4,FALSE)</f>
        <v>124.29</v>
      </c>
      <c r="L4367" s="295" t="str">
        <f>VLOOKUP(J4367,'DER 11-20'!$A:$E,5,FALSE)</f>
        <v>A incluir</v>
      </c>
      <c r="M4367" s="295" t="str">
        <f>VLOOKUP(J4367,'DER 11-20'!$A:$D,2,FALSE)</f>
        <v>Formas planas de madeira com 01 (um) reaproveitamento, inclusive fornecimento e transporte das madeiras</v>
      </c>
    </row>
    <row r="4368" spans="1:13" x14ac:dyDescent="0.2">
      <c r="A4368" s="1118"/>
      <c r="B4368" s="1118"/>
      <c r="C4368" s="1118"/>
      <c r="D4368" s="1118"/>
      <c r="E4368" s="1118"/>
      <c r="F4368" s="1118"/>
      <c r="G4368" s="1118"/>
      <c r="H4368" s="1118"/>
      <c r="I4368" s="1120"/>
    </row>
    <row r="4369" spans="1:11" ht="22.5" x14ac:dyDescent="0.2">
      <c r="A4369" s="231" t="s">
        <v>177</v>
      </c>
      <c r="B4369" s="232" t="s">
        <v>59</v>
      </c>
      <c r="C4369" s="232" t="s">
        <v>178</v>
      </c>
      <c r="D4369" s="232" t="s">
        <v>179</v>
      </c>
      <c r="E4369" s="232" t="s">
        <v>180</v>
      </c>
      <c r="F4369" s="232" t="s">
        <v>181</v>
      </c>
      <c r="G4369" s="232" t="s">
        <v>182</v>
      </c>
      <c r="H4369" s="232" t="s">
        <v>89</v>
      </c>
      <c r="I4369" s="434" t="s">
        <v>183</v>
      </c>
    </row>
    <row r="4370" spans="1:11" x14ac:dyDescent="0.2">
      <c r="A4370" s="233" t="str">
        <f>VLOOKUP(B4370,equip.!$A:$G,2,FALSE)</f>
        <v>Serra circular (WEG) ou equivalente</v>
      </c>
      <c r="B4370" s="234">
        <v>30073</v>
      </c>
      <c r="C4370" s="235" t="str">
        <f>VLOOKUP(B4370,equip.!$A$1:$G$240,3,FALSE)</f>
        <v>M</v>
      </c>
      <c r="D4370" s="236">
        <v>0.35</v>
      </c>
      <c r="E4370" s="203">
        <v>0.65</v>
      </c>
      <c r="F4370" s="237">
        <f>VLOOKUP(B4370,equip.!$A:$G,6,FALSE)</f>
        <v>19.45</v>
      </c>
      <c r="G4370" s="237">
        <f>VLOOKUP(B4370,equip.!$A:$G,7,FALSE)</f>
        <v>16.010000000000002</v>
      </c>
      <c r="H4370" s="238">
        <v>1</v>
      </c>
      <c r="I4370" s="418">
        <f>TRUNC(D4370*F4370*H4370+E4370*G4370*H4370,2)</f>
        <v>17.21</v>
      </c>
    </row>
    <row r="4371" spans="1:11" x14ac:dyDescent="0.2">
      <c r="A4371" s="199"/>
      <c r="B4371" s="229"/>
      <c r="C4371" s="229"/>
      <c r="D4371" s="199"/>
      <c r="E4371" s="199"/>
      <c r="F4371" s="230" t="s">
        <v>184</v>
      </c>
      <c r="G4371" s="240"/>
      <c r="H4371" s="241"/>
      <c r="I4371" s="438">
        <f>SUM(I4370:I4370)</f>
        <v>17.21</v>
      </c>
    </row>
    <row r="4372" spans="1:11" x14ac:dyDescent="0.2">
      <c r="A4372" s="199"/>
      <c r="B4372" s="229"/>
      <c r="C4372" s="229"/>
      <c r="D4372" s="199"/>
      <c r="E4372" s="199"/>
      <c r="F4372" s="199"/>
      <c r="G4372" s="199"/>
      <c r="H4372" s="199"/>
      <c r="I4372" s="439"/>
    </row>
    <row r="4373" spans="1:11" x14ac:dyDescent="0.2">
      <c r="A4373" s="242" t="s">
        <v>185</v>
      </c>
      <c r="B4373" s="243" t="s">
        <v>59</v>
      </c>
      <c r="C4373" s="232" t="s">
        <v>357</v>
      </c>
      <c r="D4373" s="243" t="s">
        <v>187</v>
      </c>
      <c r="E4373" s="1111" t="s">
        <v>89</v>
      </c>
      <c r="F4373" s="1112"/>
      <c r="G4373" s="1113"/>
      <c r="H4373" s="1121" t="s">
        <v>183</v>
      </c>
      <c r="I4373" s="1115"/>
    </row>
    <row r="4374" spans="1:11" x14ac:dyDescent="0.2">
      <c r="A4374" s="244" t="str">
        <f>VLOOKUP(B4374,m.o.!$A:$H,2,FALSE)</f>
        <v>Carpinteiro de O.A.C.</v>
      </c>
      <c r="B4374" s="234">
        <v>20038</v>
      </c>
      <c r="C4374" s="239">
        <f>VLOOKUP(B4374,m.o.!$A:$F,4,FALSE)</f>
        <v>1.24</v>
      </c>
      <c r="D4374" s="239">
        <f>VLOOKUP(B4374,m.o.!$A:$G,7,FALSE)</f>
        <v>15.53</v>
      </c>
      <c r="E4374" s="255"/>
      <c r="F4374" s="253"/>
      <c r="G4374" s="293">
        <v>0.7</v>
      </c>
      <c r="H4374" s="240"/>
      <c r="I4374" s="427">
        <f>TRUNC(D4374*G4374,2)</f>
        <v>10.87</v>
      </c>
    </row>
    <row r="4375" spans="1:11" x14ac:dyDescent="0.2">
      <c r="A4375" s="244" t="str">
        <f>VLOOKUP(B4375,m.o.!$A:$H,2,FALSE)</f>
        <v>Operário braçal</v>
      </c>
      <c r="B4375" s="234">
        <v>20107</v>
      </c>
      <c r="C4375" s="239">
        <f>VLOOKUP(B4375,m.o.!$A:$F,4,FALSE)</f>
        <v>1.02</v>
      </c>
      <c r="D4375" s="239">
        <f>VLOOKUP(B4375,m.o.!$A:$G,7,FALSE)</f>
        <v>12.77</v>
      </c>
      <c r="E4375" s="240"/>
      <c r="F4375" s="241"/>
      <c r="G4375" s="405">
        <v>1.61</v>
      </c>
      <c r="H4375" s="240"/>
      <c r="I4375" s="427">
        <f>TRUNC(D4375*G4375,2)</f>
        <v>20.55</v>
      </c>
    </row>
    <row r="4376" spans="1:11" x14ac:dyDescent="0.2">
      <c r="A4376" s="199"/>
      <c r="B4376" s="229"/>
      <c r="C4376" s="229"/>
      <c r="D4376" s="199"/>
      <c r="E4376" s="199"/>
      <c r="F4376" s="230" t="s">
        <v>188</v>
      </c>
      <c r="G4376" s="240"/>
      <c r="H4376" s="241"/>
      <c r="I4376" s="438">
        <f>SUM(I4374:I4375)</f>
        <v>31.42</v>
      </c>
    </row>
    <row r="4377" spans="1:11" x14ac:dyDescent="0.2">
      <c r="A4377" s="199"/>
      <c r="B4377" s="229"/>
      <c r="C4377" s="229"/>
      <c r="D4377" s="199"/>
      <c r="E4377" s="199"/>
      <c r="F4377" s="199"/>
      <c r="G4377" s="199"/>
      <c r="H4377" s="199"/>
      <c r="I4377" s="439"/>
    </row>
    <row r="4378" spans="1:11" x14ac:dyDescent="0.2">
      <c r="A4378" s="245" t="s">
        <v>189</v>
      </c>
      <c r="B4378" s="243" t="s">
        <v>59</v>
      </c>
      <c r="C4378" s="821" t="s">
        <v>17</v>
      </c>
      <c r="D4378" s="243" t="s">
        <v>190</v>
      </c>
      <c r="E4378" s="243" t="s">
        <v>191</v>
      </c>
      <c r="F4378" s="243" t="s">
        <v>192</v>
      </c>
      <c r="G4378" s="1121" t="s">
        <v>94</v>
      </c>
      <c r="H4378" s="1114"/>
      <c r="I4378" s="1115"/>
    </row>
    <row r="4379" spans="1:11" x14ac:dyDescent="0.2">
      <c r="A4379" s="244" t="s">
        <v>127</v>
      </c>
      <c r="B4379" s="234">
        <v>2000</v>
      </c>
      <c r="C4379" s="239">
        <v>5</v>
      </c>
      <c r="D4379" s="235" t="s">
        <v>208</v>
      </c>
      <c r="E4379" s="246"/>
      <c r="F4379" s="246"/>
      <c r="G4379" s="240"/>
      <c r="H4379" s="241"/>
      <c r="I4379" s="427">
        <f>TRUNC(C4379/100*I4376,2)</f>
        <v>1.57</v>
      </c>
      <c r="K4379" s="295"/>
    </row>
    <row r="4380" spans="1:11" x14ac:dyDescent="0.2">
      <c r="A4380" s="199"/>
      <c r="B4380" s="229"/>
      <c r="C4380" s="199"/>
      <c r="D4380" s="199"/>
      <c r="E4380" s="199"/>
      <c r="F4380" s="230" t="s">
        <v>327</v>
      </c>
      <c r="G4380" s="240"/>
      <c r="H4380" s="241"/>
      <c r="I4380" s="438">
        <f>SUM(I4379)</f>
        <v>1.57</v>
      </c>
      <c r="K4380" s="295"/>
    </row>
    <row r="4381" spans="1:11" x14ac:dyDescent="0.2">
      <c r="A4381" s="199"/>
      <c r="B4381" s="229"/>
      <c r="C4381" s="199"/>
      <c r="D4381" s="199"/>
      <c r="E4381" s="199"/>
      <c r="F4381" s="199"/>
      <c r="G4381" s="199"/>
      <c r="H4381" s="199"/>
      <c r="I4381" s="439"/>
      <c r="K4381" s="295"/>
    </row>
    <row r="4382" spans="1:11" x14ac:dyDescent="0.2">
      <c r="A4382" s="247"/>
      <c r="B4382" s="248"/>
      <c r="C4382" s="249"/>
      <c r="D4382" s="249"/>
      <c r="E4382" s="249"/>
      <c r="F4382" s="250" t="s">
        <v>193</v>
      </c>
      <c r="G4382" s="401"/>
      <c r="H4382" s="249"/>
      <c r="I4382" s="445">
        <f>+I4371+I4376+I4380</f>
        <v>50.2</v>
      </c>
      <c r="K4382" s="295"/>
    </row>
    <row r="4383" spans="1:11" x14ac:dyDescent="0.2">
      <c r="A4383" s="251"/>
      <c r="B4383" s="252"/>
      <c r="C4383" s="253"/>
      <c r="D4383" s="253"/>
      <c r="E4383" s="253"/>
      <c r="F4383" s="254" t="s">
        <v>194</v>
      </c>
      <c r="G4383" s="255"/>
      <c r="H4383" s="253"/>
      <c r="I4383" s="446">
        <v>1</v>
      </c>
      <c r="K4383" s="295"/>
    </row>
    <row r="4384" spans="1:11" x14ac:dyDescent="0.2">
      <c r="A4384" s="233"/>
      <c r="B4384" s="256"/>
      <c r="C4384" s="241"/>
      <c r="D4384" s="241"/>
      <c r="E4384" s="241"/>
      <c r="F4384" s="257" t="s">
        <v>216</v>
      </c>
      <c r="G4384" s="240"/>
      <c r="H4384" s="241"/>
      <c r="I4384" s="447">
        <f>TRUNC(I4382/I4383,2)</f>
        <v>50.2</v>
      </c>
      <c r="K4384" s="295"/>
    </row>
    <row r="4385" spans="1:11" x14ac:dyDescent="0.2">
      <c r="A4385" s="822"/>
      <c r="B4385" s="229"/>
      <c r="C4385" s="199"/>
      <c r="D4385" s="199"/>
      <c r="E4385" s="199"/>
      <c r="F4385" s="258"/>
      <c r="G4385" s="199"/>
      <c r="H4385" s="199"/>
      <c r="I4385" s="450"/>
      <c r="K4385" s="295"/>
    </row>
    <row r="4386" spans="1:11" x14ac:dyDescent="0.2">
      <c r="A4386" s="242" t="s">
        <v>195</v>
      </c>
      <c r="B4386" s="243" t="s">
        <v>59</v>
      </c>
      <c r="C4386" s="243" t="s">
        <v>196</v>
      </c>
      <c r="D4386" s="243" t="s">
        <v>217</v>
      </c>
      <c r="E4386" s="1121" t="s">
        <v>89</v>
      </c>
      <c r="F4386" s="1114"/>
      <c r="G4386" s="1115"/>
      <c r="H4386" s="1121" t="s">
        <v>183</v>
      </c>
      <c r="I4386" s="1115"/>
      <c r="K4386" s="295"/>
    </row>
    <row r="4387" spans="1:11" x14ac:dyDescent="0.2">
      <c r="A4387" s="259" t="str">
        <f>VLOOKUP(B4387,mat.!$A:$D,2,FALSE)</f>
        <v>Caibros 7 X 7 cm (pontalete)</v>
      </c>
      <c r="B4387" s="234">
        <v>10066</v>
      </c>
      <c r="C4387" s="260" t="str">
        <f>VLOOKUP(B4387,mat.!$A:$D,3,FALSE)</f>
        <v>M3</v>
      </c>
      <c r="D4387" s="261">
        <f>VLOOKUP(B4387,mat.!$A:$D,4,FALSE)</f>
        <v>1460</v>
      </c>
      <c r="E4387" s="255"/>
      <c r="F4387" s="253"/>
      <c r="G4387" s="405">
        <v>4.1999999999999997E-3</v>
      </c>
      <c r="H4387" s="255"/>
      <c r="I4387" s="423">
        <f>TRUNC(D4387*G4387,2)</f>
        <v>6.13</v>
      </c>
      <c r="K4387" s="295"/>
    </row>
    <row r="4388" spans="1:11" x14ac:dyDescent="0.2">
      <c r="A4388" s="259" t="str">
        <f>VLOOKUP(B4388,mat.!$A:$D,2,FALSE)</f>
        <v>Prego 18 X 24</v>
      </c>
      <c r="B4388" s="234">
        <v>10135</v>
      </c>
      <c r="C4388" s="260" t="str">
        <f>VLOOKUP(B4388,mat.!$A:$D,3,FALSE)</f>
        <v>kg</v>
      </c>
      <c r="D4388" s="261">
        <f>VLOOKUP(B4388,mat.!$A:$D,4,FALSE)</f>
        <v>15.85</v>
      </c>
      <c r="E4388" s="255"/>
      <c r="F4388" s="253"/>
      <c r="G4388" s="405">
        <v>0.2</v>
      </c>
      <c r="H4388" s="255"/>
      <c r="I4388" s="423">
        <f>TRUNC(D4388*G4388,2)</f>
        <v>3.17</v>
      </c>
      <c r="K4388" s="295"/>
    </row>
    <row r="4389" spans="1:11" x14ac:dyDescent="0.2">
      <c r="A4389" s="259" t="str">
        <f>VLOOKUP(B4389,mat.!$A:$D,2,FALSE)</f>
        <v>Sarrafo 10 X 2,5 cm</v>
      </c>
      <c r="B4389" s="234">
        <v>10067</v>
      </c>
      <c r="C4389" s="260" t="str">
        <f>VLOOKUP(B4389,mat.!$A:$D,3,FALSE)</f>
        <v>M3</v>
      </c>
      <c r="D4389" s="261">
        <f>VLOOKUP(B4389,mat.!$A:$D,4,FALSE)</f>
        <v>1354.54</v>
      </c>
      <c r="E4389" s="255"/>
      <c r="F4389" s="253"/>
      <c r="G4389" s="293">
        <v>3.0000000000000001E-3</v>
      </c>
      <c r="H4389" s="255"/>
      <c r="I4389" s="423">
        <f>TRUNC(D4389*G4389,2)</f>
        <v>4.0599999999999996</v>
      </c>
      <c r="J4389" s="295"/>
      <c r="K4389" s="295"/>
    </row>
    <row r="4390" spans="1:11" x14ac:dyDescent="0.2">
      <c r="A4390" s="259" t="str">
        <f>VLOOKUP(B4390,mat.!$A:$D,2,FALSE)</f>
        <v>Tábuas de 2,5 cm (Não Aparelhada)</v>
      </c>
      <c r="B4390" s="234">
        <v>10065</v>
      </c>
      <c r="C4390" s="260" t="str">
        <f>VLOOKUP(B4390,mat.!$A:$D,3,FALSE)</f>
        <v>M3</v>
      </c>
      <c r="D4390" s="261">
        <f>VLOOKUP(B4390,mat.!$A:$D,4,FALSE)</f>
        <v>2232</v>
      </c>
      <c r="E4390" s="255"/>
      <c r="F4390" s="253"/>
      <c r="G4390" s="405">
        <v>1.6500000000000001E-2</v>
      </c>
      <c r="H4390" s="255"/>
      <c r="I4390" s="423">
        <f>TRUNC(D4390*G4390,2)</f>
        <v>36.82</v>
      </c>
      <c r="K4390" s="295"/>
    </row>
    <row r="4391" spans="1:11" x14ac:dyDescent="0.2">
      <c r="A4391" s="199"/>
      <c r="B4391" s="229"/>
      <c r="C4391" s="199"/>
      <c r="D4391" s="199"/>
      <c r="E4391" s="199"/>
      <c r="F4391" s="230" t="s">
        <v>197</v>
      </c>
      <c r="G4391" s="240"/>
      <c r="H4391" s="241"/>
      <c r="I4391" s="438">
        <f>SUM(I4387:I4390)</f>
        <v>50.18</v>
      </c>
      <c r="K4391" s="295"/>
    </row>
    <row r="4392" spans="1:11" x14ac:dyDescent="0.2">
      <c r="A4392" s="199"/>
      <c r="B4392" s="229"/>
      <c r="C4392" s="199"/>
      <c r="D4392" s="199"/>
      <c r="E4392" s="199"/>
      <c r="F4392" s="199"/>
      <c r="G4392" s="262"/>
      <c r="H4392" s="199"/>
      <c r="I4392" s="439"/>
      <c r="K4392" s="295"/>
    </row>
    <row r="4393" spans="1:11" x14ac:dyDescent="0.2">
      <c r="A4393" s="263" t="s">
        <v>198</v>
      </c>
      <c r="B4393" s="243" t="s">
        <v>59</v>
      </c>
      <c r="C4393" s="243" t="s">
        <v>196</v>
      </c>
      <c r="D4393" s="821" t="s">
        <v>217</v>
      </c>
      <c r="E4393" s="1111" t="s">
        <v>89</v>
      </c>
      <c r="F4393" s="1112"/>
      <c r="G4393" s="1113"/>
      <c r="H4393" s="1114" t="s">
        <v>183</v>
      </c>
      <c r="I4393" s="1115"/>
      <c r="K4393" s="295"/>
    </row>
    <row r="4394" spans="1:11" x14ac:dyDescent="0.2">
      <c r="A4394" s="244"/>
      <c r="B4394" s="260"/>
      <c r="C4394" s="234"/>
      <c r="D4394" s="239"/>
      <c r="E4394" s="240"/>
      <c r="F4394" s="241"/>
      <c r="G4394" s="409"/>
      <c r="H4394" s="240"/>
      <c r="I4394" s="423"/>
      <c r="K4394" s="295"/>
    </row>
    <row r="4395" spans="1:11" x14ac:dyDescent="0.2">
      <c r="A4395" s="200"/>
      <c r="B4395" s="264"/>
      <c r="C4395" s="200"/>
      <c r="D4395" s="200"/>
      <c r="E4395" s="200"/>
      <c r="F4395" s="265" t="s">
        <v>199</v>
      </c>
      <c r="G4395" s="255"/>
      <c r="H4395" s="266"/>
      <c r="I4395" s="441">
        <f>SUM(I4392:I4394)</f>
        <v>0</v>
      </c>
      <c r="K4395" s="295"/>
    </row>
    <row r="4396" spans="1:11" x14ac:dyDescent="0.2">
      <c r="A4396" s="200"/>
      <c r="B4396" s="264"/>
      <c r="C4396" s="200"/>
      <c r="D4396" s="200"/>
      <c r="E4396" s="200"/>
      <c r="F4396" s="200"/>
      <c r="G4396" s="200"/>
      <c r="H4396" s="200"/>
      <c r="I4396" s="440"/>
      <c r="K4396" s="295"/>
    </row>
    <row r="4397" spans="1:11" x14ac:dyDescent="0.2">
      <c r="A4397" s="267" t="s">
        <v>200</v>
      </c>
      <c r="B4397" s="268" t="s">
        <v>59</v>
      </c>
      <c r="C4397" s="268" t="s">
        <v>196</v>
      </c>
      <c r="D4397" s="268" t="s">
        <v>201</v>
      </c>
      <c r="E4397" s="268" t="s">
        <v>202</v>
      </c>
      <c r="F4397" s="268" t="s">
        <v>203</v>
      </c>
      <c r="G4397" s="268" t="s">
        <v>94</v>
      </c>
      <c r="H4397" s="268" t="s">
        <v>89</v>
      </c>
      <c r="I4397" s="442" t="s">
        <v>204</v>
      </c>
    </row>
    <row r="4398" spans="1:11" ht="22.5" x14ac:dyDescent="0.2">
      <c r="A4398" s="244" t="str">
        <f>VLOOKUP(B4398,transp.!$A:$J,2,FALSE)</f>
        <v>Transporte de Caibros 8 X 8 cm (pontalete)</v>
      </c>
      <c r="B4398" s="234">
        <v>1095</v>
      </c>
      <c r="C4398" s="234" t="str">
        <f>VLOOKUP(B4398,transp.!$A:$J,3,FALSE)</f>
        <v xml:space="preserve"> t  </v>
      </c>
      <c r="D4398" s="269" t="str">
        <f>VLOOKUP(B4398,transp.!$A:$J,4,FALSE)</f>
        <v>0,716XP + 0,745XR</v>
      </c>
      <c r="E4398" s="270">
        <f>VLOOKUP(J4398,Dis!$B:$F,4,FALSE)</f>
        <v>28.4</v>
      </c>
      <c r="F4398" s="270">
        <f>VLOOKUP(J4398,Dis!$B:$F,5,FALSE)</f>
        <v>2.34</v>
      </c>
      <c r="G4398" s="239">
        <f>TRUNC(VLOOKUP(B4398,transp.!$A:$J,5,FALSE)*E4398+VLOOKUP(B4398,transp.!$A:$J,6,FALSE)*F4398+VLOOKUP(B4398,transp.!$A:$J,7,FALSE),2)</f>
        <v>22.07</v>
      </c>
      <c r="H4398" s="271">
        <v>3.3E-3</v>
      </c>
      <c r="I4398" s="418">
        <f>TRUNC(G4398*H4398,2)</f>
        <v>7.0000000000000007E-2</v>
      </c>
      <c r="J4398" s="400" t="s">
        <v>115</v>
      </c>
    </row>
    <row r="4399" spans="1:11" x14ac:dyDescent="0.2">
      <c r="A4399" s="244" t="str">
        <f>VLOOKUP(B4399,transp.!$A:$J,2,FALSE)</f>
        <v>Transporte de Sarrafo 10 X 2,5 cm</v>
      </c>
      <c r="B4399" s="234">
        <v>1096</v>
      </c>
      <c r="C4399" s="234" t="str">
        <f>VLOOKUP(B4399,transp.!$A:$J,3,FALSE)</f>
        <v xml:space="preserve"> t  </v>
      </c>
      <c r="D4399" s="269" t="str">
        <f>VLOOKUP(B4399,transp.!$A:$J,4,FALSE)</f>
        <v>0,716XP + 0,745XR</v>
      </c>
      <c r="E4399" s="270">
        <f>VLOOKUP(J4399,Dis!$B:$F,4,FALSE)</f>
        <v>28.4</v>
      </c>
      <c r="F4399" s="270">
        <f>VLOOKUP(J4399,Dis!$B:$F,5,FALSE)</f>
        <v>2.34</v>
      </c>
      <c r="G4399" s="239">
        <f>TRUNC(VLOOKUP(B4399,transp.!$A:$J,5,FALSE)*E4399+VLOOKUP(B4399,transp.!$A:$J,6,FALSE)*F4399+VLOOKUP(B4399,transp.!$A:$J,7,FALSE),2)</f>
        <v>22.07</v>
      </c>
      <c r="H4399" s="271">
        <v>2.3999999999999998E-3</v>
      </c>
      <c r="I4399" s="418">
        <f>TRUNC(G4399*H4399,2)</f>
        <v>0.05</v>
      </c>
      <c r="J4399" s="400" t="s">
        <v>115</v>
      </c>
    </row>
    <row r="4400" spans="1:11" x14ac:dyDescent="0.2">
      <c r="A4400" s="244" t="str">
        <f>VLOOKUP(B4400,transp.!$A:$J,2,FALSE)</f>
        <v>Transporte de Tábuas de 2,5 cm</v>
      </c>
      <c r="B4400" s="234">
        <v>1094</v>
      </c>
      <c r="C4400" s="234" t="str">
        <f>VLOOKUP(B4400,transp.!$A:$J,3,FALSE)</f>
        <v xml:space="preserve"> t  </v>
      </c>
      <c r="D4400" s="269" t="str">
        <f>VLOOKUP(B4400,transp.!$A:$J,4,FALSE)</f>
        <v>0,716XP + 0,745XR</v>
      </c>
      <c r="E4400" s="270">
        <f>VLOOKUP(J4400,Dis!$B:$F,4,FALSE)</f>
        <v>28.4</v>
      </c>
      <c r="F4400" s="270">
        <f>VLOOKUP(J4400,Dis!$B:$F,5,FALSE)</f>
        <v>2.34</v>
      </c>
      <c r="G4400" s="239">
        <f>TRUNC(VLOOKUP(B4400,transp.!$A:$J,5,FALSE)*E4400+VLOOKUP(B4400,transp.!$A:$J,6,FALSE)*F4400+VLOOKUP(B4400,transp.!$A:$J,7,FALSE),2)</f>
        <v>22.07</v>
      </c>
      <c r="H4400" s="271">
        <v>1.32E-2</v>
      </c>
      <c r="I4400" s="418">
        <f>TRUNC(G4400*H4400,2)</f>
        <v>0.28999999999999998</v>
      </c>
      <c r="J4400" s="400" t="s">
        <v>115</v>
      </c>
    </row>
    <row r="4401" spans="1:13" x14ac:dyDescent="0.2">
      <c r="A4401" s="200"/>
      <c r="B4401" s="264"/>
      <c r="C4401" s="200"/>
      <c r="D4401" s="200"/>
      <c r="E4401" s="200"/>
      <c r="F4401" s="265" t="s">
        <v>205</v>
      </c>
      <c r="G4401" s="240"/>
      <c r="H4401" s="272"/>
      <c r="I4401" s="443">
        <f>SUM(I4398:I4400)</f>
        <v>0.41</v>
      </c>
    </row>
    <row r="4402" spans="1:13" x14ac:dyDescent="0.2">
      <c r="A4402" s="200"/>
      <c r="B4402" s="264"/>
      <c r="C4402" s="200"/>
      <c r="D4402" s="200"/>
      <c r="E4402" s="200"/>
      <c r="F4402" s="200"/>
      <c r="G4402" s="200"/>
      <c r="H4402" s="200"/>
      <c r="I4402" s="444"/>
    </row>
    <row r="4403" spans="1:13" x14ac:dyDescent="0.2">
      <c r="A4403" s="273"/>
      <c r="B4403" s="274"/>
      <c r="C4403" s="275"/>
      <c r="D4403" s="275"/>
      <c r="E4403" s="275"/>
      <c r="F4403" s="276" t="s">
        <v>206</v>
      </c>
      <c r="G4403" s="273"/>
      <c r="H4403" s="249"/>
      <c r="I4403" s="445">
        <f>+I4384+I4391+I4395+I4401</f>
        <v>100.79</v>
      </c>
      <c r="J4403" s="410"/>
    </row>
    <row r="4404" spans="1:13" x14ac:dyDescent="0.2">
      <c r="A4404" s="255"/>
      <c r="B4404" s="277"/>
      <c r="C4404" s="266"/>
      <c r="D4404" s="266"/>
      <c r="E4404" s="266"/>
      <c r="F4404" s="278" t="str">
        <f>CONCATENATE($H$3," ",$I$3)</f>
        <v>BDI: 23,32</v>
      </c>
      <c r="G4404" s="403"/>
      <c r="H4404" s="253"/>
      <c r="I4404" s="446">
        <f>+ROUND(I4403*$I$4,2)</f>
        <v>23.5</v>
      </c>
    </row>
    <row r="4405" spans="1:13" ht="10.9" customHeight="1" x14ac:dyDescent="0.2">
      <c r="A4405" s="240"/>
      <c r="B4405" s="279"/>
      <c r="C4405" s="272"/>
      <c r="D4405" s="272"/>
      <c r="E4405" s="272"/>
      <c r="F4405" s="280" t="s">
        <v>207</v>
      </c>
      <c r="G4405" s="404"/>
      <c r="H4405" s="241"/>
      <c r="I4405" s="720">
        <f>+I4403+I4404</f>
        <v>124.29</v>
      </c>
    </row>
    <row r="4406" spans="1:13" x14ac:dyDescent="0.2">
      <c r="A4406" s="1116" t="str">
        <f>$A$1</f>
        <v>COMPOSIÇÃO DE CUSTOS UNITÁRIOS</v>
      </c>
      <c r="B4406" s="1116"/>
      <c r="C4406" s="1116"/>
      <c r="D4406" s="1116"/>
      <c r="E4406" s="1116"/>
      <c r="F4406" s="1116"/>
      <c r="G4406" s="1116"/>
      <c r="H4406" s="1116"/>
      <c r="I4406" s="1116"/>
    </row>
    <row r="4407" spans="1:13" x14ac:dyDescent="0.2">
      <c r="A4407" s="228" t="str">
        <f>$A$2</f>
        <v>Tabela Referencial de Preços - DER-ES</v>
      </c>
      <c r="B4407" s="229"/>
      <c r="C4407" s="199"/>
      <c r="D4407" s="199"/>
      <c r="E4407" s="199"/>
      <c r="F4407" s="199"/>
      <c r="G4407" s="199"/>
      <c r="H4407" s="199"/>
      <c r="I4407" s="414" t="str">
        <f>$I$2</f>
        <v>Data Base: novembro/2020</v>
      </c>
    </row>
    <row r="4408" spans="1:13" x14ac:dyDescent="0.2">
      <c r="A4408" s="1117" t="str">
        <f>+CONCATENATE("Serviço: ",J4408," ",VLOOKUP(J4408,'DER 11-20'!$A:$D,2,FALSE))</f>
        <v>Serviço: 40343 Alvenaria de pedra de mão argamassada (argamassa cimento areia 1:4), inclusive transporte da pedra</v>
      </c>
      <c r="B4408" s="1117"/>
      <c r="C4408" s="1117"/>
      <c r="D4408" s="1117"/>
      <c r="E4408" s="1117"/>
      <c r="F4408" s="1117"/>
      <c r="G4408" s="1117"/>
      <c r="H4408" s="1117"/>
      <c r="I4408" s="1119" t="str">
        <f>CONCATENATE("Unidade: ", VLOOKUP(J4408,'DER 11-20'!$A:$E,3,FALSE))</f>
        <v>Unidade: M3</v>
      </c>
      <c r="J4408" s="400">
        <v>40343</v>
      </c>
      <c r="K4408" s="400">
        <f>VLOOKUP("Preço Unitário Total",F4409:I5035,4,FALSE)</f>
        <v>416.07</v>
      </c>
      <c r="L4408" s="295" t="str">
        <f>VLOOKUP(J4408,'DER 11-20'!A:E,5,FALSE)</f>
        <v>A incluir</v>
      </c>
      <c r="M4408" s="295" t="str">
        <f>VLOOKUP(J4408,'DER 11-20'!$A:$D,2,FALSE)</f>
        <v>Alvenaria de pedra de mão argamassada (argamassa cimento areia 1:4), inclusive transporte da pedra</v>
      </c>
    </row>
    <row r="4409" spans="1:13" x14ac:dyDescent="0.2">
      <c r="A4409" s="1118"/>
      <c r="B4409" s="1118"/>
      <c r="C4409" s="1118"/>
      <c r="D4409" s="1118"/>
      <c r="E4409" s="1118"/>
      <c r="F4409" s="1118"/>
      <c r="G4409" s="1118"/>
      <c r="H4409" s="1118"/>
      <c r="I4409" s="1120"/>
    </row>
    <row r="4410" spans="1:13" ht="22.5" x14ac:dyDescent="0.2">
      <c r="A4410" s="231" t="s">
        <v>177</v>
      </c>
      <c r="B4410" s="232" t="s">
        <v>59</v>
      </c>
      <c r="C4410" s="232" t="s">
        <v>178</v>
      </c>
      <c r="D4410" s="232" t="s">
        <v>179</v>
      </c>
      <c r="E4410" s="232" t="s">
        <v>180</v>
      </c>
      <c r="F4410" s="232" t="s">
        <v>181</v>
      </c>
      <c r="G4410" s="232" t="s">
        <v>182</v>
      </c>
      <c r="H4410" s="232" t="s">
        <v>89</v>
      </c>
      <c r="I4410" s="434" t="s">
        <v>183</v>
      </c>
    </row>
    <row r="4411" spans="1:13" x14ac:dyDescent="0.2">
      <c r="A4411" s="199"/>
      <c r="B4411" s="229"/>
      <c r="C4411" s="229"/>
      <c r="D4411" s="199"/>
      <c r="E4411" s="199"/>
      <c r="F4411" s="230" t="s">
        <v>184</v>
      </c>
      <c r="G4411" s="240"/>
      <c r="H4411" s="241"/>
      <c r="I4411" s="438"/>
    </row>
    <row r="4412" spans="1:13" x14ac:dyDescent="0.2">
      <c r="A4412" s="199"/>
      <c r="B4412" s="229"/>
      <c r="C4412" s="229"/>
      <c r="D4412" s="199"/>
      <c r="E4412" s="199"/>
      <c r="F4412" s="199"/>
      <c r="G4412" s="199"/>
      <c r="H4412" s="199"/>
      <c r="I4412" s="439"/>
    </row>
    <row r="4413" spans="1:13" x14ac:dyDescent="0.2">
      <c r="A4413" s="242" t="s">
        <v>185</v>
      </c>
      <c r="B4413" s="243" t="s">
        <v>59</v>
      </c>
      <c r="C4413" s="232" t="s">
        <v>357</v>
      </c>
      <c r="D4413" s="243" t="s">
        <v>187</v>
      </c>
      <c r="E4413" s="1111" t="s">
        <v>89</v>
      </c>
      <c r="F4413" s="1112"/>
      <c r="G4413" s="1113"/>
      <c r="H4413" s="1121" t="s">
        <v>183</v>
      </c>
      <c r="I4413" s="1115"/>
    </row>
    <row r="4414" spans="1:13" x14ac:dyDescent="0.2">
      <c r="A4414" s="244" t="str">
        <f>VLOOKUP(B4414,m.o.!$A:$H,2,FALSE)</f>
        <v>Encarregado de O.A.C.</v>
      </c>
      <c r="B4414" s="234">
        <v>20060</v>
      </c>
      <c r="C4414" s="239">
        <f>VLOOKUP(B4414,m.o.!$A:$F,4,FALSE)</f>
        <v>2.2599999999999998</v>
      </c>
      <c r="D4414" s="239">
        <f>VLOOKUP(B4414,m.o.!$A:$G,7,FALSE)</f>
        <v>28.31</v>
      </c>
      <c r="E4414" s="255"/>
      <c r="F4414" s="253"/>
      <c r="G4414" s="293">
        <v>0.1</v>
      </c>
      <c r="H4414" s="240"/>
      <c r="I4414" s="427">
        <f>TRUNC(D4414*G4414,2)</f>
        <v>2.83</v>
      </c>
    </row>
    <row r="4415" spans="1:13" x14ac:dyDescent="0.2">
      <c r="A4415" s="244" t="str">
        <f>VLOOKUP(B4415,m.o.!$A:$H,2,FALSE)</f>
        <v>Operário braçal</v>
      </c>
      <c r="B4415" s="234">
        <v>20107</v>
      </c>
      <c r="C4415" s="239">
        <f>VLOOKUP(B4415,m.o.!$A:$F,4,FALSE)</f>
        <v>1.02</v>
      </c>
      <c r="D4415" s="239">
        <f>VLOOKUP(B4415,m.o.!$A:$G,7,FALSE)</f>
        <v>12.77</v>
      </c>
      <c r="E4415" s="255"/>
      <c r="F4415" s="253"/>
      <c r="G4415" s="293">
        <v>10</v>
      </c>
      <c r="H4415" s="240"/>
      <c r="I4415" s="427">
        <f>TRUNC(D4415*G4415,2)</f>
        <v>127.7</v>
      </c>
    </row>
    <row r="4416" spans="1:13" x14ac:dyDescent="0.2">
      <c r="A4416" s="244" t="str">
        <f>VLOOKUP(B4416,m.o.!$A:$H,2,FALSE)</f>
        <v>Pedreiro de O.A.C.</v>
      </c>
      <c r="B4416" s="234">
        <v>20109</v>
      </c>
      <c r="C4416" s="239">
        <f>VLOOKUP(B4416,m.o.!$A:$F,4,FALSE)</f>
        <v>1.24</v>
      </c>
      <c r="D4416" s="239">
        <f>VLOOKUP(B4416,m.o.!$A:$G,7,FALSE)</f>
        <v>15.53</v>
      </c>
      <c r="E4416" s="255"/>
      <c r="F4416" s="253"/>
      <c r="G4416" s="293">
        <v>2</v>
      </c>
      <c r="H4416" s="240"/>
      <c r="I4416" s="427">
        <f>TRUNC(D4416*G4416,2)</f>
        <v>31.06</v>
      </c>
    </row>
    <row r="4417" spans="1:17" x14ac:dyDescent="0.2">
      <c r="A4417" s="199"/>
      <c r="B4417" s="229"/>
      <c r="C4417" s="229"/>
      <c r="D4417" s="199"/>
      <c r="E4417" s="199"/>
      <c r="F4417" s="230" t="s">
        <v>188</v>
      </c>
      <c r="G4417" s="240"/>
      <c r="H4417" s="241"/>
      <c r="I4417" s="438">
        <f>SUM(I4414:I4416)</f>
        <v>161.59</v>
      </c>
    </row>
    <row r="4418" spans="1:17" x14ac:dyDescent="0.2">
      <c r="A4418" s="199"/>
      <c r="B4418" s="229"/>
      <c r="C4418" s="229"/>
      <c r="D4418" s="199"/>
      <c r="E4418" s="199"/>
      <c r="F4418" s="199"/>
      <c r="G4418" s="199"/>
      <c r="H4418" s="199"/>
      <c r="I4418" s="439"/>
    </row>
    <row r="4419" spans="1:17" x14ac:dyDescent="0.2">
      <c r="A4419" s="245" t="s">
        <v>189</v>
      </c>
      <c r="B4419" s="243" t="s">
        <v>59</v>
      </c>
      <c r="C4419" s="830" t="s">
        <v>17</v>
      </c>
      <c r="D4419" s="243" t="s">
        <v>190</v>
      </c>
      <c r="E4419" s="243" t="s">
        <v>191</v>
      </c>
      <c r="F4419" s="243" t="s">
        <v>192</v>
      </c>
      <c r="G4419" s="1121" t="s">
        <v>94</v>
      </c>
      <c r="H4419" s="1114"/>
      <c r="I4419" s="1115"/>
    </row>
    <row r="4420" spans="1:17" x14ac:dyDescent="0.2">
      <c r="A4420" s="244" t="s">
        <v>127</v>
      </c>
      <c r="B4420" s="234">
        <v>2000</v>
      </c>
      <c r="C4420" s="239">
        <v>5</v>
      </c>
      <c r="D4420" s="235" t="s">
        <v>208</v>
      </c>
      <c r="E4420" s="246"/>
      <c r="F4420" s="246"/>
      <c r="G4420" s="240"/>
      <c r="H4420" s="241"/>
      <c r="I4420" s="427">
        <f>TRUNC(C4420/100*I4417,2)</f>
        <v>8.07</v>
      </c>
    </row>
    <row r="4421" spans="1:17" x14ac:dyDescent="0.2">
      <c r="A4421" s="199"/>
      <c r="B4421" s="229"/>
      <c r="C4421" s="199"/>
      <c r="D4421" s="199"/>
      <c r="E4421" s="199"/>
      <c r="F4421" s="230" t="s">
        <v>327</v>
      </c>
      <c r="G4421" s="240"/>
      <c r="H4421" s="241"/>
      <c r="I4421" s="438">
        <f>SUM(I4420)</f>
        <v>8.07</v>
      </c>
    </row>
    <row r="4422" spans="1:17" x14ac:dyDescent="0.2">
      <c r="A4422" s="199"/>
      <c r="B4422" s="229"/>
      <c r="C4422" s="199"/>
      <c r="D4422" s="199"/>
      <c r="E4422" s="199"/>
      <c r="F4422" s="199"/>
      <c r="G4422" s="199"/>
      <c r="H4422" s="199"/>
      <c r="I4422" s="439"/>
    </row>
    <row r="4423" spans="1:17" x14ac:dyDescent="0.2">
      <c r="A4423" s="247"/>
      <c r="B4423" s="248"/>
      <c r="C4423" s="249"/>
      <c r="D4423" s="249"/>
      <c r="E4423" s="249"/>
      <c r="F4423" s="250" t="s">
        <v>193</v>
      </c>
      <c r="G4423" s="401"/>
      <c r="H4423" s="249"/>
      <c r="I4423" s="445">
        <f>+I4411+I4417+I4421</f>
        <v>169.66</v>
      </c>
    </row>
    <row r="4424" spans="1:17" x14ac:dyDescent="0.2">
      <c r="A4424" s="251"/>
      <c r="B4424" s="252"/>
      <c r="C4424" s="253"/>
      <c r="D4424" s="253"/>
      <c r="E4424" s="253"/>
      <c r="F4424" s="254" t="s">
        <v>194</v>
      </c>
      <c r="G4424" s="255"/>
      <c r="H4424" s="253"/>
      <c r="I4424" s="446">
        <v>1</v>
      </c>
    </row>
    <row r="4425" spans="1:17" x14ac:dyDescent="0.2">
      <c r="A4425" s="233"/>
      <c r="B4425" s="256"/>
      <c r="C4425" s="241"/>
      <c r="D4425" s="241"/>
      <c r="E4425" s="241"/>
      <c r="F4425" s="257" t="s">
        <v>216</v>
      </c>
      <c r="G4425" s="240"/>
      <c r="H4425" s="241"/>
      <c r="I4425" s="447">
        <f>TRUNC(I4423/I4424,2)</f>
        <v>169.66</v>
      </c>
    </row>
    <row r="4426" spans="1:17" x14ac:dyDescent="0.2">
      <c r="A4426" s="829"/>
      <c r="B4426" s="229"/>
      <c r="C4426" s="199"/>
      <c r="D4426" s="199"/>
      <c r="E4426" s="199"/>
      <c r="F4426" s="258"/>
      <c r="G4426" s="199"/>
      <c r="H4426" s="199"/>
      <c r="I4426" s="450"/>
    </row>
    <row r="4427" spans="1:17" x14ac:dyDescent="0.2">
      <c r="A4427" s="242" t="s">
        <v>195</v>
      </c>
      <c r="B4427" s="243" t="s">
        <v>59</v>
      </c>
      <c r="C4427" s="243" t="s">
        <v>196</v>
      </c>
      <c r="D4427" s="243" t="s">
        <v>217</v>
      </c>
      <c r="E4427" s="1121" t="s">
        <v>89</v>
      </c>
      <c r="F4427" s="1114"/>
      <c r="G4427" s="1115"/>
      <c r="H4427" s="1121" t="s">
        <v>183</v>
      </c>
      <c r="I4427" s="1115"/>
    </row>
    <row r="4428" spans="1:17" x14ac:dyDescent="0.2">
      <c r="A4428" s="259" t="str">
        <f>VLOOKUP(B4428,mat.!$A:$D,2,FALSE)</f>
        <v>Pedra de mao (incl. 0% IUM) s/ frete</v>
      </c>
      <c r="B4428" s="234">
        <v>10121</v>
      </c>
      <c r="C4428" s="260" t="str">
        <f>VLOOKUP(B4428,mat.!$A:$D,3,FALSE)</f>
        <v>m3</v>
      </c>
      <c r="D4428" s="261">
        <f>VLOOKUP(B4428,mat.!$A:$D,4,FALSE)</f>
        <v>73.97</v>
      </c>
      <c r="E4428" s="255"/>
      <c r="F4428" s="253"/>
      <c r="G4428" s="405">
        <v>0.75</v>
      </c>
      <c r="H4428" s="255"/>
      <c r="I4428" s="423">
        <f>TRUNC(D4428*G4428,2)</f>
        <v>55.47</v>
      </c>
      <c r="K4428" s="295"/>
    </row>
    <row r="4429" spans="1:17" x14ac:dyDescent="0.2">
      <c r="A4429" s="199"/>
      <c r="B4429" s="229"/>
      <c r="C4429" s="199"/>
      <c r="D4429" s="199"/>
      <c r="E4429" s="199"/>
      <c r="F4429" s="230" t="s">
        <v>197</v>
      </c>
      <c r="G4429" s="240"/>
      <c r="H4429" s="241"/>
      <c r="I4429" s="438">
        <f>I4428</f>
        <v>55.47</v>
      </c>
    </row>
    <row r="4430" spans="1:17" x14ac:dyDescent="0.2">
      <c r="A4430" s="199"/>
      <c r="B4430" s="229"/>
      <c r="C4430" s="199"/>
      <c r="D4430" s="199"/>
      <c r="E4430" s="199"/>
      <c r="F4430" s="199"/>
      <c r="G4430" s="262"/>
      <c r="H4430" s="199"/>
      <c r="I4430" s="439"/>
    </row>
    <row r="4431" spans="1:17" x14ac:dyDescent="0.2">
      <c r="A4431" s="263" t="s">
        <v>198</v>
      </c>
      <c r="B4431" s="243" t="s">
        <v>59</v>
      </c>
      <c r="C4431" s="243" t="s">
        <v>196</v>
      </c>
      <c r="D4431" s="830" t="s">
        <v>217</v>
      </c>
      <c r="E4431" s="1111" t="s">
        <v>89</v>
      </c>
      <c r="F4431" s="1112"/>
      <c r="G4431" s="1113"/>
      <c r="H4431" s="1114" t="s">
        <v>183</v>
      </c>
      <c r="I4431" s="1115"/>
    </row>
    <row r="4432" spans="1:17" ht="22.5" x14ac:dyDescent="0.2">
      <c r="A4432" s="416" t="str">
        <f>VLOOKUP(B4432,'DER 11-20'!$A:$E,2,FALSE)</f>
        <v>Argamassa cimento e areia traço 1:4, tudo incluído</v>
      </c>
      <c r="B4432" s="417">
        <v>40348</v>
      </c>
      <c r="C4432" s="417" t="str">
        <f>VLOOKUP(B4432,'DER 11-20'!$A:$E,3,FALSE)</f>
        <v>M3</v>
      </c>
      <c r="D4432" s="418">
        <f>TRUNC(VLOOKUP(B4432,'DER 11-20'!$A:$F,6,FALSE)/(1+$I$4),2)</f>
        <v>449.06</v>
      </c>
      <c r="E4432" s="419"/>
      <c r="F4432" s="420"/>
      <c r="G4432" s="421">
        <v>0.25</v>
      </c>
      <c r="H4432" s="422"/>
      <c r="I4432" s="423">
        <f>TRUNC(D4432*G4432,2)</f>
        <v>112.26</v>
      </c>
      <c r="J4432" s="415"/>
      <c r="K4432" s="415"/>
      <c r="L4432" s="198"/>
      <c r="M4432" s="198"/>
      <c r="N4432" s="198"/>
      <c r="O4432" s="198"/>
      <c r="P4432" s="198"/>
      <c r="Q4432" s="198"/>
    </row>
    <row r="4433" spans="1:13" x14ac:dyDescent="0.2">
      <c r="A4433" s="200"/>
      <c r="B4433" s="264"/>
      <c r="C4433" s="200"/>
      <c r="D4433" s="200"/>
      <c r="E4433" s="200"/>
      <c r="F4433" s="265" t="s">
        <v>199</v>
      </c>
      <c r="G4433" s="255"/>
      <c r="H4433" s="266"/>
      <c r="I4433" s="441">
        <f>I4432</f>
        <v>112.26</v>
      </c>
    </row>
    <row r="4434" spans="1:13" x14ac:dyDescent="0.2">
      <c r="A4434" s="200"/>
      <c r="B4434" s="264"/>
      <c r="C4434" s="200"/>
      <c r="D4434" s="200"/>
      <c r="E4434" s="200"/>
      <c r="F4434" s="200"/>
      <c r="G4434" s="200"/>
      <c r="H4434" s="200"/>
      <c r="I4434" s="440"/>
    </row>
    <row r="4435" spans="1:13" x14ac:dyDescent="0.2">
      <c r="A4435" s="267" t="s">
        <v>200</v>
      </c>
      <c r="B4435" s="268" t="s">
        <v>59</v>
      </c>
      <c r="C4435" s="268" t="s">
        <v>196</v>
      </c>
      <c r="D4435" s="268" t="s">
        <v>201</v>
      </c>
      <c r="E4435" s="268" t="s">
        <v>202</v>
      </c>
      <c r="F4435" s="268" t="s">
        <v>203</v>
      </c>
      <c r="G4435" s="268" t="s">
        <v>94</v>
      </c>
      <c r="H4435" s="268" t="s">
        <v>89</v>
      </c>
      <c r="I4435" s="442" t="s">
        <v>204</v>
      </c>
    </row>
    <row r="4436" spans="1:13" ht="22.5" x14ac:dyDescent="0.2">
      <c r="A4436" s="244" t="str">
        <f>VLOOKUP(B4436,transp.!$A:$J,2,FALSE)</f>
        <v>Transporte de Pedra de mao (incl. 0% IUM) s/ frete</v>
      </c>
      <c r="B4436" s="234">
        <v>1150</v>
      </c>
      <c r="C4436" s="234" t="str">
        <f>VLOOKUP(B4436,transp.!$A:$J,3,FALSE)</f>
        <v xml:space="preserve"> t  </v>
      </c>
      <c r="D4436" s="269" t="str">
        <f>VLOOKUP(B4436,transp.!$A:$J,4,FALSE)</f>
        <v>0,719XP + 0,749XR</v>
      </c>
      <c r="E4436" s="270">
        <f>VLOOKUP(J4436,Dis!$B:$F,4,FALSE)</f>
        <v>12.9</v>
      </c>
      <c r="F4436" s="270">
        <f>VLOOKUP(J4436,Dis!$B:$F,5,FALSE)</f>
        <v>2.93</v>
      </c>
      <c r="G4436" s="239">
        <f>TRUNC(VLOOKUP(B4436,transp.!$A:$J,5,FALSE)*E4436+VLOOKUP(B4436,transp.!$A:$J,6,FALSE)*F4436+VLOOKUP(B4436,transp.!$A:$J,7,FALSE),2)</f>
        <v>11.46</v>
      </c>
      <c r="H4436" s="271">
        <v>1.125</v>
      </c>
      <c r="I4436" s="418">
        <f>TRUNC(G4436*H4436,2)</f>
        <v>12.89</v>
      </c>
      <c r="J4436" s="400" t="s">
        <v>635</v>
      </c>
    </row>
    <row r="4437" spans="1:13" x14ac:dyDescent="0.2">
      <c r="A4437" s="200"/>
      <c r="B4437" s="264"/>
      <c r="C4437" s="200"/>
      <c r="D4437" s="200"/>
      <c r="E4437" s="200"/>
      <c r="F4437" s="265" t="s">
        <v>205</v>
      </c>
      <c r="G4437" s="240"/>
      <c r="H4437" s="272"/>
      <c r="I4437" s="443"/>
    </row>
    <row r="4438" spans="1:13" x14ac:dyDescent="0.2">
      <c r="A4438" s="200"/>
      <c r="B4438" s="264"/>
      <c r="C4438" s="200"/>
      <c r="D4438" s="200"/>
      <c r="E4438" s="200"/>
      <c r="F4438" s="200"/>
      <c r="G4438" s="200"/>
      <c r="H4438" s="200"/>
      <c r="I4438" s="444"/>
    </row>
    <row r="4439" spans="1:13" x14ac:dyDescent="0.2">
      <c r="A4439" s="273"/>
      <c r="B4439" s="274"/>
      <c r="C4439" s="275"/>
      <c r="D4439" s="275"/>
      <c r="E4439" s="275"/>
      <c r="F4439" s="276" t="s">
        <v>206</v>
      </c>
      <c r="G4439" s="273"/>
      <c r="H4439" s="249"/>
      <c r="I4439" s="445">
        <f>+I4425+I4429+I4433+I4437</f>
        <v>337.39</v>
      </c>
      <c r="J4439" s="410"/>
    </row>
    <row r="4440" spans="1:13" x14ac:dyDescent="0.2">
      <c r="A4440" s="255"/>
      <c r="B4440" s="277"/>
      <c r="C4440" s="266"/>
      <c r="D4440" s="266"/>
      <c r="E4440" s="266"/>
      <c r="F4440" s="278" t="str">
        <f>CONCATENATE($H$3," ",$I$3)</f>
        <v>BDI: 23,32</v>
      </c>
      <c r="G4440" s="403"/>
      <c r="H4440" s="253"/>
      <c r="I4440" s="446">
        <f>+ROUND(I4439*$I$4,2)</f>
        <v>78.680000000000007</v>
      </c>
    </row>
    <row r="4441" spans="1:13" x14ac:dyDescent="0.2">
      <c r="A4441" s="240"/>
      <c r="B4441" s="279"/>
      <c r="C4441" s="272"/>
      <c r="D4441" s="272"/>
      <c r="E4441" s="272"/>
      <c r="F4441" s="280" t="s">
        <v>207</v>
      </c>
      <c r="G4441" s="404"/>
      <c r="H4441" s="241"/>
      <c r="I4441" s="720">
        <f>+I4439+I4440</f>
        <v>416.07</v>
      </c>
      <c r="J4441" s="410"/>
    </row>
    <row r="4442" spans="1:13" x14ac:dyDescent="0.2">
      <c r="A4442" s="1116" t="str">
        <f>$A$1</f>
        <v>COMPOSIÇÃO DE CUSTOS UNITÁRIOS</v>
      </c>
      <c r="B4442" s="1116"/>
      <c r="C4442" s="1116"/>
      <c r="D4442" s="1116"/>
      <c r="E4442" s="1116"/>
      <c r="F4442" s="1116"/>
      <c r="G4442" s="1116"/>
      <c r="H4442" s="1116"/>
      <c r="I4442" s="1116"/>
    </row>
    <row r="4443" spans="1:13" x14ac:dyDescent="0.2">
      <c r="A4443" s="228" t="str">
        <f>$A$2</f>
        <v>Tabela Referencial de Preços - DER-ES</v>
      </c>
      <c r="B4443" s="229"/>
      <c r="C4443" s="199"/>
      <c r="D4443" s="199"/>
      <c r="E4443" s="199"/>
      <c r="F4443" s="199"/>
      <c r="G4443" s="199"/>
      <c r="H4443" s="199"/>
      <c r="I4443" s="414" t="str">
        <f>$I$2</f>
        <v>Data Base: novembro/2020</v>
      </c>
    </row>
    <row r="4444" spans="1:13" x14ac:dyDescent="0.2">
      <c r="A4444" s="1117" t="str">
        <f>+CONCATENATE("Serviço: ",J4444," ",VLOOKUP(J4444,'DER 11-20'!$A:$D,2,FALSE))</f>
        <v>Serviço: 40316 Forma especial de madeira para meio fio, inclusive fornecimento e transporte das madeiras</v>
      </c>
      <c r="B4444" s="1117"/>
      <c r="C4444" s="1117"/>
      <c r="D4444" s="1117"/>
      <c r="E4444" s="1117"/>
      <c r="F4444" s="1117"/>
      <c r="G4444" s="1117"/>
      <c r="H4444" s="1117"/>
      <c r="I4444" s="1119" t="str">
        <f>CONCATENATE("Unidade: ", VLOOKUP(J4444,'DER 11-20'!$A:$E,3,FALSE))</f>
        <v>Unidade: M2</v>
      </c>
      <c r="J4444" s="400">
        <v>40316</v>
      </c>
      <c r="K4444" s="400">
        <f>VLOOKUP("Preço Unitário Total",F4445:I4638,4,FALSE)</f>
        <v>79.48</v>
      </c>
      <c r="L4444" s="295" t="str">
        <f>VLOOKUP(J4444,'DER 11-20'!$A:$E,5,FALSE)</f>
        <v>A incluir</v>
      </c>
      <c r="M4444" s="295" t="str">
        <f>VLOOKUP(J4444,'DER 11-20'!$A:$D,2,FALSE)</f>
        <v>Forma especial de madeira para meio fio, inclusive fornecimento e transporte das madeiras</v>
      </c>
    </row>
    <row r="4445" spans="1:13" x14ac:dyDescent="0.2">
      <c r="A4445" s="1118"/>
      <c r="B4445" s="1118"/>
      <c r="C4445" s="1118"/>
      <c r="D4445" s="1118"/>
      <c r="E4445" s="1118"/>
      <c r="F4445" s="1118"/>
      <c r="G4445" s="1118"/>
      <c r="H4445" s="1118"/>
      <c r="I4445" s="1120"/>
    </row>
    <row r="4446" spans="1:13" ht="22.5" x14ac:dyDescent="0.2">
      <c r="A4446" s="231" t="s">
        <v>177</v>
      </c>
      <c r="B4446" s="232" t="s">
        <v>59</v>
      </c>
      <c r="C4446" s="232" t="s">
        <v>178</v>
      </c>
      <c r="D4446" s="232" t="s">
        <v>179</v>
      </c>
      <c r="E4446" s="232" t="s">
        <v>180</v>
      </c>
      <c r="F4446" s="232" t="s">
        <v>181</v>
      </c>
      <c r="G4446" s="232" t="s">
        <v>182</v>
      </c>
      <c r="H4446" s="232" t="s">
        <v>89</v>
      </c>
      <c r="I4446" s="434" t="s">
        <v>183</v>
      </c>
    </row>
    <row r="4447" spans="1:13" x14ac:dyDescent="0.2">
      <c r="A4447" s="233" t="str">
        <f>VLOOKUP(B4447,equip.!$A:$G,2,FALSE)</f>
        <v>Serra circular (WEG) ou equivalente</v>
      </c>
      <c r="B4447" s="234">
        <v>30073</v>
      </c>
      <c r="C4447" s="235" t="str">
        <f>VLOOKUP(B4447,equip.!$A$1:$G$240,3,FALSE)</f>
        <v>M</v>
      </c>
      <c r="D4447" s="236">
        <v>1</v>
      </c>
      <c r="E4447" s="203">
        <v>0</v>
      </c>
      <c r="F4447" s="237">
        <f>VLOOKUP(B4447,equip.!$A:$G,6,FALSE)</f>
        <v>19.45</v>
      </c>
      <c r="G4447" s="237">
        <f>VLOOKUP(B4447,equip.!$A:$G,7,FALSE)</f>
        <v>16.010000000000002</v>
      </c>
      <c r="H4447" s="238">
        <v>1</v>
      </c>
      <c r="I4447" s="418">
        <f>TRUNC(D4447*F4447*H4447+E4447*G4447*H4447,2)</f>
        <v>19.45</v>
      </c>
    </row>
    <row r="4448" spans="1:13" x14ac:dyDescent="0.2">
      <c r="A4448" s="199"/>
      <c r="B4448" s="229"/>
      <c r="C4448" s="229"/>
      <c r="D4448" s="199"/>
      <c r="E4448" s="199"/>
      <c r="F4448" s="230" t="s">
        <v>184</v>
      </c>
      <c r="G4448" s="240"/>
      <c r="H4448" s="241"/>
      <c r="I4448" s="438">
        <f>SUM(I4447:I4447)</f>
        <v>19.45</v>
      </c>
    </row>
    <row r="4449" spans="1:11" x14ac:dyDescent="0.2">
      <c r="A4449" s="199"/>
      <c r="B4449" s="229"/>
      <c r="C4449" s="229"/>
      <c r="D4449" s="199"/>
      <c r="E4449" s="199"/>
      <c r="F4449" s="199"/>
      <c r="G4449" s="199"/>
      <c r="H4449" s="199"/>
      <c r="I4449" s="439"/>
    </row>
    <row r="4450" spans="1:11" x14ac:dyDescent="0.2">
      <c r="A4450" s="242" t="s">
        <v>185</v>
      </c>
      <c r="B4450" s="243" t="s">
        <v>59</v>
      </c>
      <c r="C4450" s="232" t="s">
        <v>357</v>
      </c>
      <c r="D4450" s="243" t="s">
        <v>187</v>
      </c>
      <c r="E4450" s="1111" t="s">
        <v>89</v>
      </c>
      <c r="F4450" s="1112"/>
      <c r="G4450" s="1113"/>
      <c r="H4450" s="1121" t="s">
        <v>183</v>
      </c>
      <c r="I4450" s="1115"/>
    </row>
    <row r="4451" spans="1:11" x14ac:dyDescent="0.2">
      <c r="A4451" s="244" t="str">
        <f>VLOOKUP(B4451,m.o.!$A:$H,2,FALSE)</f>
        <v>Ajudante de carpinteiro</v>
      </c>
      <c r="B4451" s="234">
        <v>20039</v>
      </c>
      <c r="C4451" s="239">
        <f>VLOOKUP(B4451,m.o.!$A:$F,4,FALSE)</f>
        <v>1.01</v>
      </c>
      <c r="D4451" s="239">
        <f>VLOOKUP(B4451,m.o.!$A:$G,7,FALSE)</f>
        <v>12.65</v>
      </c>
      <c r="E4451" s="255"/>
      <c r="F4451" s="253"/>
      <c r="G4451" s="293">
        <v>2</v>
      </c>
      <c r="H4451" s="240"/>
      <c r="I4451" s="427">
        <f>TRUNC(D4451*G4451,2)</f>
        <v>25.3</v>
      </c>
    </row>
    <row r="4452" spans="1:11" x14ac:dyDescent="0.2">
      <c r="A4452" s="244" t="str">
        <f>VLOOKUP(B4452,m.o.!$A:$H,2,FALSE)</f>
        <v>Carpinteiro de O.A.C.</v>
      </c>
      <c r="B4452" s="234">
        <v>20038</v>
      </c>
      <c r="C4452" s="239">
        <f>VLOOKUP(B4452,m.o.!$A:$F,4,FALSE)</f>
        <v>1.24</v>
      </c>
      <c r="D4452" s="239">
        <f>VLOOKUP(B4452,m.o.!$A:$G,7,FALSE)</f>
        <v>15.53</v>
      </c>
      <c r="E4452" s="240"/>
      <c r="F4452" s="241"/>
      <c r="G4452" s="405">
        <v>1</v>
      </c>
      <c r="H4452" s="240"/>
      <c r="I4452" s="427">
        <f>TRUNC(D4452*G4452,2)</f>
        <v>15.53</v>
      </c>
    </row>
    <row r="4453" spans="1:11" x14ac:dyDescent="0.2">
      <c r="A4453" s="244" t="str">
        <f>VLOOKUP(B4453,m.o.!$A:$H,2,FALSE)</f>
        <v>Servente</v>
      </c>
      <c r="B4453" s="234">
        <v>20002</v>
      </c>
      <c r="C4453" s="239">
        <f>VLOOKUP(B4453,m.o.!$A:$F,4,FALSE)</f>
        <v>1</v>
      </c>
      <c r="D4453" s="239">
        <f>VLOOKUP(B4453,m.o.!$A:$G,7,FALSE)</f>
        <v>12.52</v>
      </c>
      <c r="E4453" s="255"/>
      <c r="F4453" s="253"/>
      <c r="G4453" s="293">
        <v>4</v>
      </c>
      <c r="H4453" s="240"/>
      <c r="I4453" s="427">
        <f>TRUNC(D4453*G4453,2)</f>
        <v>50.08</v>
      </c>
    </row>
    <row r="4454" spans="1:11" x14ac:dyDescent="0.2">
      <c r="A4454" s="199"/>
      <c r="B4454" s="229"/>
      <c r="C4454" s="229"/>
      <c r="D4454" s="199"/>
      <c r="E4454" s="199"/>
      <c r="F4454" s="230" t="s">
        <v>188</v>
      </c>
      <c r="G4454" s="240"/>
      <c r="H4454" s="241"/>
      <c r="I4454" s="438">
        <f>SUM(I4451:I4453)</f>
        <v>90.91</v>
      </c>
    </row>
    <row r="4455" spans="1:11" x14ac:dyDescent="0.2">
      <c r="A4455" s="199"/>
      <c r="B4455" s="229"/>
      <c r="C4455" s="229"/>
      <c r="D4455" s="199"/>
      <c r="E4455" s="199"/>
      <c r="F4455" s="199"/>
      <c r="G4455" s="199"/>
      <c r="H4455" s="199"/>
      <c r="I4455" s="439"/>
    </row>
    <row r="4456" spans="1:11" x14ac:dyDescent="0.2">
      <c r="A4456" s="245" t="s">
        <v>189</v>
      </c>
      <c r="B4456" s="243" t="s">
        <v>59</v>
      </c>
      <c r="C4456" s="830" t="s">
        <v>17</v>
      </c>
      <c r="D4456" s="243" t="s">
        <v>190</v>
      </c>
      <c r="E4456" s="243" t="s">
        <v>191</v>
      </c>
      <c r="F4456" s="243" t="s">
        <v>192</v>
      </c>
      <c r="G4456" s="1121" t="s">
        <v>94</v>
      </c>
      <c r="H4456" s="1114"/>
      <c r="I4456" s="1115"/>
    </row>
    <row r="4457" spans="1:11" x14ac:dyDescent="0.2">
      <c r="A4457" s="244" t="s">
        <v>127</v>
      </c>
      <c r="B4457" s="234">
        <v>2000</v>
      </c>
      <c r="C4457" s="239">
        <v>5</v>
      </c>
      <c r="D4457" s="235" t="s">
        <v>208</v>
      </c>
      <c r="E4457" s="246"/>
      <c r="F4457" s="246"/>
      <c r="G4457" s="240"/>
      <c r="H4457" s="241"/>
      <c r="I4457" s="427">
        <f>TRUNC(C4457/100*I4454,2)</f>
        <v>4.54</v>
      </c>
      <c r="K4457" s="295"/>
    </row>
    <row r="4458" spans="1:11" x14ac:dyDescent="0.2">
      <c r="A4458" s="199"/>
      <c r="B4458" s="229"/>
      <c r="C4458" s="199"/>
      <c r="D4458" s="199"/>
      <c r="E4458" s="199"/>
      <c r="F4458" s="230" t="s">
        <v>327</v>
      </c>
      <c r="G4458" s="240"/>
      <c r="H4458" s="241"/>
      <c r="I4458" s="438">
        <f>SUM(I4457)</f>
        <v>4.54</v>
      </c>
      <c r="K4458" s="295"/>
    </row>
    <row r="4459" spans="1:11" x14ac:dyDescent="0.2">
      <c r="A4459" s="199"/>
      <c r="B4459" s="229"/>
      <c r="C4459" s="199"/>
      <c r="D4459" s="199"/>
      <c r="E4459" s="199"/>
      <c r="F4459" s="199"/>
      <c r="G4459" s="199"/>
      <c r="H4459" s="199"/>
      <c r="I4459" s="439"/>
      <c r="K4459" s="295"/>
    </row>
    <row r="4460" spans="1:11" x14ac:dyDescent="0.2">
      <c r="A4460" s="247"/>
      <c r="B4460" s="248"/>
      <c r="C4460" s="249"/>
      <c r="D4460" s="249"/>
      <c r="E4460" s="249"/>
      <c r="F4460" s="250" t="s">
        <v>193</v>
      </c>
      <c r="G4460" s="401"/>
      <c r="H4460" s="249"/>
      <c r="I4460" s="445">
        <f>+I4448+I4454+I4458</f>
        <v>114.9</v>
      </c>
      <c r="K4460" s="295"/>
    </row>
    <row r="4461" spans="1:11" x14ac:dyDescent="0.2">
      <c r="A4461" s="251"/>
      <c r="B4461" s="252"/>
      <c r="C4461" s="253"/>
      <c r="D4461" s="253"/>
      <c r="E4461" s="253"/>
      <c r="F4461" s="254" t="s">
        <v>194</v>
      </c>
      <c r="G4461" s="255"/>
      <c r="H4461" s="253"/>
      <c r="I4461" s="446">
        <v>5</v>
      </c>
      <c r="K4461" s="295"/>
    </row>
    <row r="4462" spans="1:11" x14ac:dyDescent="0.2">
      <c r="A4462" s="233"/>
      <c r="B4462" s="256"/>
      <c r="C4462" s="241"/>
      <c r="D4462" s="241"/>
      <c r="E4462" s="241"/>
      <c r="F4462" s="257" t="s">
        <v>216</v>
      </c>
      <c r="G4462" s="240"/>
      <c r="H4462" s="241"/>
      <c r="I4462" s="447">
        <f>TRUNC(I4460/I4461,2)</f>
        <v>22.98</v>
      </c>
      <c r="K4462" s="295"/>
    </row>
    <row r="4463" spans="1:11" x14ac:dyDescent="0.2">
      <c r="A4463" s="829"/>
      <c r="B4463" s="229"/>
      <c r="C4463" s="199"/>
      <c r="D4463" s="199"/>
      <c r="E4463" s="199"/>
      <c r="F4463" s="258"/>
      <c r="G4463" s="199"/>
      <c r="H4463" s="199"/>
      <c r="I4463" s="450"/>
      <c r="K4463" s="295"/>
    </row>
    <row r="4464" spans="1:11" x14ac:dyDescent="0.2">
      <c r="A4464" s="242" t="s">
        <v>195</v>
      </c>
      <c r="B4464" s="243" t="s">
        <v>59</v>
      </c>
      <c r="C4464" s="243" t="s">
        <v>196</v>
      </c>
      <c r="D4464" s="243" t="s">
        <v>217</v>
      </c>
      <c r="E4464" s="1121" t="s">
        <v>89</v>
      </c>
      <c r="F4464" s="1114"/>
      <c r="G4464" s="1115"/>
      <c r="H4464" s="1121" t="s">
        <v>183</v>
      </c>
      <c r="I4464" s="1115"/>
      <c r="K4464" s="295"/>
    </row>
    <row r="4465" spans="1:11" x14ac:dyDescent="0.2">
      <c r="A4465" s="259" t="str">
        <f>VLOOKUP(B4465,mat.!$A:$D,2,FALSE)</f>
        <v>Prego 18 X 24</v>
      </c>
      <c r="B4465" s="234">
        <v>10135</v>
      </c>
      <c r="C4465" s="260" t="str">
        <f>VLOOKUP(B4465,mat.!$A:$D,3,FALSE)</f>
        <v>kg</v>
      </c>
      <c r="D4465" s="261">
        <f>VLOOKUP(B4465,mat.!$A:$D,4,FALSE)</f>
        <v>15.85</v>
      </c>
      <c r="E4465" s="255"/>
      <c r="F4465" s="253"/>
      <c r="G4465" s="293">
        <v>0.2</v>
      </c>
      <c r="H4465" s="255"/>
      <c r="I4465" s="423">
        <f>TRUNC(D4465*G4465,2)</f>
        <v>3.17</v>
      </c>
      <c r="J4465" s="295"/>
      <c r="K4465" s="295"/>
    </row>
    <row r="4466" spans="1:11" x14ac:dyDescent="0.2">
      <c r="A4466" s="259" t="str">
        <f>VLOOKUP(B4466,mat.!$A:$D,2,FALSE)</f>
        <v>Ripão de 2,5 X 7.0 cm</v>
      </c>
      <c r="B4466" s="234">
        <v>10069</v>
      </c>
      <c r="C4466" s="260" t="str">
        <f>VLOOKUP(B4466,mat.!$A:$D,3,FALSE)</f>
        <v>m3</v>
      </c>
      <c r="D4466" s="261">
        <f>VLOOKUP(B4466,mat.!$A:$D,4,FALSE)</f>
        <v>2037.44</v>
      </c>
      <c r="E4466" s="255"/>
      <c r="F4466" s="253"/>
      <c r="G4466" s="405">
        <v>1E-3</v>
      </c>
      <c r="H4466" s="255"/>
      <c r="I4466" s="423">
        <f>TRUNC(D4466*G4466,2)</f>
        <v>2.0299999999999998</v>
      </c>
      <c r="K4466" s="295"/>
    </row>
    <row r="4467" spans="1:11" x14ac:dyDescent="0.2">
      <c r="A4467" s="259" t="str">
        <f>VLOOKUP(B4467,mat.!$A:$D,2,FALSE)</f>
        <v>Taipá de 1ª com 2,5 cm</v>
      </c>
      <c r="B4467" s="234">
        <v>10057</v>
      </c>
      <c r="C4467" s="260" t="str">
        <f>VLOOKUP(B4467,mat.!$A:$D,3,FALSE)</f>
        <v>m3</v>
      </c>
      <c r="D4467" s="261">
        <f>VLOOKUP(B4467,mat.!$A:$D,4,FALSE)</f>
        <v>1301.2</v>
      </c>
      <c r="E4467" s="255"/>
      <c r="F4467" s="253"/>
      <c r="G4467" s="293">
        <v>2.75E-2</v>
      </c>
      <c r="H4467" s="255"/>
      <c r="I4467" s="423">
        <f>TRUNC(D4467*G4467,2)</f>
        <v>35.78</v>
      </c>
      <c r="J4467" s="295"/>
      <c r="K4467" s="295"/>
    </row>
    <row r="4468" spans="1:11" x14ac:dyDescent="0.2">
      <c r="A4468" s="199"/>
      <c r="B4468" s="229"/>
      <c r="C4468" s="199"/>
      <c r="D4468" s="199"/>
      <c r="E4468" s="199"/>
      <c r="F4468" s="230" t="s">
        <v>197</v>
      </c>
      <c r="G4468" s="240"/>
      <c r="H4468" s="241"/>
      <c r="I4468" s="438">
        <f>SUM(I4465:I4467)</f>
        <v>40.98</v>
      </c>
      <c r="K4468" s="295"/>
    </row>
    <row r="4469" spans="1:11" x14ac:dyDescent="0.2">
      <c r="A4469" s="199"/>
      <c r="B4469" s="229"/>
      <c r="C4469" s="199"/>
      <c r="D4469" s="199"/>
      <c r="E4469" s="199"/>
      <c r="F4469" s="199"/>
      <c r="G4469" s="262"/>
      <c r="H4469" s="199"/>
      <c r="I4469" s="439"/>
      <c r="K4469" s="295"/>
    </row>
    <row r="4470" spans="1:11" x14ac:dyDescent="0.2">
      <c r="A4470" s="263" t="s">
        <v>198</v>
      </c>
      <c r="B4470" s="243" t="s">
        <v>59</v>
      </c>
      <c r="C4470" s="243" t="s">
        <v>196</v>
      </c>
      <c r="D4470" s="830" t="s">
        <v>217</v>
      </c>
      <c r="E4470" s="1111" t="s">
        <v>89</v>
      </c>
      <c r="F4470" s="1112"/>
      <c r="G4470" s="1113"/>
      <c r="H4470" s="1114" t="s">
        <v>183</v>
      </c>
      <c r="I4470" s="1115"/>
      <c r="K4470" s="295"/>
    </row>
    <row r="4471" spans="1:11" x14ac:dyDescent="0.2">
      <c r="A4471" s="244"/>
      <c r="B4471" s="260"/>
      <c r="C4471" s="234"/>
      <c r="D4471" s="239"/>
      <c r="E4471" s="240"/>
      <c r="F4471" s="241"/>
      <c r="G4471" s="409"/>
      <c r="H4471" s="240"/>
      <c r="I4471" s="423"/>
      <c r="K4471" s="295"/>
    </row>
    <row r="4472" spans="1:11" x14ac:dyDescent="0.2">
      <c r="A4472" s="200"/>
      <c r="B4472" s="264"/>
      <c r="C4472" s="200"/>
      <c r="D4472" s="200"/>
      <c r="E4472" s="200"/>
      <c r="F4472" s="265" t="s">
        <v>199</v>
      </c>
      <c r="G4472" s="255"/>
      <c r="H4472" s="266"/>
      <c r="I4472" s="441">
        <f>SUM(I4469:I4471)</f>
        <v>0</v>
      </c>
      <c r="K4472" s="295"/>
    </row>
    <row r="4473" spans="1:11" x14ac:dyDescent="0.2">
      <c r="A4473" s="200"/>
      <c r="B4473" s="264"/>
      <c r="C4473" s="200"/>
      <c r="D4473" s="200"/>
      <c r="E4473" s="200"/>
      <c r="F4473" s="200"/>
      <c r="G4473" s="200"/>
      <c r="H4473" s="200"/>
      <c r="I4473" s="440"/>
      <c r="K4473" s="295"/>
    </row>
    <row r="4474" spans="1:11" x14ac:dyDescent="0.2">
      <c r="A4474" s="267" t="s">
        <v>200</v>
      </c>
      <c r="B4474" s="268" t="s">
        <v>59</v>
      </c>
      <c r="C4474" s="268" t="s">
        <v>196</v>
      </c>
      <c r="D4474" s="268" t="s">
        <v>201</v>
      </c>
      <c r="E4474" s="268" t="s">
        <v>202</v>
      </c>
      <c r="F4474" s="268" t="s">
        <v>203</v>
      </c>
      <c r="G4474" s="268" t="s">
        <v>94</v>
      </c>
      <c r="H4474" s="268" t="s">
        <v>89</v>
      </c>
      <c r="I4474" s="442" t="s">
        <v>204</v>
      </c>
    </row>
    <row r="4475" spans="1:11" x14ac:dyDescent="0.2">
      <c r="A4475" s="244" t="str">
        <f>VLOOKUP(B4475,transp.!$A:$J,2,FALSE)</f>
        <v>Transp. de Ripao de 2.5 X 7.0 cm</v>
      </c>
      <c r="B4475" s="234">
        <v>1116</v>
      </c>
      <c r="C4475" s="234" t="str">
        <f>VLOOKUP(B4475,transp.!$A:$J,3,FALSE)</f>
        <v xml:space="preserve"> t  </v>
      </c>
      <c r="D4475" s="269" t="str">
        <f>VLOOKUP(B4475,transp.!$A:$J,4,FALSE)</f>
        <v>0,716XP + 0,745XR</v>
      </c>
      <c r="E4475" s="270">
        <f>VLOOKUP(J4475,Dis!$B:$F,4,FALSE)</f>
        <v>28.4</v>
      </c>
      <c r="F4475" s="270">
        <f>VLOOKUP(J4475,Dis!$B:$F,5,FALSE)</f>
        <v>2.34</v>
      </c>
      <c r="G4475" s="239">
        <f>TRUNC(VLOOKUP(B4475,transp.!$A:$J,5,FALSE)*E4475+VLOOKUP(B4475,transp.!$A:$J,6,FALSE)*F4475+VLOOKUP(B4475,transp.!$A:$J,7,FALSE),2)</f>
        <v>22.07</v>
      </c>
      <c r="H4475" s="271">
        <v>8.0000000000000004E-4</v>
      </c>
      <c r="I4475" s="418">
        <f>TRUNC(G4475*H4475,2)</f>
        <v>0.01</v>
      </c>
      <c r="J4475" s="400" t="s">
        <v>115</v>
      </c>
    </row>
    <row r="4476" spans="1:11" x14ac:dyDescent="0.2">
      <c r="A4476" s="244" t="str">
        <f>VLOOKUP(B4476,transp.!$A:$J,2,FALSE)</f>
        <v>Transp. de Taipá de 1ª com 2,5 cm</v>
      </c>
      <c r="B4476" s="234">
        <v>1115</v>
      </c>
      <c r="C4476" s="234" t="str">
        <f>VLOOKUP(B4476,transp.!$A:$J,3,FALSE)</f>
        <v xml:space="preserve"> t  </v>
      </c>
      <c r="D4476" s="269" t="str">
        <f>VLOOKUP(B4476,transp.!$A:$J,4,FALSE)</f>
        <v>0,716XP + 0,745XR</v>
      </c>
      <c r="E4476" s="270">
        <f>VLOOKUP(J4476,Dis!$B:$F,4,FALSE)</f>
        <v>28.4</v>
      </c>
      <c r="F4476" s="270">
        <f>VLOOKUP(J4476,Dis!$B:$F,5,FALSE)</f>
        <v>2.34</v>
      </c>
      <c r="G4476" s="239">
        <f>TRUNC(VLOOKUP(B4476,transp.!$A:$J,5,FALSE)*E4476+VLOOKUP(B4476,transp.!$A:$J,6,FALSE)*F4476+VLOOKUP(B4476,transp.!$A:$J,7,FALSE),2)</f>
        <v>22.07</v>
      </c>
      <c r="H4476" s="271">
        <v>2.1999999999999999E-2</v>
      </c>
      <c r="I4476" s="418">
        <f>TRUNC(G4476*H4476,2)</f>
        <v>0.48</v>
      </c>
      <c r="J4476" s="400" t="s">
        <v>115</v>
      </c>
    </row>
    <row r="4477" spans="1:11" x14ac:dyDescent="0.2">
      <c r="A4477" s="200"/>
      <c r="B4477" s="264"/>
      <c r="C4477" s="200"/>
      <c r="D4477" s="200"/>
      <c r="E4477" s="200"/>
      <c r="F4477" s="265" t="s">
        <v>205</v>
      </c>
      <c r="G4477" s="240"/>
      <c r="H4477" s="272"/>
      <c r="I4477" s="443">
        <f>SUM(I4475:I4476)</f>
        <v>0.49</v>
      </c>
    </row>
    <row r="4478" spans="1:11" x14ac:dyDescent="0.2">
      <c r="A4478" s="200"/>
      <c r="B4478" s="264"/>
      <c r="C4478" s="200"/>
      <c r="D4478" s="200"/>
      <c r="E4478" s="200"/>
      <c r="F4478" s="200"/>
      <c r="G4478" s="200"/>
      <c r="H4478" s="200"/>
      <c r="I4478" s="444"/>
    </row>
    <row r="4479" spans="1:11" x14ac:dyDescent="0.2">
      <c r="A4479" s="273"/>
      <c r="B4479" s="274"/>
      <c r="C4479" s="275"/>
      <c r="D4479" s="275"/>
      <c r="E4479" s="275"/>
      <c r="F4479" s="276" t="s">
        <v>206</v>
      </c>
      <c r="G4479" s="273"/>
      <c r="H4479" s="249"/>
      <c r="I4479" s="445">
        <f>+I4462+I4468+I4472+I4477</f>
        <v>64.45</v>
      </c>
      <c r="J4479" s="410"/>
    </row>
    <row r="4480" spans="1:11" x14ac:dyDescent="0.2">
      <c r="A4480" s="255"/>
      <c r="B4480" s="277"/>
      <c r="C4480" s="266"/>
      <c r="D4480" s="266"/>
      <c r="E4480" s="266"/>
      <c r="F4480" s="278" t="str">
        <f>CONCATENATE($H$3," ",$I$3)</f>
        <v>BDI: 23,32</v>
      </c>
      <c r="G4480" s="403"/>
      <c r="H4480" s="253"/>
      <c r="I4480" s="446">
        <f>+ROUND(I4479*$I$4,2)</f>
        <v>15.03</v>
      </c>
    </row>
    <row r="4481" spans="1:13" x14ac:dyDescent="0.2">
      <c r="A4481" s="240"/>
      <c r="B4481" s="279"/>
      <c r="C4481" s="272"/>
      <c r="D4481" s="272"/>
      <c r="E4481" s="272"/>
      <c r="F4481" s="280" t="s">
        <v>207</v>
      </c>
      <c r="G4481" s="404"/>
      <c r="H4481" s="241"/>
      <c r="I4481" s="720">
        <f>+I4479+I4480</f>
        <v>79.48</v>
      </c>
    </row>
    <row r="4482" spans="1:13" x14ac:dyDescent="0.2">
      <c r="A4482" s="199"/>
      <c r="B4482" s="530"/>
      <c r="C4482" s="200"/>
      <c r="D4482" s="200"/>
      <c r="E4482" s="200"/>
      <c r="F4482" s="265"/>
      <c r="G4482" s="200"/>
      <c r="H4482" s="199"/>
      <c r="I4482" s="738"/>
    </row>
    <row r="4483" spans="1:13" x14ac:dyDescent="0.2">
      <c r="A4483" s="1116" t="str">
        <f>$A$1</f>
        <v>COMPOSIÇÃO DE CUSTOS UNITÁRIOS</v>
      </c>
      <c r="B4483" s="1116"/>
      <c r="C4483" s="1116"/>
      <c r="D4483" s="1116"/>
      <c r="E4483" s="1116"/>
      <c r="F4483" s="1116"/>
      <c r="G4483" s="1116"/>
      <c r="H4483" s="1116"/>
      <c r="I4483" s="1116"/>
    </row>
    <row r="4484" spans="1:13" x14ac:dyDescent="0.2">
      <c r="A4484" s="228" t="str">
        <f>$A$2</f>
        <v>Tabela Referencial de Preços - DER-ES</v>
      </c>
      <c r="B4484" s="229"/>
      <c r="C4484" s="199"/>
      <c r="D4484" s="199"/>
      <c r="E4484" s="199"/>
      <c r="F4484" s="199"/>
      <c r="G4484" s="199"/>
      <c r="H4484" s="199"/>
      <c r="I4484" s="414" t="str">
        <f>$I$2</f>
        <v>Data Base: novembro/2020</v>
      </c>
      <c r="J4484" s="400">
        <v>40362</v>
      </c>
      <c r="K4484" s="400">
        <f>VLOOKUP("Preço Unitário Total",F4486:I4746,4,FALSE)</f>
        <v>720.16</v>
      </c>
      <c r="L4484" s="295" t="str">
        <f>VLOOKUP(J4484,'DER 11-20'!A:E,5,FALSE)</f>
        <v>A incluir</v>
      </c>
      <c r="M4484" s="295" t="str">
        <f>VLOOKUP(J4484,'DER 11-20'!$A:$D,2,FALSE)</f>
        <v>Concreto estrutural fck = 25,0 MPa, inclusive fornecimento e transporte do cimento, areia e pedra britada</v>
      </c>
    </row>
    <row r="4485" spans="1:13" x14ac:dyDescent="0.2">
      <c r="A4485" s="1117" t="str">
        <f>+CONCATENATE("Serviço: ",J4484," ",VLOOKUP(J4484,'DER 11-20'!$A:$D,2,FALSE))</f>
        <v>Serviço: 40362 Concreto estrutural fck = 25,0 MPa, inclusive fornecimento e transporte do cimento, areia e pedra britada</v>
      </c>
      <c r="B4485" s="1117"/>
      <c r="C4485" s="1117"/>
      <c r="D4485" s="1117"/>
      <c r="E4485" s="1117"/>
      <c r="F4485" s="1117"/>
      <c r="G4485" s="1117"/>
      <c r="H4485" s="1117"/>
      <c r="I4485" s="1119" t="str">
        <f>CONCATENATE("Unidade: ", VLOOKUP(J4484,'DER 11-20'!$A:$E,3,FALSE))</f>
        <v>Unidade: M3</v>
      </c>
    </row>
    <row r="4486" spans="1:13" x14ac:dyDescent="0.2">
      <c r="A4486" s="1118"/>
      <c r="B4486" s="1118"/>
      <c r="C4486" s="1118"/>
      <c r="D4486" s="1118"/>
      <c r="E4486" s="1118"/>
      <c r="F4486" s="1118"/>
      <c r="G4486" s="1118"/>
      <c r="H4486" s="1118"/>
      <c r="I4486" s="1120"/>
    </row>
    <row r="4487" spans="1:13" ht="22.5" x14ac:dyDescent="0.2">
      <c r="A4487" s="231" t="s">
        <v>177</v>
      </c>
      <c r="B4487" s="232" t="s">
        <v>59</v>
      </c>
      <c r="C4487" s="232" t="s">
        <v>178</v>
      </c>
      <c r="D4487" s="232" t="s">
        <v>179</v>
      </c>
      <c r="E4487" s="232" t="s">
        <v>180</v>
      </c>
      <c r="F4487" s="232" t="s">
        <v>181</v>
      </c>
      <c r="G4487" s="232" t="s">
        <v>182</v>
      </c>
      <c r="H4487" s="232" t="s">
        <v>89</v>
      </c>
      <c r="I4487" s="434" t="s">
        <v>183</v>
      </c>
      <c r="J4487" s="295"/>
      <c r="K4487" s="295"/>
    </row>
    <row r="4488" spans="1:13" ht="22.5" x14ac:dyDescent="0.2">
      <c r="A4488" s="233" t="str">
        <f>VLOOKUP(B4488,equip.!$A:$G,2,FALSE)</f>
        <v>Betoneira 600 l com carregador (elétrica)</v>
      </c>
      <c r="B4488" s="234">
        <v>30070</v>
      </c>
      <c r="C4488" s="235">
        <f>VLOOKUP(B4488,equip.!$A$1:$G$239,3,FALSE)</f>
        <v>0</v>
      </c>
      <c r="D4488" s="236">
        <v>1</v>
      </c>
      <c r="E4488" s="203">
        <v>0</v>
      </c>
      <c r="F4488" s="237">
        <f>VLOOKUP(B4488,equip.!$A:$G,6,FALSE)</f>
        <v>26.5</v>
      </c>
      <c r="G4488" s="237">
        <f>VLOOKUP(B4488,equip.!$A:$G,7,FALSE)</f>
        <v>21.55</v>
      </c>
      <c r="H4488" s="238">
        <v>1</v>
      </c>
      <c r="I4488" s="418">
        <f>TRUNC(D4488*F4488*H4488+E4488*G4488*H4488,2)</f>
        <v>26.5</v>
      </c>
      <c r="J4488" s="295"/>
      <c r="K4488" s="295"/>
    </row>
    <row r="4489" spans="1:13" x14ac:dyDescent="0.2">
      <c r="A4489" s="233" t="str">
        <f>VLOOKUP(B4489,equip.!$A:$G,2,FALSE)</f>
        <v>Carrinho de mão</v>
      </c>
      <c r="B4489" s="234">
        <v>30076</v>
      </c>
      <c r="C4489" s="235">
        <f>VLOOKUP(B4489,equip.!$A$1:$G$239,3,FALSE)</f>
        <v>0</v>
      </c>
      <c r="D4489" s="236">
        <v>1</v>
      </c>
      <c r="E4489" s="203">
        <v>0</v>
      </c>
      <c r="F4489" s="237">
        <f>VLOOKUP(B4489,equip.!$A:$G,6,FALSE)</f>
        <v>0.19</v>
      </c>
      <c r="G4489" s="237">
        <f>VLOOKUP(B4489,equip.!$A:$G,7,FALSE)</f>
        <v>0.13</v>
      </c>
      <c r="H4489" s="238">
        <v>3</v>
      </c>
      <c r="I4489" s="418">
        <f>TRUNC(D4489*F4489*H4489+E4489*G4489*H4489,2)</f>
        <v>0.56999999999999995</v>
      </c>
      <c r="J4489" s="295"/>
      <c r="K4489" s="295"/>
    </row>
    <row r="4490" spans="1:13" ht="33.75" x14ac:dyDescent="0.2">
      <c r="A4490" s="233" t="str">
        <f>VLOOKUP(B4490,equip.!$A:$G,2,FALSE)</f>
        <v>Vibrador de imersao AA67 c/ mangote, marca de referência ATLAS COPCO ou equivalente</v>
      </c>
      <c r="B4490" s="234">
        <v>30071</v>
      </c>
      <c r="C4490" s="235">
        <f>VLOOKUP(B4490,equip.!$A$1:$G$239,3,FALSE)</f>
        <v>0</v>
      </c>
      <c r="D4490" s="236">
        <v>1</v>
      </c>
      <c r="E4490" s="203">
        <v>0</v>
      </c>
      <c r="F4490" s="237">
        <f>VLOOKUP(B4490,equip.!$A:$G,6,FALSE)</f>
        <v>15.98</v>
      </c>
      <c r="G4490" s="237">
        <f>VLOOKUP(B4490,equip.!$A:$G,7,FALSE)</f>
        <v>13.16</v>
      </c>
      <c r="H4490" s="238">
        <v>2</v>
      </c>
      <c r="I4490" s="418">
        <f>TRUNC(D4490*F4490*H4490+E4490*G4490*H4490,2)</f>
        <v>31.96</v>
      </c>
      <c r="J4490" s="295"/>
      <c r="K4490" s="295"/>
    </row>
    <row r="4491" spans="1:13" x14ac:dyDescent="0.2">
      <c r="A4491" s="199"/>
      <c r="B4491" s="229"/>
      <c r="C4491" s="229"/>
      <c r="D4491" s="199"/>
      <c r="E4491" s="199"/>
      <c r="F4491" s="230" t="s">
        <v>184</v>
      </c>
      <c r="G4491" s="240"/>
      <c r="H4491" s="241"/>
      <c r="I4491" s="438">
        <f>SUM(I4488:I4490)</f>
        <v>59.03</v>
      </c>
      <c r="J4491" s="295"/>
      <c r="K4491" s="295"/>
    </row>
    <row r="4492" spans="1:13" x14ac:dyDescent="0.2">
      <c r="A4492" s="199"/>
      <c r="B4492" s="229"/>
      <c r="C4492" s="229"/>
      <c r="D4492" s="199"/>
      <c r="E4492" s="199"/>
      <c r="F4492" s="199"/>
      <c r="G4492" s="199"/>
      <c r="H4492" s="199"/>
      <c r="I4492" s="439"/>
      <c r="J4492" s="295"/>
      <c r="K4492" s="295"/>
    </row>
    <row r="4493" spans="1:13" x14ac:dyDescent="0.2">
      <c r="A4493" s="242" t="s">
        <v>185</v>
      </c>
      <c r="B4493" s="243" t="s">
        <v>59</v>
      </c>
      <c r="C4493" s="232" t="s">
        <v>357</v>
      </c>
      <c r="D4493" s="243" t="s">
        <v>187</v>
      </c>
      <c r="E4493" s="1121" t="s">
        <v>89</v>
      </c>
      <c r="F4493" s="1114"/>
      <c r="G4493" s="1115"/>
      <c r="H4493" s="1121" t="s">
        <v>183</v>
      </c>
      <c r="I4493" s="1115"/>
      <c r="J4493" s="295"/>
      <c r="K4493" s="295"/>
    </row>
    <row r="4494" spans="1:13" x14ac:dyDescent="0.2">
      <c r="A4494" s="244" t="str">
        <f>VLOOKUP(B4494,m.o.!$A:$H,2,FALSE)</f>
        <v>Encarregado de O.A.C.</v>
      </c>
      <c r="B4494" s="234">
        <v>20060</v>
      </c>
      <c r="C4494" s="239">
        <f>VLOOKUP(B4494,m.o.!$A:$F,4,FALSE)</f>
        <v>2.2599999999999998</v>
      </c>
      <c r="D4494" s="239">
        <f>VLOOKUP(B4494,m.o.!$A:$G,7,FALSE)</f>
        <v>28.31</v>
      </c>
      <c r="E4494" s="240"/>
      <c r="F4494" s="253"/>
      <c r="G4494" s="293">
        <v>1</v>
      </c>
      <c r="H4494" s="240"/>
      <c r="I4494" s="427">
        <f>TRUNC(D4494*G4494,2)</f>
        <v>28.31</v>
      </c>
      <c r="J4494" s="295"/>
      <c r="K4494" s="295"/>
    </row>
    <row r="4495" spans="1:13" x14ac:dyDescent="0.2">
      <c r="A4495" s="244" t="str">
        <f>VLOOKUP(B4495,m.o.!$A:$H,2,FALSE)</f>
        <v>Operário braçal</v>
      </c>
      <c r="B4495" s="234">
        <v>20107</v>
      </c>
      <c r="C4495" s="239">
        <f>VLOOKUP(B4495,m.o.!$A:$F,4,FALSE)</f>
        <v>1.02</v>
      </c>
      <c r="D4495" s="239">
        <f>VLOOKUP(B4495,m.o.!$A:$G,7,FALSE)</f>
        <v>12.77</v>
      </c>
      <c r="E4495" s="240"/>
      <c r="F4495" s="241"/>
      <c r="G4495" s="405">
        <v>10</v>
      </c>
      <c r="H4495" s="240"/>
      <c r="I4495" s="427">
        <f>TRUNC(D4495*G4495,2)</f>
        <v>127.7</v>
      </c>
      <c r="J4495" s="295"/>
      <c r="K4495" s="295"/>
    </row>
    <row r="4496" spans="1:13" x14ac:dyDescent="0.2">
      <c r="A4496" s="244" t="str">
        <f>VLOOKUP(B4496,m.o.!$A:$H,2,FALSE)</f>
        <v>Pedreiro de O.A.C.</v>
      </c>
      <c r="B4496" s="234">
        <v>20109</v>
      </c>
      <c r="C4496" s="239">
        <f>VLOOKUP(B4496,m.o.!$A:$F,4,FALSE)</f>
        <v>1.24</v>
      </c>
      <c r="D4496" s="239">
        <f>VLOOKUP(B4496,m.o.!$A:$G,7,FALSE)</f>
        <v>15.53</v>
      </c>
      <c r="E4496" s="240"/>
      <c r="F4496" s="241"/>
      <c r="G4496" s="405">
        <v>2</v>
      </c>
      <c r="H4496" s="240"/>
      <c r="I4496" s="427">
        <f>TRUNC(D4496*G4496,2)</f>
        <v>31.06</v>
      </c>
      <c r="J4496" s="295"/>
      <c r="K4496" s="295"/>
    </row>
    <row r="4497" spans="1:11" x14ac:dyDescent="0.2">
      <c r="A4497" s="199"/>
      <c r="B4497" s="229"/>
      <c r="C4497" s="229"/>
      <c r="D4497" s="199"/>
      <c r="E4497" s="199"/>
      <c r="F4497" s="230" t="s">
        <v>188</v>
      </c>
      <c r="G4497" s="240"/>
      <c r="H4497" s="241"/>
      <c r="I4497" s="438">
        <f>SUM(I4494:I4496)</f>
        <v>187.07</v>
      </c>
      <c r="J4497" s="295"/>
      <c r="K4497" s="295"/>
    </row>
    <row r="4498" spans="1:11" x14ac:dyDescent="0.2">
      <c r="A4498" s="199"/>
      <c r="B4498" s="229"/>
      <c r="C4498" s="229"/>
      <c r="D4498" s="199"/>
      <c r="E4498" s="199"/>
      <c r="F4498" s="199"/>
      <c r="G4498" s="199"/>
      <c r="H4498" s="199"/>
      <c r="I4498" s="439"/>
      <c r="J4498" s="295"/>
      <c r="K4498" s="295"/>
    </row>
    <row r="4499" spans="1:11" x14ac:dyDescent="0.2">
      <c r="A4499" s="245" t="s">
        <v>189</v>
      </c>
      <c r="B4499" s="243" t="s">
        <v>59</v>
      </c>
      <c r="C4499" s="831" t="s">
        <v>17</v>
      </c>
      <c r="D4499" s="243" t="s">
        <v>190</v>
      </c>
      <c r="E4499" s="243" t="s">
        <v>191</v>
      </c>
      <c r="F4499" s="243" t="s">
        <v>192</v>
      </c>
      <c r="G4499" s="1121" t="s">
        <v>94</v>
      </c>
      <c r="H4499" s="1114"/>
      <c r="I4499" s="1115"/>
      <c r="J4499" s="295"/>
      <c r="K4499" s="295"/>
    </row>
    <row r="4500" spans="1:11" x14ac:dyDescent="0.2">
      <c r="A4500" s="244" t="s">
        <v>127</v>
      </c>
      <c r="B4500" s="234">
        <v>2000</v>
      </c>
      <c r="C4500" s="239">
        <v>5</v>
      </c>
      <c r="D4500" s="235" t="s">
        <v>208</v>
      </c>
      <c r="E4500" s="246"/>
      <c r="F4500" s="246"/>
      <c r="G4500" s="240"/>
      <c r="H4500" s="241"/>
      <c r="I4500" s="427">
        <f>TRUNC(C4500/100*I4497,2)</f>
        <v>9.35</v>
      </c>
      <c r="J4500" s="295"/>
      <c r="K4500" s="295"/>
    </row>
    <row r="4501" spans="1:11" x14ac:dyDescent="0.2">
      <c r="A4501" s="199"/>
      <c r="B4501" s="229"/>
      <c r="C4501" s="199"/>
      <c r="D4501" s="199"/>
      <c r="E4501" s="199"/>
      <c r="F4501" s="230" t="s">
        <v>327</v>
      </c>
      <c r="G4501" s="240"/>
      <c r="H4501" s="241"/>
      <c r="I4501" s="438">
        <f>SUM(I4500)</f>
        <v>9.35</v>
      </c>
      <c r="J4501" s="295"/>
      <c r="K4501" s="295"/>
    </row>
    <row r="4502" spans="1:11" x14ac:dyDescent="0.2">
      <c r="A4502" s="199"/>
      <c r="B4502" s="229"/>
      <c r="C4502" s="199"/>
      <c r="D4502" s="199"/>
      <c r="E4502" s="199"/>
      <c r="F4502" s="199"/>
      <c r="G4502" s="199"/>
      <c r="H4502" s="199"/>
      <c r="I4502" s="439"/>
      <c r="J4502" s="295"/>
      <c r="K4502" s="295"/>
    </row>
    <row r="4503" spans="1:11" x14ac:dyDescent="0.2">
      <c r="A4503" s="247"/>
      <c r="B4503" s="248"/>
      <c r="C4503" s="249"/>
      <c r="D4503" s="249"/>
      <c r="E4503" s="249"/>
      <c r="F4503" s="250" t="s">
        <v>193</v>
      </c>
      <c r="G4503" s="401"/>
      <c r="H4503" s="249"/>
      <c r="I4503" s="445">
        <f>+I4491+I4497+I4501</f>
        <v>255.45</v>
      </c>
      <c r="K4503" s="295"/>
    </row>
    <row r="4504" spans="1:11" x14ac:dyDescent="0.2">
      <c r="A4504" s="251"/>
      <c r="B4504" s="252"/>
      <c r="C4504" s="253"/>
      <c r="D4504" s="253"/>
      <c r="E4504" s="253"/>
      <c r="F4504" s="254" t="s">
        <v>194</v>
      </c>
      <c r="G4504" s="255"/>
      <c r="H4504" s="253"/>
      <c r="I4504" s="446">
        <v>1</v>
      </c>
      <c r="K4504" s="295"/>
    </row>
    <row r="4505" spans="1:11" x14ac:dyDescent="0.2">
      <c r="A4505" s="233"/>
      <c r="B4505" s="256"/>
      <c r="C4505" s="241"/>
      <c r="D4505" s="241"/>
      <c r="E4505" s="241"/>
      <c r="F4505" s="257" t="s">
        <v>216</v>
      </c>
      <c r="G4505" s="240"/>
      <c r="H4505" s="241"/>
      <c r="I4505" s="447">
        <f>TRUNC(I4503/I4504,2)</f>
        <v>255.45</v>
      </c>
      <c r="K4505" s="295"/>
    </row>
    <row r="4506" spans="1:11" x14ac:dyDescent="0.2">
      <c r="A4506" s="832"/>
      <c r="B4506" s="229"/>
      <c r="C4506" s="199"/>
      <c r="D4506" s="199"/>
      <c r="E4506" s="199"/>
      <c r="F4506" s="258"/>
      <c r="G4506" s="199"/>
      <c r="H4506" s="199"/>
      <c r="I4506" s="450"/>
      <c r="K4506" s="295"/>
    </row>
    <row r="4507" spans="1:11" x14ac:dyDescent="0.2">
      <c r="A4507" s="242" t="s">
        <v>195</v>
      </c>
      <c r="B4507" s="243" t="s">
        <v>59</v>
      </c>
      <c r="C4507" s="243" t="s">
        <v>196</v>
      </c>
      <c r="D4507" s="243" t="s">
        <v>217</v>
      </c>
      <c r="E4507" s="1121" t="s">
        <v>89</v>
      </c>
      <c r="F4507" s="1114"/>
      <c r="G4507" s="1115"/>
      <c r="H4507" s="1121" t="s">
        <v>183</v>
      </c>
      <c r="I4507" s="1115"/>
      <c r="K4507" s="295"/>
    </row>
    <row r="4508" spans="1:11" ht="22.5" x14ac:dyDescent="0.2">
      <c r="A4508" s="259" t="str">
        <f>VLOOKUP(B4508,mat.!$A:$D,2,FALSE)</f>
        <v>Areia grossa jazida com carregamento mecânico</v>
      </c>
      <c r="B4508" s="234">
        <v>10109</v>
      </c>
      <c r="C4508" s="260" t="str">
        <f>VLOOKUP(B4508,mat.!$A:$D,3,FALSE)</f>
        <v>m3</v>
      </c>
      <c r="D4508" s="261">
        <f>VLOOKUP(B4508,mat.!$A:$D,4,FALSE)</f>
        <v>60</v>
      </c>
      <c r="E4508" s="255"/>
      <c r="F4508" s="253"/>
      <c r="G4508" s="789">
        <v>0.57440000000000002</v>
      </c>
      <c r="H4508" s="255"/>
      <c r="I4508" s="423">
        <f>TRUNC(D4508*G4508,2)</f>
        <v>34.46</v>
      </c>
      <c r="K4508" s="295"/>
    </row>
    <row r="4509" spans="1:11" x14ac:dyDescent="0.2">
      <c r="A4509" s="259" t="str">
        <f>VLOOKUP(B4509,mat.!$A:$D,2,FALSE)</f>
        <v>Cimento CP III</v>
      </c>
      <c r="B4509" s="234">
        <v>10092</v>
      </c>
      <c r="C4509" s="260" t="str">
        <f>VLOOKUP(B4509,mat.!$A:$D,3,FALSE)</f>
        <v>kg</v>
      </c>
      <c r="D4509" s="261">
        <f>VLOOKUP(B4509,mat.!$A:$D,4,FALSE)</f>
        <v>0.41</v>
      </c>
      <c r="E4509" s="255"/>
      <c r="F4509" s="253"/>
      <c r="G4509" s="791">
        <v>456.75</v>
      </c>
      <c r="H4509" s="255"/>
      <c r="I4509" s="423">
        <f>TRUNC(D4509*G4509,2)</f>
        <v>187.26</v>
      </c>
      <c r="K4509" s="295"/>
    </row>
    <row r="4510" spans="1:11" x14ac:dyDescent="0.2">
      <c r="A4510" s="259" t="str">
        <f>VLOOKUP(B4510,mat.!$A:$D,2,FALSE)</f>
        <v>Pedra britada p/ concreto, sem frete</v>
      </c>
      <c r="B4510" s="234">
        <v>10125</v>
      </c>
      <c r="C4510" s="260" t="str">
        <f>VLOOKUP(B4510,mat.!$A:$D,3,FALSE)</f>
        <v>m3</v>
      </c>
      <c r="D4510" s="261">
        <f>VLOOKUP(B4510,mat.!$A:$D,4,FALSE)</f>
        <v>70.75</v>
      </c>
      <c r="E4510" s="255"/>
      <c r="F4510" s="253"/>
      <c r="G4510" s="791">
        <v>0.77700000000000002</v>
      </c>
      <c r="H4510" s="255"/>
      <c r="I4510" s="423">
        <f>TRUNC(D4510*G4510,2)</f>
        <v>54.97</v>
      </c>
      <c r="K4510" s="295"/>
    </row>
    <row r="4511" spans="1:11" x14ac:dyDescent="0.2">
      <c r="A4511" s="199"/>
      <c r="B4511" s="229"/>
      <c r="C4511" s="199"/>
      <c r="D4511" s="199"/>
      <c r="E4511" s="199"/>
      <c r="F4511" s="230" t="s">
        <v>197</v>
      </c>
      <c r="G4511" s="240"/>
      <c r="H4511" s="241"/>
      <c r="I4511" s="438">
        <f>SUM(I4508:I4510)</f>
        <v>276.69</v>
      </c>
      <c r="K4511" s="295"/>
    </row>
    <row r="4512" spans="1:11" x14ac:dyDescent="0.2">
      <c r="A4512" s="199"/>
      <c r="B4512" s="229"/>
      <c r="C4512" s="199"/>
      <c r="D4512" s="199"/>
      <c r="E4512" s="199"/>
      <c r="F4512" s="199"/>
      <c r="G4512" s="262"/>
      <c r="H4512" s="199"/>
      <c r="I4512" s="439"/>
      <c r="K4512" s="295"/>
    </row>
    <row r="4513" spans="1:13" x14ac:dyDescent="0.2">
      <c r="A4513" s="263" t="s">
        <v>198</v>
      </c>
      <c r="B4513" s="243" t="s">
        <v>59</v>
      </c>
      <c r="C4513" s="243" t="s">
        <v>196</v>
      </c>
      <c r="D4513" s="831" t="s">
        <v>217</v>
      </c>
      <c r="E4513" s="1121" t="s">
        <v>89</v>
      </c>
      <c r="F4513" s="1114"/>
      <c r="G4513" s="1115"/>
      <c r="H4513" s="1121" t="s">
        <v>183</v>
      </c>
      <c r="I4513" s="1115"/>
      <c r="K4513" s="295"/>
    </row>
    <row r="4514" spans="1:13" ht="21.75" customHeight="1" x14ac:dyDescent="0.2">
      <c r="A4514" s="244"/>
      <c r="B4514" s="234"/>
      <c r="C4514" s="234"/>
      <c r="D4514" s="239"/>
      <c r="E4514" s="240"/>
      <c r="F4514" s="253"/>
      <c r="G4514" s="293"/>
      <c r="H4514" s="240"/>
      <c r="I4514" s="423"/>
      <c r="K4514" s="295"/>
    </row>
    <row r="4515" spans="1:13" x14ac:dyDescent="0.2">
      <c r="A4515" s="200"/>
      <c r="B4515" s="264"/>
      <c r="C4515" s="200"/>
      <c r="D4515" s="200"/>
      <c r="E4515" s="200"/>
      <c r="F4515" s="265" t="s">
        <v>199</v>
      </c>
      <c r="G4515" s="255"/>
      <c r="H4515" s="266"/>
      <c r="I4515" s="441">
        <f>SUM(I4514:I4514)</f>
        <v>0</v>
      </c>
      <c r="K4515" s="295"/>
    </row>
    <row r="4516" spans="1:13" x14ac:dyDescent="0.2">
      <c r="A4516" s="200"/>
      <c r="B4516" s="264"/>
      <c r="C4516" s="200"/>
      <c r="D4516" s="200"/>
      <c r="E4516" s="200"/>
      <c r="F4516" s="200"/>
      <c r="G4516" s="200"/>
      <c r="H4516" s="200"/>
      <c r="I4516" s="440"/>
      <c r="K4516" s="295"/>
    </row>
    <row r="4517" spans="1:13" x14ac:dyDescent="0.2">
      <c r="A4517" s="267" t="s">
        <v>200</v>
      </c>
      <c r="B4517" s="268" t="s">
        <v>59</v>
      </c>
      <c r="C4517" s="268" t="s">
        <v>196</v>
      </c>
      <c r="D4517" s="268" t="s">
        <v>201</v>
      </c>
      <c r="E4517" s="268" t="s">
        <v>202</v>
      </c>
      <c r="F4517" s="268" t="s">
        <v>203</v>
      </c>
      <c r="G4517" s="268" t="s">
        <v>94</v>
      </c>
      <c r="H4517" s="268" t="s">
        <v>89</v>
      </c>
      <c r="I4517" s="442" t="s">
        <v>204</v>
      </c>
      <c r="K4517" s="295"/>
    </row>
    <row r="4518" spans="1:13" ht="22.5" x14ac:dyDescent="0.2">
      <c r="A4518" s="259" t="str">
        <f>VLOOKUP(B4518,transp.!A:D,2,FALSE)</f>
        <v>Transp. de Areia grossa jazida c/ carreg.mecânico</v>
      </c>
      <c r="B4518" s="234">
        <v>1026</v>
      </c>
      <c r="C4518" s="234" t="str">
        <f>VLOOKUP(B4518,transp.!$A:$J,3,FALSE)</f>
        <v xml:space="preserve"> t  </v>
      </c>
      <c r="D4518" s="269" t="str">
        <f>VLOOKUP(B4518,transp.!$A:$J,4,FALSE)</f>
        <v>0,719XP + 0,749XR + 2,997</v>
      </c>
      <c r="E4518" s="455">
        <f>VLOOKUP(J4518,Dis!$B:$F,4,FALSE)</f>
        <v>29.1</v>
      </c>
      <c r="F4518" s="455">
        <f>VLOOKUP(J4518,Dis!$B:$F,5,FALSE)</f>
        <v>5.5</v>
      </c>
      <c r="G4518" s="239">
        <f>TRUNC(VLOOKUP(B4518,transp.!$A:$J,5,FALSE)*E4518+VLOOKUP(B4518,transp.!$A:$J,6,FALSE)*F4518+VLOOKUP(B4518,transp.!$A:$J,7,FALSE),2)</f>
        <v>28.03</v>
      </c>
      <c r="H4518" s="271">
        <v>0.86150000000000004</v>
      </c>
      <c r="I4518" s="418">
        <f>TRUNC(G4518*H4518,2)</f>
        <v>24.14</v>
      </c>
      <c r="J4518" s="400" t="s">
        <v>113</v>
      </c>
      <c r="K4518" s="295"/>
    </row>
    <row r="4519" spans="1:13" x14ac:dyDescent="0.2">
      <c r="A4519" s="259" t="str">
        <f>VLOOKUP(B4519,transp.!A:D,2,FALSE)</f>
        <v>Transp. de Cimento</v>
      </c>
      <c r="B4519" s="234">
        <v>1153</v>
      </c>
      <c r="C4519" s="234" t="str">
        <f>VLOOKUP(B4519,transp.!$A:$J,3,FALSE)</f>
        <v xml:space="preserve"> t  </v>
      </c>
      <c r="D4519" s="269" t="str">
        <f>VLOOKUP(B4519,transp.!$A:$J,4,FALSE)</f>
        <v>0,716XP + 0,745XR</v>
      </c>
      <c r="E4519" s="455">
        <f>VLOOKUP(J4519,Dis!$B:$F,4,FALSE)</f>
        <v>37</v>
      </c>
      <c r="F4519" s="455">
        <f>VLOOKUP(J4519,Dis!$B:$F,5,FALSE)</f>
        <v>4.83</v>
      </c>
      <c r="G4519" s="239">
        <f>TRUNC(VLOOKUP(B4519,transp.!$A:$J,5,FALSE)*E4519+VLOOKUP(B4519,transp.!$A:$J,6,FALSE)*F4519+VLOOKUP(B4519,transp.!$A:$J,7,FALSE),2)</f>
        <v>30.09</v>
      </c>
      <c r="H4519" s="271">
        <v>0.45679999999999998</v>
      </c>
      <c r="I4519" s="418">
        <f>TRUNC(G4519*H4519,2)</f>
        <v>13.74</v>
      </c>
      <c r="J4519" s="400" t="s">
        <v>159</v>
      </c>
    </row>
    <row r="4520" spans="1:13" ht="22.5" x14ac:dyDescent="0.2">
      <c r="A4520" s="259" t="str">
        <f>VLOOKUP(B4520,transp.!A:D,2,FALSE)</f>
        <v>Transp. de Pedra britada p/ concreto</v>
      </c>
      <c r="B4520" s="234">
        <v>1162</v>
      </c>
      <c r="C4520" s="234" t="str">
        <f>VLOOKUP(B4520,transp.!$A:$J,3,FALSE)</f>
        <v xml:space="preserve"> t  </v>
      </c>
      <c r="D4520" s="269" t="str">
        <f>VLOOKUP(B4520,transp.!$A:$J,4,FALSE)</f>
        <v>0,719XP + 0,749XR + 2,997</v>
      </c>
      <c r="E4520" s="455">
        <f>VLOOKUP(J4520,Dis!$B:$F,4,FALSE)</f>
        <v>12.5</v>
      </c>
      <c r="F4520" s="455">
        <f>VLOOKUP(J4520,Dis!$B:$F,5,FALSE)</f>
        <v>0</v>
      </c>
      <c r="G4520" s="239">
        <f>TRUNC(VLOOKUP(B4520,transp.!$A:$J,5,FALSE)*E4520+VLOOKUP(B4520,transp.!$A:$J,6,FALSE)*F4520+VLOOKUP(B4520,transp.!$A:$J,7,FALSE),2)</f>
        <v>11.98</v>
      </c>
      <c r="H4520" s="271">
        <v>1.1655</v>
      </c>
      <c r="I4520" s="418">
        <f>TRUNC(G4520*H4520,2)</f>
        <v>13.96</v>
      </c>
      <c r="J4520" s="400" t="s">
        <v>111</v>
      </c>
    </row>
    <row r="4521" spans="1:13" x14ac:dyDescent="0.2">
      <c r="A4521" s="200"/>
      <c r="B4521" s="264"/>
      <c r="C4521" s="200"/>
      <c r="D4521" s="200"/>
      <c r="E4521" s="200"/>
      <c r="F4521" s="265" t="s">
        <v>205</v>
      </c>
      <c r="G4521" s="240"/>
      <c r="H4521" s="272"/>
      <c r="I4521" s="443">
        <f>SUM(I4518:I4520)</f>
        <v>51.84</v>
      </c>
    </row>
    <row r="4522" spans="1:13" x14ac:dyDescent="0.2">
      <c r="A4522" s="200"/>
      <c r="B4522" s="264"/>
      <c r="C4522" s="200"/>
      <c r="D4522" s="200"/>
      <c r="E4522" s="200"/>
      <c r="F4522" s="200"/>
      <c r="G4522" s="200"/>
      <c r="H4522" s="200"/>
      <c r="I4522" s="444"/>
    </row>
    <row r="4523" spans="1:13" x14ac:dyDescent="0.2">
      <c r="A4523" s="273"/>
      <c r="B4523" s="274"/>
      <c r="C4523" s="275"/>
      <c r="D4523" s="275"/>
      <c r="E4523" s="275"/>
      <c r="F4523" s="276" t="s">
        <v>206</v>
      </c>
      <c r="G4523" s="273"/>
      <c r="H4523" s="249"/>
      <c r="I4523" s="445">
        <f>+I4505+I4511+I4515+I4521</f>
        <v>583.98</v>
      </c>
    </row>
    <row r="4524" spans="1:13" x14ac:dyDescent="0.2">
      <c r="A4524" s="255"/>
      <c r="B4524" s="277"/>
      <c r="C4524" s="266"/>
      <c r="D4524" s="266"/>
      <c r="E4524" s="266"/>
      <c r="F4524" s="278" t="str">
        <f>CONCATENATE($H$3," ",$I$3)</f>
        <v>BDI: 23,32</v>
      </c>
      <c r="G4524" s="403"/>
      <c r="H4524" s="253"/>
      <c r="I4524" s="446">
        <f>+ROUND(I4523*$I$4,2)</f>
        <v>136.18</v>
      </c>
    </row>
    <row r="4525" spans="1:13" x14ac:dyDescent="0.2">
      <c r="A4525" s="240"/>
      <c r="B4525" s="279"/>
      <c r="C4525" s="272"/>
      <c r="D4525" s="272"/>
      <c r="E4525" s="272"/>
      <c r="F4525" s="280" t="s">
        <v>207</v>
      </c>
      <c r="G4525" s="404"/>
      <c r="H4525" s="241"/>
      <c r="I4525" s="720">
        <f>+I4523+I4524</f>
        <v>720.16</v>
      </c>
    </row>
    <row r="4526" spans="1:13" x14ac:dyDescent="0.2">
      <c r="A4526" s="199"/>
      <c r="B4526" s="530"/>
      <c r="C4526" s="200"/>
      <c r="D4526" s="200"/>
      <c r="E4526" s="200"/>
      <c r="F4526" s="265"/>
      <c r="G4526" s="200"/>
      <c r="H4526" s="199"/>
      <c r="I4526" s="738"/>
    </row>
    <row r="4527" spans="1:13" x14ac:dyDescent="0.2">
      <c r="A4527" s="1116" t="str">
        <f>$A$1</f>
        <v>COMPOSIÇÃO DE CUSTOS UNITÁRIOS</v>
      </c>
      <c r="B4527" s="1116"/>
      <c r="C4527" s="1116"/>
      <c r="D4527" s="1116"/>
      <c r="E4527" s="1116"/>
      <c r="F4527" s="1116"/>
      <c r="G4527" s="1116"/>
      <c r="H4527" s="1116"/>
      <c r="I4527" s="1116"/>
    </row>
    <row r="4528" spans="1:13" x14ac:dyDescent="0.2">
      <c r="A4528" s="228" t="str">
        <f>$A$2</f>
        <v>Tabela Referencial de Preços - DER-ES</v>
      </c>
      <c r="B4528" s="229"/>
      <c r="C4528" s="199"/>
      <c r="D4528" s="199"/>
      <c r="E4528" s="199"/>
      <c r="F4528" s="199"/>
      <c r="G4528" s="199"/>
      <c r="H4528" s="199"/>
      <c r="I4528" s="414" t="str">
        <f>$I$2</f>
        <v>Data Base: novembro/2020</v>
      </c>
      <c r="J4528" s="400">
        <v>42229</v>
      </c>
      <c r="K4528" s="400">
        <f>VLOOKUP("Preço Unitário Total",F4530:I4790,4,FALSE)</f>
        <v>19.989999999999998</v>
      </c>
      <c r="M4528" s="295" t="s">
        <v>668</v>
      </c>
    </row>
    <row r="4529" spans="1:11" ht="13.9" customHeight="1" x14ac:dyDescent="0.2">
      <c r="A4529" s="1117" t="s">
        <v>669</v>
      </c>
      <c r="B4529" s="1117"/>
      <c r="C4529" s="1117"/>
      <c r="D4529" s="1117"/>
      <c r="E4529" s="1117"/>
      <c r="F4529" s="1117"/>
      <c r="G4529" s="1117"/>
      <c r="H4529" s="1117"/>
      <c r="I4529" s="1119" t="s">
        <v>407</v>
      </c>
    </row>
    <row r="4530" spans="1:11" x14ac:dyDescent="0.2">
      <c r="A4530" s="1118"/>
      <c r="B4530" s="1118"/>
      <c r="C4530" s="1118"/>
      <c r="D4530" s="1118"/>
      <c r="E4530" s="1118"/>
      <c r="F4530" s="1118"/>
      <c r="G4530" s="1118"/>
      <c r="H4530" s="1118"/>
      <c r="I4530" s="1120"/>
    </row>
    <row r="4531" spans="1:11" ht="22.5" x14ac:dyDescent="0.2">
      <c r="A4531" s="231" t="s">
        <v>177</v>
      </c>
      <c r="B4531" s="232" t="s">
        <v>59</v>
      </c>
      <c r="C4531" s="232" t="s">
        <v>178</v>
      </c>
      <c r="D4531" s="232" t="s">
        <v>179</v>
      </c>
      <c r="E4531" s="232" t="s">
        <v>180</v>
      </c>
      <c r="F4531" s="232" t="s">
        <v>181</v>
      </c>
      <c r="G4531" s="232" t="s">
        <v>182</v>
      </c>
      <c r="H4531" s="232" t="s">
        <v>89</v>
      </c>
      <c r="I4531" s="434" t="s">
        <v>183</v>
      </c>
      <c r="J4531" s="295"/>
      <c r="K4531" s="295"/>
    </row>
    <row r="4532" spans="1:11" ht="22.5" x14ac:dyDescent="0.2">
      <c r="A4532" s="233" t="str">
        <f>VLOOKUP(B4532,equip.!$A:$G,2,FALSE)</f>
        <v>Caminhão basculante 1315C PBT=12,9t (TOCO 8,0t)</v>
      </c>
      <c r="B4532" s="234">
        <v>30000</v>
      </c>
      <c r="C4532" s="235" t="str">
        <f>VLOOKUP(B4532,equip.!$A$1:$G$239,3,FALSE)</f>
        <v>M</v>
      </c>
      <c r="D4532" s="236">
        <v>1</v>
      </c>
      <c r="E4532" s="203">
        <v>0</v>
      </c>
      <c r="F4532" s="237">
        <f>VLOOKUP(B4532,equip.!$A:$G,6,FALSE)</f>
        <v>165.2</v>
      </c>
      <c r="G4532" s="237">
        <f>VLOOKUP(B4532,equip.!$A:$G,7,FALSE)</f>
        <v>50.79</v>
      </c>
      <c r="H4532" s="238">
        <v>1</v>
      </c>
      <c r="I4532" s="418">
        <f>TRUNC(D4532*F4532*H4532+E4532*G4532*H4532,2)</f>
        <v>165.2</v>
      </c>
      <c r="J4532" s="295"/>
      <c r="K4532" s="295"/>
    </row>
    <row r="4533" spans="1:11" ht="33.75" x14ac:dyDescent="0.2">
      <c r="A4533" s="233" t="str">
        <f>VLOOKUP(B4533,equip.!$A:$G,2,FALSE)</f>
        <v>Carregadeira de rodas ref. Caterpillar modelo 924H (1,9 m3) ( cab + ar ) ou equivalente</v>
      </c>
      <c r="B4533" s="234">
        <v>30023</v>
      </c>
      <c r="C4533" s="235" t="str">
        <f>VLOOKUP(B4533,equip.!$A$1:$G$239,3,FALSE)</f>
        <v>M</v>
      </c>
      <c r="D4533" s="236">
        <v>0.2</v>
      </c>
      <c r="E4533" s="203">
        <v>0.8</v>
      </c>
      <c r="F4533" s="237">
        <f>VLOOKUP(B4533,equip.!$A:$G,6,FALSE)</f>
        <v>201.89</v>
      </c>
      <c r="G4533" s="237">
        <f>VLOOKUP(B4533,equip.!$A:$G,7,FALSE)</f>
        <v>68.959999999999994</v>
      </c>
      <c r="H4533" s="238">
        <v>1</v>
      </c>
      <c r="I4533" s="418">
        <f>TRUNC(D4533*F4533*H4533+E4533*G4533*H4533,2)</f>
        <v>95.54</v>
      </c>
      <c r="J4533" s="295"/>
      <c r="K4533" s="295"/>
    </row>
    <row r="4534" spans="1:11" x14ac:dyDescent="0.2">
      <c r="A4534" s="233" t="str">
        <f>VLOOKUP(B4534,equip.!$A:$G,2,FALSE)</f>
        <v>Conjunto moto bomba diam. 4"</v>
      </c>
      <c r="B4534" s="234">
        <v>30080</v>
      </c>
      <c r="C4534" s="235">
        <f>VLOOKUP(B4534,equip.!$A$1:$G$239,3,FALSE)</f>
        <v>0</v>
      </c>
      <c r="D4534" s="236">
        <v>0.7</v>
      </c>
      <c r="E4534" s="203">
        <v>0.3</v>
      </c>
      <c r="F4534" s="237">
        <f>VLOOKUP(B4534,equip.!$A:$G,6,FALSE)</f>
        <v>18.73</v>
      </c>
      <c r="G4534" s="237">
        <f>VLOOKUP(B4534,equip.!$A:$G,7,FALSE)</f>
        <v>13.12</v>
      </c>
      <c r="H4534" s="238">
        <v>1</v>
      </c>
      <c r="I4534" s="418">
        <f>TRUNC(D4534*F4534*H4534+E4534*G4534*H4534,2)</f>
        <v>17.04</v>
      </c>
      <c r="J4534" s="295"/>
      <c r="K4534" s="295"/>
    </row>
    <row r="4535" spans="1:11" x14ac:dyDescent="0.2">
      <c r="A4535" s="199"/>
      <c r="B4535" s="229"/>
      <c r="C4535" s="229"/>
      <c r="D4535" s="199"/>
      <c r="E4535" s="199"/>
      <c r="F4535" s="230" t="s">
        <v>184</v>
      </c>
      <c r="G4535" s="240"/>
      <c r="H4535" s="241"/>
      <c r="I4535" s="438">
        <f>SUM(I4532:I4534)</f>
        <v>277.77999999999997</v>
      </c>
      <c r="J4535" s="295"/>
      <c r="K4535" s="295"/>
    </row>
    <row r="4536" spans="1:11" x14ac:dyDescent="0.2">
      <c r="A4536" s="199"/>
      <c r="B4536" s="229"/>
      <c r="C4536" s="229"/>
      <c r="D4536" s="199"/>
      <c r="E4536" s="199"/>
      <c r="F4536" s="199"/>
      <c r="G4536" s="199"/>
      <c r="H4536" s="199"/>
      <c r="I4536" s="439"/>
      <c r="J4536" s="295"/>
      <c r="K4536" s="295"/>
    </row>
    <row r="4537" spans="1:11" x14ac:dyDescent="0.2">
      <c r="A4537" s="242" t="s">
        <v>185</v>
      </c>
      <c r="B4537" s="243" t="s">
        <v>59</v>
      </c>
      <c r="C4537" s="232" t="s">
        <v>357</v>
      </c>
      <c r="D4537" s="243" t="s">
        <v>187</v>
      </c>
      <c r="E4537" s="1121" t="s">
        <v>89</v>
      </c>
      <c r="F4537" s="1114"/>
      <c r="G4537" s="1115"/>
      <c r="H4537" s="1121" t="s">
        <v>183</v>
      </c>
      <c r="I4537" s="1115"/>
      <c r="J4537" s="295"/>
      <c r="K4537" s="295"/>
    </row>
    <row r="4538" spans="1:11" x14ac:dyDescent="0.2">
      <c r="A4538" s="244" t="str">
        <f>VLOOKUP(B4538,m.o.!$A:$H,2,FALSE)</f>
        <v>Servente</v>
      </c>
      <c r="B4538" s="234">
        <v>20002</v>
      </c>
      <c r="C4538" s="239">
        <f>VLOOKUP(B4538,m.o.!$A:$F,4,FALSE)</f>
        <v>1</v>
      </c>
      <c r="D4538" s="239">
        <f>VLOOKUP(B4538,m.o.!$A:$G,7,FALSE)</f>
        <v>12.52</v>
      </c>
      <c r="E4538" s="240"/>
      <c r="F4538" s="253"/>
      <c r="G4538" s="293">
        <v>2</v>
      </c>
      <c r="H4538" s="240"/>
      <c r="I4538" s="427">
        <f>TRUNC(D4538*G4538,2)</f>
        <v>25.04</v>
      </c>
      <c r="J4538" s="295"/>
      <c r="K4538" s="295"/>
    </row>
    <row r="4539" spans="1:11" x14ac:dyDescent="0.2">
      <c r="A4539" s="199"/>
      <c r="B4539" s="229"/>
      <c r="C4539" s="229"/>
      <c r="D4539" s="199"/>
      <c r="E4539" s="199"/>
      <c r="F4539" s="230" t="s">
        <v>188</v>
      </c>
      <c r="G4539" s="240"/>
      <c r="H4539" s="241"/>
      <c r="I4539" s="438">
        <f>SUM(I4538:I4538)</f>
        <v>25.04</v>
      </c>
      <c r="J4539" s="295"/>
      <c r="K4539" s="295"/>
    </row>
    <row r="4540" spans="1:11" x14ac:dyDescent="0.2">
      <c r="A4540" s="199"/>
      <c r="B4540" s="229"/>
      <c r="C4540" s="229"/>
      <c r="D4540" s="199"/>
      <c r="E4540" s="199"/>
      <c r="F4540" s="199"/>
      <c r="G4540" s="199"/>
      <c r="H4540" s="199"/>
      <c r="I4540" s="439"/>
      <c r="J4540" s="295"/>
      <c r="K4540" s="295"/>
    </row>
    <row r="4541" spans="1:11" x14ac:dyDescent="0.2">
      <c r="A4541" s="245" t="s">
        <v>189</v>
      </c>
      <c r="B4541" s="243" t="s">
        <v>59</v>
      </c>
      <c r="C4541" s="837" t="s">
        <v>17</v>
      </c>
      <c r="D4541" s="243" t="s">
        <v>190</v>
      </c>
      <c r="E4541" s="243" t="s">
        <v>191</v>
      </c>
      <c r="F4541" s="243" t="s">
        <v>192</v>
      </c>
      <c r="G4541" s="1121" t="s">
        <v>94</v>
      </c>
      <c r="H4541" s="1114"/>
      <c r="I4541" s="1115"/>
      <c r="J4541" s="295"/>
      <c r="K4541" s="295"/>
    </row>
    <row r="4542" spans="1:11" x14ac:dyDescent="0.2">
      <c r="A4542" s="244" t="s">
        <v>127</v>
      </c>
      <c r="B4542" s="234">
        <v>2000</v>
      </c>
      <c r="C4542" s="239">
        <v>5</v>
      </c>
      <c r="D4542" s="235" t="s">
        <v>208</v>
      </c>
      <c r="E4542" s="246"/>
      <c r="F4542" s="246"/>
      <c r="G4542" s="240"/>
      <c r="H4542" s="241"/>
      <c r="I4542" s="427">
        <f>TRUNC(C4542/100*I4539,2)</f>
        <v>1.25</v>
      </c>
      <c r="J4542" s="295"/>
      <c r="K4542" s="295"/>
    </row>
    <row r="4543" spans="1:11" x14ac:dyDescent="0.2">
      <c r="A4543" s="199"/>
      <c r="B4543" s="229"/>
      <c r="C4543" s="199"/>
      <c r="D4543" s="199"/>
      <c r="E4543" s="199"/>
      <c r="F4543" s="230" t="s">
        <v>327</v>
      </c>
      <c r="G4543" s="240"/>
      <c r="H4543" s="241"/>
      <c r="I4543" s="438">
        <f>SUM(I4542)</f>
        <v>1.25</v>
      </c>
      <c r="J4543" s="295"/>
      <c r="K4543" s="295"/>
    </row>
    <row r="4544" spans="1:11" x14ac:dyDescent="0.2">
      <c r="A4544" s="199"/>
      <c r="B4544" s="229"/>
      <c r="C4544" s="199"/>
      <c r="D4544" s="199"/>
      <c r="E4544" s="199"/>
      <c r="F4544" s="199"/>
      <c r="G4544" s="199"/>
      <c r="H4544" s="199"/>
      <c r="I4544" s="439"/>
      <c r="J4544" s="295"/>
      <c r="K4544" s="295"/>
    </row>
    <row r="4545" spans="1:11" x14ac:dyDescent="0.2">
      <c r="A4545" s="247"/>
      <c r="B4545" s="248"/>
      <c r="C4545" s="249"/>
      <c r="D4545" s="249"/>
      <c r="E4545" s="249"/>
      <c r="F4545" s="250" t="s">
        <v>193</v>
      </c>
      <c r="G4545" s="401"/>
      <c r="H4545" s="249"/>
      <c r="I4545" s="445">
        <f>+I4535+I4539+I4543</f>
        <v>304.07</v>
      </c>
      <c r="K4545" s="295"/>
    </row>
    <row r="4546" spans="1:11" x14ac:dyDescent="0.2">
      <c r="A4546" s="251"/>
      <c r="B4546" s="252"/>
      <c r="C4546" s="253"/>
      <c r="D4546" s="253"/>
      <c r="E4546" s="253"/>
      <c r="F4546" s="254" t="s">
        <v>194</v>
      </c>
      <c r="G4546" s="255"/>
      <c r="H4546" s="253"/>
      <c r="I4546" s="446">
        <v>18.75</v>
      </c>
      <c r="K4546" s="295"/>
    </row>
    <row r="4547" spans="1:11" x14ac:dyDescent="0.2">
      <c r="A4547" s="233"/>
      <c r="B4547" s="256"/>
      <c r="C4547" s="241"/>
      <c r="D4547" s="241"/>
      <c r="E4547" s="241"/>
      <c r="F4547" s="257" t="s">
        <v>216</v>
      </c>
      <c r="G4547" s="240"/>
      <c r="H4547" s="241"/>
      <c r="I4547" s="447">
        <f>TRUNC(I4545/I4546,2)</f>
        <v>16.21</v>
      </c>
      <c r="K4547" s="295"/>
    </row>
    <row r="4548" spans="1:11" x14ac:dyDescent="0.2">
      <c r="A4548" s="838"/>
      <c r="B4548" s="229"/>
      <c r="C4548" s="199"/>
      <c r="D4548" s="199"/>
      <c r="E4548" s="199"/>
      <c r="F4548" s="258"/>
      <c r="G4548" s="199"/>
      <c r="H4548" s="199"/>
      <c r="I4548" s="450"/>
      <c r="K4548" s="295"/>
    </row>
    <row r="4549" spans="1:11" x14ac:dyDescent="0.2">
      <c r="A4549" s="242" t="s">
        <v>195</v>
      </c>
      <c r="B4549" s="243" t="s">
        <v>59</v>
      </c>
      <c r="C4549" s="243" t="s">
        <v>196</v>
      </c>
      <c r="D4549" s="243" t="s">
        <v>217</v>
      </c>
      <c r="E4549" s="1121" t="s">
        <v>89</v>
      </c>
      <c r="F4549" s="1114"/>
      <c r="G4549" s="1115"/>
      <c r="H4549" s="1121" t="s">
        <v>183</v>
      </c>
      <c r="I4549" s="1115"/>
      <c r="K4549" s="295"/>
    </row>
    <row r="4550" spans="1:11" x14ac:dyDescent="0.2">
      <c r="A4550" s="199"/>
      <c r="B4550" s="229"/>
      <c r="C4550" s="199"/>
      <c r="D4550" s="199"/>
      <c r="E4550" s="199"/>
      <c r="F4550" s="230" t="s">
        <v>197</v>
      </c>
      <c r="G4550" s="240"/>
      <c r="H4550" s="241"/>
      <c r="I4550" s="438">
        <v>0</v>
      </c>
      <c r="K4550" s="295"/>
    </row>
    <row r="4551" spans="1:11" x14ac:dyDescent="0.2">
      <c r="A4551" s="199"/>
      <c r="B4551" s="229"/>
      <c r="C4551" s="199"/>
      <c r="D4551" s="199"/>
      <c r="E4551" s="199"/>
      <c r="F4551" s="199"/>
      <c r="G4551" s="262"/>
      <c r="H4551" s="199"/>
      <c r="I4551" s="439"/>
      <c r="K4551" s="295"/>
    </row>
    <row r="4552" spans="1:11" x14ac:dyDescent="0.2">
      <c r="A4552" s="263" t="s">
        <v>198</v>
      </c>
      <c r="B4552" s="243" t="s">
        <v>59</v>
      </c>
      <c r="C4552" s="243" t="s">
        <v>196</v>
      </c>
      <c r="D4552" s="837" t="s">
        <v>217</v>
      </c>
      <c r="E4552" s="1121" t="s">
        <v>89</v>
      </c>
      <c r="F4552" s="1114"/>
      <c r="G4552" s="1115"/>
      <c r="H4552" s="1121" t="s">
        <v>183</v>
      </c>
      <c r="I4552" s="1115"/>
      <c r="K4552" s="295"/>
    </row>
    <row r="4553" spans="1:11" x14ac:dyDescent="0.2">
      <c r="A4553" s="200"/>
      <c r="B4553" s="264"/>
      <c r="C4553" s="200"/>
      <c r="D4553" s="200"/>
      <c r="E4553" s="200"/>
      <c r="F4553" s="265" t="s">
        <v>199</v>
      </c>
      <c r="G4553" s="255"/>
      <c r="H4553" s="266"/>
      <c r="I4553" s="441">
        <v>0</v>
      </c>
      <c r="K4553" s="295"/>
    </row>
    <row r="4554" spans="1:11" x14ac:dyDescent="0.2">
      <c r="A4554" s="200"/>
      <c r="B4554" s="264"/>
      <c r="C4554" s="200"/>
      <c r="D4554" s="200"/>
      <c r="E4554" s="200"/>
      <c r="F4554" s="200"/>
      <c r="G4554" s="200"/>
      <c r="H4554" s="200"/>
      <c r="I4554" s="440"/>
      <c r="K4554" s="295"/>
    </row>
    <row r="4555" spans="1:11" x14ac:dyDescent="0.2">
      <c r="A4555" s="267" t="s">
        <v>200</v>
      </c>
      <c r="B4555" s="268" t="s">
        <v>59</v>
      </c>
      <c r="C4555" s="268" t="s">
        <v>196</v>
      </c>
      <c r="D4555" s="268" t="s">
        <v>201</v>
      </c>
      <c r="E4555" s="268" t="s">
        <v>202</v>
      </c>
      <c r="F4555" s="268" t="s">
        <v>203</v>
      </c>
      <c r="G4555" s="268" t="s">
        <v>94</v>
      </c>
      <c r="H4555" s="268" t="s">
        <v>89</v>
      </c>
      <c r="I4555" s="442" t="s">
        <v>204</v>
      </c>
      <c r="K4555" s="295"/>
    </row>
    <row r="4556" spans="1:11" x14ac:dyDescent="0.2">
      <c r="A4556" s="200"/>
      <c r="B4556" s="264"/>
      <c r="C4556" s="200"/>
      <c r="D4556" s="200"/>
      <c r="E4556" s="200"/>
      <c r="F4556" s="265" t="s">
        <v>205</v>
      </c>
      <c r="G4556" s="240"/>
      <c r="H4556" s="272"/>
      <c r="I4556" s="443">
        <v>0</v>
      </c>
    </row>
    <row r="4557" spans="1:11" x14ac:dyDescent="0.2">
      <c r="A4557" s="200"/>
      <c r="B4557" s="264"/>
      <c r="C4557" s="200"/>
      <c r="D4557" s="200"/>
      <c r="E4557" s="200"/>
      <c r="F4557" s="200"/>
      <c r="G4557" s="200"/>
      <c r="H4557" s="200"/>
      <c r="I4557" s="444"/>
    </row>
    <row r="4558" spans="1:11" x14ac:dyDescent="0.2">
      <c r="A4558" s="273"/>
      <c r="B4558" s="274"/>
      <c r="C4558" s="275"/>
      <c r="D4558" s="275"/>
      <c r="E4558" s="275"/>
      <c r="F4558" s="276" t="s">
        <v>206</v>
      </c>
      <c r="G4558" s="273"/>
      <c r="H4558" s="249"/>
      <c r="I4558" s="445">
        <f>+I4547+I4550+I4553+I4556</f>
        <v>16.21</v>
      </c>
    </row>
    <row r="4559" spans="1:11" x14ac:dyDescent="0.2">
      <c r="A4559" s="255"/>
      <c r="B4559" s="277"/>
      <c r="C4559" s="266"/>
      <c r="D4559" s="266"/>
      <c r="E4559" s="266"/>
      <c r="F4559" s="278" t="str">
        <f>CONCATENATE($H$3," ",$I$3)</f>
        <v>BDI: 23,32</v>
      </c>
      <c r="G4559" s="403"/>
      <c r="H4559" s="253"/>
      <c r="I4559" s="446">
        <f>+ROUND(I4558*$I$4,2)</f>
        <v>3.78</v>
      </c>
    </row>
    <row r="4560" spans="1:11" x14ac:dyDescent="0.2">
      <c r="A4560" s="240"/>
      <c r="B4560" s="279"/>
      <c r="C4560" s="272"/>
      <c r="D4560" s="272"/>
      <c r="E4560" s="272"/>
      <c r="F4560" s="280" t="s">
        <v>207</v>
      </c>
      <c r="G4560" s="404"/>
      <c r="H4560" s="241"/>
      <c r="I4560" s="720">
        <f>+I4558+I4559</f>
        <v>19.989999999999998</v>
      </c>
    </row>
    <row r="4561" spans="1:13" x14ac:dyDescent="0.2">
      <c r="A4561" s="1116" t="str">
        <f>$A$1</f>
        <v>COMPOSIÇÃO DE CUSTOS UNITÁRIOS</v>
      </c>
      <c r="B4561" s="1116"/>
      <c r="C4561" s="1116"/>
      <c r="D4561" s="1116"/>
      <c r="E4561" s="1116"/>
      <c r="F4561" s="1116"/>
      <c r="G4561" s="1116"/>
      <c r="H4561" s="1116"/>
      <c r="I4561" s="1116"/>
    </row>
    <row r="4562" spans="1:13" x14ac:dyDescent="0.2">
      <c r="A4562" s="228" t="str">
        <f>$A$2</f>
        <v>Tabela Referencial de Preços - DER-ES</v>
      </c>
      <c r="B4562" s="229"/>
      <c r="C4562" s="199"/>
      <c r="D4562" s="199"/>
      <c r="E4562" s="199"/>
      <c r="F4562" s="199"/>
      <c r="G4562" s="199"/>
      <c r="H4562" s="199"/>
      <c r="I4562" s="414" t="str">
        <f>$I$2</f>
        <v>Data Base: novembro/2020</v>
      </c>
    </row>
    <row r="4563" spans="1:13" x14ac:dyDescent="0.2">
      <c r="A4563" s="1117" t="str">
        <f>+CONCATENATE("Serviço: ",J4563," ",VLOOKUP(J4563,'DER 11-20'!$A:$D,2,FALSE))</f>
        <v>Serviço: 40840 Usinagem de concreto betuminoso usinado a quente (CBUQ), inclusive transporte comercial do oleo combustível</v>
      </c>
      <c r="B4563" s="1117"/>
      <c r="C4563" s="1117"/>
      <c r="D4563" s="1117"/>
      <c r="E4563" s="1117"/>
      <c r="F4563" s="1117"/>
      <c r="G4563" s="1117"/>
      <c r="H4563" s="1117"/>
      <c r="I4563" s="1119" t="str">
        <f>CONCATENATE("Unidade: ", VLOOKUP(J4563,'DER 11-20'!$A:$E,3,FALSE))</f>
        <v>Unidade: t</v>
      </c>
      <c r="J4563" s="400">
        <v>40840</v>
      </c>
      <c r="K4563" s="400">
        <f>VLOOKUP("Preço Unitário Total",F4564:I4834,4,FALSE)</f>
        <v>50.78</v>
      </c>
      <c r="L4563" s="295" t="str">
        <f>VLOOKUP(J4563,'DER 11-20'!$A:$E,5,FALSE)</f>
        <v>A incluir</v>
      </c>
      <c r="M4563" s="295" t="str">
        <f>VLOOKUP(J4563,'DER 11-20'!$A:$D,2,FALSE)</f>
        <v>Usinagem de concreto betuminoso usinado a quente (CBUQ), inclusive transporte comercial do oleo combustível</v>
      </c>
    </row>
    <row r="4564" spans="1:13" x14ac:dyDescent="0.2">
      <c r="A4564" s="1118"/>
      <c r="B4564" s="1118"/>
      <c r="C4564" s="1118"/>
      <c r="D4564" s="1118"/>
      <c r="E4564" s="1118"/>
      <c r="F4564" s="1118"/>
      <c r="G4564" s="1118"/>
      <c r="H4564" s="1118"/>
      <c r="I4564" s="1120"/>
    </row>
    <row r="4565" spans="1:13" ht="22.5" x14ac:dyDescent="0.2">
      <c r="A4565" s="231" t="s">
        <v>177</v>
      </c>
      <c r="B4565" s="232" t="s">
        <v>59</v>
      </c>
      <c r="C4565" s="232" t="s">
        <v>178</v>
      </c>
      <c r="D4565" s="232" t="s">
        <v>179</v>
      </c>
      <c r="E4565" s="232" t="s">
        <v>180</v>
      </c>
      <c r="F4565" s="232" t="s">
        <v>181</v>
      </c>
      <c r="G4565" s="232" t="s">
        <v>182</v>
      </c>
      <c r="H4565" s="232" t="s">
        <v>89</v>
      </c>
      <c r="I4565" s="434" t="s">
        <v>183</v>
      </c>
    </row>
    <row r="4566" spans="1:13" ht="38.450000000000003" customHeight="1" x14ac:dyDescent="0.2">
      <c r="A4566" s="233" t="str">
        <f>VLOOKUP(B4566,equip.!$A:$G,2,FALSE)</f>
        <v>Carregadeira de rodas ref. Caterpillar modelo 950H (3,10 m3) ( cab + ar ) ou equivalente</v>
      </c>
      <c r="B4566" s="234">
        <v>30024</v>
      </c>
      <c r="C4566" s="235" t="str">
        <f>VLOOKUP(B4566,equip.!$A$1:$G$240,3,FALSE)</f>
        <v>M</v>
      </c>
      <c r="D4566" s="236">
        <v>0.4</v>
      </c>
      <c r="E4566" s="203">
        <v>0.6</v>
      </c>
      <c r="F4566" s="237">
        <f>VLOOKUP(B4566,equip.!$A:$G,6,FALSE)</f>
        <v>314.31</v>
      </c>
      <c r="G4566" s="237">
        <f>VLOOKUP(B4566,equip.!$A:$G,7,FALSE)</f>
        <v>125.16</v>
      </c>
      <c r="H4566" s="238">
        <v>1</v>
      </c>
      <c r="I4566" s="418">
        <f>TRUNC(D4566*F4566*H4566+E4566*G4566*H4566,2)</f>
        <v>200.82</v>
      </c>
    </row>
    <row r="4567" spans="1:13" ht="38.450000000000003" customHeight="1" x14ac:dyDescent="0.2">
      <c r="A4567" s="233" t="str">
        <f>VLOOKUP(B4567,equip.!$A:$G,2,FALSE)</f>
        <v>Tanque pre-aquecedor 30.000L (s/óleo)</v>
      </c>
      <c r="B4567" s="234">
        <v>30135</v>
      </c>
      <c r="C4567" s="235">
        <f>VLOOKUP(B4567,equip.!$A$1:$G$240,3,FALSE)</f>
        <v>0</v>
      </c>
      <c r="D4567" s="236">
        <v>1</v>
      </c>
      <c r="E4567" s="203">
        <v>0</v>
      </c>
      <c r="F4567" s="237">
        <f>VLOOKUP(B4567,equip.!$A:$G,6,FALSE)</f>
        <v>23.54</v>
      </c>
      <c r="G4567" s="237">
        <f>VLOOKUP(B4567,equip.!$A:$G,7,FALSE)</f>
        <v>16.829999999999998</v>
      </c>
      <c r="H4567" s="238">
        <v>2</v>
      </c>
      <c r="I4567" s="418">
        <f>TRUNC(D4567*F4567*H4567+E4567*G4567*H4567,2)</f>
        <v>47.08</v>
      </c>
    </row>
    <row r="4568" spans="1:13" ht="38.450000000000003" customHeight="1" x14ac:dyDescent="0.2">
      <c r="A4568" s="233" t="str">
        <f>VLOOKUP(B4568,equip.!$A:$G,2,FALSE)</f>
        <v>Usina de asfalto UA-2 60/80 t/h - CBUQ (CIBER) ou equivalente</v>
      </c>
      <c r="B4568" s="234">
        <v>30063</v>
      </c>
      <c r="C4568" s="235">
        <f>VLOOKUP(B4568,equip.!$A$1:$G$240,3,FALSE)</f>
        <v>0</v>
      </c>
      <c r="D4568" s="236">
        <v>1</v>
      </c>
      <c r="E4568" s="203">
        <v>0</v>
      </c>
      <c r="F4568" s="237">
        <f>VLOOKUP(B4568,equip.!$A:$G,6,FALSE)</f>
        <v>529.58000000000004</v>
      </c>
      <c r="G4568" s="237">
        <f>VLOOKUP(B4568,equip.!$A:$G,7,FALSE)</f>
        <v>339.48</v>
      </c>
      <c r="H4568" s="238">
        <v>1</v>
      </c>
      <c r="I4568" s="418">
        <f>TRUNC(D4568*F4568*H4568+E4568*G4568*H4568,2)</f>
        <v>529.58000000000004</v>
      </c>
    </row>
    <row r="4569" spans="1:13" x14ac:dyDescent="0.2">
      <c r="A4569" s="199"/>
      <c r="B4569" s="229"/>
      <c r="C4569" s="229"/>
      <c r="D4569" s="199"/>
      <c r="E4569" s="199"/>
      <c r="F4569" s="230" t="s">
        <v>184</v>
      </c>
      <c r="G4569" s="240"/>
      <c r="H4569" s="241"/>
      <c r="I4569" s="438">
        <f>SUM(I4566:I4568)</f>
        <v>777.48</v>
      </c>
    </row>
    <row r="4570" spans="1:13" x14ac:dyDescent="0.2">
      <c r="A4570" s="199"/>
      <c r="B4570" s="229"/>
      <c r="C4570" s="229"/>
      <c r="D4570" s="199"/>
      <c r="E4570" s="199"/>
      <c r="F4570" s="199"/>
      <c r="G4570" s="199"/>
      <c r="H4570" s="199"/>
      <c r="I4570" s="439"/>
    </row>
    <row r="4571" spans="1:13" x14ac:dyDescent="0.2">
      <c r="A4571" s="242" t="s">
        <v>185</v>
      </c>
      <c r="B4571" s="243" t="s">
        <v>59</v>
      </c>
      <c r="C4571" s="232" t="s">
        <v>357</v>
      </c>
      <c r="D4571" s="243" t="s">
        <v>187</v>
      </c>
      <c r="E4571" s="1111" t="s">
        <v>89</v>
      </c>
      <c r="F4571" s="1112"/>
      <c r="G4571" s="1113"/>
      <c r="H4571" s="1121" t="s">
        <v>183</v>
      </c>
      <c r="I4571" s="1115"/>
    </row>
    <row r="4572" spans="1:13" x14ac:dyDescent="0.2">
      <c r="A4572" s="199"/>
      <c r="B4572" s="229"/>
      <c r="C4572" s="229"/>
      <c r="D4572" s="199"/>
      <c r="E4572" s="199"/>
      <c r="F4572" s="230" t="s">
        <v>188</v>
      </c>
      <c r="G4572" s="240"/>
      <c r="H4572" s="241"/>
      <c r="I4572" s="438">
        <v>0</v>
      </c>
    </row>
    <row r="4573" spans="1:13" x14ac:dyDescent="0.2">
      <c r="A4573" s="199"/>
      <c r="B4573" s="229"/>
      <c r="C4573" s="229"/>
      <c r="D4573" s="199"/>
      <c r="E4573" s="199"/>
      <c r="F4573" s="199"/>
      <c r="G4573" s="199"/>
      <c r="H4573" s="199"/>
      <c r="I4573" s="439"/>
    </row>
    <row r="4574" spans="1:13" x14ac:dyDescent="0.2">
      <c r="A4574" s="245" t="s">
        <v>189</v>
      </c>
      <c r="B4574" s="243" t="s">
        <v>59</v>
      </c>
      <c r="C4574" s="902" t="s">
        <v>17</v>
      </c>
      <c r="D4574" s="243" t="s">
        <v>190</v>
      </c>
      <c r="E4574" s="243" t="s">
        <v>191</v>
      </c>
      <c r="F4574" s="243" t="s">
        <v>192</v>
      </c>
      <c r="G4574" s="1121" t="s">
        <v>94</v>
      </c>
      <c r="H4574" s="1114"/>
      <c r="I4574" s="1115"/>
    </row>
    <row r="4575" spans="1:13" x14ac:dyDescent="0.2">
      <c r="A4575" s="199"/>
      <c r="B4575" s="229"/>
      <c r="C4575" s="199"/>
      <c r="D4575" s="199"/>
      <c r="E4575" s="199"/>
      <c r="F4575" s="230" t="s">
        <v>327</v>
      </c>
      <c r="G4575" s="240"/>
      <c r="H4575" s="241"/>
      <c r="I4575" s="438">
        <v>0</v>
      </c>
      <c r="K4575" s="295"/>
    </row>
    <row r="4576" spans="1:13" x14ac:dyDescent="0.2">
      <c r="A4576" s="199"/>
      <c r="B4576" s="229"/>
      <c r="C4576" s="199"/>
      <c r="D4576" s="199"/>
      <c r="E4576" s="199"/>
      <c r="F4576" s="199"/>
      <c r="G4576" s="199"/>
      <c r="H4576" s="199"/>
      <c r="I4576" s="439"/>
      <c r="K4576" s="295"/>
    </row>
    <row r="4577" spans="1:11" x14ac:dyDescent="0.2">
      <c r="A4577" s="247"/>
      <c r="B4577" s="248"/>
      <c r="C4577" s="249"/>
      <c r="D4577" s="249"/>
      <c r="E4577" s="249"/>
      <c r="F4577" s="250" t="s">
        <v>193</v>
      </c>
      <c r="G4577" s="401"/>
      <c r="H4577" s="249"/>
      <c r="I4577" s="445">
        <f>+I4569+I4572+I4575</f>
        <v>777.48</v>
      </c>
      <c r="K4577" s="295"/>
    </row>
    <row r="4578" spans="1:11" x14ac:dyDescent="0.2">
      <c r="A4578" s="251"/>
      <c r="B4578" s="252"/>
      <c r="C4578" s="253"/>
      <c r="D4578" s="253"/>
      <c r="E4578" s="253"/>
      <c r="F4578" s="254" t="s">
        <v>194</v>
      </c>
      <c r="G4578" s="255"/>
      <c r="H4578" s="253"/>
      <c r="I4578" s="446">
        <v>36</v>
      </c>
      <c r="K4578" s="295"/>
    </row>
    <row r="4579" spans="1:11" x14ac:dyDescent="0.2">
      <c r="A4579" s="233"/>
      <c r="B4579" s="256"/>
      <c r="C4579" s="241"/>
      <c r="D4579" s="241"/>
      <c r="E4579" s="241"/>
      <c r="F4579" s="257" t="s">
        <v>216</v>
      </c>
      <c r="G4579" s="240"/>
      <c r="H4579" s="241"/>
      <c r="I4579" s="447">
        <f>TRUNC(I4577/I4578,2)</f>
        <v>21.59</v>
      </c>
      <c r="K4579" s="295"/>
    </row>
    <row r="4580" spans="1:11" x14ac:dyDescent="0.2">
      <c r="A4580" s="903"/>
      <c r="B4580" s="229"/>
      <c r="C4580" s="199"/>
      <c r="D4580" s="199"/>
      <c r="E4580" s="199"/>
      <c r="F4580" s="258"/>
      <c r="G4580" s="199"/>
      <c r="H4580" s="199"/>
      <c r="I4580" s="450"/>
      <c r="K4580" s="295"/>
    </row>
    <row r="4581" spans="1:11" x14ac:dyDescent="0.2">
      <c r="A4581" s="242" t="s">
        <v>195</v>
      </c>
      <c r="B4581" s="243" t="s">
        <v>59</v>
      </c>
      <c r="C4581" s="243" t="s">
        <v>196</v>
      </c>
      <c r="D4581" s="243" t="s">
        <v>217</v>
      </c>
      <c r="E4581" s="1121" t="s">
        <v>89</v>
      </c>
      <c r="F4581" s="1114"/>
      <c r="G4581" s="1115"/>
      <c r="H4581" s="1121" t="s">
        <v>183</v>
      </c>
      <c r="I4581" s="1115"/>
      <c r="K4581" s="295"/>
    </row>
    <row r="4582" spans="1:11" ht="21.6" customHeight="1" x14ac:dyDescent="0.2">
      <c r="A4582" s="259" t="str">
        <f>VLOOKUP(B4582,mat.!$A:$D,2,FALSE)</f>
        <v>Óleo combustível BPF - baixo pto. fusão</v>
      </c>
      <c r="B4582" s="234">
        <v>10036</v>
      </c>
      <c r="C4582" s="260" t="str">
        <f>VLOOKUP(B4582,mat.!$A:$D,3,FALSE)</f>
        <v>kg</v>
      </c>
      <c r="D4582" s="261">
        <f>VLOOKUP(B4582,mat.!$A:$D,4,FALSE)</f>
        <v>2.75</v>
      </c>
      <c r="E4582" s="255"/>
      <c r="F4582" s="253"/>
      <c r="G4582" s="405">
        <v>7</v>
      </c>
      <c r="H4582" s="255"/>
      <c r="I4582" s="423">
        <f>TRUNC(D4582*G4582,2)</f>
        <v>19.25</v>
      </c>
      <c r="K4582" s="295"/>
    </row>
    <row r="4583" spans="1:11" x14ac:dyDescent="0.2">
      <c r="A4583" s="199"/>
      <c r="B4583" s="229"/>
      <c r="C4583" s="199"/>
      <c r="D4583" s="199"/>
      <c r="E4583" s="199"/>
      <c r="F4583" s="230" t="s">
        <v>197</v>
      </c>
      <c r="G4583" s="240"/>
      <c r="H4583" s="241"/>
      <c r="I4583" s="438">
        <f>SUM(I4582:I4582)</f>
        <v>19.25</v>
      </c>
      <c r="K4583" s="295"/>
    </row>
    <row r="4584" spans="1:11" x14ac:dyDescent="0.2">
      <c r="A4584" s="199"/>
      <c r="B4584" s="229"/>
      <c r="C4584" s="199"/>
      <c r="D4584" s="199"/>
      <c r="E4584" s="199"/>
      <c r="F4584" s="199"/>
      <c r="G4584" s="262"/>
      <c r="H4584" s="199"/>
      <c r="I4584" s="439"/>
      <c r="K4584" s="295"/>
    </row>
    <row r="4585" spans="1:11" x14ac:dyDescent="0.2">
      <c r="A4585" s="263" t="s">
        <v>198</v>
      </c>
      <c r="B4585" s="243" t="s">
        <v>59</v>
      </c>
      <c r="C4585" s="243" t="s">
        <v>196</v>
      </c>
      <c r="D4585" s="902" t="s">
        <v>217</v>
      </c>
      <c r="E4585" s="1111" t="s">
        <v>89</v>
      </c>
      <c r="F4585" s="1112"/>
      <c r="G4585" s="1113"/>
      <c r="H4585" s="1114" t="s">
        <v>183</v>
      </c>
      <c r="I4585" s="1115"/>
      <c r="K4585" s="295"/>
    </row>
    <row r="4586" spans="1:11" x14ac:dyDescent="0.2">
      <c r="A4586" s="244"/>
      <c r="B4586" s="260"/>
      <c r="C4586" s="234"/>
      <c r="D4586" s="239"/>
      <c r="E4586" s="240"/>
      <c r="F4586" s="241"/>
      <c r="G4586" s="409"/>
      <c r="H4586" s="240"/>
      <c r="I4586" s="423"/>
      <c r="K4586" s="295"/>
    </row>
    <row r="4587" spans="1:11" x14ac:dyDescent="0.2">
      <c r="A4587" s="200"/>
      <c r="B4587" s="264"/>
      <c r="C4587" s="200"/>
      <c r="D4587" s="200"/>
      <c r="E4587" s="200"/>
      <c r="F4587" s="265" t="s">
        <v>199</v>
      </c>
      <c r="G4587" s="255"/>
      <c r="H4587" s="266"/>
      <c r="I4587" s="441">
        <f>SUM(I4584:I4586)</f>
        <v>0</v>
      </c>
      <c r="K4587" s="295"/>
    </row>
    <row r="4588" spans="1:11" x14ac:dyDescent="0.2">
      <c r="A4588" s="200"/>
      <c r="B4588" s="264"/>
      <c r="C4588" s="200"/>
      <c r="D4588" s="200"/>
      <c r="E4588" s="200"/>
      <c r="F4588" s="200"/>
      <c r="G4588" s="200"/>
      <c r="H4588" s="200"/>
      <c r="I4588" s="440"/>
      <c r="K4588" s="295"/>
    </row>
    <row r="4589" spans="1:11" x14ac:dyDescent="0.2">
      <c r="A4589" s="267" t="s">
        <v>200</v>
      </c>
      <c r="B4589" s="268" t="s">
        <v>59</v>
      </c>
      <c r="C4589" s="268" t="s">
        <v>196</v>
      </c>
      <c r="D4589" s="268" t="s">
        <v>201</v>
      </c>
      <c r="E4589" s="268" t="s">
        <v>202</v>
      </c>
      <c r="F4589" s="268" t="s">
        <v>203</v>
      </c>
      <c r="G4589" s="268" t="s">
        <v>94</v>
      </c>
      <c r="H4589" s="268" t="s">
        <v>89</v>
      </c>
      <c r="I4589" s="442" t="s">
        <v>204</v>
      </c>
    </row>
    <row r="4590" spans="1:11" ht="22.5" x14ac:dyDescent="0.2">
      <c r="A4590" s="244" t="str">
        <f>VLOOKUP(B4590,transp.!$A:$J,2,FALSE)</f>
        <v xml:space="preserve">Transporte de Oleo Combustível BPF - baixo pto fusao </v>
      </c>
      <c r="B4590" s="234">
        <v>1036</v>
      </c>
      <c r="C4590" s="234" t="str">
        <f>VLOOKUP(B4590,transp.!$A:$J,3,FALSE)</f>
        <v xml:space="preserve"> t  </v>
      </c>
      <c r="D4590" s="269" t="str">
        <f>VLOOKUP(B4590,transp.!$A:$J,4,FALSE)</f>
        <v>0,419XP + 0,495XR + 44,64</v>
      </c>
      <c r="E4590" s="270">
        <v>12.5</v>
      </c>
      <c r="F4590" s="270">
        <v>0</v>
      </c>
      <c r="G4590" s="239">
        <f>TRUNC(VLOOKUP(B4590,transp.!$A:$J,5,FALSE)*E4590+VLOOKUP(B4590,transp.!$A:$J,6,FALSE)*F4590+VLOOKUP(B4590,transp.!$A:$J,7,FALSE),2)</f>
        <v>49.87</v>
      </c>
      <c r="H4590" s="271">
        <v>7.0000000000000001E-3</v>
      </c>
      <c r="I4590" s="418">
        <f>TRUNC(G4590*H4590,2)</f>
        <v>0.34</v>
      </c>
    </row>
    <row r="4591" spans="1:11" x14ac:dyDescent="0.2">
      <c r="A4591" s="200"/>
      <c r="B4591" s="264"/>
      <c r="C4591" s="200"/>
      <c r="D4591" s="200"/>
      <c r="E4591" s="200"/>
      <c r="F4591" s="265" t="s">
        <v>205</v>
      </c>
      <c r="G4591" s="240"/>
      <c r="H4591" s="272"/>
      <c r="I4591" s="443">
        <f>SUM(I4590:I4590)</f>
        <v>0.34</v>
      </c>
    </row>
    <row r="4592" spans="1:11" x14ac:dyDescent="0.2">
      <c r="A4592" s="200"/>
      <c r="B4592" s="264"/>
      <c r="C4592" s="200"/>
      <c r="D4592" s="200"/>
      <c r="E4592" s="200"/>
      <c r="F4592" s="200"/>
      <c r="G4592" s="200"/>
      <c r="H4592" s="200"/>
      <c r="I4592" s="444"/>
    </row>
    <row r="4593" spans="1:10" x14ac:dyDescent="0.2">
      <c r="A4593" s="273"/>
      <c r="B4593" s="274"/>
      <c r="C4593" s="275"/>
      <c r="D4593" s="275"/>
      <c r="E4593" s="275"/>
      <c r="F4593" s="276" t="s">
        <v>206</v>
      </c>
      <c r="G4593" s="273"/>
      <c r="H4593" s="249"/>
      <c r="I4593" s="445">
        <f>+I4579+I4583+I4587+I4591</f>
        <v>41.18</v>
      </c>
      <c r="J4593" s="410"/>
    </row>
    <row r="4594" spans="1:10" x14ac:dyDescent="0.2">
      <c r="A4594" s="255"/>
      <c r="B4594" s="277"/>
      <c r="C4594" s="266"/>
      <c r="D4594" s="266"/>
      <c r="E4594" s="266"/>
      <c r="F4594" s="278" t="str">
        <f>CONCATENATE($H$3," ",$I$3)</f>
        <v>BDI: 23,32</v>
      </c>
      <c r="G4594" s="403"/>
      <c r="H4594" s="253"/>
      <c r="I4594" s="446">
        <f>+ROUND(I4593*$I$4,2)</f>
        <v>9.6</v>
      </c>
    </row>
    <row r="4595" spans="1:10" ht="10.9" customHeight="1" x14ac:dyDescent="0.2">
      <c r="A4595" s="240"/>
      <c r="B4595" s="279"/>
      <c r="C4595" s="272"/>
      <c r="D4595" s="272"/>
      <c r="E4595" s="272"/>
      <c r="F4595" s="280" t="s">
        <v>207</v>
      </c>
      <c r="G4595" s="404"/>
      <c r="H4595" s="241"/>
      <c r="I4595" s="720">
        <f>+I4593+I4594</f>
        <v>50.78</v>
      </c>
    </row>
    <row r="4596" spans="1:10" ht="16.149999999999999" customHeight="1" x14ac:dyDescent="0.2"/>
  </sheetData>
  <mergeCells count="1251">
    <mergeCell ref="E973:G973"/>
    <mergeCell ref="H3843:I3843"/>
    <mergeCell ref="E3581:G3581"/>
    <mergeCell ref="H3581:I3581"/>
    <mergeCell ref="A1428:I1428"/>
    <mergeCell ref="A1430:H1431"/>
    <mergeCell ref="I1430:I1431"/>
    <mergeCell ref="E1438:G1438"/>
    <mergeCell ref="E1364:G1364"/>
    <mergeCell ref="H1364:I1364"/>
    <mergeCell ref="G1369:I1369"/>
    <mergeCell ref="A1356:I1356"/>
    <mergeCell ref="A1358:H1359"/>
    <mergeCell ref="I1358:I1359"/>
    <mergeCell ref="I3425:I3426"/>
    <mergeCell ref="G3440:I3440"/>
    <mergeCell ref="E3448:G3448"/>
    <mergeCell ref="H3448:I3448"/>
    <mergeCell ref="E3461:G3461"/>
    <mergeCell ref="H3461:I3461"/>
    <mergeCell ref="E3338:G3338"/>
    <mergeCell ref="A1102:I1102"/>
    <mergeCell ref="A1104:H1105"/>
    <mergeCell ref="E1458:G1458"/>
    <mergeCell ref="H1113:I1113"/>
    <mergeCell ref="A3824:H3825"/>
    <mergeCell ref="E1381:G1381"/>
    <mergeCell ref="H1381:I1381"/>
    <mergeCell ref="H1438:I1438"/>
    <mergeCell ref="G1444:I1444"/>
    <mergeCell ref="E1452:G1452"/>
    <mergeCell ref="H1452:I1452"/>
    <mergeCell ref="A3779:I3779"/>
    <mergeCell ref="A3700:I3700"/>
    <mergeCell ref="E3615:G3615"/>
    <mergeCell ref="E3611:G3611"/>
    <mergeCell ref="E3688:G3688"/>
    <mergeCell ref="H3688:I3688"/>
    <mergeCell ref="A3385:I3385"/>
    <mergeCell ref="A3387:H3388"/>
    <mergeCell ref="I3387:I3388"/>
    <mergeCell ref="E3393:G3393"/>
    <mergeCell ref="H3393:I3393"/>
    <mergeCell ref="A3472:I3472"/>
    <mergeCell ref="A3474:H3475"/>
    <mergeCell ref="I3474:I3475"/>
    <mergeCell ref="E3481:G3481"/>
    <mergeCell ref="H3481:I3481"/>
    <mergeCell ref="G3486:I3486"/>
    <mergeCell ref="E3494:G3494"/>
    <mergeCell ref="H3494:I3494"/>
    <mergeCell ref="E3500:G3500"/>
    <mergeCell ref="H3500:I3500"/>
    <mergeCell ref="G3603:I3603"/>
    <mergeCell ref="A3590:I3590"/>
    <mergeCell ref="H3670:I3670"/>
    <mergeCell ref="H3684:I3684"/>
    <mergeCell ref="H3611:I3611"/>
    <mergeCell ref="E3684:G3684"/>
    <mergeCell ref="E3670:G3670"/>
    <mergeCell ref="E3411:G3411"/>
    <mergeCell ref="H3411:I3411"/>
    <mergeCell ref="E3406:G3406"/>
    <mergeCell ref="I3664:I3665"/>
    <mergeCell ref="A3662:I3662"/>
    <mergeCell ref="E3650:G3650"/>
    <mergeCell ref="H3650:I3650"/>
    <mergeCell ref="E3542:G3542"/>
    <mergeCell ref="H1570:I1570"/>
    <mergeCell ref="E1574:G1574"/>
    <mergeCell ref="H1574:I1574"/>
    <mergeCell ref="H3576:I3576"/>
    <mergeCell ref="H3563:I3563"/>
    <mergeCell ref="A2962:I2962"/>
    <mergeCell ref="A2964:H2965"/>
    <mergeCell ref="I2964:I2965"/>
    <mergeCell ref="E2969:G2969"/>
    <mergeCell ref="H2969:I2969"/>
    <mergeCell ref="G2972:I2972"/>
    <mergeCell ref="E2979:G2979"/>
    <mergeCell ref="H2979:I2979"/>
    <mergeCell ref="A3626:I3626"/>
    <mergeCell ref="A3628:H3629"/>
    <mergeCell ref="I3628:I3629"/>
    <mergeCell ref="E3634:G3634"/>
    <mergeCell ref="H3634:I3634"/>
    <mergeCell ref="G3638:I3638"/>
    <mergeCell ref="E3646:G3646"/>
    <mergeCell ref="G3529:I3529"/>
    <mergeCell ref="E3537:G3537"/>
    <mergeCell ref="H3537:I3537"/>
    <mergeCell ref="A3423:I3423"/>
    <mergeCell ref="A3425:H3426"/>
    <mergeCell ref="I3248:I3249"/>
    <mergeCell ref="E3848:G3848"/>
    <mergeCell ref="H3848:I3848"/>
    <mergeCell ref="I3824:I3825"/>
    <mergeCell ref="H3789:I3789"/>
    <mergeCell ref="H3809:I3809"/>
    <mergeCell ref="G3873:I3873"/>
    <mergeCell ref="H3868:I3868"/>
    <mergeCell ref="I3288:I3289"/>
    <mergeCell ref="E3293:G3293"/>
    <mergeCell ref="H3293:I3293"/>
    <mergeCell ref="G3795:I3795"/>
    <mergeCell ref="E3360:G3360"/>
    <mergeCell ref="H3360:I3360"/>
    <mergeCell ref="H3151:I3151"/>
    <mergeCell ref="E3126:G3126"/>
    <mergeCell ref="E2983:G2983"/>
    <mergeCell ref="H2983:I2983"/>
    <mergeCell ref="A3286:I3286"/>
    <mergeCell ref="A3288:H3289"/>
    <mergeCell ref="G3676:I3676"/>
    <mergeCell ref="G3330:I3330"/>
    <mergeCell ref="E3342:G3342"/>
    <mergeCell ref="H3342:I3342"/>
    <mergeCell ref="H3161:I3161"/>
    <mergeCell ref="H3232:I3232"/>
    <mergeCell ref="A3032:I3032"/>
    <mergeCell ref="G3007:I3007"/>
    <mergeCell ref="E3015:G3015"/>
    <mergeCell ref="H3615:I3615"/>
    <mergeCell ref="E3229:G3229"/>
    <mergeCell ref="E3232:G3232"/>
    <mergeCell ref="A3664:H3665"/>
    <mergeCell ref="E1113:G1113"/>
    <mergeCell ref="H3646:I3646"/>
    <mergeCell ref="H3126:I3126"/>
    <mergeCell ref="E1972:G1972"/>
    <mergeCell ref="I551:I552"/>
    <mergeCell ref="E557:G557"/>
    <mergeCell ref="H557:I557"/>
    <mergeCell ref="G561:I561"/>
    <mergeCell ref="E569:G569"/>
    <mergeCell ref="H569:I569"/>
    <mergeCell ref="E573:G573"/>
    <mergeCell ref="I366:I367"/>
    <mergeCell ref="H3434:I3434"/>
    <mergeCell ref="E3434:G3434"/>
    <mergeCell ref="A3553:I3553"/>
    <mergeCell ref="A3555:H3556"/>
    <mergeCell ref="I3555:I3556"/>
    <mergeCell ref="G1562:I1562"/>
    <mergeCell ref="E1570:G1570"/>
    <mergeCell ref="E3254:G3254"/>
    <mergeCell ref="H3254:I3254"/>
    <mergeCell ref="G3260:I3260"/>
    <mergeCell ref="H3338:I3338"/>
    <mergeCell ref="E1346:G1346"/>
    <mergeCell ref="H1346:I1346"/>
    <mergeCell ref="A3317:I3317"/>
    <mergeCell ref="A3319:H3320"/>
    <mergeCell ref="I3319:I3320"/>
    <mergeCell ref="H1972:I1972"/>
    <mergeCell ref="E1976:G1976"/>
    <mergeCell ref="H1976:I1976"/>
    <mergeCell ref="A918:H919"/>
    <mergeCell ref="A3822:I3822"/>
    <mergeCell ref="A438:I438"/>
    <mergeCell ref="A440:H441"/>
    <mergeCell ref="E3576:G3576"/>
    <mergeCell ref="E3563:G3563"/>
    <mergeCell ref="G3569:I3569"/>
    <mergeCell ref="A3513:I3513"/>
    <mergeCell ref="H3542:I3542"/>
    <mergeCell ref="A690:I690"/>
    <mergeCell ref="A692:H693"/>
    <mergeCell ref="I692:I693"/>
    <mergeCell ref="E699:G699"/>
    <mergeCell ref="A3515:H3516"/>
    <mergeCell ref="I3515:I3516"/>
    <mergeCell ref="E3523:G3523"/>
    <mergeCell ref="H3523:I3523"/>
    <mergeCell ref="I3355:I3356"/>
    <mergeCell ref="A1220:I1220"/>
    <mergeCell ref="A1222:H1223"/>
    <mergeCell ref="I1222:I1223"/>
    <mergeCell ref="E1228:G1228"/>
    <mergeCell ref="H1228:I1228"/>
    <mergeCell ref="H3268:I3268"/>
    <mergeCell ref="E3273:G3273"/>
    <mergeCell ref="H3273:I3273"/>
    <mergeCell ref="E3161:G3161"/>
    <mergeCell ref="A2995:I2995"/>
    <mergeCell ref="E3130:G3130"/>
    <mergeCell ref="H3130:I3130"/>
    <mergeCell ref="H3088:I3088"/>
    <mergeCell ref="G3044:I3044"/>
    <mergeCell ref="I1104:I1105"/>
    <mergeCell ref="E1278:G1278"/>
    <mergeCell ref="H1278:I1278"/>
    <mergeCell ref="E3076:G3076"/>
    <mergeCell ref="H3076:I3076"/>
    <mergeCell ref="A2997:H2998"/>
    <mergeCell ref="I2997:I2998"/>
    <mergeCell ref="E3003:G3003"/>
    <mergeCell ref="H3003:I3003"/>
    <mergeCell ref="E3219:G3219"/>
    <mergeCell ref="H3195:I3195"/>
    <mergeCell ref="E3198:G3198"/>
    <mergeCell ref="H3198:I3198"/>
    <mergeCell ref="A3144:I3144"/>
    <mergeCell ref="A3146:H3147"/>
    <mergeCell ref="I3146:I3147"/>
    <mergeCell ref="E3151:G3151"/>
    <mergeCell ref="A2926:H2927"/>
    <mergeCell ref="E1651:G1651"/>
    <mergeCell ref="E2932:G2932"/>
    <mergeCell ref="H2932:I2932"/>
    <mergeCell ref="H3052:I3052"/>
    <mergeCell ref="E3056:G3056"/>
    <mergeCell ref="H3056:I3056"/>
    <mergeCell ref="A2924:I2924"/>
    <mergeCell ref="A2736:I2736"/>
    <mergeCell ref="A2738:H2739"/>
    <mergeCell ref="A1511:I1511"/>
    <mergeCell ref="A1513:H1514"/>
    <mergeCell ref="I1513:I1514"/>
    <mergeCell ref="E1519:G1519"/>
    <mergeCell ref="H1519:I1519"/>
    <mergeCell ref="G1525:I1525"/>
    <mergeCell ref="A1392:I1392"/>
    <mergeCell ref="E2781:G2781"/>
    <mergeCell ref="H2781:I2781"/>
    <mergeCell ref="H1493:I1493"/>
    <mergeCell ref="G1787:I1787"/>
    <mergeCell ref="E2140:G2140"/>
    <mergeCell ref="H2048:I2048"/>
    <mergeCell ref="A2060:I2060"/>
    <mergeCell ref="A2062:H2063"/>
    <mergeCell ref="I2062:I2063"/>
    <mergeCell ref="E2068:G2068"/>
    <mergeCell ref="E2744:G2744"/>
    <mergeCell ref="H2744:I2744"/>
    <mergeCell ref="G2748:I2748"/>
    <mergeCell ref="E2756:G2756"/>
    <mergeCell ref="A2276:I2276"/>
    <mergeCell ref="A2278:H2279"/>
    <mergeCell ref="I2278:I2279"/>
    <mergeCell ref="E2188:G2188"/>
    <mergeCell ref="H2188:I2188"/>
    <mergeCell ref="E2192:G2192"/>
    <mergeCell ref="H2192:I2192"/>
    <mergeCell ref="E2156:G2156"/>
    <mergeCell ref="H2156:I2156"/>
    <mergeCell ref="E2284:G2284"/>
    <mergeCell ref="E2260:G2260"/>
    <mergeCell ref="E2176:G2176"/>
    <mergeCell ref="H2176:I2176"/>
    <mergeCell ref="G2180:I2180"/>
    <mergeCell ref="H2224:I2224"/>
    <mergeCell ref="H1533:I1533"/>
    <mergeCell ref="H1647:I1647"/>
    <mergeCell ref="E3114:G3114"/>
    <mergeCell ref="H3114:I3114"/>
    <mergeCell ref="G3118:I3118"/>
    <mergeCell ref="H2756:I2756"/>
    <mergeCell ref="G3080:I3080"/>
    <mergeCell ref="G1713:I1713"/>
    <mergeCell ref="E1721:G1721"/>
    <mergeCell ref="H1721:I1721"/>
    <mergeCell ref="E2944:G2944"/>
    <mergeCell ref="I2926:I2927"/>
    <mergeCell ref="A1916:I1916"/>
    <mergeCell ref="E1960:G1960"/>
    <mergeCell ref="H1960:I1960"/>
    <mergeCell ref="G1964:I1964"/>
    <mergeCell ref="E1596:G1596"/>
    <mergeCell ref="H1596:I1596"/>
    <mergeCell ref="G1602:I1602"/>
    <mergeCell ref="H1670:I1670"/>
    <mergeCell ref="G1676:I1676"/>
    <mergeCell ref="I1664:I1665"/>
    <mergeCell ref="A2134:H2135"/>
    <mergeCell ref="I2134:I2135"/>
    <mergeCell ref="H2284:I2284"/>
    <mergeCell ref="E1744:G1744"/>
    <mergeCell ref="H1725:I1725"/>
    <mergeCell ref="I1775:I1776"/>
    <mergeCell ref="I1701:I1702"/>
    <mergeCell ref="A3034:H3035"/>
    <mergeCell ref="A1590:H1591"/>
    <mergeCell ref="E1670:G1670"/>
    <mergeCell ref="H3376:I3376"/>
    <mergeCell ref="G2785:I2785"/>
    <mergeCell ref="H3164:I3164"/>
    <mergeCell ref="E2797:G2797"/>
    <mergeCell ref="H2797:I2797"/>
    <mergeCell ref="A3353:I3353"/>
    <mergeCell ref="H3015:I3015"/>
    <mergeCell ref="E3019:G3019"/>
    <mergeCell ref="H3019:I3019"/>
    <mergeCell ref="H2948:I2948"/>
    <mergeCell ref="A3592:H3593"/>
    <mergeCell ref="I3592:I3593"/>
    <mergeCell ref="E3598:G3598"/>
    <mergeCell ref="H3598:I3598"/>
    <mergeCell ref="A3355:H3356"/>
    <mergeCell ref="H2944:I2944"/>
    <mergeCell ref="E3268:G3268"/>
    <mergeCell ref="G3296:I3296"/>
    <mergeCell ref="E3303:G3303"/>
    <mergeCell ref="H3303:I3303"/>
    <mergeCell ref="H3229:I3229"/>
    <mergeCell ref="I3034:I3035"/>
    <mergeCell ref="E3040:G3040"/>
    <mergeCell ref="H3040:I3040"/>
    <mergeCell ref="E3052:G3052"/>
    <mergeCell ref="G3365:I3365"/>
    <mergeCell ref="E3373:G3373"/>
    <mergeCell ref="H3373:I3373"/>
    <mergeCell ref="G3222:I3222"/>
    <mergeCell ref="A3178:I3178"/>
    <mergeCell ref="E3306:G3306"/>
    <mergeCell ref="H3306:I3306"/>
    <mergeCell ref="E1056:G1056"/>
    <mergeCell ref="H1056:I1056"/>
    <mergeCell ref="E1060:G1060"/>
    <mergeCell ref="H1060:I1060"/>
    <mergeCell ref="A1071:I1071"/>
    <mergeCell ref="A1073:H1074"/>
    <mergeCell ref="I1073:I1074"/>
    <mergeCell ref="E1078:G1078"/>
    <mergeCell ref="H1078:I1078"/>
    <mergeCell ref="A1139:I1139"/>
    <mergeCell ref="A1738:H1739"/>
    <mergeCell ref="I1738:I1739"/>
    <mergeCell ref="G1485:I1485"/>
    <mergeCell ref="E1493:G1493"/>
    <mergeCell ref="H1497:I1497"/>
    <mergeCell ref="H1651:I1651"/>
    <mergeCell ref="H1537:I1537"/>
    <mergeCell ref="A1548:I1548"/>
    <mergeCell ref="A1550:H1551"/>
    <mergeCell ref="E1129:G1129"/>
    <mergeCell ref="H1129:I1129"/>
    <mergeCell ref="G1081:I1081"/>
    <mergeCell ref="E1089:G1089"/>
    <mergeCell ref="H1089:I1089"/>
    <mergeCell ref="E1151:G1151"/>
    <mergeCell ref="H1151:I1151"/>
    <mergeCell ref="E1707:G1707"/>
    <mergeCell ref="H1707:I1707"/>
    <mergeCell ref="I1550:I1551"/>
    <mergeCell ref="A1736:I1736"/>
    <mergeCell ref="A1184:I1184"/>
    <mergeCell ref="E1533:G1533"/>
    <mergeCell ref="A1918:H1919"/>
    <mergeCell ref="A1988:I1988"/>
    <mergeCell ref="E1924:G1924"/>
    <mergeCell ref="H1924:I1924"/>
    <mergeCell ref="G1928:I1928"/>
    <mergeCell ref="I3214:I3215"/>
    <mergeCell ref="G2252:I2252"/>
    <mergeCell ref="A2775:H2776"/>
    <mergeCell ref="H3092:I3092"/>
    <mergeCell ref="A3106:I3106"/>
    <mergeCell ref="H2298:I2298"/>
    <mergeCell ref="A3212:I3212"/>
    <mergeCell ref="A3214:H3215"/>
    <mergeCell ref="H2012:I2012"/>
    <mergeCell ref="E2012:G2012"/>
    <mergeCell ref="E3088:G3088"/>
    <mergeCell ref="G3188:I3188"/>
    <mergeCell ref="E3195:G3195"/>
    <mergeCell ref="A3108:H3109"/>
    <mergeCell ref="I3108:I3109"/>
    <mergeCell ref="E2152:G2152"/>
    <mergeCell ref="H2152:I2152"/>
    <mergeCell ref="A2168:I2168"/>
    <mergeCell ref="G3154:I3154"/>
    <mergeCell ref="I2170:I2171"/>
    <mergeCell ref="I3070:I3071"/>
    <mergeCell ref="H2212:I2212"/>
    <mergeCell ref="A2170:H2171"/>
    <mergeCell ref="H1758:I1758"/>
    <mergeCell ref="E1762:G1762"/>
    <mergeCell ref="I1256:I1257"/>
    <mergeCell ref="E1795:G1795"/>
    <mergeCell ref="H1795:I1795"/>
    <mergeCell ref="G1157:I1157"/>
    <mergeCell ref="E2264:G2264"/>
    <mergeCell ref="H1762:I1762"/>
    <mergeCell ref="A1773:I1773"/>
    <mergeCell ref="E2948:G2948"/>
    <mergeCell ref="E1799:G1799"/>
    <mergeCell ref="H1799:I1799"/>
    <mergeCell ref="I2775:I2776"/>
    <mergeCell ref="I2738:I2739"/>
    <mergeCell ref="G1892:I1892"/>
    <mergeCell ref="I2242:I2243"/>
    <mergeCell ref="E2248:G2248"/>
    <mergeCell ref="H2248:I2248"/>
    <mergeCell ref="A2344:I2344"/>
    <mergeCell ref="A2346:H2347"/>
    <mergeCell ref="I2346:I2347"/>
    <mergeCell ref="E2352:G2352"/>
    <mergeCell ref="H2352:I2352"/>
    <mergeCell ref="A2666:I2666"/>
    <mergeCell ref="A2668:H2669"/>
    <mergeCell ref="I2668:I2669"/>
    <mergeCell ref="A2560:H2561"/>
    <mergeCell ref="A1882:H1883"/>
    <mergeCell ref="I1882:I1883"/>
    <mergeCell ref="E1888:G1888"/>
    <mergeCell ref="H1888:I1888"/>
    <mergeCell ref="E2212:G2212"/>
    <mergeCell ref="H1126:I1126"/>
    <mergeCell ref="I1141:I1142"/>
    <mergeCell ref="A1256:H1257"/>
    <mergeCell ref="E1688:G1688"/>
    <mergeCell ref="H1012:I1012"/>
    <mergeCell ref="A916:I916"/>
    <mergeCell ref="I918:I919"/>
    <mergeCell ref="E924:G924"/>
    <mergeCell ref="H973:I973"/>
    <mergeCell ref="E976:G976"/>
    <mergeCell ref="H976:I976"/>
    <mergeCell ref="H1458:I1458"/>
    <mergeCell ref="A1394:H1395"/>
    <mergeCell ref="A1664:H1665"/>
    <mergeCell ref="A1952:I1952"/>
    <mergeCell ref="A1954:H1955"/>
    <mergeCell ref="I1954:I1955"/>
    <mergeCell ref="A1471:I1471"/>
    <mergeCell ref="H1744:I1744"/>
    <mergeCell ref="G1750:I1750"/>
    <mergeCell ref="E1758:G1758"/>
    <mergeCell ref="G1821:I1821"/>
    <mergeCell ref="E1828:G1828"/>
    <mergeCell ref="H1828:I1828"/>
    <mergeCell ref="E1831:G1831"/>
    <mergeCell ref="H1831:I1831"/>
    <mergeCell ref="A1845:I1845"/>
    <mergeCell ref="A1847:H1848"/>
    <mergeCell ref="I1847:I1848"/>
    <mergeCell ref="H1556:I1556"/>
    <mergeCell ref="E1537:G1537"/>
    <mergeCell ref="E1647:G1647"/>
    <mergeCell ref="H1330:I1330"/>
    <mergeCell ref="G1334:I1334"/>
    <mergeCell ref="E1342:G1342"/>
    <mergeCell ref="E854:G854"/>
    <mergeCell ref="H813:I813"/>
    <mergeCell ref="E813:G813"/>
    <mergeCell ref="A841:I841"/>
    <mergeCell ref="G929:I929"/>
    <mergeCell ref="E937:G937"/>
    <mergeCell ref="A1810:I1810"/>
    <mergeCell ref="A1812:H1813"/>
    <mergeCell ref="I1812:I1813"/>
    <mergeCell ref="H1206:I1206"/>
    <mergeCell ref="E1211:G1211"/>
    <mergeCell ref="H1211:I1211"/>
    <mergeCell ref="E1206:G1206"/>
    <mergeCell ref="A1699:I1699"/>
    <mergeCell ref="A1775:H1776"/>
    <mergeCell ref="E1244:G1244"/>
    <mergeCell ref="H1244:I1244"/>
    <mergeCell ref="E1165:G1165"/>
    <mergeCell ref="H1165:I1165"/>
    <mergeCell ref="G1232:I1232"/>
    <mergeCell ref="E1240:G1240"/>
    <mergeCell ref="H1240:I1240"/>
    <mergeCell ref="E1556:G1556"/>
    <mergeCell ref="H1342:I1342"/>
    <mergeCell ref="E1781:G1781"/>
    <mergeCell ref="H1781:I1781"/>
    <mergeCell ref="A1588:I1588"/>
    <mergeCell ref="A1473:H1474"/>
    <mergeCell ref="A1701:H1702"/>
    <mergeCell ref="H1610:I1610"/>
    <mergeCell ref="I1473:I1474"/>
    <mergeCell ref="H1684:I1684"/>
    <mergeCell ref="E999:G999"/>
    <mergeCell ref="H999:I999"/>
    <mergeCell ref="E1818:G1818"/>
    <mergeCell ref="H1818:I1818"/>
    <mergeCell ref="G1118:I1118"/>
    <mergeCell ref="E1093:G1093"/>
    <mergeCell ref="H1093:I1093"/>
    <mergeCell ref="E1126:G1126"/>
    <mergeCell ref="A952:I952"/>
    <mergeCell ref="A1186:H1187"/>
    <mergeCell ref="I1186:I1187"/>
    <mergeCell ref="E1192:G1192"/>
    <mergeCell ref="H1192:I1192"/>
    <mergeCell ref="G1198:I1198"/>
    <mergeCell ref="E1497:G1497"/>
    <mergeCell ref="I1590:I1591"/>
    <mergeCell ref="E1614:G1614"/>
    <mergeCell ref="H1614:I1614"/>
    <mergeCell ref="A1027:I1027"/>
    <mergeCell ref="A1029:H1030"/>
    <mergeCell ref="I1029:I1030"/>
    <mergeCell ref="E1042:G1042"/>
    <mergeCell ref="H1042:I1042"/>
    <mergeCell ref="G1048:I1048"/>
    <mergeCell ref="E1610:G1610"/>
    <mergeCell ref="A1322:I1322"/>
    <mergeCell ref="A1324:H1325"/>
    <mergeCell ref="I1324:I1325"/>
    <mergeCell ref="E1330:G1330"/>
    <mergeCell ref="E941:G941"/>
    <mergeCell ref="H941:I941"/>
    <mergeCell ref="G859:I859"/>
    <mergeCell ref="A843:H844"/>
    <mergeCell ref="I843:I844"/>
    <mergeCell ref="H736:I736"/>
    <mergeCell ref="H772:I772"/>
    <mergeCell ref="A3070:H3071"/>
    <mergeCell ref="H2760:I2760"/>
    <mergeCell ref="A2773:I2773"/>
    <mergeCell ref="G2936:I2936"/>
    <mergeCell ref="E1725:G1725"/>
    <mergeCell ref="E1900:G1900"/>
    <mergeCell ref="H1900:I1900"/>
    <mergeCell ref="E1904:G1904"/>
    <mergeCell ref="H1904:I1904"/>
    <mergeCell ref="I1990:I1991"/>
    <mergeCell ref="E1996:G1996"/>
    <mergeCell ref="A1990:H1991"/>
    <mergeCell ref="E1479:G1479"/>
    <mergeCell ref="H1479:I1479"/>
    <mergeCell ref="E871:G871"/>
    <mergeCell ref="G1004:I1004"/>
    <mergeCell ref="E1012:G1012"/>
    <mergeCell ref="E1171:G1171"/>
    <mergeCell ref="H1171:I1171"/>
    <mergeCell ref="A987:H988"/>
    <mergeCell ref="I987:I988"/>
    <mergeCell ref="A1141:H1142"/>
    <mergeCell ref="E1413:G1413"/>
    <mergeCell ref="H1413:I1413"/>
    <mergeCell ref="E1417:G1417"/>
    <mergeCell ref="H699:I699"/>
    <mergeCell ref="G704:I704"/>
    <mergeCell ref="E712:G712"/>
    <mergeCell ref="H712:I712"/>
    <mergeCell ref="E716:G716"/>
    <mergeCell ref="H716:I716"/>
    <mergeCell ref="G526:I526"/>
    <mergeCell ref="E534:G534"/>
    <mergeCell ref="A584:I584"/>
    <mergeCell ref="H534:I534"/>
    <mergeCell ref="E538:G538"/>
    <mergeCell ref="E736:G736"/>
    <mergeCell ref="A516:H517"/>
    <mergeCell ref="I516:I517"/>
    <mergeCell ref="E522:G522"/>
    <mergeCell ref="H522:I522"/>
    <mergeCell ref="G966:I966"/>
    <mergeCell ref="E608:G608"/>
    <mergeCell ref="H608:I608"/>
    <mergeCell ref="A619:I619"/>
    <mergeCell ref="A621:H622"/>
    <mergeCell ref="I621:I622"/>
    <mergeCell ref="E627:G627"/>
    <mergeCell ref="H627:I627"/>
    <mergeCell ref="G631:I631"/>
    <mergeCell ref="E639:G639"/>
    <mergeCell ref="H639:I639"/>
    <mergeCell ref="E643:G643"/>
    <mergeCell ref="A954:H955"/>
    <mergeCell ref="I954:I955"/>
    <mergeCell ref="E961:G961"/>
    <mergeCell ref="H961:I961"/>
    <mergeCell ref="H388:I388"/>
    <mergeCell ref="E499:G499"/>
    <mergeCell ref="H499:I499"/>
    <mergeCell ref="E495:G495"/>
    <mergeCell ref="H495:I495"/>
    <mergeCell ref="I401:I402"/>
    <mergeCell ref="E406:G406"/>
    <mergeCell ref="E867:G867"/>
    <mergeCell ref="I884:I885"/>
    <mergeCell ref="E891:G891"/>
    <mergeCell ref="H891:I891"/>
    <mergeCell ref="G896:I896"/>
    <mergeCell ref="E903:G903"/>
    <mergeCell ref="H903:I903"/>
    <mergeCell ref="E907:G907"/>
    <mergeCell ref="G741:I741"/>
    <mergeCell ref="I802:I803"/>
    <mergeCell ref="E753:G753"/>
    <mergeCell ref="H753:I753"/>
    <mergeCell ref="G818:I818"/>
    <mergeCell ref="E826:G826"/>
    <mergeCell ref="H826:I826"/>
    <mergeCell ref="E830:G830"/>
    <mergeCell ref="H854:I854"/>
    <mergeCell ref="H867:I867"/>
    <mergeCell ref="G777:I777"/>
    <mergeCell ref="E785:G785"/>
    <mergeCell ref="H785:I785"/>
    <mergeCell ref="H871:I871"/>
    <mergeCell ref="H907:I907"/>
    <mergeCell ref="I766:I767"/>
    <mergeCell ref="E772:G772"/>
    <mergeCell ref="E243:G243"/>
    <mergeCell ref="H243:I243"/>
    <mergeCell ref="E247:G247"/>
    <mergeCell ref="H247:I247"/>
    <mergeCell ref="I260:I261"/>
    <mergeCell ref="A187:I187"/>
    <mergeCell ref="E171:G171"/>
    <mergeCell ref="H171:I171"/>
    <mergeCell ref="E175:G175"/>
    <mergeCell ref="A260:H261"/>
    <mergeCell ref="H175:I175"/>
    <mergeCell ref="E195:G195"/>
    <mergeCell ref="H195:I195"/>
    <mergeCell ref="G199:I199"/>
    <mergeCell ref="H643:I643"/>
    <mergeCell ref="I440:I441"/>
    <mergeCell ref="E446:G446"/>
    <mergeCell ref="H446:I446"/>
    <mergeCell ref="G450:I450"/>
    <mergeCell ref="E458:G458"/>
    <mergeCell ref="H458:I458"/>
    <mergeCell ref="E462:G462"/>
    <mergeCell ref="H462:I462"/>
    <mergeCell ref="I586:I587"/>
    <mergeCell ref="E592:G592"/>
    <mergeCell ref="H592:I592"/>
    <mergeCell ref="G596:I596"/>
    <mergeCell ref="A514:I514"/>
    <mergeCell ref="E336:G336"/>
    <mergeCell ref="H336:I336"/>
    <mergeCell ref="G340:I340"/>
    <mergeCell ref="E348:G348"/>
    <mergeCell ref="H14:I14"/>
    <mergeCell ref="H96:I96"/>
    <mergeCell ref="E102:G102"/>
    <mergeCell ref="E139:G139"/>
    <mergeCell ref="H139:I139"/>
    <mergeCell ref="A223:I223"/>
    <mergeCell ref="A225:H226"/>
    <mergeCell ref="I225:I226"/>
    <mergeCell ref="E231:G231"/>
    <mergeCell ref="H231:I231"/>
    <mergeCell ref="E211:G211"/>
    <mergeCell ref="H211:I211"/>
    <mergeCell ref="A151:I151"/>
    <mergeCell ref="A153:H154"/>
    <mergeCell ref="I153:I154"/>
    <mergeCell ref="E159:G159"/>
    <mergeCell ref="H372:I372"/>
    <mergeCell ref="A295:H296"/>
    <mergeCell ref="H159:I159"/>
    <mergeCell ref="I189:I190"/>
    <mergeCell ref="G163:I163"/>
    <mergeCell ref="A189:H190"/>
    <mergeCell ref="I44:I45"/>
    <mergeCell ref="E49:G49"/>
    <mergeCell ref="H49:I49"/>
    <mergeCell ref="G52:I52"/>
    <mergeCell ref="E60:G60"/>
    <mergeCell ref="H60:I60"/>
    <mergeCell ref="E282:G282"/>
    <mergeCell ref="H282:I282"/>
    <mergeCell ref="A293:I293"/>
    <mergeCell ref="G235:I235"/>
    <mergeCell ref="I7:I8"/>
    <mergeCell ref="E14:G14"/>
    <mergeCell ref="A115:I115"/>
    <mergeCell ref="H301:I301"/>
    <mergeCell ref="A117:H118"/>
    <mergeCell ref="A75:I75"/>
    <mergeCell ref="A77:H78"/>
    <mergeCell ref="I77:I78"/>
    <mergeCell ref="E83:G83"/>
    <mergeCell ref="H83:I83"/>
    <mergeCell ref="G88:I88"/>
    <mergeCell ref="E96:G96"/>
    <mergeCell ref="G19:I19"/>
    <mergeCell ref="E27:G27"/>
    <mergeCell ref="H27:I27"/>
    <mergeCell ref="E31:G31"/>
    <mergeCell ref="H31:I31"/>
    <mergeCell ref="G270:I270"/>
    <mergeCell ref="H266:I266"/>
    <mergeCell ref="E207:G207"/>
    <mergeCell ref="H207:I207"/>
    <mergeCell ref="E266:G266"/>
    <mergeCell ref="A42:I42"/>
    <mergeCell ref="A44:H45"/>
    <mergeCell ref="E278:G278"/>
    <mergeCell ref="H278:I278"/>
    <mergeCell ref="I117:I118"/>
    <mergeCell ref="E123:G123"/>
    <mergeCell ref="H123:I123"/>
    <mergeCell ref="G127:I127"/>
    <mergeCell ref="E135:G135"/>
    <mergeCell ref="H135:I135"/>
    <mergeCell ref="H1863:I1863"/>
    <mergeCell ref="E1866:G1866"/>
    <mergeCell ref="G411:I411"/>
    <mergeCell ref="A399:I399"/>
    <mergeCell ref="A401:H402"/>
    <mergeCell ref="H573:I573"/>
    <mergeCell ref="E604:G604"/>
    <mergeCell ref="A586:H587"/>
    <mergeCell ref="H924:I924"/>
    <mergeCell ref="H830:I830"/>
    <mergeCell ref="H604:I604"/>
    <mergeCell ref="A1:I1"/>
    <mergeCell ref="A800:I800"/>
    <mergeCell ref="A802:H803"/>
    <mergeCell ref="A654:I654"/>
    <mergeCell ref="A656:H657"/>
    <mergeCell ref="I656:I657"/>
    <mergeCell ref="E662:G662"/>
    <mergeCell ref="H662:I662"/>
    <mergeCell ref="G667:I667"/>
    <mergeCell ref="E675:G675"/>
    <mergeCell ref="H675:I675"/>
    <mergeCell ref="E679:G679"/>
    <mergeCell ref="H679:I679"/>
    <mergeCell ref="E749:G749"/>
    <mergeCell ref="H749:I749"/>
    <mergeCell ref="A727:I727"/>
    <mergeCell ref="H102:I102"/>
    <mergeCell ref="A258:I258"/>
    <mergeCell ref="A5:I5"/>
    <mergeCell ref="A7:H8"/>
    <mergeCell ref="I295:I296"/>
    <mergeCell ref="H1400:I1400"/>
    <mergeCell ref="G1405:I1405"/>
    <mergeCell ref="H1866:I1866"/>
    <mergeCell ref="H352:I352"/>
    <mergeCell ref="G488:I488"/>
    <mergeCell ref="A764:I764"/>
    <mergeCell ref="A766:H767"/>
    <mergeCell ref="E2332:G2332"/>
    <mergeCell ref="A1625:I1625"/>
    <mergeCell ref="A1627:H1628"/>
    <mergeCell ref="I1627:I1628"/>
    <mergeCell ref="E1633:G1633"/>
    <mergeCell ref="H1633:I1633"/>
    <mergeCell ref="G1639:I1639"/>
    <mergeCell ref="E301:G301"/>
    <mergeCell ref="H1417:I1417"/>
    <mergeCell ref="A1880:I1880"/>
    <mergeCell ref="A985:I985"/>
    <mergeCell ref="A1254:I1254"/>
    <mergeCell ref="E1016:G1016"/>
    <mergeCell ref="H1016:I1016"/>
    <mergeCell ref="E1262:G1262"/>
    <mergeCell ref="H1262:I1262"/>
    <mergeCell ref="G1266:I1266"/>
    <mergeCell ref="E1274:G1274"/>
    <mergeCell ref="H1274:I1274"/>
    <mergeCell ref="A729:H730"/>
    <mergeCell ref="I729:I730"/>
    <mergeCell ref="E1853:G1853"/>
    <mergeCell ref="H1853:I1853"/>
    <mergeCell ref="G1856:I1856"/>
    <mergeCell ref="E1863:G1863"/>
    <mergeCell ref="G305:I305"/>
    <mergeCell ref="E313:G313"/>
    <mergeCell ref="H313:I313"/>
    <mergeCell ref="E317:G317"/>
    <mergeCell ref="H317:I317"/>
    <mergeCell ref="A328:I328"/>
    <mergeCell ref="A330:H331"/>
    <mergeCell ref="I330:I331"/>
    <mergeCell ref="E789:G789"/>
    <mergeCell ref="H789:I789"/>
    <mergeCell ref="A882:I882"/>
    <mergeCell ref="A884:H885"/>
    <mergeCell ref="H937:I937"/>
    <mergeCell ref="E419:G419"/>
    <mergeCell ref="H419:I419"/>
    <mergeCell ref="E423:G423"/>
    <mergeCell ref="H423:I423"/>
    <mergeCell ref="A478:I478"/>
    <mergeCell ref="A480:H481"/>
    <mergeCell ref="H406:I406"/>
    <mergeCell ref="E352:G352"/>
    <mergeCell ref="G376:I376"/>
    <mergeCell ref="E384:G384"/>
    <mergeCell ref="H384:I384"/>
    <mergeCell ref="E388:G388"/>
    <mergeCell ref="H348:I348"/>
    <mergeCell ref="H538:I538"/>
    <mergeCell ref="A549:I549"/>
    <mergeCell ref="A551:H552"/>
    <mergeCell ref="A364:I364"/>
    <mergeCell ref="A366:H367"/>
    <mergeCell ref="E372:G372"/>
    <mergeCell ref="E1940:G1940"/>
    <mergeCell ref="H1940:I1940"/>
    <mergeCell ref="I1918:I1919"/>
    <mergeCell ref="H3324:I3324"/>
    <mergeCell ref="G3398:I3398"/>
    <mergeCell ref="A2024:I2024"/>
    <mergeCell ref="A2026:H2027"/>
    <mergeCell ref="I2026:I2027"/>
    <mergeCell ref="E2032:G2032"/>
    <mergeCell ref="H2032:I2032"/>
    <mergeCell ref="G2036:I2036"/>
    <mergeCell ref="E2044:G2044"/>
    <mergeCell ref="H2044:I2044"/>
    <mergeCell ref="E2048:G2048"/>
    <mergeCell ref="A3246:I3246"/>
    <mergeCell ref="A3248:H3249"/>
    <mergeCell ref="E3092:G3092"/>
    <mergeCell ref="H2264:I2264"/>
    <mergeCell ref="H1996:I1996"/>
    <mergeCell ref="G2000:I2000"/>
    <mergeCell ref="E2008:G2008"/>
    <mergeCell ref="H2008:I2008"/>
    <mergeCell ref="E1936:G1936"/>
    <mergeCell ref="H1936:I1936"/>
    <mergeCell ref="E2318:G2318"/>
    <mergeCell ref="G2321:I2321"/>
    <mergeCell ref="E2328:G2328"/>
    <mergeCell ref="H2328:I2328"/>
    <mergeCell ref="E3164:G3164"/>
    <mergeCell ref="H3219:I3219"/>
    <mergeCell ref="H2318:I2318"/>
    <mergeCell ref="G2216:I2216"/>
    <mergeCell ref="E4116:G4116"/>
    <mergeCell ref="G4105:I4105"/>
    <mergeCell ref="E3945:G3945"/>
    <mergeCell ref="H3945:I3945"/>
    <mergeCell ref="A4095:H4096"/>
    <mergeCell ref="E3926:G3926"/>
    <mergeCell ref="H3926:I3926"/>
    <mergeCell ref="A3937:I3937"/>
    <mergeCell ref="A3939:H3940"/>
    <mergeCell ref="I3939:I3940"/>
    <mergeCell ref="A3901:I3901"/>
    <mergeCell ref="I4095:I4096"/>
    <mergeCell ref="E4024:G4024"/>
    <mergeCell ref="H4024:I4024"/>
    <mergeCell ref="E3997:G3997"/>
    <mergeCell ref="H4246:I4246"/>
    <mergeCell ref="E4038:G4038"/>
    <mergeCell ref="H4038:I4038"/>
    <mergeCell ref="E4045:G4045"/>
    <mergeCell ref="H4045:I4045"/>
    <mergeCell ref="H4003:I4003"/>
    <mergeCell ref="G3950:I3950"/>
    <mergeCell ref="A3903:H3904"/>
    <mergeCell ref="I3903:I3904"/>
    <mergeCell ref="G3989:I3989"/>
    <mergeCell ref="H3962:I3962"/>
    <mergeCell ref="H4065:I4065"/>
    <mergeCell ref="A4093:I4093"/>
    <mergeCell ref="H4083:I4083"/>
    <mergeCell ref="I4258:I4259"/>
    <mergeCell ref="H4199:I4199"/>
    <mergeCell ref="G4202:I4202"/>
    <mergeCell ref="E4209:G4209"/>
    <mergeCell ref="A4161:H4162"/>
    <mergeCell ref="I4161:I4162"/>
    <mergeCell ref="E4199:G4199"/>
    <mergeCell ref="H4149:I4149"/>
    <mergeCell ref="A4258:H4259"/>
    <mergeCell ref="H4209:I4209"/>
    <mergeCell ref="E4182:G4182"/>
    <mergeCell ref="A3739:H3740"/>
    <mergeCell ref="I3739:I3740"/>
    <mergeCell ref="E3745:G3745"/>
    <mergeCell ref="H3745:I3745"/>
    <mergeCell ref="G3750:I3750"/>
    <mergeCell ref="E3758:G3758"/>
    <mergeCell ref="H3758:I3758"/>
    <mergeCell ref="E3765:G3765"/>
    <mergeCell ref="E3881:G3881"/>
    <mergeCell ref="H3881:I3881"/>
    <mergeCell ref="E3958:G3958"/>
    <mergeCell ref="H3958:I3958"/>
    <mergeCell ref="E3909:G3909"/>
    <mergeCell ref="H3909:I3909"/>
    <mergeCell ref="G3914:I3914"/>
    <mergeCell ref="E3922:G3922"/>
    <mergeCell ref="H3922:I3922"/>
    <mergeCell ref="E4100:G4100"/>
    <mergeCell ref="H4100:I4100"/>
    <mergeCell ref="A4159:I4159"/>
    <mergeCell ref="G4030:I4030"/>
    <mergeCell ref="E64:G64"/>
    <mergeCell ref="H64:I64"/>
    <mergeCell ref="E1377:G1377"/>
    <mergeCell ref="H1377:I1377"/>
    <mergeCell ref="A3702:H3703"/>
    <mergeCell ref="I3702:I3703"/>
    <mergeCell ref="E3726:G3726"/>
    <mergeCell ref="H3726:I3726"/>
    <mergeCell ref="E3721:G3721"/>
    <mergeCell ref="H3721:I3721"/>
    <mergeCell ref="G3713:I3713"/>
    <mergeCell ref="I480:I481"/>
    <mergeCell ref="E485:G485"/>
    <mergeCell ref="H485:I485"/>
    <mergeCell ref="E3324:G3324"/>
    <mergeCell ref="E2793:G2793"/>
    <mergeCell ref="H1688:I1688"/>
    <mergeCell ref="E1684:G1684"/>
    <mergeCell ref="A1662:I1662"/>
    <mergeCell ref="H2140:I2140"/>
    <mergeCell ref="G2144:I2144"/>
    <mergeCell ref="A3068:I3068"/>
    <mergeCell ref="I1394:I1395"/>
    <mergeCell ref="E1400:G1400"/>
    <mergeCell ref="E3708:G3708"/>
    <mergeCell ref="H3708:I3708"/>
    <mergeCell ref="A2132:I2132"/>
    <mergeCell ref="A2310:I2310"/>
    <mergeCell ref="A2312:H2313"/>
    <mergeCell ref="I2312:I2313"/>
    <mergeCell ref="G2287:I2287"/>
    <mergeCell ref="H3406:I3406"/>
    <mergeCell ref="E4083:G4083"/>
    <mergeCell ref="H4078:I4078"/>
    <mergeCell ref="E4078:G4078"/>
    <mergeCell ref="G4070:I4070"/>
    <mergeCell ref="E2294:G2294"/>
    <mergeCell ref="H2294:I2294"/>
    <mergeCell ref="E2298:G2298"/>
    <mergeCell ref="H2260:I2260"/>
    <mergeCell ref="G2460:I2460"/>
    <mergeCell ref="E2467:G2467"/>
    <mergeCell ref="H2467:I2467"/>
    <mergeCell ref="H2068:I2068"/>
    <mergeCell ref="A4016:I4016"/>
    <mergeCell ref="A4018:H4019"/>
    <mergeCell ref="I4018:I4019"/>
    <mergeCell ref="E3962:G3962"/>
    <mergeCell ref="H3765:I3765"/>
    <mergeCell ref="G2072:I2072"/>
    <mergeCell ref="E2080:G2080"/>
    <mergeCell ref="H2080:I2080"/>
    <mergeCell ref="E2084:G2084"/>
    <mergeCell ref="H2084:I2084"/>
    <mergeCell ref="A2096:I2096"/>
    <mergeCell ref="A2098:H2099"/>
    <mergeCell ref="I2098:I2099"/>
    <mergeCell ref="E2104:G2104"/>
    <mergeCell ref="H2104:I2104"/>
    <mergeCell ref="E3830:G3830"/>
    <mergeCell ref="A3737:I3737"/>
    <mergeCell ref="G2108:I2108"/>
    <mergeCell ref="E2116:G2116"/>
    <mergeCell ref="H2116:I2116"/>
    <mergeCell ref="E2120:G2120"/>
    <mergeCell ref="H2120:I2120"/>
    <mergeCell ref="A2204:I2204"/>
    <mergeCell ref="A2206:H2207"/>
    <mergeCell ref="I2206:I2207"/>
    <mergeCell ref="A3973:I3973"/>
    <mergeCell ref="A2414:I2414"/>
    <mergeCell ref="A2416:H2417"/>
    <mergeCell ref="I2416:I2417"/>
    <mergeCell ref="E2422:G2422"/>
    <mergeCell ref="H2422:I2422"/>
    <mergeCell ref="H2386:I2386"/>
    <mergeCell ref="G2389:I2389"/>
    <mergeCell ref="E2396:G2396"/>
    <mergeCell ref="H2396:I2396"/>
    <mergeCell ref="E2400:G2400"/>
    <mergeCell ref="H2400:I2400"/>
    <mergeCell ref="A2450:I2450"/>
    <mergeCell ref="A2452:H2453"/>
    <mergeCell ref="I2452:I2453"/>
    <mergeCell ref="E2457:G2457"/>
    <mergeCell ref="H2332:I2332"/>
    <mergeCell ref="H3803:I3803"/>
    <mergeCell ref="E3803:G3803"/>
    <mergeCell ref="E2224:G2224"/>
    <mergeCell ref="E2228:G2228"/>
    <mergeCell ref="H2228:I2228"/>
    <mergeCell ref="A3180:H3181"/>
    <mergeCell ref="I3180:I3181"/>
    <mergeCell ref="E3185:G3185"/>
    <mergeCell ref="H3185:I3185"/>
    <mergeCell ref="E3376:G3376"/>
    <mergeCell ref="E2565:G2565"/>
    <mergeCell ref="H2601:I2601"/>
    <mergeCell ref="G2604:I2604"/>
    <mergeCell ref="E2834:G2834"/>
    <mergeCell ref="H2834:I2834"/>
    <mergeCell ref="E2687:G2687"/>
    <mergeCell ref="H2687:I2687"/>
    <mergeCell ref="A2702:I2702"/>
    <mergeCell ref="A2704:H2705"/>
    <mergeCell ref="I2704:I2705"/>
    <mergeCell ref="E2911:G2911"/>
    <mergeCell ref="H2911:I2911"/>
    <mergeCell ref="E2856:G2856"/>
    <mergeCell ref="A2240:I2240"/>
    <mergeCell ref="A2242:H2243"/>
    <mergeCell ref="G2355:I2355"/>
    <mergeCell ref="E2362:G2362"/>
    <mergeCell ref="H2362:I2362"/>
    <mergeCell ref="E2366:G2366"/>
    <mergeCell ref="H2366:I2366"/>
    <mergeCell ref="A2378:I2378"/>
    <mergeCell ref="A2380:H2381"/>
    <mergeCell ref="I2380:I2381"/>
    <mergeCell ref="E2386:G2386"/>
    <mergeCell ref="H2457:I2457"/>
    <mergeCell ref="G2425:I2425"/>
    <mergeCell ref="E2432:G2432"/>
    <mergeCell ref="H2432:I2432"/>
    <mergeCell ref="E2436:G2436"/>
    <mergeCell ref="H2436:I2436"/>
    <mergeCell ref="E2471:G2471"/>
    <mergeCell ref="H2471:I2471"/>
    <mergeCell ref="H2565:I2565"/>
    <mergeCell ref="G2568:I2568"/>
    <mergeCell ref="E2575:G2575"/>
    <mergeCell ref="A2486:I2486"/>
    <mergeCell ref="A2488:H2489"/>
    <mergeCell ref="H2647:I2647"/>
    <mergeCell ref="E2651:G2651"/>
    <mergeCell ref="H2651:I2651"/>
    <mergeCell ref="E2543:G2543"/>
    <mergeCell ref="H2543:I2543"/>
    <mergeCell ref="A2558:I2558"/>
    <mergeCell ref="E2615:G2615"/>
    <mergeCell ref="H2615:I2615"/>
    <mergeCell ref="A2630:I2630"/>
    <mergeCell ref="I2488:I2489"/>
    <mergeCell ref="E2493:G2493"/>
    <mergeCell ref="H2493:I2493"/>
    <mergeCell ref="G2496:I2496"/>
    <mergeCell ref="E2503:G2503"/>
    <mergeCell ref="H2503:I2503"/>
    <mergeCell ref="E2611:G2611"/>
    <mergeCell ref="I2596:I2597"/>
    <mergeCell ref="E2601:G2601"/>
    <mergeCell ref="I2560:I2561"/>
    <mergeCell ref="A4408:H4409"/>
    <mergeCell ref="I4408:I4409"/>
    <mergeCell ref="E4413:G4413"/>
    <mergeCell ref="H4413:I4413"/>
    <mergeCell ref="E2507:G2507"/>
    <mergeCell ref="H2507:I2507"/>
    <mergeCell ref="A2522:I2522"/>
    <mergeCell ref="A2524:H2525"/>
    <mergeCell ref="I2524:I2525"/>
    <mergeCell ref="E2529:G2529"/>
    <mergeCell ref="H2529:I2529"/>
    <mergeCell ref="G2532:I2532"/>
    <mergeCell ref="E2539:G2539"/>
    <mergeCell ref="H2539:I2539"/>
    <mergeCell ref="G2860:I2860"/>
    <mergeCell ref="E2868:G2868"/>
    <mergeCell ref="H2868:I2868"/>
    <mergeCell ref="E2872:G2872"/>
    <mergeCell ref="H2575:I2575"/>
    <mergeCell ref="E2579:G2579"/>
    <mergeCell ref="H2579:I2579"/>
    <mergeCell ref="A2594:I2594"/>
    <mergeCell ref="A2596:H2597"/>
    <mergeCell ref="H2611:I2611"/>
    <mergeCell ref="E4246:G4246"/>
    <mergeCell ref="I4194:I4195"/>
    <mergeCell ref="A2632:H2633"/>
    <mergeCell ref="I2632:I2633"/>
    <mergeCell ref="H2793:I2793"/>
    <mergeCell ref="G2822:I2822"/>
    <mergeCell ref="E2830:G2830"/>
    <mergeCell ref="H2830:I2830"/>
    <mergeCell ref="E2637:G2637"/>
    <mergeCell ref="E2710:G2710"/>
    <mergeCell ref="H2710:I2710"/>
    <mergeCell ref="G2716:I2716"/>
    <mergeCell ref="E2723:G2723"/>
    <mergeCell ref="H2723:I2723"/>
    <mergeCell ref="E2727:G2727"/>
    <mergeCell ref="H2727:I2727"/>
    <mergeCell ref="A2810:I2810"/>
    <mergeCell ref="H2637:I2637"/>
    <mergeCell ref="G2640:I2640"/>
    <mergeCell ref="E2647:G2647"/>
    <mergeCell ref="A2812:H2813"/>
    <mergeCell ref="I2812:I2813"/>
    <mergeCell ref="E2818:G2818"/>
    <mergeCell ref="H2818:I2818"/>
    <mergeCell ref="E2760:G2760"/>
    <mergeCell ref="E2673:G2673"/>
    <mergeCell ref="H2673:I2673"/>
    <mergeCell ref="G2676:I2676"/>
    <mergeCell ref="E2683:G2683"/>
    <mergeCell ref="H2683:I2683"/>
    <mergeCell ref="A4442:I4442"/>
    <mergeCell ref="A4444:H4445"/>
    <mergeCell ref="I4444:I4445"/>
    <mergeCell ref="A3781:H3782"/>
    <mergeCell ref="I3781:I3782"/>
    <mergeCell ref="H4116:I4116"/>
    <mergeCell ref="A4126:I4126"/>
    <mergeCell ref="A4128:H4129"/>
    <mergeCell ref="A2848:I2848"/>
    <mergeCell ref="A2850:H2851"/>
    <mergeCell ref="I2850:I2851"/>
    <mergeCell ref="G4419:I4419"/>
    <mergeCell ref="E4427:G4427"/>
    <mergeCell ref="H4427:I4427"/>
    <mergeCell ref="E4393:G4393"/>
    <mergeCell ref="E4373:G4373"/>
    <mergeCell ref="H4373:I4373"/>
    <mergeCell ref="A4365:I4365"/>
    <mergeCell ref="H2872:I2872"/>
    <mergeCell ref="A2886:I2886"/>
    <mergeCell ref="A2888:H2889"/>
    <mergeCell ref="G4138:I4138"/>
    <mergeCell ref="E4146:G4146"/>
    <mergeCell ref="H4146:I4146"/>
    <mergeCell ref="H4393:I4393"/>
    <mergeCell ref="H4309:I4309"/>
    <mergeCell ref="H3997:I3997"/>
    <mergeCell ref="A4058:I4058"/>
    <mergeCell ref="A4060:H4061"/>
    <mergeCell ref="I4060:I4061"/>
    <mergeCell ref="E4003:G4003"/>
    <mergeCell ref="H2856:I2856"/>
    <mergeCell ref="I2888:I2889"/>
    <mergeCell ref="E2894:G2894"/>
    <mergeCell ref="H2894:I2894"/>
    <mergeCell ref="G2899:I2899"/>
    <mergeCell ref="E2907:G2907"/>
    <mergeCell ref="H2907:I2907"/>
    <mergeCell ref="E4431:G4431"/>
    <mergeCell ref="H4431:I4431"/>
    <mergeCell ref="E4450:G4450"/>
    <mergeCell ref="H4450:I4450"/>
    <mergeCell ref="A4406:I4406"/>
    <mergeCell ref="E4149:G4149"/>
    <mergeCell ref="G4378:I4378"/>
    <mergeCell ref="E4386:G4386"/>
    <mergeCell ref="H4386:I4386"/>
    <mergeCell ref="H4241:I4241"/>
    <mergeCell ref="A4192:I4192"/>
    <mergeCell ref="G4268:I4268"/>
    <mergeCell ref="E4276:G4276"/>
    <mergeCell ref="H4276:I4276"/>
    <mergeCell ref="A4224:I4224"/>
    <mergeCell ref="A4226:H4227"/>
    <mergeCell ref="I4226:I4227"/>
    <mergeCell ref="E4231:G4231"/>
    <mergeCell ref="H4231:I4231"/>
    <mergeCell ref="G4234:I4234"/>
    <mergeCell ref="E4241:G4241"/>
    <mergeCell ref="H4346:I4346"/>
    <mergeCell ref="E4352:G4352"/>
    <mergeCell ref="H4352:I4352"/>
    <mergeCell ref="H4332:I4332"/>
    <mergeCell ref="G4338:I4338"/>
    <mergeCell ref="A3860:I3860"/>
    <mergeCell ref="A3862:H3863"/>
    <mergeCell ref="I3862:I3863"/>
    <mergeCell ref="E3868:G3868"/>
    <mergeCell ref="H3830:I3830"/>
    <mergeCell ref="G3835:I3835"/>
    <mergeCell ref="E3843:G3843"/>
    <mergeCell ref="E3888:G3888"/>
    <mergeCell ref="H3888:I3888"/>
    <mergeCell ref="E3789:G3789"/>
    <mergeCell ref="E3809:G3809"/>
    <mergeCell ref="H4166:I4166"/>
    <mergeCell ref="A4289:I4289"/>
    <mergeCell ref="E4312:G4312"/>
    <mergeCell ref="A4322:I4322"/>
    <mergeCell ref="A4324:H4325"/>
    <mergeCell ref="I4324:I4325"/>
    <mergeCell ref="E4279:G4279"/>
    <mergeCell ref="I4128:I4129"/>
    <mergeCell ref="E4133:G4133"/>
    <mergeCell ref="H4133:I4133"/>
    <mergeCell ref="G4171:I4171"/>
    <mergeCell ref="E4065:G4065"/>
    <mergeCell ref="H4312:I4312"/>
    <mergeCell ref="E4166:G4166"/>
    <mergeCell ref="I4291:I4292"/>
    <mergeCell ref="E4296:G4296"/>
    <mergeCell ref="H4296:I4296"/>
    <mergeCell ref="A3975:H3976"/>
    <mergeCell ref="I3975:I3976"/>
    <mergeCell ref="E3983:G3983"/>
    <mergeCell ref="H3983:I3983"/>
    <mergeCell ref="A4529:H4530"/>
    <mergeCell ref="I4529:I4530"/>
    <mergeCell ref="G4456:I4456"/>
    <mergeCell ref="E4464:G4464"/>
    <mergeCell ref="H4464:I4464"/>
    <mergeCell ref="E4470:G4470"/>
    <mergeCell ref="E4309:G4309"/>
    <mergeCell ref="H4279:I4279"/>
    <mergeCell ref="E4263:G4263"/>
    <mergeCell ref="A4291:H4292"/>
    <mergeCell ref="A4367:H4368"/>
    <mergeCell ref="I4367:I4368"/>
    <mergeCell ref="E4332:G4332"/>
    <mergeCell ref="G4301:I4301"/>
    <mergeCell ref="H4182:I4182"/>
    <mergeCell ref="E4179:G4179"/>
    <mergeCell ref="H4179:I4179"/>
    <mergeCell ref="H4263:I4263"/>
    <mergeCell ref="E4214:G4214"/>
    <mergeCell ref="H4214:I4214"/>
    <mergeCell ref="A4527:I4527"/>
    <mergeCell ref="A4256:I4256"/>
    <mergeCell ref="A4194:H4195"/>
    <mergeCell ref="E4507:G4507"/>
    <mergeCell ref="H4507:I4507"/>
    <mergeCell ref="E4513:G4513"/>
    <mergeCell ref="H4513:I4513"/>
    <mergeCell ref="I4485:I4486"/>
    <mergeCell ref="E4493:G4493"/>
    <mergeCell ref="H4493:I4493"/>
    <mergeCell ref="E4346:G4346"/>
    <mergeCell ref="H4470:I4470"/>
    <mergeCell ref="E4585:G4585"/>
    <mergeCell ref="H4585:I4585"/>
    <mergeCell ref="A1288:I1288"/>
    <mergeCell ref="A1290:H1291"/>
    <mergeCell ref="I1290:I1291"/>
    <mergeCell ref="E1296:G1296"/>
    <mergeCell ref="H1296:I1296"/>
    <mergeCell ref="G1300:I1300"/>
    <mergeCell ref="E1308:G1308"/>
    <mergeCell ref="H1308:I1308"/>
    <mergeCell ref="E1312:G1312"/>
    <mergeCell ref="H1312:I1312"/>
    <mergeCell ref="A4561:I4561"/>
    <mergeCell ref="A4563:H4564"/>
    <mergeCell ref="I4563:I4564"/>
    <mergeCell ref="E4571:G4571"/>
    <mergeCell ref="H4571:I4571"/>
    <mergeCell ref="G4574:I4574"/>
    <mergeCell ref="E4581:G4581"/>
    <mergeCell ref="H4581:I4581"/>
    <mergeCell ref="E4537:G4537"/>
    <mergeCell ref="H4537:I4537"/>
    <mergeCell ref="G4541:I4541"/>
    <mergeCell ref="E4549:G4549"/>
    <mergeCell ref="H4549:I4549"/>
    <mergeCell ref="E4552:G4552"/>
    <mergeCell ref="H4552:I4552"/>
    <mergeCell ref="H4113:I4113"/>
    <mergeCell ref="E4113:G4113"/>
    <mergeCell ref="A4483:I4483"/>
    <mergeCell ref="A4485:H4486"/>
    <mergeCell ref="G4499:I4499"/>
  </mergeCells>
  <dataValidations disablePrompts="1" count="1">
    <dataValidation type="list" allowBlank="1" showInputMessage="1" showErrorMessage="1" sqref="J363 J437 J3546 J150">
      <formula1>$B$801:$B$819</formula1>
    </dataValidation>
  </dataValidations>
  <printOptions horizontalCentered="1"/>
  <pageMargins left="0.98425196850393704" right="0.98425196850393704" top="0.98425196850393704" bottom="0.98425196850393704" header="0.51181102362204722" footer="0.51181102362204722"/>
  <pageSetup paperSize="9" scale="72" firstPageNumber="193" fitToHeight="0" orientation="portrait" useFirstPageNumber="1" r:id="rId1"/>
  <rowBreaks count="124" manualBreakCount="124">
    <brk id="41" max="8" man="1"/>
    <brk id="74" max="8" man="1"/>
    <brk id="114" max="8" man="1"/>
    <brk id="149" max="8" man="1"/>
    <brk id="185" max="8" man="1"/>
    <brk id="221" max="8" man="1"/>
    <brk id="257" max="8" man="1"/>
    <brk id="292" max="8" man="1"/>
    <brk id="327" max="8" man="1"/>
    <brk id="362" max="8" man="1"/>
    <brk id="398" max="8" man="1"/>
    <brk id="436" max="8" man="1"/>
    <brk id="477" max="8" man="1"/>
    <brk id="513" max="8" man="1"/>
    <brk id="548" max="8" man="1"/>
    <brk id="583" max="8" man="1"/>
    <brk id="618" max="8" man="1"/>
    <brk id="653" max="8" man="1"/>
    <brk id="689" max="8" man="1"/>
    <brk id="726" max="16383" man="1"/>
    <brk id="763" max="8" man="1"/>
    <brk id="799" max="16383" man="1"/>
    <brk id="840" max="16383" man="1"/>
    <brk id="881" max="8" man="1"/>
    <brk id="915" max="8" man="1"/>
    <brk id="951" max="8" man="1"/>
    <brk id="984" max="8" man="1"/>
    <brk id="1026" max="8" man="1"/>
    <brk id="1070" max="8" man="1"/>
    <brk id="1101" max="8" man="1"/>
    <brk id="1138" max="8" man="1"/>
    <brk id="1183" max="8" man="1"/>
    <brk id="1219" max="8" man="1"/>
    <brk id="1253" max="8" man="1"/>
    <brk id="1287" max="8" man="1"/>
    <brk id="1321" max="8" man="1"/>
    <brk id="1355" max="8" man="1"/>
    <brk id="1391" max="8" man="1"/>
    <brk id="1427" max="8" man="1"/>
    <brk id="1470" max="8" man="1"/>
    <brk id="1510" max="8" man="1"/>
    <brk id="1547" max="8" man="1"/>
    <brk id="1587" max="8" man="1"/>
    <brk id="1624" max="8" man="1"/>
    <brk id="1661" max="16383" man="1"/>
    <brk id="1698" max="8" man="1"/>
    <brk id="1735" max="8" man="1"/>
    <brk id="1772" max="8" man="1"/>
    <brk id="1809" max="8" man="1"/>
    <brk id="1844" max="8" man="1"/>
    <brk id="1879" max="8" man="1"/>
    <brk id="1915" max="8" man="1"/>
    <brk id="1951" max="8" man="1"/>
    <brk id="1987" max="16383" man="1"/>
    <brk id="2023" max="8" man="1"/>
    <brk id="2059" max="8" man="1"/>
    <brk id="2095" max="8" man="1"/>
    <brk id="2131" max="8" man="1"/>
    <brk id="2167" max="8" man="1"/>
    <brk id="2203" max="8" man="1"/>
    <brk id="2239" max="8" man="1"/>
    <brk id="2275" max="8" man="1"/>
    <brk id="2309" max="8" man="1"/>
    <brk id="2343" max="8" man="1"/>
    <brk id="2377" max="8" man="1"/>
    <brk id="2413" max="8" man="1"/>
    <brk id="2449" max="8" man="1"/>
    <brk id="2485" max="8" man="1"/>
    <brk id="2521" max="8" man="1"/>
    <brk id="2557" max="8" man="1"/>
    <brk id="2593" max="8" man="1"/>
    <brk id="2629" max="8" man="1"/>
    <brk id="2665" max="8" man="1"/>
    <brk id="2701" max="8" man="1"/>
    <brk id="2735" max="8" man="1"/>
    <brk id="2772" max="8" man="1"/>
    <brk id="2809" max="8" man="1"/>
    <brk id="2847" max="8" man="1"/>
    <brk id="2885" max="8" man="1"/>
    <brk id="2923" max="8" man="1"/>
    <brk id="2961" max="8" man="1"/>
    <brk id="2994" max="16383" man="1"/>
    <brk id="3031" max="8" man="1"/>
    <brk id="3067" max="8" man="1"/>
    <brk id="3105" max="8" man="1"/>
    <brk id="3143" max="8" man="1"/>
    <brk id="3177" max="8" man="1"/>
    <brk id="3211" max="8" man="1"/>
    <brk id="3245" max="8" man="1"/>
    <brk id="3285" max="8" man="1"/>
    <brk id="3316" max="8" man="1"/>
    <brk id="3352" max="8" man="1"/>
    <brk id="3384" max="8" man="1"/>
    <brk id="3422" max="8" man="1"/>
    <brk id="3471" max="8" man="1"/>
    <brk id="3512" max="8" man="1"/>
    <brk id="3552" max="8" man="1"/>
    <brk id="3589" max="16383" man="1"/>
    <brk id="3625" max="16383" man="1"/>
    <brk id="3661" max="8" man="1"/>
    <brk id="3698" max="8" man="1"/>
    <brk id="3736" max="8" man="1"/>
    <brk id="3777" max="8" man="1"/>
    <brk id="3821" max="8" man="1"/>
    <brk id="3859" max="8" man="1"/>
    <brk id="3900" max="8" man="1"/>
    <brk id="3936" max="8" man="1"/>
    <brk id="3972" max="8" man="1"/>
    <brk id="4015" max="8" man="1"/>
    <brk id="4057" max="8" man="1"/>
    <brk id="4092" max="8" man="1"/>
    <brk id="4125" max="8" man="1"/>
    <brk id="4158" max="8" man="1"/>
    <brk id="4191" max="8" man="1"/>
    <brk id="4223" max="8" man="1"/>
    <brk id="4255" max="8" man="1"/>
    <brk id="4288" max="8" man="1"/>
    <brk id="4321" max="8" man="1"/>
    <brk id="4364" max="8" man="1"/>
    <brk id="4405" max="8" man="1"/>
    <brk id="4441" max="8" man="1"/>
    <brk id="4481" max="8" man="1"/>
    <brk id="4525" max="8" man="1"/>
    <brk id="4560" max="8" man="1"/>
  </rowBreaks>
  <colBreaks count="1" manualBreakCount="1">
    <brk id="9" max="1048575" man="1"/>
  </colBreaks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>
          <x14:formula1>
            <xm:f>[5]Ocor.!#REF!</xm:f>
          </x14:formula1>
          <xm:sqref>J3277:J3278 J4357:J4359 J3310:J3311</xm:sqref>
        </x14:dataValidation>
        <x14:dataValidation type="list" allowBlank="1" showInputMessage="1" showErrorMessage="1">
          <x14:formula1>
            <xm:f>[1]Ocor.!#REF!</xm:f>
          </x14:formula1>
          <xm:sqref>J1692 J2018 J1421 J1020 J3138 J3893:J3895 J3730 J3100 J3206 J3172 J1248 J1350 J720 J945 J3417 J107:J109 J392 J215 J3814:J3816 J3853:J3854 J1463:J1465 J4008:J4010 J1283 J1619 J1505 J1946 J2198 J3240 J3620 J3279:J3280 J179 J431 J1064 J1096 J1132 J1542 J1582 J1656 J1729 J1766 J1804 J1839 J4398:J4400 J1982 J2054 J2090 J2126 J2234 J4475:J4476 J4518:J4520 J3770:J3772 J4590 J1317</xm:sqref>
        </x14:dataValidation>
        <x14:dataValidation type="list" allowBlank="1" showInputMessage="1" showErrorMessage="1">
          <x14:formula1>
            <xm:f>[6]Ocor.!#REF!</xm:f>
          </x14:formula1>
          <xm:sqref>J2304 J834 J2162 J1385 J2270 J683 J757 J875 J2806:J2808 J3026 J2767 J1910 J3966 J3062 J2956 J35 J68 J430 J507 J793 J2338 J2372 J2408 J2444 J2480 J2516 J2552 J2588 J2624 J2660 J2696 J2844:J2846 J2882:J2884 J2920:J2922 J2989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63"/>
  <sheetViews>
    <sheetView showGridLines="0" view="pageBreakPreview" topLeftCell="A245" zoomScaleNormal="100" zoomScaleSheetLayoutView="100" workbookViewId="0">
      <selection activeCell="I262" sqref="I262"/>
    </sheetView>
  </sheetViews>
  <sheetFormatPr defaultColWidth="9" defaultRowHeight="14.25" x14ac:dyDescent="0.2"/>
  <cols>
    <col min="1" max="1" width="22.25" style="295" customWidth="1"/>
    <col min="2" max="2" width="7.875" style="295" customWidth="1"/>
    <col min="3" max="3" width="8.75" style="295" customWidth="1"/>
    <col min="4" max="4" width="18" style="295" customWidth="1"/>
    <col min="5" max="5" width="9" style="295"/>
    <col min="6" max="6" width="8.375" style="295" customWidth="1"/>
    <col min="7" max="7" width="7.375" style="295" customWidth="1"/>
    <col min="8" max="8" width="8.625" style="295" customWidth="1"/>
    <col min="9" max="9" width="12.625" style="198" customWidth="1"/>
    <col min="10" max="10" width="13.375" style="22" bestFit="1" customWidth="1"/>
    <col min="11" max="11" width="7.75" style="780" customWidth="1"/>
    <col min="12" max="12" width="32.75" style="359" customWidth="1"/>
    <col min="13" max="16" width="9" style="359"/>
    <col min="17" max="18" width="9" style="295"/>
    <col min="19" max="19" width="11.75" style="295" bestFit="1" customWidth="1"/>
    <col min="20" max="16384" width="9" style="295"/>
  </cols>
  <sheetData>
    <row r="1" spans="1:13" hidden="1" x14ac:dyDescent="0.2">
      <c r="A1" s="1116" t="s">
        <v>213</v>
      </c>
      <c r="B1" s="1116"/>
      <c r="C1" s="1116"/>
      <c r="D1" s="1116"/>
      <c r="E1" s="1116"/>
      <c r="F1" s="1116"/>
      <c r="G1" s="1116"/>
      <c r="H1" s="1116"/>
      <c r="I1" s="1116"/>
    </row>
    <row r="2" spans="1:13" x14ac:dyDescent="0.2">
      <c r="A2" s="228" t="s">
        <v>367</v>
      </c>
      <c r="B2" s="229"/>
      <c r="C2" s="199"/>
      <c r="D2" s="199"/>
      <c r="E2" s="199"/>
      <c r="F2" s="199"/>
      <c r="G2" s="199"/>
      <c r="H2" s="199"/>
      <c r="I2" s="414" t="str">
        <f>'Compos DER'!I2</f>
        <v>Data Base: novembro/2020</v>
      </c>
    </row>
    <row r="3" spans="1:13" x14ac:dyDescent="0.2">
      <c r="A3" s="228"/>
      <c r="B3" s="229"/>
      <c r="C3" s="199"/>
      <c r="D3" s="199"/>
      <c r="E3" s="199"/>
      <c r="F3" s="199"/>
      <c r="G3" s="199"/>
      <c r="H3" s="199" t="s">
        <v>344</v>
      </c>
      <c r="I3" s="776" t="str">
        <f>'Compos DER'!I3</f>
        <v>23,32</v>
      </c>
    </row>
    <row r="4" spans="1:13" x14ac:dyDescent="0.2">
      <c r="A4" s="228"/>
      <c r="B4" s="229"/>
      <c r="C4" s="199"/>
      <c r="D4" s="199"/>
      <c r="E4" s="199"/>
      <c r="F4" s="199"/>
      <c r="G4" s="199"/>
      <c r="H4" s="199"/>
      <c r="I4" s="736">
        <f>'Compos DER'!I4</f>
        <v>0.23319999999999999</v>
      </c>
    </row>
    <row r="5" spans="1:13" x14ac:dyDescent="0.2">
      <c r="A5" s="1116" t="str">
        <f>$A$1</f>
        <v>COMPOSIÇÃO DE CUSTOS UNITÁRIOS</v>
      </c>
      <c r="B5" s="1116"/>
      <c r="C5" s="1116"/>
      <c r="D5" s="1116"/>
      <c r="E5" s="1116"/>
      <c r="F5" s="1116"/>
      <c r="G5" s="1116"/>
      <c r="H5" s="1116"/>
      <c r="I5" s="1116"/>
    </row>
    <row r="6" spans="1:13" x14ac:dyDescent="0.2">
      <c r="A6" s="228" t="str">
        <f>$A$2</f>
        <v>Tabela Referencial de Preços - DER-ES - sem desoneração</v>
      </c>
      <c r="B6" s="229"/>
      <c r="C6" s="199"/>
      <c r="D6" s="199"/>
      <c r="E6" s="199"/>
      <c r="F6" s="199"/>
      <c r="G6" s="199"/>
      <c r="H6" s="199"/>
      <c r="I6" s="414" t="str">
        <f>$I$2</f>
        <v>Data Base: novembro/2020</v>
      </c>
    </row>
    <row r="7" spans="1:13" ht="14.25" customHeight="1" x14ac:dyDescent="0.2">
      <c r="A7" s="1117" t="str">
        <f>+CONCATENATE("Serviço: ",J7," ",L7)</f>
        <v>Serviço: PR-001 Administração local</v>
      </c>
      <c r="B7" s="1117"/>
      <c r="C7" s="1117"/>
      <c r="D7" s="1117"/>
      <c r="E7" s="1117"/>
      <c r="F7" s="1117"/>
      <c r="G7" s="1117"/>
      <c r="H7" s="1117"/>
      <c r="I7" s="1119" t="str">
        <f>CONCATENATE("Unidade: ", M7)</f>
        <v>Unidade: vb</v>
      </c>
      <c r="J7" s="360" t="s">
        <v>659</v>
      </c>
      <c r="K7" s="780">
        <f>VLOOKUP("Preço Unitário Total",F8:I43,4,FALSE)</f>
        <v>13742.85</v>
      </c>
      <c r="L7" s="606" t="s">
        <v>292</v>
      </c>
      <c r="M7" s="606" t="s">
        <v>389</v>
      </c>
    </row>
    <row r="8" spans="1:13" x14ac:dyDescent="0.2">
      <c r="A8" s="1118"/>
      <c r="B8" s="1118"/>
      <c r="C8" s="1118"/>
      <c r="D8" s="1118"/>
      <c r="E8" s="1118"/>
      <c r="F8" s="1118"/>
      <c r="G8" s="1118"/>
      <c r="H8" s="1118"/>
      <c r="I8" s="1120"/>
    </row>
    <row r="9" spans="1:13" ht="22.5" x14ac:dyDescent="0.2">
      <c r="A9" s="231" t="s">
        <v>177</v>
      </c>
      <c r="B9" s="232" t="s">
        <v>59</v>
      </c>
      <c r="C9" s="232" t="s">
        <v>178</v>
      </c>
      <c r="D9" s="232" t="s">
        <v>179</v>
      </c>
      <c r="E9" s="232" t="s">
        <v>180</v>
      </c>
      <c r="F9" s="232" t="s">
        <v>181</v>
      </c>
      <c r="G9" s="232" t="s">
        <v>182</v>
      </c>
      <c r="H9" s="232" t="s">
        <v>89</v>
      </c>
      <c r="I9" s="434" t="s">
        <v>183</v>
      </c>
    </row>
    <row r="10" spans="1:13" x14ac:dyDescent="0.2">
      <c r="A10" s="233"/>
      <c r="B10" s="234"/>
      <c r="C10" s="235"/>
      <c r="D10" s="236"/>
      <c r="E10" s="203"/>
      <c r="F10" s="237"/>
      <c r="G10" s="237"/>
      <c r="H10" s="238"/>
      <c r="I10" s="418"/>
    </row>
    <row r="11" spans="1:13" x14ac:dyDescent="0.2">
      <c r="A11" s="199"/>
      <c r="B11" s="229"/>
      <c r="C11" s="229"/>
      <c r="D11" s="199"/>
      <c r="E11" s="199"/>
      <c r="F11" s="230" t="s">
        <v>184</v>
      </c>
      <c r="G11" s="240"/>
      <c r="H11" s="241"/>
      <c r="I11" s="438">
        <f>SUM(I10:I10)</f>
        <v>0</v>
      </c>
    </row>
    <row r="12" spans="1:13" x14ac:dyDescent="0.2">
      <c r="A12" s="199"/>
      <c r="B12" s="229"/>
      <c r="C12" s="229"/>
      <c r="D12" s="199"/>
      <c r="E12" s="199"/>
      <c r="F12" s="199"/>
      <c r="G12" s="199"/>
      <c r="H12" s="199"/>
      <c r="I12" s="439"/>
    </row>
    <row r="13" spans="1:13" x14ac:dyDescent="0.2">
      <c r="A13" s="242" t="s">
        <v>185</v>
      </c>
      <c r="B13" s="243" t="s">
        <v>59</v>
      </c>
      <c r="C13" s="232" t="s">
        <v>186</v>
      </c>
      <c r="D13" s="243" t="s">
        <v>187</v>
      </c>
      <c r="E13" s="1111" t="s">
        <v>89</v>
      </c>
      <c r="F13" s="1112"/>
      <c r="G13" s="1113"/>
      <c r="H13" s="1121" t="s">
        <v>183</v>
      </c>
      <c r="I13" s="1115"/>
    </row>
    <row r="14" spans="1:13" x14ac:dyDescent="0.2">
      <c r="A14" s="244" t="str">
        <f>VLOOKUP(B14,m.o.!$A:$H,2,FALSE)</f>
        <v>Engenheiro junior</v>
      </c>
      <c r="B14" s="234">
        <v>20070</v>
      </c>
      <c r="C14" s="239" t="str">
        <f>VLOOKUP(B14,m.o.!$A:$F,3,FALSE)</f>
        <v>Mes</v>
      </c>
      <c r="D14" s="239">
        <f>VLOOKUP(B14,m.o.!$A:$G,7,FALSE)</f>
        <v>16347.35</v>
      </c>
      <c r="E14" s="255"/>
      <c r="F14" s="253"/>
      <c r="G14" s="293">
        <v>0.5</v>
      </c>
      <c r="H14" s="240"/>
      <c r="I14" s="427">
        <f>ROUND(D14*G14,2)</f>
        <v>8173.68</v>
      </c>
    </row>
    <row r="15" spans="1:13" x14ac:dyDescent="0.2">
      <c r="A15" s="244" t="str">
        <f>VLOOKUP(B15,m.o.!$A:$H,2,FALSE)</f>
        <v>Vigia</v>
      </c>
      <c r="B15" s="234">
        <v>20019</v>
      </c>
      <c r="C15" s="239" t="str">
        <f>VLOOKUP(B15,m.o.!$A:$F,3,FALSE)</f>
        <v>h</v>
      </c>
      <c r="D15" s="239">
        <f>VLOOKUP(B15,m.o.!$A:$G,7,FALSE)</f>
        <v>12.52</v>
      </c>
      <c r="E15" s="255"/>
      <c r="F15" s="253"/>
      <c r="G15" s="293">
        <v>220</v>
      </c>
      <c r="H15" s="240"/>
      <c r="I15" s="427">
        <f>ROUND(D15*G15,2)</f>
        <v>2754.4</v>
      </c>
    </row>
    <row r="16" spans="1:13" x14ac:dyDescent="0.2">
      <c r="A16" s="244" t="str">
        <f>VLOOKUP(B16,m.o.!$A:$H,2,FALSE)</f>
        <v>Técnico de nível médio</v>
      </c>
      <c r="B16" s="234">
        <v>20008</v>
      </c>
      <c r="C16" s="239" t="str">
        <f>VLOOKUP(B16,m.o.!$A:$F,3,FALSE)</f>
        <v>Mes</v>
      </c>
      <c r="D16" s="239">
        <f>VLOOKUP(B16,m.o.!$A:$G,7,FALSE)</f>
        <v>4926.99</v>
      </c>
      <c r="E16" s="255"/>
      <c r="F16" s="253"/>
      <c r="G16" s="293">
        <v>1</v>
      </c>
      <c r="H16" s="240"/>
      <c r="I16" s="427">
        <f>ROUND(D16*G16,2)</f>
        <v>4926.99</v>
      </c>
    </row>
    <row r="17" spans="1:14" x14ac:dyDescent="0.2">
      <c r="A17" s="199"/>
      <c r="B17" s="229"/>
      <c r="C17" s="229"/>
      <c r="D17" s="199"/>
      <c r="E17" s="199"/>
      <c r="F17" s="230" t="s">
        <v>188</v>
      </c>
      <c r="G17" s="240"/>
      <c r="H17" s="241"/>
      <c r="I17" s="438">
        <f>SUM(I14:I16)</f>
        <v>15855.07</v>
      </c>
      <c r="J17" s="359"/>
      <c r="K17" s="781"/>
    </row>
    <row r="18" spans="1:14" x14ac:dyDescent="0.2">
      <c r="A18" s="199"/>
      <c r="B18" s="229"/>
      <c r="C18" s="229"/>
      <c r="D18" s="199"/>
      <c r="E18" s="199"/>
      <c r="F18" s="199"/>
      <c r="G18" s="199"/>
      <c r="H18" s="199"/>
      <c r="I18" s="439"/>
    </row>
    <row r="19" spans="1:14" x14ac:dyDescent="0.2">
      <c r="A19" s="245" t="s">
        <v>189</v>
      </c>
      <c r="B19" s="243" t="s">
        <v>59</v>
      </c>
      <c r="C19" s="608" t="s">
        <v>17</v>
      </c>
      <c r="D19" s="243" t="s">
        <v>190</v>
      </c>
      <c r="E19" s="243" t="s">
        <v>191</v>
      </c>
      <c r="F19" s="243" t="s">
        <v>192</v>
      </c>
      <c r="G19" s="1121" t="s">
        <v>94</v>
      </c>
      <c r="H19" s="1114"/>
      <c r="I19" s="1115"/>
    </row>
    <row r="20" spans="1:14" x14ac:dyDescent="0.2">
      <c r="A20" s="244"/>
      <c r="B20" s="234"/>
      <c r="C20" s="239"/>
      <c r="D20" s="235"/>
      <c r="E20" s="246"/>
      <c r="F20" s="246"/>
      <c r="G20" s="240"/>
      <c r="H20" s="241"/>
      <c r="I20" s="427"/>
    </row>
    <row r="21" spans="1:14" x14ac:dyDescent="0.2">
      <c r="A21" s="199"/>
      <c r="B21" s="229"/>
      <c r="C21" s="199"/>
      <c r="D21" s="199"/>
      <c r="E21" s="199"/>
      <c r="F21" s="230" t="s">
        <v>327</v>
      </c>
      <c r="G21" s="240"/>
      <c r="H21" s="241"/>
      <c r="I21" s="438">
        <f>SUM(I20)</f>
        <v>0</v>
      </c>
    </row>
    <row r="22" spans="1:14" x14ac:dyDescent="0.2">
      <c r="A22" s="199"/>
      <c r="B22" s="229"/>
      <c r="C22" s="199"/>
      <c r="D22" s="199"/>
      <c r="E22" s="199"/>
      <c r="F22" s="199"/>
      <c r="G22" s="199"/>
      <c r="H22" s="199"/>
      <c r="I22" s="439"/>
    </row>
    <row r="23" spans="1:14" x14ac:dyDescent="0.2">
      <c r="A23" s="247"/>
      <c r="B23" s="248"/>
      <c r="C23" s="249"/>
      <c r="D23" s="249"/>
      <c r="E23" s="249"/>
      <c r="F23" s="250" t="s">
        <v>193</v>
      </c>
      <c r="G23" s="401"/>
      <c r="H23" s="249"/>
      <c r="I23" s="445">
        <f>+I11+I17+I21</f>
        <v>15855.07</v>
      </c>
    </row>
    <row r="24" spans="1:14" x14ac:dyDescent="0.2">
      <c r="A24" s="251"/>
      <c r="B24" s="252"/>
      <c r="C24" s="253"/>
      <c r="D24" s="253"/>
      <c r="E24" s="253"/>
      <c r="F24" s="254" t="s">
        <v>194</v>
      </c>
      <c r="G24" s="255"/>
      <c r="H24" s="253"/>
      <c r="I24" s="446">
        <v>1.8</v>
      </c>
      <c r="J24" s="363"/>
      <c r="K24" s="782"/>
    </row>
    <row r="25" spans="1:14" x14ac:dyDescent="0.2">
      <c r="A25" s="233"/>
      <c r="B25" s="256"/>
      <c r="C25" s="241"/>
      <c r="D25" s="241"/>
      <c r="E25" s="241"/>
      <c r="F25" s="257" t="s">
        <v>216</v>
      </c>
      <c r="G25" s="240"/>
      <c r="H25" s="241"/>
      <c r="I25" s="447">
        <f>ROUND(I23/I24,2)</f>
        <v>8808.3700000000008</v>
      </c>
    </row>
    <row r="26" spans="1:14" x14ac:dyDescent="0.2">
      <c r="A26" s="609"/>
      <c r="B26" s="229"/>
      <c r="C26" s="199"/>
      <c r="D26" s="199"/>
      <c r="E26" s="199"/>
      <c r="F26" s="258"/>
      <c r="G26" s="199"/>
      <c r="H26" s="199"/>
      <c r="I26" s="450"/>
    </row>
    <row r="27" spans="1:14" x14ac:dyDescent="0.2">
      <c r="A27" s="242" t="s">
        <v>195</v>
      </c>
      <c r="B27" s="243" t="s">
        <v>59</v>
      </c>
      <c r="C27" s="243" t="s">
        <v>196</v>
      </c>
      <c r="D27" s="243" t="s">
        <v>217</v>
      </c>
      <c r="E27" s="1121" t="s">
        <v>89</v>
      </c>
      <c r="F27" s="1114"/>
      <c r="G27" s="1115"/>
      <c r="H27" s="1121" t="s">
        <v>183</v>
      </c>
      <c r="I27" s="1115"/>
    </row>
    <row r="28" spans="1:14" ht="22.5" x14ac:dyDescent="0.2">
      <c r="A28" s="244" t="str">
        <f>VLOOKUP(B28,mat.!$A:$D,2,FALSE)</f>
        <v>Aluguel mensal de mobiliário - escritório (nº ocupantes x mês)</v>
      </c>
      <c r="B28" s="234">
        <v>10582</v>
      </c>
      <c r="C28" s="234" t="str">
        <f>VLOOKUP(B28,mat.!$A:$D,3,FALSE)</f>
        <v>Nxmês</v>
      </c>
      <c r="D28" s="239">
        <f>VLOOKUP(B28,mat.!$A:$D,4,FALSE)</f>
        <v>460.06</v>
      </c>
      <c r="E28" s="240"/>
      <c r="F28" s="241"/>
      <c r="G28" s="409">
        <v>1</v>
      </c>
      <c r="H28" s="240"/>
      <c r="I28" s="423">
        <f>ROUND(D28*G28,2)</f>
        <v>460.06</v>
      </c>
      <c r="J28" s="361"/>
    </row>
    <row r="29" spans="1:14" ht="56.25" x14ac:dyDescent="0.2">
      <c r="A29" s="244" t="str">
        <f>VLOOKUP(B29,mat.!$A:$D,2,FALSE)</f>
        <v>Aluguel computador com : Processador 2,80 GHz , Memória RAM 4,00 GB, Sistema Operacional 32 Bits, Windows com Pacote Office</v>
      </c>
      <c r="B29" s="234">
        <v>10591</v>
      </c>
      <c r="C29" s="234" t="str">
        <f>VLOOKUP(B29,mat.!$A:$D,3,FALSE)</f>
        <v>Mes</v>
      </c>
      <c r="D29" s="239">
        <f>VLOOKUP(B29,mat.!$A:$D,4,FALSE)</f>
        <v>274.19</v>
      </c>
      <c r="E29" s="240"/>
      <c r="F29" s="241"/>
      <c r="G29" s="409">
        <v>1</v>
      </c>
      <c r="H29" s="240"/>
      <c r="I29" s="423">
        <f>ROUND(D29*G29,2)</f>
        <v>274.19</v>
      </c>
    </row>
    <row r="30" spans="1:14" x14ac:dyDescent="0.2">
      <c r="A30" s="199"/>
      <c r="B30" s="229"/>
      <c r="C30" s="199"/>
      <c r="D30" s="199"/>
      <c r="E30" s="199"/>
      <c r="F30" s="230" t="s">
        <v>197</v>
      </c>
      <c r="G30" s="240"/>
      <c r="H30" s="241"/>
      <c r="I30" s="438">
        <f>SUM(I28:I29)</f>
        <v>734.25</v>
      </c>
    </row>
    <row r="31" spans="1:14" x14ac:dyDescent="0.2">
      <c r="A31" s="199"/>
      <c r="B31" s="229"/>
      <c r="C31" s="199"/>
      <c r="D31" s="199"/>
      <c r="E31" s="199"/>
      <c r="F31" s="199"/>
      <c r="G31" s="262"/>
      <c r="H31" s="199"/>
      <c r="I31" s="439"/>
    </row>
    <row r="32" spans="1:14" x14ac:dyDescent="0.2">
      <c r="A32" s="263" t="s">
        <v>198</v>
      </c>
      <c r="B32" s="243" t="s">
        <v>59</v>
      </c>
      <c r="C32" s="243" t="s">
        <v>196</v>
      </c>
      <c r="D32" s="608" t="s">
        <v>217</v>
      </c>
      <c r="E32" s="1111" t="s">
        <v>89</v>
      </c>
      <c r="F32" s="1112"/>
      <c r="G32" s="1113"/>
      <c r="H32" s="1121" t="s">
        <v>63</v>
      </c>
      <c r="I32" s="1115"/>
      <c r="N32" s="362"/>
    </row>
    <row r="33" spans="1:14" ht="22.5" x14ac:dyDescent="0.2">
      <c r="A33" s="244" t="s">
        <v>351</v>
      </c>
      <c r="B33" s="234">
        <v>42878</v>
      </c>
      <c r="C33" s="234" t="str">
        <f>VLOOKUP(B33,'DER 11-20'!$A:$E,3,FALSE)</f>
        <v>Mes</v>
      </c>
      <c r="D33" s="239">
        <f>ROUND(VLOOKUP(B33,'DER 11-20'!$A:$F,6,FALSE)/1.2332,2)</f>
        <v>4003.59</v>
      </c>
      <c r="E33" s="240"/>
      <c r="F33" s="241"/>
      <c r="G33" s="409">
        <v>0.4</v>
      </c>
      <c r="H33" s="240"/>
      <c r="I33" s="423">
        <f>ROUND(D33*G33,2)</f>
        <v>1601.44</v>
      </c>
      <c r="J33" s="361"/>
    </row>
    <row r="34" spans="1:14" x14ac:dyDescent="0.2">
      <c r="A34" s="244"/>
      <c r="B34" s="234"/>
      <c r="C34" s="234"/>
      <c r="D34" s="239"/>
      <c r="E34" s="607"/>
      <c r="F34" s="608"/>
      <c r="G34" s="293"/>
      <c r="H34" s="296"/>
      <c r="I34" s="423"/>
      <c r="N34" s="362"/>
    </row>
    <row r="35" spans="1:14" x14ac:dyDescent="0.2">
      <c r="A35" s="200"/>
      <c r="B35" s="264"/>
      <c r="C35" s="200"/>
      <c r="D35" s="200"/>
      <c r="E35" s="200"/>
      <c r="F35" s="265" t="s">
        <v>199</v>
      </c>
      <c r="G35" s="255"/>
      <c r="H35" s="266"/>
      <c r="I35" s="441">
        <f>I33+I34</f>
        <v>1601.44</v>
      </c>
    </row>
    <row r="36" spans="1:14" x14ac:dyDescent="0.2">
      <c r="A36" s="200"/>
      <c r="B36" s="264"/>
      <c r="C36" s="200"/>
      <c r="D36" s="200"/>
      <c r="E36" s="200"/>
      <c r="F36" s="200"/>
      <c r="G36" s="200"/>
      <c r="H36" s="200"/>
      <c r="I36" s="440"/>
    </row>
    <row r="37" spans="1:14" x14ac:dyDescent="0.2">
      <c r="A37" s="267" t="s">
        <v>200</v>
      </c>
      <c r="B37" s="268" t="s">
        <v>59</v>
      </c>
      <c r="C37" s="268" t="s">
        <v>196</v>
      </c>
      <c r="D37" s="268" t="s">
        <v>201</v>
      </c>
      <c r="E37" s="268" t="s">
        <v>202</v>
      </c>
      <c r="F37" s="268" t="s">
        <v>203</v>
      </c>
      <c r="G37" s="268" t="s">
        <v>94</v>
      </c>
      <c r="H37" s="268" t="s">
        <v>89</v>
      </c>
      <c r="I37" s="442" t="s">
        <v>204</v>
      </c>
    </row>
    <row r="38" spans="1:14" x14ac:dyDescent="0.2">
      <c r="A38" s="244"/>
      <c r="B38" s="234"/>
      <c r="C38" s="234"/>
      <c r="D38" s="269"/>
      <c r="E38" s="270"/>
      <c r="F38" s="270"/>
      <c r="G38" s="239"/>
      <c r="H38" s="271"/>
      <c r="I38" s="418"/>
    </row>
    <row r="39" spans="1:14" x14ac:dyDescent="0.2">
      <c r="A39" s="200"/>
      <c r="B39" s="264"/>
      <c r="C39" s="200"/>
      <c r="D39" s="200"/>
      <c r="E39" s="200"/>
      <c r="F39" s="265" t="s">
        <v>205</v>
      </c>
      <c r="G39" s="240"/>
      <c r="H39" s="272"/>
      <c r="I39" s="443">
        <f>SUM(I38:I38)</f>
        <v>0</v>
      </c>
    </row>
    <row r="40" spans="1:14" x14ac:dyDescent="0.2">
      <c r="A40" s="200"/>
      <c r="B40" s="264"/>
      <c r="C40" s="200"/>
      <c r="D40" s="200"/>
      <c r="E40" s="200"/>
      <c r="F40" s="200"/>
      <c r="G40" s="200"/>
      <c r="H40" s="200"/>
      <c r="I40" s="444"/>
    </row>
    <row r="41" spans="1:14" x14ac:dyDescent="0.2">
      <c r="A41" s="273"/>
      <c r="B41" s="274"/>
      <c r="C41" s="275"/>
      <c r="D41" s="275"/>
      <c r="E41" s="275"/>
      <c r="F41" s="276" t="s">
        <v>206</v>
      </c>
      <c r="G41" s="273"/>
      <c r="H41" s="249"/>
      <c r="I41" s="445">
        <f>+I25+I30+I35+I39</f>
        <v>11144.06</v>
      </c>
    </row>
    <row r="42" spans="1:14" x14ac:dyDescent="0.2">
      <c r="A42" s="255"/>
      <c r="B42" s="277"/>
      <c r="C42" s="266"/>
      <c r="D42" s="266"/>
      <c r="E42" s="266"/>
      <c r="F42" s="278" t="str">
        <f>CONCATENATE($H$3," ",$I$3)</f>
        <v>BDI: 23,32</v>
      </c>
      <c r="G42" s="403"/>
      <c r="H42" s="253"/>
      <c r="I42" s="446">
        <f>+ROUND(I41*$I$4,2)</f>
        <v>2598.79</v>
      </c>
    </row>
    <row r="43" spans="1:14" x14ac:dyDescent="0.2">
      <c r="A43" s="240"/>
      <c r="B43" s="279"/>
      <c r="C43" s="272"/>
      <c r="D43" s="272"/>
      <c r="E43" s="272"/>
      <c r="F43" s="280" t="s">
        <v>207</v>
      </c>
      <c r="G43" s="404"/>
      <c r="H43" s="241"/>
      <c r="I43" s="720">
        <f>+I41+I42</f>
        <v>13742.85</v>
      </c>
      <c r="J43" s="364"/>
    </row>
    <row r="44" spans="1:14" x14ac:dyDescent="0.2">
      <c r="A44" s="1116" t="s">
        <v>213</v>
      </c>
      <c r="B44" s="1116"/>
      <c r="C44" s="1116"/>
      <c r="D44" s="1116"/>
      <c r="E44" s="1116"/>
      <c r="F44" s="1116"/>
      <c r="G44" s="1116"/>
      <c r="H44" s="1116"/>
      <c r="I44" s="1116"/>
    </row>
    <row r="45" spans="1:14" x14ac:dyDescent="0.2">
      <c r="A45" s="228" t="str">
        <f>$A$2</f>
        <v>Tabela Referencial de Preços - DER-ES - sem desoneração</v>
      </c>
      <c r="B45" s="229"/>
      <c r="C45" s="199"/>
      <c r="D45" s="199"/>
      <c r="E45" s="199"/>
      <c r="F45" s="199"/>
      <c r="G45" s="199"/>
      <c r="H45" s="199"/>
      <c r="I45" s="414" t="str">
        <f>$I$2</f>
        <v>Data Base: novembro/2020</v>
      </c>
    </row>
    <row r="46" spans="1:14" ht="14.25" customHeight="1" x14ac:dyDescent="0.2">
      <c r="A46" s="1117" t="str">
        <f>+CONCATENATE("Serviço: ",J46," ",L46)</f>
        <v>Serviço: PR-002 Equipe de Topografia</v>
      </c>
      <c r="B46" s="1117"/>
      <c r="C46" s="1117"/>
      <c r="D46" s="1117"/>
      <c r="E46" s="1117"/>
      <c r="F46" s="1117"/>
      <c r="G46" s="1117"/>
      <c r="H46" s="1117"/>
      <c r="I46" s="1119" t="str">
        <f>CONCATENATE("Unidade: ", M46)</f>
        <v>Unidade: mês</v>
      </c>
      <c r="J46" s="360" t="s">
        <v>660</v>
      </c>
      <c r="K46" s="780">
        <f>VLOOKUP("Preço Unitário Total",F47:I81,4,FALSE)</f>
        <v>6456.32</v>
      </c>
      <c r="L46" s="606" t="s">
        <v>325</v>
      </c>
      <c r="M46" s="393" t="s">
        <v>143</v>
      </c>
    </row>
    <row r="47" spans="1:14" x14ac:dyDescent="0.2">
      <c r="A47" s="1118"/>
      <c r="B47" s="1118"/>
      <c r="C47" s="1118"/>
      <c r="D47" s="1118"/>
      <c r="E47" s="1118"/>
      <c r="F47" s="1118"/>
      <c r="G47" s="1118"/>
      <c r="H47" s="1118"/>
      <c r="I47" s="1120"/>
    </row>
    <row r="48" spans="1:14" ht="22.5" x14ac:dyDescent="0.2">
      <c r="A48" s="231" t="s">
        <v>177</v>
      </c>
      <c r="B48" s="232" t="s">
        <v>59</v>
      </c>
      <c r="C48" s="232" t="s">
        <v>178</v>
      </c>
      <c r="D48" s="232" t="s">
        <v>179</v>
      </c>
      <c r="E48" s="232" t="s">
        <v>180</v>
      </c>
      <c r="F48" s="232" t="s">
        <v>181</v>
      </c>
      <c r="G48" s="232" t="s">
        <v>182</v>
      </c>
      <c r="H48" s="232" t="s">
        <v>89</v>
      </c>
      <c r="I48" s="434" t="s">
        <v>183</v>
      </c>
    </row>
    <row r="49" spans="1:9" x14ac:dyDescent="0.2">
      <c r="A49" s="233"/>
      <c r="B49" s="234"/>
      <c r="C49" s="235"/>
      <c r="D49" s="236"/>
      <c r="E49" s="203"/>
      <c r="F49" s="237"/>
      <c r="G49" s="237"/>
      <c r="H49" s="238"/>
      <c r="I49" s="418"/>
    </row>
    <row r="50" spans="1:9" x14ac:dyDescent="0.2">
      <c r="A50" s="199"/>
      <c r="B50" s="229"/>
      <c r="C50" s="229"/>
      <c r="D50" s="199"/>
      <c r="E50" s="199"/>
      <c r="F50" s="230" t="s">
        <v>184</v>
      </c>
      <c r="G50" s="240"/>
      <c r="H50" s="241"/>
      <c r="I50" s="438">
        <f>SUM(I49:I49)</f>
        <v>0</v>
      </c>
    </row>
    <row r="51" spans="1:9" x14ac:dyDescent="0.2">
      <c r="A51" s="199"/>
      <c r="B51" s="229"/>
      <c r="C51" s="229"/>
      <c r="D51" s="199"/>
      <c r="E51" s="199"/>
      <c r="F51" s="199"/>
      <c r="G51" s="199"/>
      <c r="H51" s="199"/>
      <c r="I51" s="439"/>
    </row>
    <row r="52" spans="1:9" x14ac:dyDescent="0.2">
      <c r="A52" s="242" t="s">
        <v>185</v>
      </c>
      <c r="B52" s="243" t="s">
        <v>59</v>
      </c>
      <c r="C52" s="232" t="s">
        <v>186</v>
      </c>
      <c r="D52" s="243" t="s">
        <v>187</v>
      </c>
      <c r="E52" s="1111" t="s">
        <v>89</v>
      </c>
      <c r="F52" s="1112"/>
      <c r="G52" s="1113"/>
      <c r="H52" s="1121" t="s">
        <v>183</v>
      </c>
      <c r="I52" s="1115"/>
    </row>
    <row r="53" spans="1:9" x14ac:dyDescent="0.2">
      <c r="A53" s="244" t="str">
        <f>VLOOKUP(B53,m.o.!$A:$H,2,FALSE)</f>
        <v>Auxiliar de topografia</v>
      </c>
      <c r="B53" s="234">
        <v>20029</v>
      </c>
      <c r="C53" s="239" t="str">
        <f>VLOOKUP(B53,m.o.!$A:$F,3,FALSE)</f>
        <v>Mes</v>
      </c>
      <c r="D53" s="239">
        <f>VLOOKUP(B53,m.o.!$A:$G,7,FALSE)</f>
        <v>2310.89</v>
      </c>
      <c r="E53" s="255"/>
      <c r="F53" s="253"/>
      <c r="G53" s="293">
        <v>1</v>
      </c>
      <c r="H53" s="240"/>
      <c r="I53" s="427">
        <f>ROUND(D53*G53,2)</f>
        <v>2310.89</v>
      </c>
    </row>
    <row r="54" spans="1:9" x14ac:dyDescent="0.2">
      <c r="A54" s="244" t="str">
        <f>VLOOKUP(B54,m.o.!$A:$H,2,FALSE)</f>
        <v>Topógrafo chefe</v>
      </c>
      <c r="B54" s="234">
        <v>20016</v>
      </c>
      <c r="C54" s="239" t="str">
        <f>VLOOKUP(B54,m.o.!$A:$F,3,FALSE)</f>
        <v>Mes</v>
      </c>
      <c r="D54" s="239">
        <f>VLOOKUP(B54,m.o.!$A:$G,7,FALSE)</f>
        <v>11206.74</v>
      </c>
      <c r="E54" s="255"/>
      <c r="F54" s="253"/>
      <c r="G54" s="293">
        <v>1</v>
      </c>
      <c r="H54" s="240"/>
      <c r="I54" s="427">
        <f>ROUND(D54*G54,2)</f>
        <v>11206.74</v>
      </c>
    </row>
    <row r="55" spans="1:9" x14ac:dyDescent="0.2">
      <c r="A55" s="199"/>
      <c r="B55" s="229"/>
      <c r="C55" s="229"/>
      <c r="D55" s="199"/>
      <c r="E55" s="199"/>
      <c r="F55" s="230" t="s">
        <v>188</v>
      </c>
      <c r="G55" s="240"/>
      <c r="H55" s="241"/>
      <c r="I55" s="438">
        <f>SUM(I53:I54)</f>
        <v>13517.63</v>
      </c>
    </row>
    <row r="56" spans="1:9" x14ac:dyDescent="0.2">
      <c r="A56" s="199"/>
      <c r="B56" s="229"/>
      <c r="C56" s="229"/>
      <c r="D56" s="199"/>
      <c r="E56" s="199"/>
      <c r="F56" s="199"/>
      <c r="G56" s="199"/>
      <c r="H56" s="199"/>
      <c r="I56" s="439"/>
    </row>
    <row r="57" spans="1:9" x14ac:dyDescent="0.2">
      <c r="A57" s="245" t="s">
        <v>189</v>
      </c>
      <c r="B57" s="243" t="s">
        <v>59</v>
      </c>
      <c r="C57" s="608" t="s">
        <v>17</v>
      </c>
      <c r="D57" s="243" t="s">
        <v>190</v>
      </c>
      <c r="E57" s="243" t="s">
        <v>191</v>
      </c>
      <c r="F57" s="243" t="s">
        <v>192</v>
      </c>
      <c r="G57" s="1121" t="s">
        <v>94</v>
      </c>
      <c r="H57" s="1114"/>
      <c r="I57" s="1115"/>
    </row>
    <row r="58" spans="1:9" x14ac:dyDescent="0.2">
      <c r="A58" s="244"/>
      <c r="B58" s="234"/>
      <c r="C58" s="239"/>
      <c r="D58" s="235"/>
      <c r="E58" s="246"/>
      <c r="F58" s="246"/>
      <c r="G58" s="240"/>
      <c r="H58" s="241"/>
      <c r="I58" s="427"/>
    </row>
    <row r="59" spans="1:9" x14ac:dyDescent="0.2">
      <c r="A59" s="199"/>
      <c r="B59" s="229"/>
      <c r="C59" s="199"/>
      <c r="D59" s="199"/>
      <c r="E59" s="199"/>
      <c r="F59" s="230" t="s">
        <v>327</v>
      </c>
      <c r="G59" s="240"/>
      <c r="H59" s="241"/>
      <c r="I59" s="438">
        <f>SUM(I58)</f>
        <v>0</v>
      </c>
    </row>
    <row r="60" spans="1:9" x14ac:dyDescent="0.2">
      <c r="A60" s="199"/>
      <c r="B60" s="229"/>
      <c r="C60" s="199"/>
      <c r="D60" s="199"/>
      <c r="E60" s="199"/>
      <c r="F60" s="199"/>
      <c r="G60" s="199"/>
      <c r="H60" s="199"/>
      <c r="I60" s="439"/>
    </row>
    <row r="61" spans="1:9" x14ac:dyDescent="0.2">
      <c r="A61" s="247"/>
      <c r="B61" s="248"/>
      <c r="C61" s="249"/>
      <c r="D61" s="249"/>
      <c r="E61" s="249"/>
      <c r="F61" s="250" t="s">
        <v>193</v>
      </c>
      <c r="G61" s="401"/>
      <c r="H61" s="249"/>
      <c r="I61" s="445">
        <f>+I50+I55+I59</f>
        <v>13517.63</v>
      </c>
    </row>
    <row r="62" spans="1:9" x14ac:dyDescent="0.2">
      <c r="A62" s="251"/>
      <c r="B62" s="252"/>
      <c r="C62" s="253"/>
      <c r="D62" s="253"/>
      <c r="E62" s="253"/>
      <c r="F62" s="254" t="s">
        <v>194</v>
      </c>
      <c r="G62" s="255"/>
      <c r="H62" s="253"/>
      <c r="I62" s="446">
        <v>10</v>
      </c>
    </row>
    <row r="63" spans="1:9" x14ac:dyDescent="0.2">
      <c r="A63" s="233"/>
      <c r="B63" s="256"/>
      <c r="C63" s="241"/>
      <c r="D63" s="241"/>
      <c r="E63" s="241"/>
      <c r="F63" s="257" t="s">
        <v>216</v>
      </c>
      <c r="G63" s="240"/>
      <c r="H63" s="241"/>
      <c r="I63" s="447">
        <f>ROUND(I61/I62,2)</f>
        <v>1351.76</v>
      </c>
    </row>
    <row r="64" spans="1:9" x14ac:dyDescent="0.2">
      <c r="A64" s="609"/>
      <c r="B64" s="229"/>
      <c r="C64" s="199"/>
      <c r="D64" s="199"/>
      <c r="E64" s="199"/>
      <c r="F64" s="258"/>
      <c r="G64" s="199"/>
      <c r="H64" s="199"/>
      <c r="I64" s="450"/>
    </row>
    <row r="65" spans="1:14" x14ac:dyDescent="0.2">
      <c r="A65" s="242" t="s">
        <v>195</v>
      </c>
      <c r="B65" s="243" t="s">
        <v>59</v>
      </c>
      <c r="C65" s="243" t="s">
        <v>196</v>
      </c>
      <c r="D65" s="243" t="s">
        <v>217</v>
      </c>
      <c r="E65" s="1121" t="s">
        <v>89</v>
      </c>
      <c r="F65" s="1114"/>
      <c r="G65" s="1115"/>
      <c r="H65" s="1121" t="s">
        <v>63</v>
      </c>
      <c r="I65" s="1115"/>
    </row>
    <row r="66" spans="1:14" x14ac:dyDescent="0.2">
      <c r="A66" s="244" t="s">
        <v>352</v>
      </c>
      <c r="B66" s="234">
        <v>10425</v>
      </c>
      <c r="C66" s="234" t="s">
        <v>61</v>
      </c>
      <c r="D66" s="239">
        <v>159.44999999999999</v>
      </c>
      <c r="E66" s="240"/>
      <c r="F66" s="241"/>
      <c r="G66" s="409">
        <v>1</v>
      </c>
      <c r="H66" s="240"/>
      <c r="I66" s="423">
        <f>ROUND(D66*G66,2)</f>
        <v>159.44999999999999</v>
      </c>
      <c r="J66" s="361"/>
    </row>
    <row r="67" spans="1:14" x14ac:dyDescent="0.2">
      <c r="A67" s="244" t="s">
        <v>353</v>
      </c>
      <c r="B67" s="234">
        <v>10420</v>
      </c>
      <c r="C67" s="234" t="s">
        <v>61</v>
      </c>
      <c r="D67" s="418">
        <v>321.27</v>
      </c>
      <c r="E67" s="240"/>
      <c r="F67" s="241"/>
      <c r="G67" s="409">
        <v>1</v>
      </c>
      <c r="H67" s="240"/>
      <c r="I67" s="423">
        <f>ROUND(D67*G67,2)</f>
        <v>321.27</v>
      </c>
      <c r="J67" s="361"/>
      <c r="L67" s="359" t="s">
        <v>435</v>
      </c>
    </row>
    <row r="68" spans="1:14" x14ac:dyDescent="0.2">
      <c r="A68" s="199"/>
      <c r="B68" s="229"/>
      <c r="C68" s="199"/>
      <c r="D68" s="199"/>
      <c r="E68" s="199"/>
      <c r="F68" s="230" t="s">
        <v>197</v>
      </c>
      <c r="G68" s="240"/>
      <c r="H68" s="241"/>
      <c r="I68" s="438">
        <f>SUM(I66:I67)</f>
        <v>480.72</v>
      </c>
    </row>
    <row r="69" spans="1:14" x14ac:dyDescent="0.2">
      <c r="A69" s="199"/>
      <c r="B69" s="229"/>
      <c r="C69" s="199"/>
      <c r="D69" s="199"/>
      <c r="E69" s="199"/>
      <c r="F69" s="199"/>
      <c r="G69" s="262"/>
      <c r="H69" s="199"/>
      <c r="I69" s="439"/>
    </row>
    <row r="70" spans="1:14" x14ac:dyDescent="0.2">
      <c r="A70" s="263" t="s">
        <v>198</v>
      </c>
      <c r="B70" s="243" t="s">
        <v>59</v>
      </c>
      <c r="C70" s="243" t="s">
        <v>196</v>
      </c>
      <c r="D70" s="608" t="s">
        <v>217</v>
      </c>
      <c r="E70" s="1111" t="s">
        <v>89</v>
      </c>
      <c r="F70" s="1112"/>
      <c r="G70" s="1113"/>
      <c r="H70" s="1121" t="s">
        <v>63</v>
      </c>
      <c r="I70" s="1115"/>
      <c r="L70" s="22"/>
      <c r="M70" s="22"/>
      <c r="N70" s="22"/>
    </row>
    <row r="71" spans="1:14" ht="22.5" x14ac:dyDescent="0.2">
      <c r="A71" s="244" t="s">
        <v>351</v>
      </c>
      <c r="B71" s="234">
        <v>42888</v>
      </c>
      <c r="C71" s="234" t="str">
        <f>VLOOKUP(B71,'DER 11-20'!$A:$E,3,FALSE)</f>
        <v>Mes</v>
      </c>
      <c r="D71" s="239">
        <f>ROUND(VLOOKUP(B71,'DER 11-20'!$A:$F,6,FALSE)/1.2332,2)</f>
        <v>6805.87</v>
      </c>
      <c r="E71" s="240"/>
      <c r="F71" s="241"/>
      <c r="G71" s="409">
        <v>0.5</v>
      </c>
      <c r="H71" s="240"/>
      <c r="I71" s="423">
        <f>ROUND(D71*G71,2)</f>
        <v>3402.94</v>
      </c>
      <c r="J71" s="361"/>
    </row>
    <row r="72" spans="1:14" x14ac:dyDescent="0.2">
      <c r="A72" s="200"/>
      <c r="B72" s="264"/>
      <c r="C72" s="200"/>
      <c r="D72" s="200"/>
      <c r="E72" s="200"/>
      <c r="F72" s="265" t="s">
        <v>199</v>
      </c>
      <c r="G72" s="255"/>
      <c r="H72" s="266"/>
      <c r="I72" s="777">
        <f>SUM(I71:I71)</f>
        <v>3402.94</v>
      </c>
    </row>
    <row r="73" spans="1:14" x14ac:dyDescent="0.2">
      <c r="A73" s="200"/>
      <c r="B73" s="264"/>
      <c r="C73" s="200"/>
      <c r="D73" s="200"/>
      <c r="E73" s="200"/>
      <c r="F73" s="200"/>
      <c r="G73" s="200"/>
      <c r="H73" s="200"/>
      <c r="I73" s="440"/>
    </row>
    <row r="74" spans="1:14" x14ac:dyDescent="0.2">
      <c r="A74" s="267" t="s">
        <v>200</v>
      </c>
      <c r="B74" s="268" t="s">
        <v>59</v>
      </c>
      <c r="C74" s="268" t="s">
        <v>196</v>
      </c>
      <c r="D74" s="268" t="s">
        <v>201</v>
      </c>
      <c r="E74" s="268" t="s">
        <v>202</v>
      </c>
      <c r="F74" s="268" t="s">
        <v>203</v>
      </c>
      <c r="G74" s="268" t="s">
        <v>94</v>
      </c>
      <c r="H74" s="268" t="s">
        <v>89</v>
      </c>
      <c r="I74" s="442" t="s">
        <v>204</v>
      </c>
    </row>
    <row r="75" spans="1:14" x14ac:dyDescent="0.2">
      <c r="A75" s="244"/>
      <c r="B75" s="234"/>
      <c r="C75" s="234"/>
      <c r="D75" s="269"/>
      <c r="E75" s="270"/>
      <c r="F75" s="270"/>
      <c r="G75" s="239"/>
      <c r="H75" s="271"/>
      <c r="I75" s="418"/>
    </row>
    <row r="76" spans="1:14" x14ac:dyDescent="0.2">
      <c r="A76" s="200"/>
      <c r="B76" s="264"/>
      <c r="C76" s="200"/>
      <c r="D76" s="200"/>
      <c r="E76" s="200"/>
      <c r="F76" s="265" t="s">
        <v>205</v>
      </c>
      <c r="G76" s="240"/>
      <c r="H76" s="272"/>
      <c r="I76" s="443">
        <f>SUM(I75:I75)</f>
        <v>0</v>
      </c>
    </row>
    <row r="77" spans="1:14" x14ac:dyDescent="0.2">
      <c r="A77" s="200"/>
      <c r="B77" s="264"/>
      <c r="C77" s="200"/>
      <c r="D77" s="200"/>
      <c r="E77" s="200"/>
      <c r="F77" s="200"/>
      <c r="G77" s="200"/>
      <c r="H77" s="200"/>
      <c r="I77" s="444"/>
    </row>
    <row r="78" spans="1:14" x14ac:dyDescent="0.2">
      <c r="A78" s="273"/>
      <c r="B78" s="274"/>
      <c r="C78" s="275"/>
      <c r="D78" s="275"/>
      <c r="E78" s="275"/>
      <c r="F78" s="276" t="s">
        <v>206</v>
      </c>
      <c r="G78" s="273"/>
      <c r="H78" s="249"/>
      <c r="I78" s="445">
        <f>+I63+I68+I72+I76</f>
        <v>5235.42</v>
      </c>
    </row>
    <row r="79" spans="1:14" x14ac:dyDescent="0.2">
      <c r="A79" s="255"/>
      <c r="B79" s="277"/>
      <c r="C79" s="266"/>
      <c r="D79" s="266"/>
      <c r="E79" s="266"/>
      <c r="F79" s="278" t="str">
        <f>CONCATENATE($H$3," ",$I$3)</f>
        <v>BDI: 23,32</v>
      </c>
      <c r="G79" s="403"/>
      <c r="H79" s="253"/>
      <c r="I79" s="446">
        <f>+ROUND(I78*$I$4,2)</f>
        <v>1220.9000000000001</v>
      </c>
    </row>
    <row r="80" spans="1:14" x14ac:dyDescent="0.2">
      <c r="A80" s="240"/>
      <c r="B80" s="279"/>
      <c r="C80" s="272"/>
      <c r="D80" s="272"/>
      <c r="E80" s="272"/>
      <c r="F80" s="280" t="s">
        <v>207</v>
      </c>
      <c r="G80" s="404"/>
      <c r="H80" s="241"/>
      <c r="I80" s="720">
        <f>+I78+I79</f>
        <v>6456.32</v>
      </c>
    </row>
    <row r="81" spans="1:13" x14ac:dyDescent="0.2">
      <c r="A81" s="1116" t="s">
        <v>213</v>
      </c>
      <c r="B81" s="1116"/>
      <c r="C81" s="1116"/>
      <c r="D81" s="1116"/>
      <c r="E81" s="1116"/>
      <c r="F81" s="1116"/>
      <c r="G81" s="1116"/>
      <c r="H81" s="1116"/>
      <c r="I81" s="1116"/>
    </row>
    <row r="82" spans="1:13" x14ac:dyDescent="0.2">
      <c r="A82" s="228" t="str">
        <f>$A$2</f>
        <v>Tabela Referencial de Preços - DER-ES - sem desoneração</v>
      </c>
      <c r="B82" s="229"/>
      <c r="C82" s="199"/>
      <c r="D82" s="199"/>
      <c r="E82" s="199"/>
      <c r="F82" s="199"/>
      <c r="G82" s="199"/>
      <c r="H82" s="199"/>
      <c r="I82" s="414" t="str">
        <f>$I$2</f>
        <v>Data Base: novembro/2020</v>
      </c>
    </row>
    <row r="83" spans="1:13" ht="14.25" customHeight="1" x14ac:dyDescent="0.2">
      <c r="A83" s="1117" t="str">
        <f>+CONCATENATE("Serviço: ",J83," ",L83)</f>
        <v>Serviço: PR-003 Equipe de Laboratório</v>
      </c>
      <c r="B83" s="1117"/>
      <c r="C83" s="1117"/>
      <c r="D83" s="1117"/>
      <c r="E83" s="1117"/>
      <c r="F83" s="1117"/>
      <c r="G83" s="1117"/>
      <c r="H83" s="1117"/>
      <c r="I83" s="1119" t="str">
        <f>CONCATENATE("Unidade: ", M83)</f>
        <v>Unidade: mês</v>
      </c>
      <c r="J83" s="360" t="s">
        <v>661</v>
      </c>
      <c r="K83" s="780">
        <f>VLOOKUP("Preço Unitário Total",F84:I116,4,FALSE)</f>
        <v>8019.25</v>
      </c>
      <c r="L83" s="606" t="s">
        <v>326</v>
      </c>
      <c r="M83" s="393" t="s">
        <v>143</v>
      </c>
    </row>
    <row r="84" spans="1:13" x14ac:dyDescent="0.2">
      <c r="A84" s="1118"/>
      <c r="B84" s="1118"/>
      <c r="C84" s="1118"/>
      <c r="D84" s="1118"/>
      <c r="E84" s="1118"/>
      <c r="F84" s="1118"/>
      <c r="G84" s="1118"/>
      <c r="H84" s="1118"/>
      <c r="I84" s="1120"/>
    </row>
    <row r="85" spans="1:13" ht="22.5" x14ac:dyDescent="0.2">
      <c r="A85" s="231" t="s">
        <v>177</v>
      </c>
      <c r="B85" s="232" t="s">
        <v>59</v>
      </c>
      <c r="C85" s="232" t="s">
        <v>178</v>
      </c>
      <c r="D85" s="232" t="s">
        <v>179</v>
      </c>
      <c r="E85" s="232" t="s">
        <v>180</v>
      </c>
      <c r="F85" s="232" t="s">
        <v>181</v>
      </c>
      <c r="G85" s="232" t="s">
        <v>182</v>
      </c>
      <c r="H85" s="232" t="s">
        <v>89</v>
      </c>
      <c r="I85" s="434" t="s">
        <v>183</v>
      </c>
    </row>
    <row r="86" spans="1:13" x14ac:dyDescent="0.2">
      <c r="A86" s="233"/>
      <c r="B86" s="234"/>
      <c r="C86" s="235"/>
      <c r="D86" s="236"/>
      <c r="E86" s="203"/>
      <c r="F86" s="237"/>
      <c r="G86" s="237"/>
      <c r="H86" s="238"/>
      <c r="I86" s="418"/>
    </row>
    <row r="87" spans="1:13" x14ac:dyDescent="0.2">
      <c r="A87" s="199"/>
      <c r="B87" s="229"/>
      <c r="C87" s="229"/>
      <c r="D87" s="199"/>
      <c r="E87" s="199"/>
      <c r="F87" s="230" t="s">
        <v>184</v>
      </c>
      <c r="G87" s="240"/>
      <c r="H87" s="241"/>
      <c r="I87" s="438">
        <f>SUM(I86:I86)</f>
        <v>0</v>
      </c>
    </row>
    <row r="88" spans="1:13" x14ac:dyDescent="0.2">
      <c r="A88" s="199"/>
      <c r="B88" s="229"/>
      <c r="C88" s="229"/>
      <c r="D88" s="199"/>
      <c r="E88" s="199"/>
      <c r="F88" s="199"/>
      <c r="G88" s="199"/>
      <c r="H88" s="199"/>
      <c r="I88" s="439"/>
    </row>
    <row r="89" spans="1:13" x14ac:dyDescent="0.2">
      <c r="A89" s="242" t="s">
        <v>185</v>
      </c>
      <c r="B89" s="243" t="s">
        <v>59</v>
      </c>
      <c r="C89" s="232" t="s">
        <v>186</v>
      </c>
      <c r="D89" s="243" t="s">
        <v>187</v>
      </c>
      <c r="E89" s="1111" t="s">
        <v>89</v>
      </c>
      <c r="F89" s="1112"/>
      <c r="G89" s="1113"/>
      <c r="H89" s="1121" t="s">
        <v>183</v>
      </c>
      <c r="I89" s="1115"/>
    </row>
    <row r="90" spans="1:13" x14ac:dyDescent="0.2">
      <c r="A90" s="244" t="str">
        <f>VLOOKUP(B90,m.o.!$A:$H,2,FALSE)</f>
        <v>Auxiliar de laboratório</v>
      </c>
      <c r="B90" s="234">
        <v>20026</v>
      </c>
      <c r="C90" s="239" t="str">
        <f>VLOOKUP(B90,m.o.!$A:$F,3,FALSE)</f>
        <v>Mes</v>
      </c>
      <c r="D90" s="239">
        <f>VLOOKUP(B90,m.o.!$A:$G,7,FALSE)</f>
        <v>2710.76</v>
      </c>
      <c r="E90" s="255"/>
      <c r="F90" s="253"/>
      <c r="G90" s="293">
        <v>1</v>
      </c>
      <c r="H90" s="240"/>
      <c r="I90" s="427">
        <f>ROUND(D90*G90,2)</f>
        <v>2710.76</v>
      </c>
    </row>
    <row r="91" spans="1:13" x14ac:dyDescent="0.2">
      <c r="A91" s="244" t="str">
        <f>VLOOKUP(B91,m.o.!$A:$H,2,FALSE)</f>
        <v>Laboratorista chefe</v>
      </c>
      <c r="B91" s="234">
        <v>20091</v>
      </c>
      <c r="C91" s="239" t="str">
        <f>VLOOKUP(B91,m.o.!$A:$F,3,FALSE)</f>
        <v>Mes</v>
      </c>
      <c r="D91" s="239">
        <f>VLOOKUP(B91,m.o.!$A:$G,7,FALSE)</f>
        <v>10450.14</v>
      </c>
      <c r="E91" s="255"/>
      <c r="F91" s="253"/>
      <c r="G91" s="293">
        <v>1</v>
      </c>
      <c r="H91" s="240"/>
      <c r="I91" s="427">
        <f>ROUND(D91*G91,2)</f>
        <v>10450.14</v>
      </c>
    </row>
    <row r="92" spans="1:13" x14ac:dyDescent="0.2">
      <c r="A92" s="199"/>
      <c r="B92" s="229"/>
      <c r="C92" s="229"/>
      <c r="D92" s="199"/>
      <c r="E92" s="199"/>
      <c r="F92" s="230" t="s">
        <v>188</v>
      </c>
      <c r="G92" s="240"/>
      <c r="H92" s="241"/>
      <c r="I92" s="438">
        <f>SUM(I90:I91)</f>
        <v>13160.9</v>
      </c>
    </row>
    <row r="93" spans="1:13" x14ac:dyDescent="0.2">
      <c r="A93" s="199"/>
      <c r="B93" s="229"/>
      <c r="C93" s="229"/>
      <c r="D93" s="199"/>
      <c r="E93" s="199"/>
      <c r="F93" s="199"/>
      <c r="G93" s="199"/>
      <c r="H93" s="199"/>
      <c r="I93" s="439"/>
    </row>
    <row r="94" spans="1:13" x14ac:dyDescent="0.2">
      <c r="A94" s="245" t="s">
        <v>189</v>
      </c>
      <c r="B94" s="243" t="s">
        <v>59</v>
      </c>
      <c r="C94" s="608" t="s">
        <v>17</v>
      </c>
      <c r="D94" s="243" t="s">
        <v>190</v>
      </c>
      <c r="E94" s="243" t="s">
        <v>191</v>
      </c>
      <c r="F94" s="243" t="s">
        <v>192</v>
      </c>
      <c r="G94" s="1121" t="s">
        <v>94</v>
      </c>
      <c r="H94" s="1114"/>
      <c r="I94" s="1115"/>
    </row>
    <row r="95" spans="1:13" x14ac:dyDescent="0.2">
      <c r="A95" s="244"/>
      <c r="B95" s="234"/>
      <c r="C95" s="239"/>
      <c r="D95" s="235"/>
      <c r="E95" s="246"/>
      <c r="F95" s="246"/>
      <c r="G95" s="240"/>
      <c r="H95" s="241"/>
      <c r="I95" s="427"/>
    </row>
    <row r="96" spans="1:13" x14ac:dyDescent="0.2">
      <c r="A96" s="199"/>
      <c r="B96" s="229"/>
      <c r="C96" s="199"/>
      <c r="D96" s="199"/>
      <c r="E96" s="199"/>
      <c r="F96" s="230" t="s">
        <v>327</v>
      </c>
      <c r="G96" s="240"/>
      <c r="H96" s="241"/>
      <c r="I96" s="438">
        <f>SUM(I95)</f>
        <v>0</v>
      </c>
    </row>
    <row r="97" spans="1:14" x14ac:dyDescent="0.2">
      <c r="A97" s="199"/>
      <c r="B97" s="229"/>
      <c r="C97" s="199"/>
      <c r="D97" s="199"/>
      <c r="E97" s="199"/>
      <c r="F97" s="199"/>
      <c r="G97" s="199"/>
      <c r="H97" s="199"/>
      <c r="I97" s="439"/>
    </row>
    <row r="98" spans="1:14" x14ac:dyDescent="0.2">
      <c r="A98" s="247"/>
      <c r="B98" s="248"/>
      <c r="C98" s="249"/>
      <c r="D98" s="249"/>
      <c r="E98" s="249"/>
      <c r="F98" s="250" t="s">
        <v>193</v>
      </c>
      <c r="G98" s="401"/>
      <c r="H98" s="249"/>
      <c r="I98" s="445">
        <f>+I87+I92+I96</f>
        <v>13160.9</v>
      </c>
    </row>
    <row r="99" spans="1:14" x14ac:dyDescent="0.2">
      <c r="A99" s="251"/>
      <c r="B99" s="252"/>
      <c r="C99" s="253"/>
      <c r="D99" s="253"/>
      <c r="E99" s="253"/>
      <c r="F99" s="254" t="s">
        <v>194</v>
      </c>
      <c r="G99" s="255"/>
      <c r="H99" s="253"/>
      <c r="I99" s="446">
        <v>8</v>
      </c>
    </row>
    <row r="100" spans="1:14" x14ac:dyDescent="0.2">
      <c r="A100" s="233"/>
      <c r="B100" s="256"/>
      <c r="C100" s="241"/>
      <c r="D100" s="241"/>
      <c r="E100" s="241"/>
      <c r="F100" s="257" t="s">
        <v>216</v>
      </c>
      <c r="G100" s="240"/>
      <c r="H100" s="241"/>
      <c r="I100" s="447">
        <f>ROUND(I98/I99,2)</f>
        <v>1645.11</v>
      </c>
    </row>
    <row r="101" spans="1:14" x14ac:dyDescent="0.2">
      <c r="A101" s="609"/>
      <c r="B101" s="229"/>
      <c r="C101" s="199"/>
      <c r="D101" s="199"/>
      <c r="E101" s="199"/>
      <c r="F101" s="258"/>
      <c r="G101" s="199"/>
      <c r="H101" s="199"/>
      <c r="I101" s="450"/>
    </row>
    <row r="102" spans="1:14" x14ac:dyDescent="0.2">
      <c r="A102" s="242" t="s">
        <v>195</v>
      </c>
      <c r="B102" s="243" t="s">
        <v>59</v>
      </c>
      <c r="C102" s="243" t="s">
        <v>196</v>
      </c>
      <c r="D102" s="243" t="s">
        <v>217</v>
      </c>
      <c r="E102" s="1121" t="s">
        <v>89</v>
      </c>
      <c r="F102" s="1114"/>
      <c r="G102" s="1115"/>
      <c r="H102" s="1121" t="s">
        <v>63</v>
      </c>
      <c r="I102" s="1115"/>
    </row>
    <row r="103" spans="1:14" ht="22.5" x14ac:dyDescent="0.2">
      <c r="A103" s="259" t="s">
        <v>324</v>
      </c>
      <c r="B103" s="234">
        <v>10588</v>
      </c>
      <c r="C103" s="260" t="s">
        <v>143</v>
      </c>
      <c r="D103" s="261">
        <f>mat.!D524</f>
        <v>2669.17</v>
      </c>
      <c r="E103" s="240"/>
      <c r="F103" s="241"/>
      <c r="G103" s="409">
        <v>0.8</v>
      </c>
      <c r="H103" s="255"/>
      <c r="I103" s="423">
        <f>ROUND(D103*G103,2)</f>
        <v>2135.34</v>
      </c>
    </row>
    <row r="104" spans="1:14" x14ac:dyDescent="0.2">
      <c r="A104" s="199"/>
      <c r="B104" s="229"/>
      <c r="C104" s="199"/>
      <c r="D104" s="199"/>
      <c r="E104" s="199"/>
      <c r="F104" s="230" t="s">
        <v>197</v>
      </c>
      <c r="G104" s="240"/>
      <c r="H104" s="241"/>
      <c r="I104" s="438">
        <f>SUM(I103:I103)</f>
        <v>2135.34</v>
      </c>
    </row>
    <row r="105" spans="1:14" x14ac:dyDescent="0.2">
      <c r="A105" s="199"/>
      <c r="B105" s="229"/>
      <c r="C105" s="199"/>
      <c r="D105" s="199"/>
      <c r="E105" s="199"/>
      <c r="F105" s="199"/>
      <c r="G105" s="262"/>
      <c r="H105" s="199"/>
      <c r="I105" s="439"/>
    </row>
    <row r="106" spans="1:14" x14ac:dyDescent="0.2">
      <c r="A106" s="263" t="s">
        <v>198</v>
      </c>
      <c r="B106" s="243" t="s">
        <v>59</v>
      </c>
      <c r="C106" s="243" t="s">
        <v>196</v>
      </c>
      <c r="D106" s="608" t="s">
        <v>217</v>
      </c>
      <c r="E106" s="1111" t="s">
        <v>89</v>
      </c>
      <c r="F106" s="1112"/>
      <c r="G106" s="1113"/>
      <c r="H106" s="1121" t="s">
        <v>63</v>
      </c>
      <c r="I106" s="1115"/>
      <c r="L106" s="22"/>
      <c r="M106" s="22"/>
      <c r="N106" s="22"/>
    </row>
    <row r="107" spans="1:14" ht="22.5" x14ac:dyDescent="0.2">
      <c r="A107" s="244" t="s">
        <v>351</v>
      </c>
      <c r="B107" s="234">
        <v>42888</v>
      </c>
      <c r="C107" s="234" t="s">
        <v>61</v>
      </c>
      <c r="D107" s="239">
        <f>ROUND(VLOOKUP(B107,'DER 11-20'!$A:$F,6,FALSE)/1.2332,2)</f>
        <v>6805.87</v>
      </c>
      <c r="E107" s="240"/>
      <c r="F107" s="241"/>
      <c r="G107" s="409">
        <v>0.4</v>
      </c>
      <c r="H107" s="240"/>
      <c r="I107" s="423">
        <f>ROUND(D107*G107,2)</f>
        <v>2722.35</v>
      </c>
      <c r="J107" s="361"/>
    </row>
    <row r="108" spans="1:14" x14ac:dyDescent="0.2">
      <c r="A108" s="200"/>
      <c r="B108" s="264"/>
      <c r="C108" s="200"/>
      <c r="D108" s="200"/>
      <c r="E108" s="200"/>
      <c r="F108" s="265" t="s">
        <v>199</v>
      </c>
      <c r="G108" s="255"/>
      <c r="H108" s="266"/>
      <c r="I108" s="441">
        <f>SUM(I107:I107)</f>
        <v>2722.35</v>
      </c>
    </row>
    <row r="109" spans="1:14" x14ac:dyDescent="0.2">
      <c r="A109" s="200"/>
      <c r="B109" s="264"/>
      <c r="C109" s="200"/>
      <c r="D109" s="200"/>
      <c r="E109" s="200"/>
      <c r="F109" s="200"/>
      <c r="G109" s="200"/>
      <c r="H109" s="200"/>
      <c r="I109" s="440"/>
    </row>
    <row r="110" spans="1:14" x14ac:dyDescent="0.2">
      <c r="A110" s="267" t="s">
        <v>200</v>
      </c>
      <c r="B110" s="268" t="s">
        <v>59</v>
      </c>
      <c r="C110" s="268" t="s">
        <v>196</v>
      </c>
      <c r="D110" s="268" t="s">
        <v>201</v>
      </c>
      <c r="E110" s="268" t="s">
        <v>202</v>
      </c>
      <c r="F110" s="268" t="s">
        <v>203</v>
      </c>
      <c r="G110" s="268" t="s">
        <v>94</v>
      </c>
      <c r="H110" s="268" t="s">
        <v>89</v>
      </c>
      <c r="I110" s="442" t="s">
        <v>204</v>
      </c>
    </row>
    <row r="111" spans="1:14" x14ac:dyDescent="0.2">
      <c r="A111" s="244"/>
      <c r="B111" s="234"/>
      <c r="C111" s="234"/>
      <c r="D111" s="269"/>
      <c r="E111" s="270"/>
      <c r="F111" s="270"/>
      <c r="G111" s="239"/>
      <c r="H111" s="271"/>
      <c r="I111" s="418"/>
    </row>
    <row r="112" spans="1:14" x14ac:dyDescent="0.2">
      <c r="A112" s="200"/>
      <c r="B112" s="264"/>
      <c r="C112" s="200"/>
      <c r="D112" s="200"/>
      <c r="E112" s="200"/>
      <c r="F112" s="265" t="s">
        <v>205</v>
      </c>
      <c r="G112" s="240"/>
      <c r="H112" s="272"/>
      <c r="I112" s="443">
        <f>SUM(I111:I111)</f>
        <v>0</v>
      </c>
    </row>
    <row r="113" spans="1:16" x14ac:dyDescent="0.2">
      <c r="A113" s="200"/>
      <c r="B113" s="264"/>
      <c r="C113" s="200"/>
      <c r="D113" s="200"/>
      <c r="E113" s="200"/>
      <c r="F113" s="200"/>
      <c r="G113" s="200"/>
      <c r="H113" s="200"/>
      <c r="I113" s="444"/>
    </row>
    <row r="114" spans="1:16" x14ac:dyDescent="0.2">
      <c r="A114" s="273"/>
      <c r="B114" s="274"/>
      <c r="C114" s="275"/>
      <c r="D114" s="275"/>
      <c r="E114" s="275"/>
      <c r="F114" s="276" t="s">
        <v>206</v>
      </c>
      <c r="G114" s="273"/>
      <c r="H114" s="249"/>
      <c r="I114" s="445">
        <f>+I100+I104+I108+I112</f>
        <v>6502.8</v>
      </c>
    </row>
    <row r="115" spans="1:16" x14ac:dyDescent="0.2">
      <c r="A115" s="255"/>
      <c r="B115" s="277"/>
      <c r="C115" s="266"/>
      <c r="D115" s="266"/>
      <c r="E115" s="266"/>
      <c r="F115" s="278" t="str">
        <f>CONCATENATE($H$3," ",$I$3)</f>
        <v>BDI: 23,32</v>
      </c>
      <c r="G115" s="403"/>
      <c r="H115" s="253"/>
      <c r="I115" s="446">
        <f>+ROUND(I114*$I$4,2)</f>
        <v>1516.45</v>
      </c>
    </row>
    <row r="116" spans="1:16" x14ac:dyDescent="0.2">
      <c r="A116" s="240"/>
      <c r="B116" s="279"/>
      <c r="C116" s="272"/>
      <c r="D116" s="272"/>
      <c r="E116" s="272"/>
      <c r="F116" s="280" t="s">
        <v>207</v>
      </c>
      <c r="G116" s="404"/>
      <c r="H116" s="241"/>
      <c r="I116" s="720">
        <f>+I114+I115</f>
        <v>8019.25</v>
      </c>
    </row>
    <row r="117" spans="1:16" x14ac:dyDescent="0.2">
      <c r="A117" s="1116" t="s">
        <v>213</v>
      </c>
      <c r="B117" s="1116"/>
      <c r="C117" s="1116"/>
      <c r="D117" s="1116"/>
      <c r="E117" s="1116"/>
      <c r="F117" s="1116"/>
      <c r="G117" s="1116"/>
      <c r="H117" s="1116"/>
      <c r="I117" s="1116"/>
    </row>
    <row r="118" spans="1:16" x14ac:dyDescent="0.2">
      <c r="A118" s="228" t="str">
        <f>$A$2</f>
        <v>Tabela Referencial de Preços - DER-ES - sem desoneração</v>
      </c>
      <c r="B118" s="229"/>
      <c r="C118" s="199"/>
      <c r="D118" s="199"/>
      <c r="E118" s="199"/>
      <c r="F118" s="199"/>
      <c r="G118" s="199"/>
      <c r="H118" s="199"/>
      <c r="I118" s="414" t="str">
        <f>$I$2</f>
        <v>Data Base: novembro/2020</v>
      </c>
    </row>
    <row r="119" spans="1:16" ht="14.25" customHeight="1" x14ac:dyDescent="0.2">
      <c r="A119" s="1117" t="str">
        <f>+CONCATENATE("Serviço: ",J119," ",L119)</f>
        <v>Serviço: PR-004 Brita 0, fornecimento e espalhamento</v>
      </c>
      <c r="B119" s="1117"/>
      <c r="C119" s="1117"/>
      <c r="D119" s="1117"/>
      <c r="E119" s="1117"/>
      <c r="F119" s="1117"/>
      <c r="G119" s="1117"/>
      <c r="H119" s="1117"/>
      <c r="I119" s="1119" t="str">
        <f>CONCATENATE("Unidade: ", M119)</f>
        <v>Unidade: m3</v>
      </c>
      <c r="J119" s="360" t="s">
        <v>662</v>
      </c>
      <c r="K119" s="780">
        <f>VLOOKUP("Preço Unitário Total",F120:I152,4,FALSE)</f>
        <v>115.91</v>
      </c>
      <c r="L119" s="741" t="s">
        <v>444</v>
      </c>
      <c r="M119" s="393" t="s">
        <v>407</v>
      </c>
    </row>
    <row r="120" spans="1:16" x14ac:dyDescent="0.2">
      <c r="A120" s="1118"/>
      <c r="B120" s="1118"/>
      <c r="C120" s="1118"/>
      <c r="D120" s="1118"/>
      <c r="E120" s="1118"/>
      <c r="F120" s="1118"/>
      <c r="G120" s="1118"/>
      <c r="H120" s="1118"/>
      <c r="I120" s="1120"/>
    </row>
    <row r="121" spans="1:16" ht="22.5" x14ac:dyDescent="0.2">
      <c r="A121" s="231" t="s">
        <v>177</v>
      </c>
      <c r="B121" s="232" t="s">
        <v>59</v>
      </c>
      <c r="C121" s="232" t="s">
        <v>178</v>
      </c>
      <c r="D121" s="232" t="s">
        <v>179</v>
      </c>
      <c r="E121" s="232" t="s">
        <v>180</v>
      </c>
      <c r="F121" s="232" t="s">
        <v>181</v>
      </c>
      <c r="G121" s="232" t="s">
        <v>182</v>
      </c>
      <c r="H121" s="232" t="s">
        <v>89</v>
      </c>
      <c r="I121" s="434" t="s">
        <v>183</v>
      </c>
    </row>
    <row r="122" spans="1:16" ht="33.75" x14ac:dyDescent="0.2">
      <c r="A122" s="233" t="str">
        <f>VLOOKUP(B122,equip.!$A:$G,2,FALSE)</f>
        <v>Trator de esteiras ref. Caterpillar cm lâmina modelo D6N ou equivalente</v>
      </c>
      <c r="B122" s="234">
        <v>30016</v>
      </c>
      <c r="C122" s="235" t="str">
        <f>VLOOKUP(B122,equip.!$A$1:$G$239,3,FALSE)</f>
        <v>M</v>
      </c>
      <c r="D122" s="236">
        <v>1</v>
      </c>
      <c r="E122" s="203">
        <v>0</v>
      </c>
      <c r="F122" s="237">
        <f>VLOOKUP(B122,equip.!$A:$G,6,FALSE)</f>
        <v>334.2</v>
      </c>
      <c r="G122" s="237">
        <f>VLOOKUP(B122,equip.!$A:$G,7,FALSE)</f>
        <v>129.94</v>
      </c>
      <c r="H122" s="238">
        <v>1</v>
      </c>
      <c r="I122" s="418">
        <f>TRUNC(D122*F122*H122+E122*G122*H122,2)</f>
        <v>334.2</v>
      </c>
      <c r="J122" s="400"/>
      <c r="K122" s="783"/>
      <c r="L122" s="295"/>
      <c r="M122" s="295"/>
      <c r="N122" s="295"/>
      <c r="O122" s="295"/>
      <c r="P122" s="295"/>
    </row>
    <row r="123" spans="1:16" x14ac:dyDescent="0.2">
      <c r="A123" s="199"/>
      <c r="B123" s="229"/>
      <c r="C123" s="229"/>
      <c r="D123" s="199"/>
      <c r="E123" s="199"/>
      <c r="F123" s="230" t="s">
        <v>184</v>
      </c>
      <c r="G123" s="240"/>
      <c r="H123" s="241"/>
      <c r="I123" s="438">
        <f>I122</f>
        <v>334.2</v>
      </c>
    </row>
    <row r="124" spans="1:16" x14ac:dyDescent="0.2">
      <c r="A124" s="199"/>
      <c r="B124" s="229"/>
      <c r="C124" s="229"/>
      <c r="D124" s="199"/>
      <c r="E124" s="199"/>
      <c r="F124" s="199"/>
      <c r="G124" s="199"/>
      <c r="H124" s="199"/>
      <c r="I124" s="439"/>
    </row>
    <row r="125" spans="1:16" x14ac:dyDescent="0.2">
      <c r="A125" s="242" t="s">
        <v>185</v>
      </c>
      <c r="B125" s="243" t="s">
        <v>59</v>
      </c>
      <c r="C125" s="232" t="s">
        <v>186</v>
      </c>
      <c r="D125" s="243" t="s">
        <v>187</v>
      </c>
      <c r="E125" s="1111" t="s">
        <v>89</v>
      </c>
      <c r="F125" s="1112"/>
      <c r="G125" s="1113"/>
      <c r="H125" s="1121" t="s">
        <v>183</v>
      </c>
      <c r="I125" s="1115"/>
    </row>
    <row r="126" spans="1:16" x14ac:dyDescent="0.2">
      <c r="A126" s="244" t="str">
        <f>VLOOKUP(B126,m.o.!$A:$H,2,FALSE)</f>
        <v>Servente</v>
      </c>
      <c r="B126" s="234">
        <v>20002</v>
      </c>
      <c r="C126" s="239" t="str">
        <f>VLOOKUP(B126,m.o.!$A:$F,3,FALSE)</f>
        <v>h</v>
      </c>
      <c r="D126" s="239">
        <f>VLOOKUP(B126,m.o.!$A:$G,7,FALSE)</f>
        <v>12.52</v>
      </c>
      <c r="E126" s="255"/>
      <c r="F126" s="253"/>
      <c r="G126" s="293">
        <v>1</v>
      </c>
      <c r="H126" s="240"/>
      <c r="I126" s="427">
        <f>ROUND(D126*G126,2)</f>
        <v>12.52</v>
      </c>
    </row>
    <row r="127" spans="1:16" x14ac:dyDescent="0.2">
      <c r="A127" s="244" t="str">
        <f>VLOOKUP(B127,m.o.!$A:$H,2,FALSE)</f>
        <v>Encarregado de terraplenagem</v>
      </c>
      <c r="B127" s="234">
        <v>20067</v>
      </c>
      <c r="C127" s="239" t="str">
        <f>VLOOKUP(B127,m.o.!$A:$F,3,FALSE)</f>
        <v>h</v>
      </c>
      <c r="D127" s="239">
        <f>VLOOKUP(B127,m.o.!$A:$G,7,FALSE)</f>
        <v>29.43</v>
      </c>
      <c r="E127" s="255"/>
      <c r="F127" s="253"/>
      <c r="G127" s="293">
        <v>0.5</v>
      </c>
      <c r="H127" s="240"/>
      <c r="I127" s="427">
        <f>ROUND(D127*G127,2)</f>
        <v>14.72</v>
      </c>
    </row>
    <row r="128" spans="1:16" x14ac:dyDescent="0.2">
      <c r="A128" s="199"/>
      <c r="B128" s="229"/>
      <c r="C128" s="229"/>
      <c r="D128" s="199"/>
      <c r="E128" s="199"/>
      <c r="F128" s="230" t="s">
        <v>188</v>
      </c>
      <c r="G128" s="240"/>
      <c r="H128" s="241"/>
      <c r="I128" s="438">
        <f>SUM(I126:I127)</f>
        <v>27.24</v>
      </c>
    </row>
    <row r="129" spans="1:16" x14ac:dyDescent="0.2">
      <c r="A129" s="199"/>
      <c r="B129" s="229"/>
      <c r="C129" s="229"/>
      <c r="D129" s="199"/>
      <c r="E129" s="199"/>
      <c r="F129" s="199"/>
      <c r="G129" s="199"/>
      <c r="H129" s="199"/>
      <c r="I129" s="439"/>
    </row>
    <row r="130" spans="1:16" x14ac:dyDescent="0.2">
      <c r="A130" s="245" t="s">
        <v>189</v>
      </c>
      <c r="B130" s="243" t="s">
        <v>59</v>
      </c>
      <c r="C130" s="742" t="s">
        <v>17</v>
      </c>
      <c r="D130" s="243" t="s">
        <v>190</v>
      </c>
      <c r="E130" s="243" t="s">
        <v>191</v>
      </c>
      <c r="F130" s="243" t="s">
        <v>192</v>
      </c>
      <c r="G130" s="1121" t="s">
        <v>94</v>
      </c>
      <c r="H130" s="1114"/>
      <c r="I130" s="1115"/>
    </row>
    <row r="131" spans="1:16" x14ac:dyDescent="0.2">
      <c r="A131" s="244"/>
      <c r="B131" s="234"/>
      <c r="C131" s="239"/>
      <c r="D131" s="235"/>
      <c r="E131" s="246"/>
      <c r="F131" s="246"/>
      <c r="G131" s="240"/>
      <c r="H131" s="241"/>
      <c r="I131" s="427"/>
    </row>
    <row r="132" spans="1:16" x14ac:dyDescent="0.2">
      <c r="A132" s="199"/>
      <c r="B132" s="229"/>
      <c r="C132" s="199"/>
      <c r="D132" s="199"/>
      <c r="E132" s="199"/>
      <c r="F132" s="230" t="s">
        <v>327</v>
      </c>
      <c r="G132" s="240"/>
      <c r="H132" s="241"/>
      <c r="I132" s="438">
        <f>SUM(I131)</f>
        <v>0</v>
      </c>
    </row>
    <row r="133" spans="1:16" x14ac:dyDescent="0.2">
      <c r="A133" s="199"/>
      <c r="B133" s="229"/>
      <c r="C133" s="199"/>
      <c r="D133" s="199"/>
      <c r="E133" s="199"/>
      <c r="F133" s="199"/>
      <c r="G133" s="199"/>
      <c r="H133" s="199"/>
      <c r="I133" s="439"/>
    </row>
    <row r="134" spans="1:16" x14ac:dyDescent="0.2">
      <c r="A134" s="247"/>
      <c r="B134" s="248"/>
      <c r="C134" s="249"/>
      <c r="D134" s="249"/>
      <c r="E134" s="249"/>
      <c r="F134" s="250" t="s">
        <v>193</v>
      </c>
      <c r="G134" s="401"/>
      <c r="H134" s="249"/>
      <c r="I134" s="445">
        <f>+I123+I128+I132</f>
        <v>361.44</v>
      </c>
    </row>
    <row r="135" spans="1:16" x14ac:dyDescent="0.2">
      <c r="A135" s="251"/>
      <c r="B135" s="252"/>
      <c r="C135" s="253"/>
      <c r="D135" s="253"/>
      <c r="E135" s="253"/>
      <c r="F135" s="254" t="s">
        <v>194</v>
      </c>
      <c r="G135" s="255"/>
      <c r="H135" s="253"/>
      <c r="I135" s="446">
        <v>99</v>
      </c>
    </row>
    <row r="136" spans="1:16" x14ac:dyDescent="0.2">
      <c r="A136" s="233"/>
      <c r="B136" s="256"/>
      <c r="C136" s="241"/>
      <c r="D136" s="241"/>
      <c r="E136" s="241"/>
      <c r="F136" s="257" t="s">
        <v>216</v>
      </c>
      <c r="G136" s="240"/>
      <c r="H136" s="241"/>
      <c r="I136" s="447">
        <f>ROUND(I134/I135,2)</f>
        <v>3.65</v>
      </c>
    </row>
    <row r="137" spans="1:16" x14ac:dyDescent="0.2">
      <c r="A137" s="743"/>
      <c r="B137" s="229"/>
      <c r="C137" s="199"/>
      <c r="D137" s="199"/>
      <c r="E137" s="199"/>
      <c r="F137" s="258"/>
      <c r="G137" s="199"/>
      <c r="H137" s="199"/>
      <c r="I137" s="450"/>
    </row>
    <row r="138" spans="1:16" x14ac:dyDescent="0.2">
      <c r="A138" s="242" t="s">
        <v>195</v>
      </c>
      <c r="B138" s="243" t="s">
        <v>59</v>
      </c>
      <c r="C138" s="243" t="s">
        <v>196</v>
      </c>
      <c r="D138" s="243" t="s">
        <v>217</v>
      </c>
      <c r="E138" s="1121" t="s">
        <v>89</v>
      </c>
      <c r="F138" s="1114"/>
      <c r="G138" s="1115"/>
      <c r="H138" s="1121" t="s">
        <v>63</v>
      </c>
      <c r="I138" s="1115"/>
    </row>
    <row r="139" spans="1:16" x14ac:dyDescent="0.2">
      <c r="A139" s="259" t="str">
        <f>VLOOKUP(B139,mat.!$A:$D,2,FALSE)</f>
        <v>Brita 0 (incl. 0% IUM) sem frete</v>
      </c>
      <c r="B139" s="234">
        <v>10113</v>
      </c>
      <c r="C139" s="260" t="str">
        <f>VLOOKUP(B139,mat.!$A:$D,3,FALSE)</f>
        <v>m3</v>
      </c>
      <c r="D139" s="261">
        <f>VLOOKUP(B139,mat.!$A:$D,4,FALSE)</f>
        <v>90.34</v>
      </c>
      <c r="E139" s="255"/>
      <c r="F139" s="253"/>
      <c r="G139" s="293">
        <v>1</v>
      </c>
      <c r="H139" s="255"/>
      <c r="I139" s="423">
        <f>TRUNC(D139*G139,2)</f>
        <v>90.34</v>
      </c>
      <c r="J139" s="400"/>
      <c r="K139" s="400"/>
      <c r="L139" s="295"/>
      <c r="M139" s="295"/>
      <c r="N139" s="295"/>
      <c r="O139" s="295"/>
      <c r="P139" s="295"/>
    </row>
    <row r="140" spans="1:16" x14ac:dyDescent="0.2">
      <c r="A140" s="199"/>
      <c r="B140" s="229"/>
      <c r="C140" s="199"/>
      <c r="D140" s="199"/>
      <c r="E140" s="199"/>
      <c r="F140" s="230" t="s">
        <v>197</v>
      </c>
      <c r="G140" s="240"/>
      <c r="H140" s="241"/>
      <c r="I140" s="438">
        <f>I139</f>
        <v>90.34</v>
      </c>
    </row>
    <row r="141" spans="1:16" x14ac:dyDescent="0.2">
      <c r="A141" s="199"/>
      <c r="B141" s="229"/>
      <c r="C141" s="199"/>
      <c r="D141" s="199"/>
      <c r="E141" s="199"/>
      <c r="F141" s="199"/>
      <c r="G141" s="262"/>
      <c r="H141" s="199"/>
      <c r="I141" s="439"/>
    </row>
    <row r="142" spans="1:16" x14ac:dyDescent="0.2">
      <c r="A142" s="263" t="s">
        <v>198</v>
      </c>
      <c r="B142" s="243" t="s">
        <v>59</v>
      </c>
      <c r="C142" s="243" t="s">
        <v>196</v>
      </c>
      <c r="D142" s="742" t="s">
        <v>217</v>
      </c>
      <c r="E142" s="1111" t="s">
        <v>89</v>
      </c>
      <c r="F142" s="1112"/>
      <c r="G142" s="1113"/>
      <c r="H142" s="1121" t="s">
        <v>63</v>
      </c>
      <c r="I142" s="1115"/>
      <c r="L142" s="22"/>
      <c r="M142" s="22"/>
      <c r="N142" s="22"/>
    </row>
    <row r="143" spans="1:16" x14ac:dyDescent="0.2">
      <c r="A143" s="200"/>
      <c r="B143" s="264"/>
      <c r="C143" s="200"/>
      <c r="D143" s="200"/>
      <c r="E143" s="200"/>
      <c r="F143" s="265" t="s">
        <v>199</v>
      </c>
      <c r="G143" s="255"/>
      <c r="H143" s="266"/>
      <c r="I143" s="441">
        <v>0</v>
      </c>
    </row>
    <row r="144" spans="1:16" x14ac:dyDescent="0.2">
      <c r="A144" s="200"/>
      <c r="B144" s="264"/>
      <c r="C144" s="200"/>
      <c r="D144" s="200"/>
      <c r="E144" s="200"/>
      <c r="F144" s="200"/>
      <c r="G144" s="200"/>
      <c r="H144" s="200"/>
      <c r="I144" s="440"/>
    </row>
    <row r="145" spans="1:17" x14ac:dyDescent="0.2">
      <c r="A145" s="267" t="s">
        <v>200</v>
      </c>
      <c r="B145" s="268" t="s">
        <v>59</v>
      </c>
      <c r="C145" s="268" t="s">
        <v>196</v>
      </c>
      <c r="D145" s="268" t="s">
        <v>201</v>
      </c>
      <c r="E145" s="268" t="s">
        <v>202</v>
      </c>
      <c r="F145" s="268" t="s">
        <v>203</v>
      </c>
      <c r="G145" s="268" t="s">
        <v>94</v>
      </c>
      <c r="H145" s="268" t="s">
        <v>89</v>
      </c>
      <c r="I145" s="442" t="s">
        <v>204</v>
      </c>
    </row>
    <row r="146" spans="1:17" x14ac:dyDescent="0.2">
      <c r="A146" s="259" t="str">
        <f>VLOOKUP(B146,transp.!A:D,2,FALSE)</f>
        <v>Transporte de Brita 0</v>
      </c>
      <c r="B146" s="417">
        <v>1028</v>
      </c>
      <c r="C146" s="417" t="str">
        <f>VLOOKUP(B146,transp.!$A:$J,3,FALSE)</f>
        <v xml:space="preserve"> t  </v>
      </c>
      <c r="D146" s="784" t="str">
        <f>VLOOKUP(B146,transp.!$A:$J,4,FALSE)</f>
        <v>0,719XP + 0,749XR + 2,997</v>
      </c>
      <c r="E146" s="455">
        <f>VLOOKUP(J146,Dis!$B:$F,4,FALSE)</f>
        <v>12.5</v>
      </c>
      <c r="F146" s="455">
        <f>VLOOKUP(J146,Dis!$B:$F,5,FALSE)</f>
        <v>0</v>
      </c>
      <c r="G146" s="418">
        <f>TRUNC(VLOOKUP(B146,transp.!$A:$J,5,FALSE)*E146+VLOOKUP(B146,transp.!$A:$J,6,FALSE)*F146+VLOOKUP(B146,transp.!$A:$J,7,FALSE),2)</f>
        <v>11.98</v>
      </c>
      <c r="H146" s="456">
        <v>1.72</v>
      </c>
      <c r="I146" s="418">
        <f>TRUNC(G146*H146,2)</f>
        <v>20.6</v>
      </c>
      <c r="J146" s="400" t="s">
        <v>294</v>
      </c>
      <c r="K146" s="415"/>
      <c r="L146" s="198"/>
      <c r="M146" s="198"/>
      <c r="N146" s="198"/>
      <c r="O146" s="198"/>
      <c r="P146" s="198"/>
      <c r="Q146" s="198"/>
    </row>
    <row r="147" spans="1:17" x14ac:dyDescent="0.2">
      <c r="A147" s="244"/>
      <c r="B147" s="234"/>
      <c r="C147" s="234"/>
      <c r="D147" s="269"/>
      <c r="E147" s="270"/>
      <c r="F147" s="270"/>
      <c r="G147" s="239"/>
      <c r="H147" s="271"/>
      <c r="I147" s="418"/>
    </row>
    <row r="148" spans="1:17" x14ac:dyDescent="0.2">
      <c r="A148" s="200"/>
      <c r="B148" s="264"/>
      <c r="C148" s="200"/>
      <c r="D148" s="200"/>
      <c r="E148" s="200"/>
      <c r="F148" s="265" t="s">
        <v>205</v>
      </c>
      <c r="G148" s="240"/>
      <c r="H148" s="272"/>
      <c r="I148" s="443">
        <f>SUM(I147:I147)</f>
        <v>0</v>
      </c>
    </row>
    <row r="149" spans="1:17" x14ac:dyDescent="0.2">
      <c r="A149" s="200"/>
      <c r="B149" s="264"/>
      <c r="C149" s="200"/>
      <c r="D149" s="200"/>
      <c r="E149" s="200"/>
      <c r="F149" s="200"/>
      <c r="G149" s="200"/>
      <c r="H149" s="200"/>
      <c r="I149" s="444"/>
    </row>
    <row r="150" spans="1:17" x14ac:dyDescent="0.2">
      <c r="A150" s="273"/>
      <c r="B150" s="274"/>
      <c r="C150" s="275"/>
      <c r="D150" s="275"/>
      <c r="E150" s="275"/>
      <c r="F150" s="276" t="s">
        <v>206</v>
      </c>
      <c r="G150" s="273"/>
      <c r="H150" s="249"/>
      <c r="I150" s="445">
        <f>+I136+I140+I143+I148</f>
        <v>93.99</v>
      </c>
    </row>
    <row r="151" spans="1:17" x14ac:dyDescent="0.2">
      <c r="A151" s="255"/>
      <c r="B151" s="277"/>
      <c r="C151" s="266"/>
      <c r="D151" s="266"/>
      <c r="E151" s="266"/>
      <c r="F151" s="278" t="str">
        <f>CONCATENATE($H$3," ",$I$3)</f>
        <v>BDI: 23,32</v>
      </c>
      <c r="G151" s="403"/>
      <c r="H151" s="253"/>
      <c r="I151" s="446">
        <f>+ROUND(I150*$I$4,2)</f>
        <v>21.92</v>
      </c>
    </row>
    <row r="152" spans="1:17" x14ac:dyDescent="0.2">
      <c r="A152" s="240"/>
      <c r="B152" s="279"/>
      <c r="C152" s="272"/>
      <c r="D152" s="272"/>
      <c r="E152" s="272"/>
      <c r="F152" s="280" t="s">
        <v>207</v>
      </c>
      <c r="G152" s="404"/>
      <c r="H152" s="241"/>
      <c r="I152" s="720">
        <f>+I150+I151</f>
        <v>115.91</v>
      </c>
    </row>
    <row r="153" spans="1:17" x14ac:dyDescent="0.2">
      <c r="A153" s="1116" t="s">
        <v>213</v>
      </c>
      <c r="B153" s="1116"/>
      <c r="C153" s="1116"/>
      <c r="D153" s="1116"/>
      <c r="E153" s="1116"/>
      <c r="F153" s="1116"/>
      <c r="G153" s="1116"/>
      <c r="H153" s="1116"/>
      <c r="I153" s="1116"/>
    </row>
    <row r="154" spans="1:17" x14ac:dyDescent="0.2">
      <c r="A154" s="228" t="str">
        <f>$A$2</f>
        <v>Tabela Referencial de Preços - DER-ES - sem desoneração</v>
      </c>
      <c r="B154" s="229"/>
      <c r="C154" s="199"/>
      <c r="D154" s="199"/>
      <c r="E154" s="199"/>
      <c r="F154" s="199"/>
      <c r="G154" s="199"/>
      <c r="H154" s="199"/>
      <c r="I154" s="414" t="str">
        <f>$I$2</f>
        <v>Data Base: novembro/2020</v>
      </c>
    </row>
    <row r="155" spans="1:17" ht="14.25" customHeight="1" x14ac:dyDescent="0.2">
      <c r="A155" s="1117" t="str">
        <f>+CONCATENATE("Serviço: ",J155," ",L155)</f>
        <v>Serviço: PR-005 Brita 0, fornecimento e espalhamento</v>
      </c>
      <c r="B155" s="1117"/>
      <c r="C155" s="1117"/>
      <c r="D155" s="1117"/>
      <c r="E155" s="1117"/>
      <c r="F155" s="1117"/>
      <c r="G155" s="1117"/>
      <c r="H155" s="1117"/>
      <c r="I155" s="1119" t="str">
        <f>CONCATENATE("Unidade: ", M155)</f>
        <v>Unidade: mês</v>
      </c>
      <c r="J155" s="360" t="s">
        <v>663</v>
      </c>
      <c r="K155" s="780">
        <f>VLOOKUP("Preço Unitário Total",F156:I184,4,FALSE)</f>
        <v>78.62</v>
      </c>
      <c r="L155" s="795" t="s">
        <v>444</v>
      </c>
      <c r="M155" s="393" t="s">
        <v>143</v>
      </c>
    </row>
    <row r="156" spans="1:17" x14ac:dyDescent="0.2">
      <c r="A156" s="1118"/>
      <c r="B156" s="1118"/>
      <c r="C156" s="1118"/>
      <c r="D156" s="1118"/>
      <c r="E156" s="1118"/>
      <c r="F156" s="1118"/>
      <c r="G156" s="1118"/>
      <c r="H156" s="1118"/>
      <c r="I156" s="1120"/>
    </row>
    <row r="157" spans="1:17" ht="22.5" x14ac:dyDescent="0.2">
      <c r="A157" s="231" t="s">
        <v>177</v>
      </c>
      <c r="B157" s="232" t="s">
        <v>59</v>
      </c>
      <c r="C157" s="232" t="s">
        <v>178</v>
      </c>
      <c r="D157" s="232" t="s">
        <v>179</v>
      </c>
      <c r="E157" s="232" t="s">
        <v>180</v>
      </c>
      <c r="F157" s="232" t="s">
        <v>181</v>
      </c>
      <c r="G157" s="232" t="s">
        <v>182</v>
      </c>
      <c r="H157" s="232" t="s">
        <v>89</v>
      </c>
      <c r="I157" s="434" t="s">
        <v>183</v>
      </c>
    </row>
    <row r="158" spans="1:17" x14ac:dyDescent="0.2">
      <c r="A158" s="199"/>
      <c r="B158" s="229"/>
      <c r="C158" s="229"/>
      <c r="D158" s="199"/>
      <c r="E158" s="199"/>
      <c r="F158" s="230" t="s">
        <v>184</v>
      </c>
      <c r="G158" s="240"/>
      <c r="H158" s="241"/>
      <c r="I158" s="438">
        <v>0</v>
      </c>
    </row>
    <row r="159" spans="1:17" x14ac:dyDescent="0.2">
      <c r="A159" s="199"/>
      <c r="B159" s="229"/>
      <c r="C159" s="229"/>
      <c r="D159" s="199"/>
      <c r="E159" s="199"/>
      <c r="F159" s="199"/>
      <c r="G159" s="199"/>
      <c r="H159" s="199"/>
      <c r="I159" s="439"/>
    </row>
    <row r="160" spans="1:17" x14ac:dyDescent="0.2">
      <c r="A160" s="242" t="s">
        <v>185</v>
      </c>
      <c r="B160" s="243" t="s">
        <v>59</v>
      </c>
      <c r="C160" s="232" t="s">
        <v>186</v>
      </c>
      <c r="D160" s="243" t="s">
        <v>187</v>
      </c>
      <c r="E160" s="1111" t="s">
        <v>89</v>
      </c>
      <c r="F160" s="1112"/>
      <c r="G160" s="1113"/>
      <c r="H160" s="1121" t="s">
        <v>183</v>
      </c>
      <c r="I160" s="1115"/>
    </row>
    <row r="161" spans="1:16" x14ac:dyDescent="0.2">
      <c r="A161" s="199"/>
      <c r="B161" s="229"/>
      <c r="C161" s="229"/>
      <c r="D161" s="199"/>
      <c r="E161" s="199"/>
      <c r="F161" s="230" t="s">
        <v>188</v>
      </c>
      <c r="G161" s="240"/>
      <c r="H161" s="241"/>
      <c r="I161" s="438">
        <v>0</v>
      </c>
    </row>
    <row r="162" spans="1:16" x14ac:dyDescent="0.2">
      <c r="A162" s="199"/>
      <c r="B162" s="229"/>
      <c r="C162" s="229"/>
      <c r="D162" s="199"/>
      <c r="E162" s="199"/>
      <c r="F162" s="199"/>
      <c r="G162" s="199"/>
      <c r="H162" s="199"/>
      <c r="I162" s="439"/>
    </row>
    <row r="163" spans="1:16" x14ac:dyDescent="0.2">
      <c r="A163" s="245" t="s">
        <v>189</v>
      </c>
      <c r="B163" s="243" t="s">
        <v>59</v>
      </c>
      <c r="C163" s="796" t="s">
        <v>17</v>
      </c>
      <c r="D163" s="243" t="s">
        <v>190</v>
      </c>
      <c r="E163" s="243" t="s">
        <v>191</v>
      </c>
      <c r="F163" s="243" t="s">
        <v>192</v>
      </c>
      <c r="G163" s="1121" t="s">
        <v>94</v>
      </c>
      <c r="H163" s="1114"/>
      <c r="I163" s="1115"/>
    </row>
    <row r="164" spans="1:16" x14ac:dyDescent="0.2">
      <c r="A164" s="244"/>
      <c r="B164" s="234"/>
      <c r="C164" s="239"/>
      <c r="D164" s="235"/>
      <c r="E164" s="246"/>
      <c r="F164" s="246"/>
      <c r="G164" s="240"/>
      <c r="H164" s="241"/>
      <c r="I164" s="427"/>
    </row>
    <row r="165" spans="1:16" x14ac:dyDescent="0.2">
      <c r="A165" s="199"/>
      <c r="B165" s="229"/>
      <c r="C165" s="199"/>
      <c r="D165" s="199"/>
      <c r="E165" s="199"/>
      <c r="F165" s="230" t="s">
        <v>327</v>
      </c>
      <c r="G165" s="240"/>
      <c r="H165" s="241"/>
      <c r="I165" s="438">
        <f>SUM(I164)</f>
        <v>0</v>
      </c>
    </row>
    <row r="166" spans="1:16" x14ac:dyDescent="0.2">
      <c r="A166" s="199"/>
      <c r="B166" s="229"/>
      <c r="C166" s="199"/>
      <c r="D166" s="199"/>
      <c r="E166" s="199"/>
      <c r="F166" s="199"/>
      <c r="G166" s="199"/>
      <c r="H166" s="199"/>
      <c r="I166" s="439"/>
    </row>
    <row r="167" spans="1:16" x14ac:dyDescent="0.2">
      <c r="A167" s="247"/>
      <c r="B167" s="248"/>
      <c r="C167" s="249"/>
      <c r="D167" s="249"/>
      <c r="E167" s="249"/>
      <c r="F167" s="250" t="s">
        <v>193</v>
      </c>
      <c r="G167" s="401"/>
      <c r="H167" s="249"/>
      <c r="I167" s="445">
        <f>+I158+I161+I165</f>
        <v>0</v>
      </c>
    </row>
    <row r="168" spans="1:16" x14ac:dyDescent="0.2">
      <c r="A168" s="251"/>
      <c r="B168" s="252"/>
      <c r="C168" s="253"/>
      <c r="D168" s="253"/>
      <c r="E168" s="253"/>
      <c r="F168" s="254" t="s">
        <v>194</v>
      </c>
      <c r="G168" s="255"/>
      <c r="H168" s="253"/>
      <c r="I168" s="446">
        <v>1</v>
      </c>
    </row>
    <row r="169" spans="1:16" x14ac:dyDescent="0.2">
      <c r="A169" s="233"/>
      <c r="B169" s="256"/>
      <c r="C169" s="241"/>
      <c r="D169" s="241"/>
      <c r="E169" s="241"/>
      <c r="F169" s="257" t="s">
        <v>216</v>
      </c>
      <c r="G169" s="240"/>
      <c r="H169" s="241"/>
      <c r="I169" s="447">
        <f>ROUND(I167/I168,2)</f>
        <v>0</v>
      </c>
    </row>
    <row r="170" spans="1:16" x14ac:dyDescent="0.2">
      <c r="A170" s="797"/>
      <c r="B170" s="229"/>
      <c r="C170" s="199"/>
      <c r="D170" s="199"/>
      <c r="E170" s="199"/>
      <c r="F170" s="258"/>
      <c r="G170" s="199"/>
      <c r="H170" s="199"/>
      <c r="I170" s="450"/>
    </row>
    <row r="171" spans="1:16" x14ac:dyDescent="0.2">
      <c r="A171" s="242" t="s">
        <v>195</v>
      </c>
      <c r="B171" s="243" t="s">
        <v>59</v>
      </c>
      <c r="C171" s="243" t="s">
        <v>196</v>
      </c>
      <c r="D171" s="243" t="s">
        <v>217</v>
      </c>
      <c r="E171" s="1121" t="s">
        <v>89</v>
      </c>
      <c r="F171" s="1114"/>
      <c r="G171" s="1115"/>
      <c r="H171" s="1121" t="s">
        <v>63</v>
      </c>
      <c r="I171" s="1115"/>
    </row>
    <row r="172" spans="1:16" x14ac:dyDescent="0.2">
      <c r="A172" s="259" t="str">
        <f>VLOOKUP(B172,mat.!$A:$D,2,FALSE)</f>
        <v>Bica corrida sem frete</v>
      </c>
      <c r="B172" s="234">
        <v>10118</v>
      </c>
      <c r="C172" s="260" t="str">
        <f>VLOOKUP(B172,mat.!$A:$D,3,FALSE)</f>
        <v>m3</v>
      </c>
      <c r="D172" s="261">
        <f>VLOOKUP(B172,mat.!$A:$D,4,FALSE)</f>
        <v>44</v>
      </c>
      <c r="E172" s="255"/>
      <c r="F172" s="253"/>
      <c r="G172" s="293">
        <v>1</v>
      </c>
      <c r="H172" s="255"/>
      <c r="I172" s="423">
        <f>TRUNC(D172*G172,2)</f>
        <v>44</v>
      </c>
      <c r="J172" s="400"/>
      <c r="K172" s="400"/>
      <c r="L172" s="295"/>
      <c r="M172" s="295"/>
      <c r="N172" s="295"/>
      <c r="O172" s="295"/>
      <c r="P172" s="295"/>
    </row>
    <row r="173" spans="1:16" x14ac:dyDescent="0.2">
      <c r="A173" s="199"/>
      <c r="B173" s="229"/>
      <c r="C173" s="199"/>
      <c r="D173" s="199"/>
      <c r="E173" s="199"/>
      <c r="F173" s="230" t="s">
        <v>197</v>
      </c>
      <c r="G173" s="240"/>
      <c r="H173" s="241"/>
      <c r="I173" s="438">
        <f>I172</f>
        <v>44</v>
      </c>
    </row>
    <row r="174" spans="1:16" x14ac:dyDescent="0.2">
      <c r="A174" s="199"/>
      <c r="B174" s="229"/>
      <c r="C174" s="199"/>
      <c r="D174" s="199"/>
      <c r="E174" s="199"/>
      <c r="F174" s="199"/>
      <c r="G174" s="262"/>
      <c r="H174" s="199"/>
      <c r="I174" s="439"/>
    </row>
    <row r="175" spans="1:16" x14ac:dyDescent="0.2">
      <c r="A175" s="263" t="s">
        <v>198</v>
      </c>
      <c r="B175" s="243" t="s">
        <v>59</v>
      </c>
      <c r="C175" s="243" t="s">
        <v>196</v>
      </c>
      <c r="D175" s="796" t="s">
        <v>217</v>
      </c>
      <c r="E175" s="1111" t="s">
        <v>89</v>
      </c>
      <c r="F175" s="1112"/>
      <c r="G175" s="1113"/>
      <c r="H175" s="1121" t="s">
        <v>63</v>
      </c>
      <c r="I175" s="1115"/>
      <c r="L175" s="22"/>
      <c r="M175" s="22"/>
      <c r="N175" s="22"/>
    </row>
    <row r="176" spans="1:16" x14ac:dyDescent="0.2">
      <c r="A176" s="200"/>
      <c r="B176" s="264"/>
      <c r="C176" s="200"/>
      <c r="D176" s="200"/>
      <c r="E176" s="200"/>
      <c r="F176" s="265" t="s">
        <v>199</v>
      </c>
      <c r="G176" s="255"/>
      <c r="H176" s="266"/>
      <c r="I176" s="441">
        <v>0</v>
      </c>
    </row>
    <row r="177" spans="1:17" x14ac:dyDescent="0.2">
      <c r="A177" s="200"/>
      <c r="B177" s="264"/>
      <c r="C177" s="200"/>
      <c r="D177" s="200"/>
      <c r="E177" s="200"/>
      <c r="F177" s="200"/>
      <c r="G177" s="200"/>
      <c r="H177" s="200"/>
      <c r="I177" s="440"/>
    </row>
    <row r="178" spans="1:17" x14ac:dyDescent="0.2">
      <c r="A178" s="267" t="s">
        <v>200</v>
      </c>
      <c r="B178" s="268" t="s">
        <v>59</v>
      </c>
      <c r="C178" s="268" t="s">
        <v>196</v>
      </c>
      <c r="D178" s="268" t="s">
        <v>201</v>
      </c>
      <c r="E178" s="268" t="s">
        <v>202</v>
      </c>
      <c r="F178" s="268" t="s">
        <v>203</v>
      </c>
      <c r="G178" s="268" t="s">
        <v>94</v>
      </c>
      <c r="H178" s="268" t="s">
        <v>89</v>
      </c>
      <c r="I178" s="442" t="s">
        <v>204</v>
      </c>
    </row>
    <row r="179" spans="1:17" x14ac:dyDescent="0.2">
      <c r="A179" s="259" t="s">
        <v>634</v>
      </c>
      <c r="B179" s="417"/>
      <c r="C179" s="417" t="s">
        <v>3</v>
      </c>
      <c r="D179" s="784" t="s">
        <v>702</v>
      </c>
      <c r="E179" s="455">
        <v>12.9</v>
      </c>
      <c r="F179" s="455">
        <v>2.68</v>
      </c>
      <c r="G179" s="418">
        <f>(0.663*E179+0.691*F179+2.765)</f>
        <v>13.17</v>
      </c>
      <c r="H179" s="456">
        <v>1.5</v>
      </c>
      <c r="I179" s="418">
        <f>TRUNC(G179*H179,2)</f>
        <v>19.75</v>
      </c>
      <c r="J179" s="22" t="s">
        <v>633</v>
      </c>
      <c r="K179" s="415"/>
      <c r="L179" s="198"/>
      <c r="M179" s="198"/>
      <c r="N179" s="198"/>
      <c r="O179" s="198"/>
      <c r="P179" s="198"/>
      <c r="Q179" s="198"/>
    </row>
    <row r="180" spans="1:17" x14ac:dyDescent="0.2">
      <c r="A180" s="200"/>
      <c r="B180" s="264"/>
      <c r="C180" s="200"/>
      <c r="D180" s="200"/>
      <c r="E180" s="200"/>
      <c r="F180" s="265" t="s">
        <v>205</v>
      </c>
      <c r="G180" s="240"/>
      <c r="H180" s="272"/>
      <c r="I180" s="443">
        <f>I179</f>
        <v>19.75</v>
      </c>
    </row>
    <row r="181" spans="1:17" x14ac:dyDescent="0.2">
      <c r="A181" s="200"/>
      <c r="B181" s="264"/>
      <c r="C181" s="200"/>
      <c r="D181" s="200"/>
      <c r="E181" s="200"/>
      <c r="F181" s="200"/>
      <c r="G181" s="200"/>
      <c r="H181" s="200"/>
      <c r="I181" s="444"/>
    </row>
    <row r="182" spans="1:17" x14ac:dyDescent="0.2">
      <c r="A182" s="273"/>
      <c r="B182" s="274"/>
      <c r="C182" s="275"/>
      <c r="D182" s="275"/>
      <c r="E182" s="275"/>
      <c r="F182" s="276" t="s">
        <v>206</v>
      </c>
      <c r="G182" s="273"/>
      <c r="H182" s="249"/>
      <c r="I182" s="445">
        <f>+I169+I173+I176+I180</f>
        <v>63.75</v>
      </c>
    </row>
    <row r="183" spans="1:17" x14ac:dyDescent="0.2">
      <c r="A183" s="255"/>
      <c r="B183" s="277"/>
      <c r="C183" s="266"/>
      <c r="D183" s="266"/>
      <c r="E183" s="266"/>
      <c r="F183" s="278" t="str">
        <f>CONCATENATE($H$3," ",$I$3)</f>
        <v>BDI: 23,32</v>
      </c>
      <c r="G183" s="403"/>
      <c r="H183" s="253"/>
      <c r="I183" s="446">
        <f>+ROUND(I182*$I$4,2)</f>
        <v>14.87</v>
      </c>
    </row>
    <row r="184" spans="1:17" x14ac:dyDescent="0.2">
      <c r="A184" s="240"/>
      <c r="B184" s="279"/>
      <c r="C184" s="272"/>
      <c r="D184" s="272"/>
      <c r="E184" s="272"/>
      <c r="F184" s="280" t="s">
        <v>207</v>
      </c>
      <c r="G184" s="404"/>
      <c r="H184" s="241"/>
      <c r="I184" s="720">
        <f>+I182+I183</f>
        <v>78.62</v>
      </c>
    </row>
    <row r="185" spans="1:17" x14ac:dyDescent="0.2">
      <c r="A185" s="1116" t="s">
        <v>213</v>
      </c>
      <c r="B185" s="1116"/>
      <c r="C185" s="1116"/>
      <c r="D185" s="1116"/>
      <c r="E185" s="1116"/>
      <c r="F185" s="1116"/>
      <c r="G185" s="1116"/>
      <c r="H185" s="1116"/>
      <c r="I185" s="1116"/>
    </row>
    <row r="186" spans="1:17" x14ac:dyDescent="0.2">
      <c r="A186" s="228" t="str">
        <f>$A$2</f>
        <v>Tabela Referencial de Preços - DER-ES - sem desoneração</v>
      </c>
      <c r="B186" s="229"/>
      <c r="C186" s="199"/>
      <c r="D186" s="199"/>
      <c r="E186" s="199"/>
      <c r="F186" s="199"/>
      <c r="G186" s="199"/>
      <c r="H186" s="199"/>
      <c r="I186" s="414" t="str">
        <f>$I$2</f>
        <v>Data Base: novembro/2020</v>
      </c>
    </row>
    <row r="187" spans="1:17" ht="14.25" customHeight="1" x14ac:dyDescent="0.2">
      <c r="A187" s="1117" t="str">
        <f>+CONCATENATE("Serviço: ",J187," ",L187)</f>
        <v>Serviço: PR-006 Pedra de mao (incl. 0% IUM) s/ frete, fornecimento e transporte</v>
      </c>
      <c r="B187" s="1117"/>
      <c r="C187" s="1117"/>
      <c r="D187" s="1117"/>
      <c r="E187" s="1117"/>
      <c r="F187" s="1117"/>
      <c r="G187" s="1117"/>
      <c r="H187" s="1117"/>
      <c r="I187" s="1119" t="str">
        <f>CONCATENATE("Unidade: ", M187)</f>
        <v>Unidade: m3</v>
      </c>
      <c r="J187" s="360" t="s">
        <v>664</v>
      </c>
      <c r="K187" s="780">
        <f>VLOOKUP("Preço Unitário Total",F188:I216,4,FALSE)</f>
        <v>112.42</v>
      </c>
      <c r="L187" s="801" t="s">
        <v>440</v>
      </c>
      <c r="M187" s="393" t="s">
        <v>407</v>
      </c>
    </row>
    <row r="188" spans="1:17" x14ac:dyDescent="0.2">
      <c r="A188" s="1118"/>
      <c r="B188" s="1118"/>
      <c r="C188" s="1118"/>
      <c r="D188" s="1118"/>
      <c r="E188" s="1118"/>
      <c r="F188" s="1118"/>
      <c r="G188" s="1118"/>
      <c r="H188" s="1118"/>
      <c r="I188" s="1120"/>
    </row>
    <row r="189" spans="1:17" ht="22.5" x14ac:dyDescent="0.2">
      <c r="A189" s="231" t="s">
        <v>177</v>
      </c>
      <c r="B189" s="232" t="s">
        <v>59</v>
      </c>
      <c r="C189" s="232" t="s">
        <v>178</v>
      </c>
      <c r="D189" s="232" t="s">
        <v>179</v>
      </c>
      <c r="E189" s="232" t="s">
        <v>180</v>
      </c>
      <c r="F189" s="232" t="s">
        <v>181</v>
      </c>
      <c r="G189" s="232" t="s">
        <v>182</v>
      </c>
      <c r="H189" s="232" t="s">
        <v>89</v>
      </c>
      <c r="I189" s="434" t="s">
        <v>183</v>
      </c>
    </row>
    <row r="190" spans="1:17" x14ac:dyDescent="0.2">
      <c r="A190" s="199"/>
      <c r="B190" s="229"/>
      <c r="C190" s="229"/>
      <c r="D190" s="199"/>
      <c r="E190" s="199"/>
      <c r="F190" s="230" t="s">
        <v>184</v>
      </c>
      <c r="G190" s="240"/>
      <c r="H190" s="241"/>
      <c r="I190" s="438">
        <v>0</v>
      </c>
    </row>
    <row r="191" spans="1:17" x14ac:dyDescent="0.2">
      <c r="A191" s="199"/>
      <c r="B191" s="229"/>
      <c r="C191" s="229"/>
      <c r="D191" s="199"/>
      <c r="E191" s="199"/>
      <c r="F191" s="199"/>
      <c r="G191" s="199"/>
      <c r="H191" s="199"/>
      <c r="I191" s="439"/>
    </row>
    <row r="192" spans="1:17" x14ac:dyDescent="0.2">
      <c r="A192" s="242" t="s">
        <v>185</v>
      </c>
      <c r="B192" s="243" t="s">
        <v>59</v>
      </c>
      <c r="C192" s="232" t="s">
        <v>186</v>
      </c>
      <c r="D192" s="243" t="s">
        <v>187</v>
      </c>
      <c r="E192" s="1111" t="s">
        <v>89</v>
      </c>
      <c r="F192" s="1112"/>
      <c r="G192" s="1113"/>
      <c r="H192" s="1121" t="s">
        <v>183</v>
      </c>
      <c r="I192" s="1115"/>
    </row>
    <row r="193" spans="1:16" x14ac:dyDescent="0.2">
      <c r="A193" s="199"/>
      <c r="B193" s="229"/>
      <c r="C193" s="229"/>
      <c r="D193" s="199"/>
      <c r="E193" s="199"/>
      <c r="F193" s="230" t="s">
        <v>188</v>
      </c>
      <c r="G193" s="240"/>
      <c r="H193" s="241"/>
      <c r="I193" s="438">
        <v>0</v>
      </c>
    </row>
    <row r="194" spans="1:16" x14ac:dyDescent="0.2">
      <c r="A194" s="199"/>
      <c r="B194" s="229"/>
      <c r="C194" s="229"/>
      <c r="D194" s="199"/>
      <c r="E194" s="199"/>
      <c r="F194" s="199"/>
      <c r="G194" s="199"/>
      <c r="H194" s="199"/>
      <c r="I194" s="439"/>
    </row>
    <row r="195" spans="1:16" x14ac:dyDescent="0.2">
      <c r="A195" s="245" t="s">
        <v>189</v>
      </c>
      <c r="B195" s="243" t="s">
        <v>59</v>
      </c>
      <c r="C195" s="803" t="s">
        <v>17</v>
      </c>
      <c r="D195" s="243" t="s">
        <v>190</v>
      </c>
      <c r="E195" s="243" t="s">
        <v>191</v>
      </c>
      <c r="F195" s="243" t="s">
        <v>192</v>
      </c>
      <c r="G195" s="1121" t="s">
        <v>94</v>
      </c>
      <c r="H195" s="1114"/>
      <c r="I195" s="1115"/>
    </row>
    <row r="196" spans="1:16" x14ac:dyDescent="0.2">
      <c r="A196" s="244"/>
      <c r="B196" s="234"/>
      <c r="C196" s="239"/>
      <c r="D196" s="235"/>
      <c r="E196" s="246"/>
      <c r="F196" s="246"/>
      <c r="G196" s="240"/>
      <c r="H196" s="241"/>
      <c r="I196" s="427"/>
    </row>
    <row r="197" spans="1:16" x14ac:dyDescent="0.2">
      <c r="A197" s="199"/>
      <c r="B197" s="229"/>
      <c r="C197" s="199"/>
      <c r="D197" s="199"/>
      <c r="E197" s="199"/>
      <c r="F197" s="230" t="s">
        <v>327</v>
      </c>
      <c r="G197" s="240"/>
      <c r="H197" s="241"/>
      <c r="I197" s="438">
        <f>SUM(I196)</f>
        <v>0</v>
      </c>
    </row>
    <row r="198" spans="1:16" x14ac:dyDescent="0.2">
      <c r="A198" s="199"/>
      <c r="B198" s="229"/>
      <c r="C198" s="199"/>
      <c r="D198" s="199"/>
      <c r="E198" s="199"/>
      <c r="F198" s="199"/>
      <c r="G198" s="199"/>
      <c r="H198" s="199"/>
      <c r="I198" s="439"/>
    </row>
    <row r="199" spans="1:16" x14ac:dyDescent="0.2">
      <c r="A199" s="247"/>
      <c r="B199" s="248"/>
      <c r="C199" s="249"/>
      <c r="D199" s="249"/>
      <c r="E199" s="249"/>
      <c r="F199" s="250" t="s">
        <v>193</v>
      </c>
      <c r="G199" s="401"/>
      <c r="H199" s="249"/>
      <c r="I199" s="445">
        <f>+I190+I193+I197</f>
        <v>0</v>
      </c>
    </row>
    <row r="200" spans="1:16" x14ac:dyDescent="0.2">
      <c r="A200" s="251"/>
      <c r="B200" s="252"/>
      <c r="C200" s="253"/>
      <c r="D200" s="253"/>
      <c r="E200" s="253"/>
      <c r="F200" s="254" t="s">
        <v>194</v>
      </c>
      <c r="G200" s="255"/>
      <c r="H200" s="253"/>
      <c r="I200" s="446">
        <v>1</v>
      </c>
    </row>
    <row r="201" spans="1:16" x14ac:dyDescent="0.2">
      <c r="A201" s="233"/>
      <c r="B201" s="256"/>
      <c r="C201" s="241"/>
      <c r="D201" s="241"/>
      <c r="E201" s="241"/>
      <c r="F201" s="257" t="s">
        <v>216</v>
      </c>
      <c r="G201" s="240"/>
      <c r="H201" s="241"/>
      <c r="I201" s="447">
        <f>ROUND(I199/I200,2)</f>
        <v>0</v>
      </c>
    </row>
    <row r="202" spans="1:16" x14ac:dyDescent="0.2">
      <c r="A202" s="802"/>
      <c r="B202" s="229"/>
      <c r="C202" s="199"/>
      <c r="D202" s="199"/>
      <c r="E202" s="199"/>
      <c r="F202" s="258"/>
      <c r="G202" s="199"/>
      <c r="H202" s="199"/>
      <c r="I202" s="450"/>
    </row>
    <row r="203" spans="1:16" x14ac:dyDescent="0.2">
      <c r="A203" s="242" t="s">
        <v>195</v>
      </c>
      <c r="B203" s="243" t="s">
        <v>59</v>
      </c>
      <c r="C203" s="243" t="s">
        <v>196</v>
      </c>
      <c r="D203" s="243" t="s">
        <v>217</v>
      </c>
      <c r="E203" s="1121" t="s">
        <v>89</v>
      </c>
      <c r="F203" s="1114"/>
      <c r="G203" s="1115"/>
      <c r="H203" s="1121" t="s">
        <v>63</v>
      </c>
      <c r="I203" s="1115"/>
    </row>
    <row r="204" spans="1:16" ht="22.5" x14ac:dyDescent="0.2">
      <c r="A204" s="259" t="str">
        <f>VLOOKUP(B204,mat.!$A:$D,2,FALSE)</f>
        <v>Pedra de mao (incl. 0% IUM) s/ frete</v>
      </c>
      <c r="B204" s="234">
        <v>10121</v>
      </c>
      <c r="C204" s="260" t="str">
        <f>VLOOKUP(B204,mat.!$A:$D,3,FALSE)</f>
        <v>m3</v>
      </c>
      <c r="D204" s="261">
        <f>VLOOKUP(B204,mat.!$A:$D,4,FALSE)</f>
        <v>73.97</v>
      </c>
      <c r="E204" s="255"/>
      <c r="F204" s="253"/>
      <c r="G204" s="293">
        <v>1</v>
      </c>
      <c r="H204" s="255"/>
      <c r="I204" s="423">
        <f>TRUNC(D204*G204,2)</f>
        <v>73.97</v>
      </c>
      <c r="J204" s="400"/>
      <c r="K204" s="400"/>
      <c r="L204" s="295"/>
      <c r="M204" s="295"/>
      <c r="N204" s="295"/>
      <c r="O204" s="295"/>
      <c r="P204" s="295"/>
    </row>
    <row r="205" spans="1:16" x14ac:dyDescent="0.2">
      <c r="A205" s="199"/>
      <c r="B205" s="229"/>
      <c r="C205" s="199"/>
      <c r="D205" s="199"/>
      <c r="E205" s="199"/>
      <c r="F205" s="230" t="s">
        <v>197</v>
      </c>
      <c r="G205" s="240"/>
      <c r="H205" s="241"/>
      <c r="I205" s="438">
        <f>I204</f>
        <v>73.97</v>
      </c>
    </row>
    <row r="206" spans="1:16" x14ac:dyDescent="0.2">
      <c r="A206" s="199"/>
      <c r="B206" s="229"/>
      <c r="C206" s="199"/>
      <c r="D206" s="199"/>
      <c r="E206" s="199"/>
      <c r="F206" s="199"/>
      <c r="G206" s="262"/>
      <c r="H206" s="199"/>
      <c r="I206" s="439"/>
    </row>
    <row r="207" spans="1:16" x14ac:dyDescent="0.2">
      <c r="A207" s="263" t="s">
        <v>198</v>
      </c>
      <c r="B207" s="243" t="s">
        <v>59</v>
      </c>
      <c r="C207" s="243" t="s">
        <v>196</v>
      </c>
      <c r="D207" s="803" t="s">
        <v>217</v>
      </c>
      <c r="E207" s="1111" t="s">
        <v>89</v>
      </c>
      <c r="F207" s="1112"/>
      <c r="G207" s="1113"/>
      <c r="H207" s="1121" t="s">
        <v>63</v>
      </c>
      <c r="I207" s="1115"/>
      <c r="L207" s="22"/>
      <c r="M207" s="22"/>
      <c r="N207" s="22"/>
    </row>
    <row r="208" spans="1:16" x14ac:dyDescent="0.2">
      <c r="A208" s="200"/>
      <c r="B208" s="264"/>
      <c r="C208" s="200"/>
      <c r="D208" s="200"/>
      <c r="E208" s="200"/>
      <c r="F208" s="265" t="s">
        <v>199</v>
      </c>
      <c r="G208" s="255"/>
      <c r="H208" s="266"/>
      <c r="I208" s="441">
        <v>0</v>
      </c>
    </row>
    <row r="209" spans="1:17" x14ac:dyDescent="0.2">
      <c r="A209" s="200"/>
      <c r="B209" s="264"/>
      <c r="C209" s="200"/>
      <c r="D209" s="200"/>
      <c r="E209" s="200"/>
      <c r="F209" s="200"/>
      <c r="G209" s="200"/>
      <c r="H209" s="200"/>
      <c r="I209" s="440"/>
    </row>
    <row r="210" spans="1:17" x14ac:dyDescent="0.2">
      <c r="A210" s="267" t="s">
        <v>200</v>
      </c>
      <c r="B210" s="268" t="s">
        <v>59</v>
      </c>
      <c r="C210" s="268" t="s">
        <v>196</v>
      </c>
      <c r="D210" s="268" t="s">
        <v>201</v>
      </c>
      <c r="E210" s="268" t="s">
        <v>202</v>
      </c>
      <c r="F210" s="268" t="s">
        <v>203</v>
      </c>
      <c r="G210" s="268" t="s">
        <v>94</v>
      </c>
      <c r="H210" s="268" t="s">
        <v>89</v>
      </c>
      <c r="I210" s="442" t="s">
        <v>204</v>
      </c>
    </row>
    <row r="211" spans="1:17" s="198" customFormat="1" ht="22.5" x14ac:dyDescent="0.2">
      <c r="A211" s="259" t="str">
        <f>VLOOKUP(B211,transp.!A:D,2,FALSE)</f>
        <v>Transporte de Pedra de mao (incl. 0% IUM) s/ frete</v>
      </c>
      <c r="B211" s="234">
        <v>1150</v>
      </c>
      <c r="C211" s="234" t="str">
        <f>VLOOKUP(B211,transp.!$A:$J,3,FALSE)</f>
        <v xml:space="preserve"> t  </v>
      </c>
      <c r="D211" s="269" t="str">
        <f>VLOOKUP(B211,transp.!$A:$J,4,FALSE)</f>
        <v>0,719XP + 0,749XR</v>
      </c>
      <c r="E211" s="270">
        <f>VLOOKUP(J211,Dis!$B:$F,4,FALSE)</f>
        <v>12.9</v>
      </c>
      <c r="F211" s="270">
        <f>VLOOKUP(J211,Dis!$B:$F,5,FALSE)</f>
        <v>2.93</v>
      </c>
      <c r="G211" s="239">
        <f>TRUNC(VLOOKUP(B211,transp.!$A:$J,5,FALSE)*E211+VLOOKUP(B211,transp.!$A:$J,6,FALSE)*F211+VLOOKUP(B211,transp.!$A:$J,7,FALSE),2)</f>
        <v>11.46</v>
      </c>
      <c r="H211" s="271">
        <v>1.5</v>
      </c>
      <c r="I211" s="418">
        <f>TRUNC(G211*H211,2)</f>
        <v>17.190000000000001</v>
      </c>
      <c r="J211" s="400" t="s">
        <v>635</v>
      </c>
      <c r="K211" s="400"/>
      <c r="L211" s="295"/>
      <c r="M211" s="295"/>
      <c r="N211" s="295"/>
      <c r="O211" s="295"/>
      <c r="P211" s="295"/>
      <c r="Q211" s="295"/>
    </row>
    <row r="212" spans="1:17" x14ac:dyDescent="0.2">
      <c r="A212" s="200"/>
      <c r="B212" s="264"/>
      <c r="C212" s="200"/>
      <c r="D212" s="200"/>
      <c r="E212" s="200"/>
      <c r="F212" s="265" t="s">
        <v>205</v>
      </c>
      <c r="G212" s="240"/>
      <c r="H212" s="272"/>
      <c r="I212" s="443">
        <f>I211</f>
        <v>17.190000000000001</v>
      </c>
      <c r="J212" s="400"/>
    </row>
    <row r="213" spans="1:17" x14ac:dyDescent="0.2">
      <c r="A213" s="200"/>
      <c r="B213" s="264"/>
      <c r="C213" s="200"/>
      <c r="D213" s="200"/>
      <c r="E213" s="200"/>
      <c r="F213" s="200"/>
      <c r="G213" s="200"/>
      <c r="H213" s="200"/>
      <c r="I213" s="444"/>
    </row>
    <row r="214" spans="1:17" x14ac:dyDescent="0.2">
      <c r="A214" s="273"/>
      <c r="B214" s="274"/>
      <c r="C214" s="275"/>
      <c r="D214" s="275"/>
      <c r="E214" s="275"/>
      <c r="F214" s="276" t="s">
        <v>206</v>
      </c>
      <c r="G214" s="273"/>
      <c r="H214" s="249"/>
      <c r="I214" s="445">
        <f>+I201+I205+I208+I212</f>
        <v>91.16</v>
      </c>
    </row>
    <row r="215" spans="1:17" x14ac:dyDescent="0.2">
      <c r="A215" s="255"/>
      <c r="B215" s="277"/>
      <c r="C215" s="266"/>
      <c r="D215" s="266"/>
      <c r="E215" s="266"/>
      <c r="F215" s="278" t="str">
        <f>CONCATENATE($H$3," ",$I$3)</f>
        <v>BDI: 23,32</v>
      </c>
      <c r="G215" s="403"/>
      <c r="H215" s="253"/>
      <c r="I215" s="446">
        <f>+ROUND(I214*$I$4,2)</f>
        <v>21.26</v>
      </c>
    </row>
    <row r="216" spans="1:17" x14ac:dyDescent="0.2">
      <c r="A216" s="240"/>
      <c r="B216" s="279"/>
      <c r="C216" s="272"/>
      <c r="D216" s="272"/>
      <c r="E216" s="272"/>
      <c r="F216" s="280" t="s">
        <v>207</v>
      </c>
      <c r="G216" s="404"/>
      <c r="H216" s="241"/>
      <c r="I216" s="720">
        <f>+I214+I215</f>
        <v>112.42</v>
      </c>
    </row>
    <row r="217" spans="1:17" x14ac:dyDescent="0.2">
      <c r="A217" s="1116" t="s">
        <v>213</v>
      </c>
      <c r="B217" s="1116"/>
      <c r="C217" s="1116"/>
      <c r="D217" s="1116"/>
      <c r="E217" s="1116"/>
      <c r="F217" s="1116"/>
      <c r="G217" s="1116"/>
      <c r="H217" s="1116"/>
      <c r="I217" s="1116"/>
    </row>
    <row r="218" spans="1:17" x14ac:dyDescent="0.2">
      <c r="A218" s="228" t="str">
        <f>$A$2</f>
        <v>Tabela Referencial de Preços - DER-ES - sem desoneração</v>
      </c>
      <c r="B218" s="229"/>
      <c r="C218" s="199"/>
      <c r="D218" s="199"/>
      <c r="E218" s="199"/>
      <c r="F218" s="199"/>
      <c r="G218" s="199"/>
      <c r="H218" s="199"/>
      <c r="I218" s="414" t="str">
        <f>$I$2</f>
        <v>Data Base: novembro/2020</v>
      </c>
    </row>
    <row r="219" spans="1:17" ht="14.25" customHeight="1" x14ac:dyDescent="0.2">
      <c r="A219" s="1117" t="str">
        <f>+CONCATENATE("Serviço: ",J219," ",L219)</f>
        <v>Serviço: PR-007 Base de solo brita, 30% de solo, 30% de brita 2, 10% de brita 0 e 30% de pó de pedra, inclusive fornecimento da brita e transporte</v>
      </c>
      <c r="B219" s="1117"/>
      <c r="C219" s="1117"/>
      <c r="D219" s="1117"/>
      <c r="E219" s="1117"/>
      <c r="F219" s="1117"/>
      <c r="G219" s="1117"/>
      <c r="H219" s="1117"/>
      <c r="I219" s="1119" t="str">
        <f>CONCATENATE("Unidade: ", M219)</f>
        <v>Unidade: m3</v>
      </c>
      <c r="J219" s="360" t="s">
        <v>665</v>
      </c>
      <c r="K219" s="780">
        <f>VLOOKUP("Preço Unitário Total",F220:I262,4,FALSE)</f>
        <v>146.44</v>
      </c>
      <c r="L219" s="1058" t="s">
        <v>482</v>
      </c>
      <c r="M219" s="393" t="s">
        <v>407</v>
      </c>
    </row>
    <row r="220" spans="1:17" x14ac:dyDescent="0.2">
      <c r="A220" s="1118"/>
      <c r="B220" s="1118"/>
      <c r="C220" s="1118"/>
      <c r="D220" s="1118"/>
      <c r="E220" s="1118"/>
      <c r="F220" s="1118"/>
      <c r="G220" s="1118"/>
      <c r="H220" s="1118"/>
      <c r="I220" s="1120"/>
      <c r="L220" s="1058"/>
    </row>
    <row r="221" spans="1:17" ht="22.5" x14ac:dyDescent="0.2">
      <c r="A221" s="231" t="s">
        <v>177</v>
      </c>
      <c r="B221" s="232" t="s">
        <v>59</v>
      </c>
      <c r="C221" s="232" t="s">
        <v>178</v>
      </c>
      <c r="D221" s="232" t="s">
        <v>179</v>
      </c>
      <c r="E221" s="232" t="s">
        <v>180</v>
      </c>
      <c r="F221" s="232" t="s">
        <v>181</v>
      </c>
      <c r="G221" s="232" t="s">
        <v>182</v>
      </c>
      <c r="H221" s="232" t="s">
        <v>89</v>
      </c>
      <c r="I221" s="434" t="s">
        <v>183</v>
      </c>
      <c r="L221" s="1058"/>
    </row>
    <row r="222" spans="1:17" ht="22.5" x14ac:dyDescent="0.2">
      <c r="A222" s="233" t="str">
        <f>VLOOKUP(B222,equip.!$A:$G,2,FALSE)</f>
        <v>Caminhão tanque L 1319/48 PBT=12,9t (6.000L)</v>
      </c>
      <c r="B222" s="234">
        <v>30007</v>
      </c>
      <c r="C222" s="235" t="str">
        <f>VLOOKUP(B222,equip.!$A$1:$G$239,3,FALSE)</f>
        <v>M</v>
      </c>
      <c r="D222" s="236">
        <v>1</v>
      </c>
      <c r="E222" s="203">
        <f>1-D222</f>
        <v>0</v>
      </c>
      <c r="F222" s="237">
        <f>VLOOKUP(B222,equip.!$A:$G,6,FALSE)</f>
        <v>164.94</v>
      </c>
      <c r="G222" s="237">
        <f>VLOOKUP(B222,equip.!$A:$G,7,FALSE)</f>
        <v>52.28</v>
      </c>
      <c r="H222" s="238">
        <v>1</v>
      </c>
      <c r="I222" s="418">
        <f t="shared" ref="I222:I229" si="0">TRUNC(D222*F222*H222+E222*G222*H222,2)</f>
        <v>164.94</v>
      </c>
      <c r="J222" s="400"/>
      <c r="K222" s="400"/>
      <c r="L222" s="295"/>
      <c r="M222" s="295"/>
      <c r="N222" s="295"/>
      <c r="O222" s="295"/>
      <c r="P222" s="295"/>
    </row>
    <row r="223" spans="1:17" x14ac:dyDescent="0.2">
      <c r="A223" s="233" t="str">
        <f>VLOOKUP(B223,equip.!$A:$G,2,FALSE)</f>
        <v>Conjunto moto bomba diam. 4"</v>
      </c>
      <c r="B223" s="234">
        <v>30080</v>
      </c>
      <c r="C223" s="235">
        <f>VLOOKUP(B223,equip.!$A$1:$G$239,3,FALSE)</f>
        <v>0</v>
      </c>
      <c r="D223" s="236">
        <v>0.5</v>
      </c>
      <c r="E223" s="203">
        <f t="shared" ref="E223:E229" si="1">1-D223</f>
        <v>0.5</v>
      </c>
      <c r="F223" s="237">
        <f>VLOOKUP(B223,equip.!$A:$G,6,FALSE)</f>
        <v>18.73</v>
      </c>
      <c r="G223" s="237">
        <f>VLOOKUP(B223,equip.!$A:$G,7,FALSE)</f>
        <v>13.12</v>
      </c>
      <c r="H223" s="238">
        <v>1</v>
      </c>
      <c r="I223" s="418">
        <f t="shared" si="0"/>
        <v>15.92</v>
      </c>
      <c r="J223" s="400"/>
      <c r="K223" s="400"/>
      <c r="L223" s="295"/>
      <c r="M223" s="295"/>
      <c r="N223" s="295"/>
      <c r="O223" s="295"/>
      <c r="P223" s="295"/>
    </row>
    <row r="224" spans="1:17" ht="22.5" x14ac:dyDescent="0.2">
      <c r="A224" s="233" t="str">
        <f>VLOOKUP(B224,equip.!$A:$G,2,FALSE)</f>
        <v>Grade de disco GA-24x24 (TATU) ou equivalente</v>
      </c>
      <c r="B224" s="234">
        <v>30054</v>
      </c>
      <c r="C224" s="235">
        <f>VLOOKUP(B224,equip.!$A$1:$G$239,3,FALSE)</f>
        <v>0</v>
      </c>
      <c r="D224" s="236">
        <v>0.7</v>
      </c>
      <c r="E224" s="203">
        <f t="shared" si="1"/>
        <v>0.3</v>
      </c>
      <c r="F224" s="237">
        <f>VLOOKUP(B224,equip.!$A:$G,6,FALSE)</f>
        <v>17.22</v>
      </c>
      <c r="G224" s="237">
        <f>VLOOKUP(B224,equip.!$A:$G,7,FALSE)</f>
        <v>15.86</v>
      </c>
      <c r="H224" s="238">
        <v>2</v>
      </c>
      <c r="I224" s="418">
        <f t="shared" si="0"/>
        <v>33.619999999999997</v>
      </c>
      <c r="J224" s="400"/>
      <c r="K224" s="400"/>
      <c r="L224" s="295"/>
      <c r="M224" s="295"/>
      <c r="N224" s="295"/>
      <c r="O224" s="295"/>
      <c r="P224" s="295"/>
    </row>
    <row r="225" spans="1:16" ht="34.9" customHeight="1" x14ac:dyDescent="0.2">
      <c r="A225" s="233" t="str">
        <f>VLOOKUP(B225,equip.!$A:$G,2,FALSE)</f>
        <v>Motoniveladora Caterpillar modelo 120K ( cab + ar + ríper) ou equivalente</v>
      </c>
      <c r="B225" s="234">
        <v>30022</v>
      </c>
      <c r="C225" s="235" t="str">
        <f>VLOOKUP(B225,equip.!$A$1:$G$239,3,FALSE)</f>
        <v>M</v>
      </c>
      <c r="D225" s="236">
        <v>1</v>
      </c>
      <c r="E225" s="203">
        <f t="shared" si="1"/>
        <v>0</v>
      </c>
      <c r="F225" s="237">
        <f>VLOOKUP(B225,equip.!$A:$G,6,FALSE)</f>
        <v>245.66</v>
      </c>
      <c r="G225" s="237">
        <f>VLOOKUP(B225,equip.!$A:$G,7,FALSE)</f>
        <v>87.2</v>
      </c>
      <c r="H225" s="238">
        <v>1</v>
      </c>
      <c r="I225" s="418">
        <f t="shared" si="0"/>
        <v>245.66</v>
      </c>
      <c r="J225" s="400"/>
      <c r="K225" s="400"/>
      <c r="L225" s="295"/>
      <c r="M225" s="295"/>
      <c r="N225" s="295"/>
      <c r="O225" s="295"/>
      <c r="P225" s="295"/>
    </row>
    <row r="226" spans="1:16" ht="22.5" x14ac:dyDescent="0.2">
      <c r="A226" s="233" t="str">
        <f>VLOOKUP(B226,equip.!$A:$G,2,FALSE)</f>
        <v>Rolo AP liso de aço CA 2505 STD Dynapac ou equivalente</v>
      </c>
      <c r="B226" s="234">
        <v>30038</v>
      </c>
      <c r="C226" s="235" t="str">
        <f>VLOOKUP(B226,equip.!$A$1:$G$239,3,FALSE)</f>
        <v>M</v>
      </c>
      <c r="D226" s="236">
        <v>0.8</v>
      </c>
      <c r="E226" s="203">
        <f t="shared" si="1"/>
        <v>0.2</v>
      </c>
      <c r="F226" s="237">
        <f>VLOOKUP(B226,equip.!$A:$G,6,FALSE)</f>
        <v>201.17</v>
      </c>
      <c r="G226" s="237">
        <f>VLOOKUP(B226,equip.!$A:$G,7,FALSE)</f>
        <v>71.59</v>
      </c>
      <c r="H226" s="238">
        <v>1</v>
      </c>
      <c r="I226" s="418">
        <f t="shared" si="0"/>
        <v>175.25</v>
      </c>
      <c r="J226" s="400"/>
      <c r="K226" s="400"/>
      <c r="L226" s="295"/>
      <c r="M226" s="295"/>
      <c r="N226" s="295"/>
      <c r="O226" s="295"/>
      <c r="P226" s="295"/>
    </row>
    <row r="227" spans="1:16" ht="22.5" x14ac:dyDescent="0.2">
      <c r="A227" s="233" t="str">
        <f>VLOOKUP(B227,equip.!$A:$G,2,FALSE)</f>
        <v>Rolo AP vib. patas 100 mm CA-25P (DYNAPAC) ou equivalente</v>
      </c>
      <c r="B227" s="234">
        <v>30040</v>
      </c>
      <c r="C227" s="235" t="str">
        <f>VLOOKUP(B227,equip.!$A$1:$G$239,3,FALSE)</f>
        <v>M</v>
      </c>
      <c r="D227" s="236">
        <v>0.4</v>
      </c>
      <c r="E227" s="203">
        <f t="shared" si="1"/>
        <v>0.6</v>
      </c>
      <c r="F227" s="237">
        <f>VLOOKUP(B227,equip.!$A:$G,6,FALSE)</f>
        <v>190.1</v>
      </c>
      <c r="G227" s="237">
        <f>VLOOKUP(B227,equip.!$A:$G,7,FALSE)</f>
        <v>63.69</v>
      </c>
      <c r="H227" s="238">
        <v>1</v>
      </c>
      <c r="I227" s="418">
        <f t="shared" si="0"/>
        <v>114.25</v>
      </c>
      <c r="J227" s="400"/>
      <c r="K227" s="400"/>
      <c r="L227" s="295"/>
      <c r="M227" s="295"/>
      <c r="N227" s="295"/>
      <c r="O227" s="295"/>
      <c r="P227" s="295"/>
    </row>
    <row r="228" spans="1:16" ht="22.5" x14ac:dyDescent="0.2">
      <c r="A228" s="233" t="str">
        <f>VLOOKUP(B228,equip.!$A:$G,2,FALSE)</f>
        <v>Rolo compactador de pneus CP 224, Dynapac ou equivalente</v>
      </c>
      <c r="B228" s="234">
        <v>30033</v>
      </c>
      <c r="C228" s="235">
        <f>VLOOKUP(B228,equip.!$A$1:$G$239,3,FALSE)</f>
        <v>0</v>
      </c>
      <c r="D228" s="236">
        <v>0.5</v>
      </c>
      <c r="E228" s="203">
        <f t="shared" si="1"/>
        <v>0.5</v>
      </c>
      <c r="F228" s="237">
        <f>VLOOKUP(B228,equip.!$A:$G,6,FALSE)</f>
        <v>195.5</v>
      </c>
      <c r="G228" s="237">
        <f>VLOOKUP(B228,equip.!$A:$G,7,FALSE)</f>
        <v>67.52</v>
      </c>
      <c r="H228" s="238">
        <v>1</v>
      </c>
      <c r="I228" s="418">
        <f t="shared" si="0"/>
        <v>131.51</v>
      </c>
      <c r="J228" s="400"/>
      <c r="K228" s="400"/>
      <c r="L228" s="295"/>
      <c r="M228" s="295"/>
      <c r="N228" s="295"/>
      <c r="O228" s="295"/>
      <c r="P228" s="295"/>
    </row>
    <row r="229" spans="1:16" ht="33.75" x14ac:dyDescent="0.2">
      <c r="A229" s="233" t="str">
        <f>VLOOKUP(B229,equip.!$A:$G,2,FALSE)</f>
        <v>Trator agrícola MF 297/4 -4 X 4 (MASSEY FERGUSSON) ou equivalente</v>
      </c>
      <c r="B229" s="234">
        <v>30030</v>
      </c>
      <c r="C229" s="235" t="str">
        <f>VLOOKUP(B229,equip.!$A$1:$G$239,3,FALSE)</f>
        <v>M</v>
      </c>
      <c r="D229" s="236">
        <v>0.7</v>
      </c>
      <c r="E229" s="203">
        <f t="shared" si="1"/>
        <v>0.3</v>
      </c>
      <c r="F229" s="237">
        <f>VLOOKUP(B229,equip.!$A:$G,6,FALSE)</f>
        <v>116.59</v>
      </c>
      <c r="G229" s="237">
        <f>VLOOKUP(B229,equip.!$A:$G,7,FALSE)</f>
        <v>33.1</v>
      </c>
      <c r="H229" s="238">
        <v>1</v>
      </c>
      <c r="I229" s="418">
        <f t="shared" si="0"/>
        <v>91.54</v>
      </c>
      <c r="J229" s="400"/>
      <c r="K229" s="400"/>
      <c r="L229" s="295"/>
      <c r="M229" s="295"/>
      <c r="N229" s="295"/>
      <c r="O229" s="295"/>
      <c r="P229" s="295"/>
    </row>
    <row r="230" spans="1:16" x14ac:dyDescent="0.2">
      <c r="A230" s="199"/>
      <c r="B230" s="229"/>
      <c r="C230" s="229"/>
      <c r="D230" s="199"/>
      <c r="E230" s="199"/>
      <c r="F230" s="230" t="s">
        <v>184</v>
      </c>
      <c r="G230" s="240"/>
      <c r="H230" s="241"/>
      <c r="I230" s="438">
        <f>SUM(I222:I229)</f>
        <v>972.69</v>
      </c>
    </row>
    <row r="231" spans="1:16" x14ac:dyDescent="0.2">
      <c r="A231" s="199"/>
      <c r="B231" s="229"/>
      <c r="C231" s="229"/>
      <c r="D231" s="199"/>
      <c r="E231" s="199"/>
      <c r="F231" s="199"/>
      <c r="G231" s="199"/>
      <c r="H231" s="199"/>
      <c r="I231" s="439"/>
    </row>
    <row r="232" spans="1:16" x14ac:dyDescent="0.2">
      <c r="A232" s="242" t="s">
        <v>185</v>
      </c>
      <c r="B232" s="243" t="s">
        <v>59</v>
      </c>
      <c r="C232" s="232" t="s">
        <v>186</v>
      </c>
      <c r="D232" s="243" t="s">
        <v>187</v>
      </c>
      <c r="E232" s="1111" t="s">
        <v>89</v>
      </c>
      <c r="F232" s="1112"/>
      <c r="G232" s="1113"/>
      <c r="H232" s="1121" t="s">
        <v>183</v>
      </c>
      <c r="I232" s="1115"/>
    </row>
    <row r="233" spans="1:16" x14ac:dyDescent="0.2">
      <c r="A233" s="244" t="str">
        <f>VLOOKUP(B233,m.o.!$A:$H,2,FALSE)</f>
        <v>Encarregado de pista</v>
      </c>
      <c r="B233" s="234">
        <v>20063</v>
      </c>
      <c r="C233" s="239" t="str">
        <f>VLOOKUP(B233,m.o.!$A:$F,3,FALSE)</f>
        <v>h</v>
      </c>
      <c r="D233" s="239">
        <f>VLOOKUP(B233,m.o.!$A:$G,7,FALSE)</f>
        <v>28.31</v>
      </c>
      <c r="E233" s="255"/>
      <c r="F233" s="253"/>
      <c r="G233" s="293">
        <v>0.6</v>
      </c>
      <c r="H233" s="240"/>
      <c r="I233" s="427">
        <f>ROUND(D233*G233,2)</f>
        <v>16.989999999999998</v>
      </c>
    </row>
    <row r="234" spans="1:16" x14ac:dyDescent="0.2">
      <c r="A234" s="244" t="str">
        <f>VLOOKUP(B234,m.o.!$A:$H,2,FALSE)</f>
        <v>Greidista</v>
      </c>
      <c r="B234" s="234">
        <v>20088</v>
      </c>
      <c r="C234" s="239" t="str">
        <f>VLOOKUP(B234,m.o.!$A:$F,3,FALSE)</f>
        <v>h</v>
      </c>
      <c r="D234" s="239">
        <f>VLOOKUP(B234,m.o.!$A:$G,7,FALSE)</f>
        <v>15.53</v>
      </c>
      <c r="E234" s="255"/>
      <c r="F234" s="253"/>
      <c r="G234" s="293">
        <v>1</v>
      </c>
      <c r="H234" s="240"/>
      <c r="I234" s="427">
        <f>ROUND(D234*G234,2)</f>
        <v>15.53</v>
      </c>
    </row>
    <row r="235" spans="1:16" x14ac:dyDescent="0.2">
      <c r="A235" s="244" t="str">
        <f>VLOOKUP(B235,m.o.!$A:$H,2,FALSE)</f>
        <v>Servente</v>
      </c>
      <c r="B235" s="234">
        <v>20002</v>
      </c>
      <c r="C235" s="239" t="str">
        <f>VLOOKUP(B235,m.o.!$A:$F,3,FALSE)</f>
        <v>h</v>
      </c>
      <c r="D235" s="239">
        <f>VLOOKUP(B235,m.o.!$A:$G,7,FALSE)</f>
        <v>12.52</v>
      </c>
      <c r="E235" s="255"/>
      <c r="F235" s="253"/>
      <c r="G235" s="293">
        <v>5</v>
      </c>
      <c r="H235" s="240"/>
      <c r="I235" s="427">
        <f>ROUND(D235*G235,2)</f>
        <v>62.6</v>
      </c>
    </row>
    <row r="236" spans="1:16" x14ac:dyDescent="0.2">
      <c r="A236" s="199"/>
      <c r="B236" s="229"/>
      <c r="C236" s="229"/>
      <c r="D236" s="199"/>
      <c r="E236" s="199"/>
      <c r="F236" s="230" t="s">
        <v>188</v>
      </c>
      <c r="G236" s="240"/>
      <c r="H236" s="241"/>
      <c r="I236" s="438">
        <f>SUM(I233:I235)</f>
        <v>95.12</v>
      </c>
    </row>
    <row r="237" spans="1:16" x14ac:dyDescent="0.2">
      <c r="A237" s="199"/>
      <c r="B237" s="229"/>
      <c r="C237" s="229"/>
      <c r="D237" s="199"/>
      <c r="E237" s="199"/>
      <c r="F237" s="199"/>
      <c r="G237" s="199"/>
      <c r="H237" s="199"/>
      <c r="I237" s="439"/>
    </row>
    <row r="238" spans="1:16" x14ac:dyDescent="0.2">
      <c r="A238" s="245" t="s">
        <v>189</v>
      </c>
      <c r="B238" s="243" t="s">
        <v>59</v>
      </c>
      <c r="C238" s="811" t="s">
        <v>17</v>
      </c>
      <c r="D238" s="243" t="s">
        <v>190</v>
      </c>
      <c r="E238" s="243" t="s">
        <v>191</v>
      </c>
      <c r="F238" s="243" t="s">
        <v>192</v>
      </c>
      <c r="G238" s="1121" t="s">
        <v>94</v>
      </c>
      <c r="H238" s="1114"/>
      <c r="I238" s="1115"/>
    </row>
    <row r="239" spans="1:16" x14ac:dyDescent="0.2">
      <c r="A239" s="199"/>
      <c r="B239" s="229"/>
      <c r="C239" s="199"/>
      <c r="D239" s="199"/>
      <c r="E239" s="199"/>
      <c r="F239" s="230" t="s">
        <v>327</v>
      </c>
      <c r="G239" s="240"/>
      <c r="H239" s="241"/>
      <c r="I239" s="438">
        <v>0</v>
      </c>
    </row>
    <row r="240" spans="1:16" x14ac:dyDescent="0.2">
      <c r="A240" s="199"/>
      <c r="B240" s="229"/>
      <c r="C240" s="199"/>
      <c r="D240" s="199"/>
      <c r="E240" s="199"/>
      <c r="F240" s="199"/>
      <c r="G240" s="199"/>
      <c r="H240" s="199"/>
      <c r="I240" s="439"/>
    </row>
    <row r="241" spans="1:17" x14ac:dyDescent="0.2">
      <c r="A241" s="247"/>
      <c r="B241" s="248"/>
      <c r="C241" s="249"/>
      <c r="D241" s="249"/>
      <c r="E241" s="249"/>
      <c r="F241" s="250" t="s">
        <v>193</v>
      </c>
      <c r="G241" s="401"/>
      <c r="H241" s="249"/>
      <c r="I241" s="445">
        <f>+I230+I236+I239</f>
        <v>1067.81</v>
      </c>
    </row>
    <row r="242" spans="1:17" x14ac:dyDescent="0.2">
      <c r="A242" s="251"/>
      <c r="B242" s="252"/>
      <c r="C242" s="253"/>
      <c r="D242" s="253"/>
      <c r="E242" s="253"/>
      <c r="F242" s="254" t="s">
        <v>194</v>
      </c>
      <c r="G242" s="255"/>
      <c r="H242" s="253"/>
      <c r="I242" s="446">
        <v>48</v>
      </c>
    </row>
    <row r="243" spans="1:17" x14ac:dyDescent="0.2">
      <c r="A243" s="233"/>
      <c r="B243" s="256"/>
      <c r="C243" s="241"/>
      <c r="D243" s="241"/>
      <c r="E243" s="241"/>
      <c r="F243" s="257" t="s">
        <v>216</v>
      </c>
      <c r="G243" s="240"/>
      <c r="H243" s="241"/>
      <c r="I243" s="447">
        <f>ROUND(I241/I242,2)</f>
        <v>22.25</v>
      </c>
    </row>
    <row r="244" spans="1:17" x14ac:dyDescent="0.2">
      <c r="A244" s="812"/>
      <c r="B244" s="229"/>
      <c r="C244" s="199"/>
      <c r="D244" s="199"/>
      <c r="E244" s="199"/>
      <c r="F244" s="258"/>
      <c r="G244" s="199"/>
      <c r="H244" s="199"/>
      <c r="I244" s="450"/>
    </row>
    <row r="245" spans="1:17" x14ac:dyDescent="0.2">
      <c r="A245" s="242" t="s">
        <v>195</v>
      </c>
      <c r="B245" s="243" t="s">
        <v>59</v>
      </c>
      <c r="C245" s="243" t="s">
        <v>196</v>
      </c>
      <c r="D245" s="243" t="s">
        <v>217</v>
      </c>
      <c r="E245" s="1121" t="s">
        <v>89</v>
      </c>
      <c r="F245" s="1114"/>
      <c r="G245" s="1115"/>
      <c r="H245" s="1121" t="s">
        <v>63</v>
      </c>
      <c r="I245" s="1115"/>
    </row>
    <row r="246" spans="1:17" x14ac:dyDescent="0.2">
      <c r="A246" s="259" t="str">
        <f>VLOOKUP(B246,mat.!$A:$D,2,FALSE)</f>
        <v>Brita 0 (incl. 0% IUM) sem frete</v>
      </c>
      <c r="B246" s="234">
        <v>10113</v>
      </c>
      <c r="C246" s="260" t="str">
        <f>VLOOKUP(B246,mat.!$A:$D,3,FALSE)</f>
        <v>m3</v>
      </c>
      <c r="D246" s="261">
        <f>VLOOKUP(B246,mat.!$A:$D,4,FALSE)</f>
        <v>90.34</v>
      </c>
      <c r="E246" s="255"/>
      <c r="F246" s="253"/>
      <c r="G246" s="293">
        <v>0.16</v>
      </c>
      <c r="H246" s="255"/>
      <c r="I246" s="423">
        <f>TRUNC(D246*G246,2)</f>
        <v>14.45</v>
      </c>
      <c r="J246" s="400"/>
      <c r="K246" s="400"/>
      <c r="L246" s="295"/>
      <c r="M246" s="295"/>
      <c r="N246" s="295"/>
      <c r="O246" s="295"/>
      <c r="P246" s="295"/>
    </row>
    <row r="247" spans="1:17" x14ac:dyDescent="0.2">
      <c r="A247" s="259" t="str">
        <f>VLOOKUP(B247,mat.!$A:$D,2,FALSE)</f>
        <v>Brita 2 (incl. 0% IUM) sem frete</v>
      </c>
      <c r="B247" s="234">
        <v>10115</v>
      </c>
      <c r="C247" s="260" t="str">
        <f>VLOOKUP(B247,mat.!$A:$D,3,FALSE)</f>
        <v>m3</v>
      </c>
      <c r="D247" s="261">
        <f>VLOOKUP(B247,mat.!$A:$D,4,FALSE)</f>
        <v>70.75</v>
      </c>
      <c r="E247" s="255"/>
      <c r="F247" s="253"/>
      <c r="G247" s="293">
        <v>0.48</v>
      </c>
      <c r="H247" s="255"/>
      <c r="I247" s="423">
        <f>TRUNC(D247*G247,2)</f>
        <v>33.96</v>
      </c>
      <c r="J247" s="400"/>
      <c r="K247" s="400"/>
      <c r="L247" s="295"/>
      <c r="M247" s="295"/>
      <c r="N247" s="295"/>
      <c r="O247" s="295"/>
      <c r="P247" s="295"/>
    </row>
    <row r="248" spans="1:17" x14ac:dyDescent="0.2">
      <c r="A248" s="259" t="str">
        <f>VLOOKUP(B248,mat.!$A:$D,2,FALSE)</f>
        <v>Pó de pedra (incl. 0% IUM) s/ frete</v>
      </c>
      <c r="B248" s="234">
        <v>10120</v>
      </c>
      <c r="C248" s="260" t="str">
        <f>VLOOKUP(B248,mat.!$A:$D,3,FALSE)</f>
        <v>m3</v>
      </c>
      <c r="D248" s="261">
        <f>VLOOKUP(B248,mat.!$A:$D,4,FALSE)</f>
        <v>50.87</v>
      </c>
      <c r="E248" s="255"/>
      <c r="F248" s="253"/>
      <c r="G248" s="293">
        <v>0.48</v>
      </c>
      <c r="H248" s="255"/>
      <c r="I248" s="423">
        <f>TRUNC(D248*G248,2)</f>
        <v>24.41</v>
      </c>
      <c r="J248" s="400"/>
      <c r="K248" s="400"/>
      <c r="L248" s="295"/>
      <c r="M248" s="295"/>
      <c r="N248" s="295"/>
      <c r="O248" s="295"/>
      <c r="P248" s="295"/>
    </row>
    <row r="249" spans="1:17" x14ac:dyDescent="0.2">
      <c r="A249" s="199"/>
      <c r="B249" s="229"/>
      <c r="C249" s="199"/>
      <c r="D249" s="199"/>
      <c r="E249" s="199"/>
      <c r="F249" s="230" t="s">
        <v>197</v>
      </c>
      <c r="G249" s="240"/>
      <c r="H249" s="241"/>
      <c r="I249" s="438">
        <f>SUM(I246:I248)</f>
        <v>72.819999999999993</v>
      </c>
    </row>
    <row r="250" spans="1:17" x14ac:dyDescent="0.2">
      <c r="A250" s="199"/>
      <c r="B250" s="229"/>
      <c r="C250" s="199"/>
      <c r="D250" s="199"/>
      <c r="E250" s="199"/>
      <c r="F250" s="199"/>
      <c r="G250" s="262"/>
      <c r="H250" s="199"/>
      <c r="I250" s="439"/>
    </row>
    <row r="251" spans="1:17" x14ac:dyDescent="0.2">
      <c r="A251" s="263" t="s">
        <v>198</v>
      </c>
      <c r="B251" s="243" t="s">
        <v>59</v>
      </c>
      <c r="C251" s="243" t="s">
        <v>196</v>
      </c>
      <c r="D251" s="811" t="s">
        <v>217</v>
      </c>
      <c r="E251" s="1111" t="s">
        <v>89</v>
      </c>
      <c r="F251" s="1112"/>
      <c r="G251" s="1113"/>
      <c r="H251" s="1121" t="s">
        <v>63</v>
      </c>
      <c r="I251" s="1115"/>
      <c r="J251" s="295"/>
      <c r="L251" s="22"/>
      <c r="M251" s="22"/>
      <c r="N251" s="22"/>
    </row>
    <row r="252" spans="1:17" x14ac:dyDescent="0.2">
      <c r="A252" s="200"/>
      <c r="B252" s="264"/>
      <c r="C252" s="200"/>
      <c r="D252" s="200"/>
      <c r="E252" s="200"/>
      <c r="F252" s="265" t="s">
        <v>199</v>
      </c>
      <c r="G252" s="255"/>
      <c r="H252" s="266"/>
      <c r="I252" s="441">
        <v>0</v>
      </c>
      <c r="J252" s="295"/>
    </row>
    <row r="253" spans="1:17" x14ac:dyDescent="0.2">
      <c r="A253" s="200"/>
      <c r="B253" s="264"/>
      <c r="C253" s="200"/>
      <c r="D253" s="200"/>
      <c r="E253" s="200"/>
      <c r="F253" s="200"/>
      <c r="G253" s="200"/>
      <c r="H253" s="200"/>
      <c r="I253" s="440"/>
      <c r="J253" s="295"/>
    </row>
    <row r="254" spans="1:17" x14ac:dyDescent="0.2">
      <c r="A254" s="267" t="s">
        <v>200</v>
      </c>
      <c r="B254" s="268" t="s">
        <v>59</v>
      </c>
      <c r="C254" s="268" t="s">
        <v>196</v>
      </c>
      <c r="D254" s="268" t="s">
        <v>201</v>
      </c>
      <c r="E254" s="268" t="s">
        <v>202</v>
      </c>
      <c r="F254" s="268" t="s">
        <v>203</v>
      </c>
      <c r="G254" s="268" t="s">
        <v>94</v>
      </c>
      <c r="H254" s="268" t="s">
        <v>89</v>
      </c>
      <c r="I254" s="442" t="s">
        <v>204</v>
      </c>
    </row>
    <row r="255" spans="1:17" x14ac:dyDescent="0.2">
      <c r="A255" s="259" t="str">
        <f>VLOOKUP(B255,transp.!A:D,2,FALSE)</f>
        <v>Transporte de Brita 0</v>
      </c>
      <c r="B255" s="417">
        <v>1028</v>
      </c>
      <c r="C255" s="417" t="str">
        <f>VLOOKUP(B255,transp.!$A:$J,3,FALSE)</f>
        <v xml:space="preserve"> t  </v>
      </c>
      <c r="D255" s="784" t="str">
        <f>VLOOKUP(B255,transp.!$A:$J,4,FALSE)</f>
        <v>0,719XP + 0,749XR + 2,997</v>
      </c>
      <c r="E255" s="455">
        <f>VLOOKUP(J255,Dis!$B:$F,4,FALSE)</f>
        <v>12.9</v>
      </c>
      <c r="F255" s="455">
        <f>VLOOKUP(J255,Dis!$B:$F,5,FALSE)</f>
        <v>2.4500000000000002</v>
      </c>
      <c r="G255" s="418">
        <f>TRUNC(VLOOKUP(B255,transp.!$A:$J,5,FALSE)*E255+VLOOKUP(B255,transp.!$A:$J,6,FALSE)*F255+VLOOKUP(B255,transp.!$A:$J,7,FALSE),2)</f>
        <v>14.1</v>
      </c>
      <c r="H255" s="456">
        <v>0.24</v>
      </c>
      <c r="I255" s="418">
        <f>TRUNC(G255*H255,2)</f>
        <v>3.38</v>
      </c>
      <c r="J255" s="22" t="s">
        <v>637</v>
      </c>
      <c r="K255" s="415"/>
      <c r="L255" s="198"/>
      <c r="M255" s="198"/>
      <c r="N255" s="198"/>
      <c r="O255" s="198"/>
      <c r="P255" s="198"/>
      <c r="Q255" s="198"/>
    </row>
    <row r="256" spans="1:17" ht="22.5" x14ac:dyDescent="0.2">
      <c r="A256" s="259" t="str">
        <f>VLOOKUP(B256,transp.!A:D,2,FALSE)</f>
        <v>Transp. De Brita 2 (incl. 0% IUM) s/ frete</v>
      </c>
      <c r="B256" s="417">
        <v>1239</v>
      </c>
      <c r="C256" s="417" t="str">
        <f>VLOOKUP(B256,transp.!$A:$J,3,FALSE)</f>
        <v>t</v>
      </c>
      <c r="D256" s="784" t="str">
        <f>VLOOKUP(B256,transp.!$A:$J,4,FALSE)</f>
        <v>0,719XP + 0,749XR + 2,997</v>
      </c>
      <c r="E256" s="455">
        <f>VLOOKUP(J256,Dis!$B:$F,4,FALSE)</f>
        <v>12.9</v>
      </c>
      <c r="F256" s="455">
        <f>VLOOKUP(J256,Dis!$B:$F,5,FALSE)</f>
        <v>2.4500000000000002</v>
      </c>
      <c r="G256" s="418">
        <f>TRUNC(VLOOKUP(B256,transp.!$A:$J,5,FALSE)*E256+VLOOKUP(B256,transp.!$A:$J,6,FALSE)*F256+VLOOKUP(B256,transp.!$A:$J,7,FALSE),2)</f>
        <v>14.1</v>
      </c>
      <c r="H256" s="456">
        <v>0.72</v>
      </c>
      <c r="I256" s="418">
        <f>TRUNC(G256*H256,2)</f>
        <v>10.15</v>
      </c>
      <c r="J256" s="22" t="s">
        <v>637</v>
      </c>
      <c r="K256" s="415"/>
      <c r="L256" s="198"/>
      <c r="M256" s="198"/>
      <c r="N256" s="198"/>
      <c r="O256" s="198"/>
      <c r="P256" s="198"/>
      <c r="Q256" s="198"/>
    </row>
    <row r="257" spans="1:17" ht="22.5" x14ac:dyDescent="0.2">
      <c r="A257" s="259" t="str">
        <f>VLOOKUP(B257,transp.!A:D,2,FALSE)</f>
        <v>Transporte de pó de pedra (Incl. 0% IUM) s/ frete</v>
      </c>
      <c r="B257" s="417">
        <v>1029</v>
      </c>
      <c r="C257" s="417" t="str">
        <f>VLOOKUP(B257,transp.!$A:$J,3,FALSE)</f>
        <v xml:space="preserve"> t  </v>
      </c>
      <c r="D257" s="784" t="str">
        <f>VLOOKUP(B257,transp.!$A:$J,4,FALSE)</f>
        <v>0,719XP + 0,749XR + 2,997</v>
      </c>
      <c r="E257" s="455">
        <f>VLOOKUP(J257,Dis!$B:$F,4,FALSE)</f>
        <v>12.9</v>
      </c>
      <c r="F257" s="455">
        <f>VLOOKUP(J257,Dis!$B:$F,5,FALSE)</f>
        <v>2.4500000000000002</v>
      </c>
      <c r="G257" s="418">
        <f>TRUNC(VLOOKUP(B257,transp.!$A:$J,5,FALSE)*E257+VLOOKUP(B257,transp.!$A:$J,6,FALSE)*F257+VLOOKUP(B257,transp.!$A:$J,7,FALSE),2)</f>
        <v>14.1</v>
      </c>
      <c r="H257" s="456">
        <v>0.72</v>
      </c>
      <c r="I257" s="418">
        <f>TRUNC(G257*H257,2)</f>
        <v>10.15</v>
      </c>
      <c r="J257" s="22" t="s">
        <v>638</v>
      </c>
      <c r="K257" s="415"/>
      <c r="L257" s="198"/>
      <c r="M257" s="198"/>
      <c r="N257" s="198"/>
      <c r="O257" s="198"/>
      <c r="P257" s="198"/>
      <c r="Q257" s="198"/>
    </row>
    <row r="258" spans="1:17" x14ac:dyDescent="0.2">
      <c r="A258" s="200"/>
      <c r="B258" s="264"/>
      <c r="C258" s="200"/>
      <c r="D258" s="200"/>
      <c r="E258" s="200"/>
      <c r="F258" s="265" t="s">
        <v>205</v>
      </c>
      <c r="G258" s="240"/>
      <c r="H258" s="272"/>
      <c r="I258" s="443">
        <f>SUM(I255:I257)</f>
        <v>23.68</v>
      </c>
    </row>
    <row r="259" spans="1:17" x14ac:dyDescent="0.2">
      <c r="A259" s="200"/>
      <c r="B259" s="264"/>
      <c r="C259" s="200"/>
      <c r="D259" s="200"/>
      <c r="E259" s="200"/>
      <c r="F259" s="200"/>
      <c r="G259" s="200"/>
      <c r="H259" s="200"/>
      <c r="I259" s="444"/>
    </row>
    <row r="260" spans="1:17" x14ac:dyDescent="0.2">
      <c r="A260" s="273"/>
      <c r="B260" s="274"/>
      <c r="C260" s="275"/>
      <c r="D260" s="275"/>
      <c r="E260" s="275"/>
      <c r="F260" s="276" t="s">
        <v>206</v>
      </c>
      <c r="G260" s="273"/>
      <c r="H260" s="249"/>
      <c r="I260" s="445">
        <f>+I243+I249+I252+I258</f>
        <v>118.75</v>
      </c>
    </row>
    <row r="261" spans="1:17" x14ac:dyDescent="0.2">
      <c r="A261" s="255"/>
      <c r="B261" s="277"/>
      <c r="C261" s="266"/>
      <c r="D261" s="266"/>
      <c r="E261" s="266"/>
      <c r="F261" s="278" t="str">
        <f>CONCATENATE($H$3," ",$I$3)</f>
        <v>BDI: 23,32</v>
      </c>
      <c r="G261" s="403"/>
      <c r="H261" s="253"/>
      <c r="I261" s="446">
        <f>+ROUND(I260*$I$4,2)</f>
        <v>27.69</v>
      </c>
    </row>
    <row r="262" spans="1:17" x14ac:dyDescent="0.2">
      <c r="A262" s="240"/>
      <c r="B262" s="279"/>
      <c r="C262" s="272"/>
      <c r="D262" s="272"/>
      <c r="E262" s="272"/>
      <c r="F262" s="280" t="s">
        <v>207</v>
      </c>
      <c r="G262" s="404"/>
      <c r="H262" s="241"/>
      <c r="I262" s="720">
        <f>+I260+I261</f>
        <v>146.44</v>
      </c>
    </row>
    <row r="263" spans="1:17" x14ac:dyDescent="0.2">
      <c r="A263" s="1116" t="s">
        <v>213</v>
      </c>
      <c r="B263" s="1116"/>
      <c r="C263" s="1116"/>
      <c r="D263" s="1116"/>
      <c r="E263" s="1116"/>
      <c r="F263" s="1116"/>
      <c r="G263" s="1116"/>
      <c r="H263" s="1116"/>
      <c r="I263" s="1116"/>
    </row>
    <row r="264" spans="1:17" x14ac:dyDescent="0.2">
      <c r="A264" s="228" t="str">
        <f>$A$2</f>
        <v>Tabela Referencial de Preços - DER-ES - sem desoneração</v>
      </c>
      <c r="B264" s="229"/>
      <c r="C264" s="199"/>
      <c r="D264" s="199"/>
      <c r="E264" s="199"/>
      <c r="F264" s="199"/>
      <c r="G264" s="199"/>
      <c r="H264" s="199"/>
      <c r="I264" s="414" t="str">
        <f>$I$2</f>
        <v>Data Base: novembro/2020</v>
      </c>
    </row>
    <row r="265" spans="1:17" ht="14.25" customHeight="1" x14ac:dyDescent="0.2">
      <c r="A265" s="1117" t="str">
        <f>+CONCATENATE("Serviço: ",J265," ",L265)</f>
        <v>Serviço: PR-008 Caixa Coletora  para BSTC  Ø 0,80  H-&gt; 1,60m</v>
      </c>
      <c r="B265" s="1117"/>
      <c r="C265" s="1117"/>
      <c r="D265" s="1117"/>
      <c r="E265" s="1117"/>
      <c r="F265" s="1117"/>
      <c r="G265" s="1117"/>
      <c r="H265" s="1117"/>
      <c r="I265" s="1119" t="str">
        <f>CONCATENATE("Unidade: ", M265)</f>
        <v>Unidade: m3</v>
      </c>
      <c r="J265" s="360" t="s">
        <v>670</v>
      </c>
      <c r="K265" s="780">
        <f>VLOOKUP("Preço Unitário Total",F266:I294,4,FALSE)</f>
        <v>1943.78</v>
      </c>
      <c r="L265" s="1058" t="s">
        <v>531</v>
      </c>
      <c r="M265" s="393" t="s">
        <v>407</v>
      </c>
    </row>
    <row r="266" spans="1:17" x14ac:dyDescent="0.2">
      <c r="A266" s="1118"/>
      <c r="B266" s="1118"/>
      <c r="C266" s="1118"/>
      <c r="D266" s="1118"/>
      <c r="E266" s="1118"/>
      <c r="F266" s="1118"/>
      <c r="G266" s="1118"/>
      <c r="H266" s="1118"/>
      <c r="I266" s="1120"/>
      <c r="L266" s="1058"/>
    </row>
    <row r="267" spans="1:17" ht="22.5" x14ac:dyDescent="0.2">
      <c r="A267" s="231" t="s">
        <v>177</v>
      </c>
      <c r="B267" s="232" t="s">
        <v>59</v>
      </c>
      <c r="C267" s="232" t="s">
        <v>178</v>
      </c>
      <c r="D267" s="232" t="s">
        <v>179</v>
      </c>
      <c r="E267" s="232" t="s">
        <v>180</v>
      </c>
      <c r="F267" s="232" t="s">
        <v>181</v>
      </c>
      <c r="G267" s="232" t="s">
        <v>182</v>
      </c>
      <c r="H267" s="232" t="s">
        <v>89</v>
      </c>
      <c r="I267" s="434" t="s">
        <v>183</v>
      </c>
      <c r="L267" s="1058"/>
    </row>
    <row r="268" spans="1:17" x14ac:dyDescent="0.2">
      <c r="A268" s="199"/>
      <c r="B268" s="229"/>
      <c r="C268" s="229"/>
      <c r="D268" s="199"/>
      <c r="E268" s="199"/>
      <c r="F268" s="230" t="s">
        <v>184</v>
      </c>
      <c r="G268" s="240"/>
      <c r="H268" s="241"/>
      <c r="I268" s="438">
        <v>0</v>
      </c>
    </row>
    <row r="269" spans="1:17" x14ac:dyDescent="0.2">
      <c r="A269" s="199"/>
      <c r="B269" s="229"/>
      <c r="C269" s="229"/>
      <c r="D269" s="199"/>
      <c r="E269" s="199"/>
      <c r="F269" s="199"/>
      <c r="G269" s="199"/>
      <c r="H269" s="199"/>
      <c r="I269" s="439"/>
    </row>
    <row r="270" spans="1:17" x14ac:dyDescent="0.2">
      <c r="A270" s="242" t="s">
        <v>185</v>
      </c>
      <c r="B270" s="243" t="s">
        <v>59</v>
      </c>
      <c r="C270" s="232" t="s">
        <v>186</v>
      </c>
      <c r="D270" s="243" t="s">
        <v>187</v>
      </c>
      <c r="E270" s="1111" t="s">
        <v>89</v>
      </c>
      <c r="F270" s="1112"/>
      <c r="G270" s="1113"/>
      <c r="H270" s="1121" t="s">
        <v>183</v>
      </c>
      <c r="I270" s="1115"/>
    </row>
    <row r="271" spans="1:17" x14ac:dyDescent="0.2">
      <c r="A271" s="244" t="str">
        <f>VLOOKUP(B271,m.o.!$A:$H,2,FALSE)</f>
        <v>Encarregado de O.A.C.</v>
      </c>
      <c r="B271" s="234">
        <v>20060</v>
      </c>
      <c r="C271" s="239" t="str">
        <f>VLOOKUP(B271,m.o.!$A:$F,3,FALSE)</f>
        <v>h</v>
      </c>
      <c r="D271" s="239">
        <f>VLOOKUP(B271,m.o.!$A:$G,7,FALSE)</f>
        <v>28.31</v>
      </c>
      <c r="E271" s="255"/>
      <c r="F271" s="253"/>
      <c r="G271" s="293">
        <v>12.9</v>
      </c>
      <c r="H271" s="240"/>
      <c r="I271" s="427">
        <f>ROUND(D271*G271,2)</f>
        <v>365.2</v>
      </c>
    </row>
    <row r="272" spans="1:17" x14ac:dyDescent="0.2">
      <c r="A272" s="199"/>
      <c r="B272" s="229"/>
      <c r="C272" s="229"/>
      <c r="D272" s="199"/>
      <c r="E272" s="199"/>
      <c r="F272" s="230" t="s">
        <v>188</v>
      </c>
      <c r="G272" s="240"/>
      <c r="H272" s="241"/>
      <c r="I272" s="438">
        <f>SUM(I271:I271)</f>
        <v>365.2</v>
      </c>
    </row>
    <row r="273" spans="1:17" x14ac:dyDescent="0.2">
      <c r="A273" s="199"/>
      <c r="B273" s="229"/>
      <c r="C273" s="229"/>
      <c r="D273" s="199"/>
      <c r="E273" s="199"/>
      <c r="F273" s="199"/>
      <c r="G273" s="199"/>
      <c r="H273" s="199"/>
      <c r="I273" s="439"/>
    </row>
    <row r="274" spans="1:17" x14ac:dyDescent="0.2">
      <c r="A274" s="245" t="s">
        <v>189</v>
      </c>
      <c r="B274" s="243" t="s">
        <v>59</v>
      </c>
      <c r="C274" s="827" t="s">
        <v>17</v>
      </c>
      <c r="D274" s="243" t="s">
        <v>190</v>
      </c>
      <c r="E274" s="243" t="s">
        <v>191</v>
      </c>
      <c r="F274" s="243" t="s">
        <v>192</v>
      </c>
      <c r="G274" s="1121" t="s">
        <v>94</v>
      </c>
      <c r="H274" s="1114"/>
      <c r="I274" s="1115"/>
    </row>
    <row r="275" spans="1:17" x14ac:dyDescent="0.2">
      <c r="A275" s="199"/>
      <c r="B275" s="229"/>
      <c r="C275" s="199"/>
      <c r="D275" s="199"/>
      <c r="E275" s="199"/>
      <c r="F275" s="230" t="s">
        <v>327</v>
      </c>
      <c r="G275" s="240"/>
      <c r="H275" s="241"/>
      <c r="I275" s="438">
        <v>0</v>
      </c>
    </row>
    <row r="276" spans="1:17" x14ac:dyDescent="0.2">
      <c r="A276" s="199"/>
      <c r="B276" s="229"/>
      <c r="C276" s="199"/>
      <c r="D276" s="199"/>
      <c r="E276" s="199"/>
      <c r="F276" s="199"/>
      <c r="G276" s="199"/>
      <c r="H276" s="199"/>
      <c r="I276" s="439"/>
    </row>
    <row r="277" spans="1:17" x14ac:dyDescent="0.2">
      <c r="A277" s="247"/>
      <c r="B277" s="248"/>
      <c r="C277" s="249"/>
      <c r="D277" s="249"/>
      <c r="E277" s="249"/>
      <c r="F277" s="250" t="s">
        <v>193</v>
      </c>
      <c r="G277" s="401"/>
      <c r="H277" s="249"/>
      <c r="I277" s="445">
        <f>+I268+I272+I275</f>
        <v>365.2</v>
      </c>
    </row>
    <row r="278" spans="1:17" x14ac:dyDescent="0.2">
      <c r="A278" s="251"/>
      <c r="B278" s="252"/>
      <c r="C278" s="253"/>
      <c r="D278" s="253"/>
      <c r="E278" s="253"/>
      <c r="F278" s="254" t="s">
        <v>194</v>
      </c>
      <c r="G278" s="255"/>
      <c r="H278" s="253"/>
      <c r="I278" s="446">
        <v>48</v>
      </c>
    </row>
    <row r="279" spans="1:17" x14ac:dyDescent="0.2">
      <c r="A279" s="233"/>
      <c r="B279" s="256"/>
      <c r="C279" s="241"/>
      <c r="D279" s="241"/>
      <c r="E279" s="241"/>
      <c r="F279" s="257" t="s">
        <v>216</v>
      </c>
      <c r="G279" s="240"/>
      <c r="H279" s="241"/>
      <c r="I279" s="447">
        <f>ROUND(I277/I278,2)</f>
        <v>7.61</v>
      </c>
    </row>
    <row r="280" spans="1:17" x14ac:dyDescent="0.2">
      <c r="A280" s="826"/>
      <c r="B280" s="229"/>
      <c r="C280" s="199"/>
      <c r="D280" s="199"/>
      <c r="E280" s="199"/>
      <c r="F280" s="258"/>
      <c r="G280" s="199"/>
      <c r="H280" s="199"/>
      <c r="I280" s="450"/>
    </row>
    <row r="281" spans="1:17" x14ac:dyDescent="0.2">
      <c r="A281" s="242" t="s">
        <v>195</v>
      </c>
      <c r="B281" s="243" t="s">
        <v>59</v>
      </c>
      <c r="C281" s="243" t="s">
        <v>196</v>
      </c>
      <c r="D281" s="243" t="s">
        <v>217</v>
      </c>
      <c r="E281" s="1121" t="s">
        <v>89</v>
      </c>
      <c r="F281" s="1114"/>
      <c r="G281" s="1115"/>
      <c r="H281" s="1121" t="s">
        <v>63</v>
      </c>
      <c r="I281" s="1115"/>
    </row>
    <row r="282" spans="1:17" x14ac:dyDescent="0.2">
      <c r="A282" s="199"/>
      <c r="B282" s="229"/>
      <c r="C282" s="199"/>
      <c r="D282" s="199"/>
      <c r="E282" s="199"/>
      <c r="F282" s="230" t="s">
        <v>197</v>
      </c>
      <c r="G282" s="240"/>
      <c r="H282" s="241"/>
      <c r="I282" s="438">
        <v>0</v>
      </c>
    </row>
    <row r="283" spans="1:17" x14ac:dyDescent="0.2">
      <c r="A283" s="199"/>
      <c r="B283" s="229"/>
      <c r="C283" s="199"/>
      <c r="D283" s="199"/>
      <c r="E283" s="199"/>
      <c r="F283" s="199"/>
      <c r="G283" s="262"/>
      <c r="H283" s="199"/>
      <c r="I283" s="439"/>
    </row>
    <row r="284" spans="1:17" x14ac:dyDescent="0.2">
      <c r="A284" s="263" t="s">
        <v>198</v>
      </c>
      <c r="B284" s="243" t="s">
        <v>59</v>
      </c>
      <c r="C284" s="243" t="s">
        <v>196</v>
      </c>
      <c r="D284" s="827" t="s">
        <v>217</v>
      </c>
      <c r="E284" s="1111" t="s">
        <v>89</v>
      </c>
      <c r="F284" s="1112"/>
      <c r="G284" s="1113"/>
      <c r="H284" s="1121" t="s">
        <v>63</v>
      </c>
      <c r="I284" s="1115"/>
      <c r="J284" s="295"/>
      <c r="L284" s="22"/>
      <c r="M284" s="22"/>
      <c r="N284" s="22"/>
    </row>
    <row r="285" spans="1:17" ht="45" x14ac:dyDescent="0.2">
      <c r="A285" s="416" t="str">
        <f>VLOOKUP(B285,'DER 11-20'!$A:$E,2,FALSE)</f>
        <v>Formas planas de madeira com 02 (dois) reaproveitamentos, inclusive fornecimento e transporte das madeiras</v>
      </c>
      <c r="B285" s="417">
        <v>40312</v>
      </c>
      <c r="C285" s="417" t="str">
        <f>VLOOKUP(B285,'DER 11-20'!$A:$E,3,FALSE)</f>
        <v>M2</v>
      </c>
      <c r="D285" s="418">
        <f>TRUNC(VLOOKUP(B285,'DER 11-20'!$A:$F,6,FALSE)/(1+$I$4),2)</f>
        <v>84.31</v>
      </c>
      <c r="E285" s="419"/>
      <c r="F285" s="420"/>
      <c r="G285" s="790">
        <v>7.96</v>
      </c>
      <c r="H285" s="422"/>
      <c r="I285" s="423">
        <f>TRUNC(D285*G285,2)</f>
        <v>671.1</v>
      </c>
      <c r="J285" s="415"/>
      <c r="K285" s="415"/>
      <c r="L285" s="198"/>
      <c r="M285" s="198"/>
      <c r="N285" s="198"/>
      <c r="O285" s="198"/>
      <c r="P285" s="198"/>
      <c r="Q285" s="198"/>
    </row>
    <row r="286" spans="1:17" ht="22.5" x14ac:dyDescent="0.2">
      <c r="A286" s="416" t="str">
        <f>VLOOKUP(B286,'DER 11-20'!$A:$E,2,FALSE)</f>
        <v>Concreto estrutural fck = 15,0 MPa, tudo incluído</v>
      </c>
      <c r="B286" s="417">
        <v>40358</v>
      </c>
      <c r="C286" s="417" t="str">
        <f>VLOOKUP(B286,'DER 11-20'!$A:$E,3,FALSE)</f>
        <v>M3</v>
      </c>
      <c r="D286" s="418">
        <f>TRUNC(VLOOKUP(B286,'DER 11-20'!$A:$F,6,FALSE)/(1+$I$4),2)</f>
        <v>547.26</v>
      </c>
      <c r="E286" s="419"/>
      <c r="F286" s="420"/>
      <c r="G286" s="790">
        <v>1.64</v>
      </c>
      <c r="H286" s="422"/>
      <c r="I286" s="423">
        <f>TRUNC(D286*G286,2)</f>
        <v>897.5</v>
      </c>
      <c r="J286" s="415"/>
      <c r="K286" s="415"/>
      <c r="L286" s="198"/>
      <c r="M286" s="198"/>
      <c r="N286" s="198"/>
      <c r="O286" s="198"/>
      <c r="P286" s="198"/>
      <c r="Q286" s="198"/>
    </row>
    <row r="287" spans="1:17" x14ac:dyDescent="0.2">
      <c r="A287" s="200"/>
      <c r="B287" s="264"/>
      <c r="C287" s="200"/>
      <c r="D287" s="200"/>
      <c r="E287" s="200"/>
      <c r="F287" s="265" t="s">
        <v>199</v>
      </c>
      <c r="G287" s="255"/>
      <c r="H287" s="266"/>
      <c r="I287" s="441">
        <f>SUM(I285:I286)</f>
        <v>1568.6</v>
      </c>
      <c r="J287" s="295"/>
    </row>
    <row r="288" spans="1:17" x14ac:dyDescent="0.2">
      <c r="A288" s="200"/>
      <c r="B288" s="264"/>
      <c r="C288" s="200"/>
      <c r="D288" s="200"/>
      <c r="E288" s="200"/>
      <c r="F288" s="200"/>
      <c r="G288" s="200"/>
      <c r="H288" s="200"/>
      <c r="I288" s="440"/>
      <c r="J288" s="295"/>
    </row>
    <row r="289" spans="1:13" x14ac:dyDescent="0.2">
      <c r="A289" s="267" t="s">
        <v>200</v>
      </c>
      <c r="B289" s="268" t="s">
        <v>59</v>
      </c>
      <c r="C289" s="268" t="s">
        <v>196</v>
      </c>
      <c r="D289" s="268" t="s">
        <v>201</v>
      </c>
      <c r="E289" s="268" t="s">
        <v>202</v>
      </c>
      <c r="F289" s="268" t="s">
        <v>203</v>
      </c>
      <c r="G289" s="268" t="s">
        <v>94</v>
      </c>
      <c r="H289" s="268" t="s">
        <v>89</v>
      </c>
      <c r="I289" s="442" t="s">
        <v>204</v>
      </c>
    </row>
    <row r="290" spans="1:13" x14ac:dyDescent="0.2">
      <c r="A290" s="200"/>
      <c r="B290" s="264"/>
      <c r="C290" s="200"/>
      <c r="D290" s="200"/>
      <c r="E290" s="200"/>
      <c r="F290" s="265" t="s">
        <v>205</v>
      </c>
      <c r="G290" s="240"/>
      <c r="H290" s="272"/>
      <c r="I290" s="443">
        <v>0</v>
      </c>
    </row>
    <row r="291" spans="1:13" x14ac:dyDescent="0.2">
      <c r="A291" s="200"/>
      <c r="B291" s="264"/>
      <c r="C291" s="200"/>
      <c r="D291" s="200"/>
      <c r="E291" s="200"/>
      <c r="F291" s="200"/>
      <c r="G291" s="200"/>
      <c r="H291" s="200"/>
      <c r="I291" s="444"/>
    </row>
    <row r="292" spans="1:13" x14ac:dyDescent="0.2">
      <c r="A292" s="273"/>
      <c r="B292" s="274"/>
      <c r="C292" s="275"/>
      <c r="D292" s="275"/>
      <c r="E292" s="275"/>
      <c r="F292" s="276" t="s">
        <v>206</v>
      </c>
      <c r="G292" s="273"/>
      <c r="H292" s="249"/>
      <c r="I292" s="445">
        <f>+I279+I282+I287+I290</f>
        <v>1576.21</v>
      </c>
    </row>
    <row r="293" spans="1:13" x14ac:dyDescent="0.2">
      <c r="A293" s="255"/>
      <c r="B293" s="277"/>
      <c r="C293" s="266"/>
      <c r="D293" s="266"/>
      <c r="E293" s="266"/>
      <c r="F293" s="278" t="str">
        <f>CONCATENATE($H$3," ",$I$3)</f>
        <v>BDI: 23,32</v>
      </c>
      <c r="G293" s="403"/>
      <c r="H293" s="253"/>
      <c r="I293" s="446">
        <f>+ROUND(I292*$I$4,2)</f>
        <v>367.57</v>
      </c>
    </row>
    <row r="294" spans="1:13" x14ac:dyDescent="0.2">
      <c r="A294" s="240"/>
      <c r="B294" s="279"/>
      <c r="C294" s="272"/>
      <c r="D294" s="272"/>
      <c r="E294" s="272"/>
      <c r="F294" s="280" t="s">
        <v>207</v>
      </c>
      <c r="G294" s="404"/>
      <c r="H294" s="241"/>
      <c r="I294" s="720">
        <f>+I292+I293</f>
        <v>1943.78</v>
      </c>
    </row>
    <row r="295" spans="1:13" x14ac:dyDescent="0.2">
      <c r="A295" s="1116" t="s">
        <v>213</v>
      </c>
      <c r="B295" s="1116"/>
      <c r="C295" s="1116"/>
      <c r="D295" s="1116"/>
      <c r="E295" s="1116"/>
      <c r="F295" s="1116"/>
      <c r="G295" s="1116"/>
      <c r="H295" s="1116"/>
      <c r="I295" s="1116"/>
    </row>
    <row r="296" spans="1:13" x14ac:dyDescent="0.2">
      <c r="A296" s="228" t="str">
        <f>$A$2</f>
        <v>Tabela Referencial de Preços - DER-ES - sem desoneração</v>
      </c>
      <c r="B296" s="229"/>
      <c r="C296" s="199"/>
      <c r="D296" s="199"/>
      <c r="E296" s="199"/>
      <c r="F296" s="199"/>
      <c r="G296" s="199"/>
      <c r="H296" s="199"/>
      <c r="I296" s="414" t="str">
        <f>$I$2</f>
        <v>Data Base: novembro/2020</v>
      </c>
    </row>
    <row r="297" spans="1:13" ht="14.25" customHeight="1" x14ac:dyDescent="0.2">
      <c r="A297" s="1117" t="str">
        <f>+CONCATENATE("Serviço: ",J297," ",L297)</f>
        <v>Serviço: PR-009 Caixa Coletora para BSTC  Ø 0,80  H-&gt; 2,20m</v>
      </c>
      <c r="B297" s="1117"/>
      <c r="C297" s="1117"/>
      <c r="D297" s="1117"/>
      <c r="E297" s="1117"/>
      <c r="F297" s="1117"/>
      <c r="G297" s="1117"/>
      <c r="H297" s="1117"/>
      <c r="I297" s="1119" t="str">
        <f>CONCATENATE("Unidade: ", M297)</f>
        <v>Unidade: m3</v>
      </c>
      <c r="J297" s="360" t="s">
        <v>671</v>
      </c>
      <c r="K297" s="780">
        <f>VLOOKUP("Preço Unitário Total",F298:I326,4,FALSE)</f>
        <v>2534.12</v>
      </c>
      <c r="L297" s="1058" t="s">
        <v>534</v>
      </c>
      <c r="M297" s="393" t="s">
        <v>407</v>
      </c>
    </row>
    <row r="298" spans="1:13" x14ac:dyDescent="0.2">
      <c r="A298" s="1118"/>
      <c r="B298" s="1118"/>
      <c r="C298" s="1118"/>
      <c r="D298" s="1118"/>
      <c r="E298" s="1118"/>
      <c r="F298" s="1118"/>
      <c r="G298" s="1118"/>
      <c r="H298" s="1118"/>
      <c r="I298" s="1120"/>
      <c r="L298" s="1058"/>
    </row>
    <row r="299" spans="1:13" ht="22.5" x14ac:dyDescent="0.2">
      <c r="A299" s="231" t="s">
        <v>177</v>
      </c>
      <c r="B299" s="232" t="s">
        <v>59</v>
      </c>
      <c r="C299" s="232" t="s">
        <v>178</v>
      </c>
      <c r="D299" s="232" t="s">
        <v>179</v>
      </c>
      <c r="E299" s="232" t="s">
        <v>180</v>
      </c>
      <c r="F299" s="232" t="s">
        <v>181</v>
      </c>
      <c r="G299" s="232" t="s">
        <v>182</v>
      </c>
      <c r="H299" s="232" t="s">
        <v>89</v>
      </c>
      <c r="I299" s="434" t="s">
        <v>183</v>
      </c>
      <c r="L299" s="1058"/>
    </row>
    <row r="300" spans="1:13" x14ac:dyDescent="0.2">
      <c r="A300" s="199"/>
      <c r="B300" s="229"/>
      <c r="C300" s="229"/>
      <c r="D300" s="199"/>
      <c r="E300" s="199"/>
      <c r="F300" s="230" t="s">
        <v>184</v>
      </c>
      <c r="G300" s="240"/>
      <c r="H300" s="241"/>
      <c r="I300" s="438">
        <v>0</v>
      </c>
    </row>
    <row r="301" spans="1:13" x14ac:dyDescent="0.2">
      <c r="A301" s="199"/>
      <c r="B301" s="229"/>
      <c r="C301" s="229"/>
      <c r="D301" s="199"/>
      <c r="E301" s="199"/>
      <c r="F301" s="199"/>
      <c r="G301" s="199"/>
      <c r="H301" s="199"/>
      <c r="I301" s="439"/>
    </row>
    <row r="302" spans="1:13" x14ac:dyDescent="0.2">
      <c r="A302" s="242" t="s">
        <v>185</v>
      </c>
      <c r="B302" s="243" t="s">
        <v>59</v>
      </c>
      <c r="C302" s="232" t="s">
        <v>186</v>
      </c>
      <c r="D302" s="243" t="s">
        <v>187</v>
      </c>
      <c r="E302" s="1111" t="s">
        <v>89</v>
      </c>
      <c r="F302" s="1112"/>
      <c r="G302" s="1113"/>
      <c r="H302" s="1121" t="s">
        <v>183</v>
      </c>
      <c r="I302" s="1115"/>
    </row>
    <row r="303" spans="1:13" x14ac:dyDescent="0.2">
      <c r="A303" s="244" t="str">
        <f>VLOOKUP(B303,m.o.!$A:$H,2,FALSE)</f>
        <v>Encarregado de O.A.C.</v>
      </c>
      <c r="B303" s="234">
        <v>20060</v>
      </c>
      <c r="C303" s="239" t="str">
        <f>VLOOKUP(B303,m.o.!$A:$F,3,FALSE)</f>
        <v>h</v>
      </c>
      <c r="D303" s="239">
        <f>VLOOKUP(B303,m.o.!$A:$G,7,FALSE)</f>
        <v>28.31</v>
      </c>
      <c r="E303" s="255"/>
      <c r="F303" s="253"/>
      <c r="G303" s="293">
        <v>12.9</v>
      </c>
      <c r="H303" s="240"/>
      <c r="I303" s="427">
        <f>ROUND(D303*G303,2)</f>
        <v>365.2</v>
      </c>
    </row>
    <row r="304" spans="1:13" x14ac:dyDescent="0.2">
      <c r="A304" s="199"/>
      <c r="B304" s="229"/>
      <c r="C304" s="229"/>
      <c r="D304" s="199"/>
      <c r="E304" s="199"/>
      <c r="F304" s="230" t="s">
        <v>188</v>
      </c>
      <c r="G304" s="240"/>
      <c r="H304" s="241"/>
      <c r="I304" s="438">
        <f>SUM(I303:I303)</f>
        <v>365.2</v>
      </c>
    </row>
    <row r="305" spans="1:17" x14ac:dyDescent="0.2">
      <c r="A305" s="199"/>
      <c r="B305" s="229"/>
      <c r="C305" s="229"/>
      <c r="D305" s="199"/>
      <c r="E305" s="199"/>
      <c r="F305" s="199"/>
      <c r="G305" s="199"/>
      <c r="H305" s="199"/>
      <c r="I305" s="439"/>
    </row>
    <row r="306" spans="1:17" x14ac:dyDescent="0.2">
      <c r="A306" s="245" t="s">
        <v>189</v>
      </c>
      <c r="B306" s="243" t="s">
        <v>59</v>
      </c>
      <c r="C306" s="830" t="s">
        <v>17</v>
      </c>
      <c r="D306" s="243" t="s">
        <v>190</v>
      </c>
      <c r="E306" s="243" t="s">
        <v>191</v>
      </c>
      <c r="F306" s="243" t="s">
        <v>192</v>
      </c>
      <c r="G306" s="1121" t="s">
        <v>94</v>
      </c>
      <c r="H306" s="1114"/>
      <c r="I306" s="1115"/>
    </row>
    <row r="307" spans="1:17" x14ac:dyDescent="0.2">
      <c r="A307" s="199"/>
      <c r="B307" s="229"/>
      <c r="C307" s="199"/>
      <c r="D307" s="199"/>
      <c r="E307" s="199"/>
      <c r="F307" s="230" t="s">
        <v>327</v>
      </c>
      <c r="G307" s="240"/>
      <c r="H307" s="241"/>
      <c r="I307" s="438">
        <v>0</v>
      </c>
    </row>
    <row r="308" spans="1:17" x14ac:dyDescent="0.2">
      <c r="A308" s="199"/>
      <c r="B308" s="229"/>
      <c r="C308" s="199"/>
      <c r="D308" s="199"/>
      <c r="E308" s="199"/>
      <c r="F308" s="199"/>
      <c r="G308" s="199"/>
      <c r="H308" s="199"/>
      <c r="I308" s="439"/>
    </row>
    <row r="309" spans="1:17" x14ac:dyDescent="0.2">
      <c r="A309" s="247"/>
      <c r="B309" s="248"/>
      <c r="C309" s="249"/>
      <c r="D309" s="249"/>
      <c r="E309" s="249"/>
      <c r="F309" s="250" t="s">
        <v>193</v>
      </c>
      <c r="G309" s="401"/>
      <c r="H309" s="249"/>
      <c r="I309" s="445">
        <f>+I300+I304+I307</f>
        <v>365.2</v>
      </c>
    </row>
    <row r="310" spans="1:17" x14ac:dyDescent="0.2">
      <c r="A310" s="251"/>
      <c r="B310" s="252"/>
      <c r="C310" s="253"/>
      <c r="D310" s="253"/>
      <c r="E310" s="253"/>
      <c r="F310" s="254" t="s">
        <v>194</v>
      </c>
      <c r="G310" s="255"/>
      <c r="H310" s="253"/>
      <c r="I310" s="446">
        <v>48</v>
      </c>
    </row>
    <row r="311" spans="1:17" x14ac:dyDescent="0.2">
      <c r="A311" s="233"/>
      <c r="B311" s="256"/>
      <c r="C311" s="241"/>
      <c r="D311" s="241"/>
      <c r="E311" s="241"/>
      <c r="F311" s="257" t="s">
        <v>216</v>
      </c>
      <c r="G311" s="240"/>
      <c r="H311" s="241"/>
      <c r="I311" s="447">
        <f>ROUND(I309/I310,2)</f>
        <v>7.61</v>
      </c>
    </row>
    <row r="312" spans="1:17" x14ac:dyDescent="0.2">
      <c r="A312" s="829"/>
      <c r="B312" s="229"/>
      <c r="C312" s="199"/>
      <c r="D312" s="199"/>
      <c r="E312" s="199"/>
      <c r="F312" s="258"/>
      <c r="G312" s="199"/>
      <c r="H312" s="199"/>
      <c r="I312" s="450"/>
    </row>
    <row r="313" spans="1:17" x14ac:dyDescent="0.2">
      <c r="A313" s="242" t="s">
        <v>195</v>
      </c>
      <c r="B313" s="243" t="s">
        <v>59</v>
      </c>
      <c r="C313" s="243" t="s">
        <v>196</v>
      </c>
      <c r="D313" s="243" t="s">
        <v>217</v>
      </c>
      <c r="E313" s="1121" t="s">
        <v>89</v>
      </c>
      <c r="F313" s="1114"/>
      <c r="G313" s="1115"/>
      <c r="H313" s="1121" t="s">
        <v>63</v>
      </c>
      <c r="I313" s="1115"/>
    </row>
    <row r="314" spans="1:17" x14ac:dyDescent="0.2">
      <c r="A314" s="199"/>
      <c r="B314" s="229"/>
      <c r="C314" s="199"/>
      <c r="D314" s="199"/>
      <c r="E314" s="199"/>
      <c r="F314" s="230" t="s">
        <v>197</v>
      </c>
      <c r="G314" s="240"/>
      <c r="H314" s="241"/>
      <c r="I314" s="438">
        <v>0</v>
      </c>
    </row>
    <row r="315" spans="1:17" x14ac:dyDescent="0.2">
      <c r="A315" s="199"/>
      <c r="B315" s="229"/>
      <c r="C315" s="199"/>
      <c r="D315" s="199"/>
      <c r="E315" s="199"/>
      <c r="F315" s="199"/>
      <c r="G315" s="262"/>
      <c r="H315" s="199"/>
      <c r="I315" s="439"/>
    </row>
    <row r="316" spans="1:17" x14ac:dyDescent="0.2">
      <c r="A316" s="263" t="s">
        <v>198</v>
      </c>
      <c r="B316" s="243" t="s">
        <v>59</v>
      </c>
      <c r="C316" s="243" t="s">
        <v>196</v>
      </c>
      <c r="D316" s="830" t="s">
        <v>217</v>
      </c>
      <c r="E316" s="1111" t="s">
        <v>89</v>
      </c>
      <c r="F316" s="1112"/>
      <c r="G316" s="1113"/>
      <c r="H316" s="1121" t="s">
        <v>63</v>
      </c>
      <c r="I316" s="1115"/>
      <c r="J316" s="295"/>
      <c r="L316" s="22"/>
      <c r="M316" s="22"/>
      <c r="N316" s="22"/>
    </row>
    <row r="317" spans="1:17" ht="45" x14ac:dyDescent="0.2">
      <c r="A317" s="416" t="str">
        <f>VLOOKUP(B317,'DER 11-20'!$A:$E,2,FALSE)</f>
        <v>Formas planas de madeira com 02 (dois) reaproveitamentos, inclusive fornecimento e transporte das madeiras</v>
      </c>
      <c r="B317" s="417">
        <v>40312</v>
      </c>
      <c r="C317" s="417" t="str">
        <f>VLOOKUP(B317,'DER 11-20'!$A:$E,3,FALSE)</f>
        <v>M2</v>
      </c>
      <c r="D317" s="418">
        <f>TRUNC(VLOOKUP(B317,'DER 11-20'!$A:$F,6,FALSE)/(1+$I$4),2)</f>
        <v>84.31</v>
      </c>
      <c r="E317" s="419"/>
      <c r="F317" s="420"/>
      <c r="G317" s="790">
        <v>10.6</v>
      </c>
      <c r="H317" s="422"/>
      <c r="I317" s="423">
        <f>TRUNC(D317*G317,2)</f>
        <v>893.68</v>
      </c>
      <c r="J317" s="415"/>
      <c r="K317" s="415"/>
      <c r="L317" s="198"/>
      <c r="M317" s="198"/>
      <c r="N317" s="198"/>
      <c r="O317" s="198"/>
      <c r="P317" s="198"/>
      <c r="Q317" s="198"/>
    </row>
    <row r="318" spans="1:17" ht="22.5" x14ac:dyDescent="0.2">
      <c r="A318" s="416" t="str">
        <f>VLOOKUP(B318,'DER 11-20'!$A:$E,2,FALSE)</f>
        <v>Concreto estrutural fck = 15,0 MPa, tudo incluído</v>
      </c>
      <c r="B318" s="417">
        <v>40358</v>
      </c>
      <c r="C318" s="417" t="str">
        <f>VLOOKUP(B318,'DER 11-20'!$A:$E,3,FALSE)</f>
        <v>M3</v>
      </c>
      <c r="D318" s="418">
        <f>TRUNC(VLOOKUP(B318,'DER 11-20'!$A:$F,6,FALSE)/(1+$I$4),2)</f>
        <v>547.26</v>
      </c>
      <c r="E318" s="419"/>
      <c r="F318" s="420"/>
      <c r="G318" s="790">
        <v>2.1080000000000001</v>
      </c>
      <c r="H318" s="422"/>
      <c r="I318" s="423">
        <f>TRUNC(D318*G318,2)</f>
        <v>1153.6199999999999</v>
      </c>
      <c r="J318" s="415"/>
      <c r="K318" s="415"/>
      <c r="L318" s="198"/>
      <c r="M318" s="198"/>
      <c r="N318" s="198"/>
      <c r="O318" s="198"/>
      <c r="P318" s="198"/>
      <c r="Q318" s="198"/>
    </row>
    <row r="319" spans="1:17" x14ac:dyDescent="0.2">
      <c r="A319" s="200"/>
      <c r="B319" s="264"/>
      <c r="C319" s="200"/>
      <c r="D319" s="200"/>
      <c r="E319" s="200"/>
      <c r="F319" s="265" t="s">
        <v>199</v>
      </c>
      <c r="G319" s="255"/>
      <c r="H319" s="266"/>
      <c r="I319" s="441">
        <f>SUM(I317:I318)</f>
        <v>2047.3</v>
      </c>
      <c r="J319" s="295"/>
    </row>
    <row r="320" spans="1:17" x14ac:dyDescent="0.2">
      <c r="A320" s="200"/>
      <c r="B320" s="264"/>
      <c r="C320" s="200"/>
      <c r="D320" s="200"/>
      <c r="E320" s="200"/>
      <c r="F320" s="200"/>
      <c r="G320" s="200"/>
      <c r="H320" s="200"/>
      <c r="I320" s="440"/>
      <c r="J320" s="295"/>
    </row>
    <row r="321" spans="1:13" x14ac:dyDescent="0.2">
      <c r="A321" s="267" t="s">
        <v>200</v>
      </c>
      <c r="B321" s="268" t="s">
        <v>59</v>
      </c>
      <c r="C321" s="268" t="s">
        <v>196</v>
      </c>
      <c r="D321" s="268" t="s">
        <v>201</v>
      </c>
      <c r="E321" s="268" t="s">
        <v>202</v>
      </c>
      <c r="F321" s="268" t="s">
        <v>203</v>
      </c>
      <c r="G321" s="268" t="s">
        <v>94</v>
      </c>
      <c r="H321" s="268" t="s">
        <v>89</v>
      </c>
      <c r="I321" s="442" t="s">
        <v>204</v>
      </c>
    </row>
    <row r="322" spans="1:13" x14ac:dyDescent="0.2">
      <c r="A322" s="200"/>
      <c r="B322" s="264"/>
      <c r="C322" s="200"/>
      <c r="D322" s="200"/>
      <c r="E322" s="200"/>
      <c r="F322" s="265" t="s">
        <v>205</v>
      </c>
      <c r="G322" s="240"/>
      <c r="H322" s="272"/>
      <c r="I322" s="443">
        <v>0</v>
      </c>
    </row>
    <row r="323" spans="1:13" x14ac:dyDescent="0.2">
      <c r="A323" s="200"/>
      <c r="B323" s="264"/>
      <c r="C323" s="200"/>
      <c r="D323" s="200"/>
      <c r="E323" s="200"/>
      <c r="F323" s="200"/>
      <c r="G323" s="200"/>
      <c r="H323" s="200"/>
      <c r="I323" s="444"/>
    </row>
    <row r="324" spans="1:13" x14ac:dyDescent="0.2">
      <c r="A324" s="273"/>
      <c r="B324" s="274"/>
      <c r="C324" s="275"/>
      <c r="D324" s="275"/>
      <c r="E324" s="275"/>
      <c r="F324" s="276" t="s">
        <v>206</v>
      </c>
      <c r="G324" s="273"/>
      <c r="H324" s="249"/>
      <c r="I324" s="445">
        <f>+I311+I314+I319+I322</f>
        <v>2054.91</v>
      </c>
    </row>
    <row r="325" spans="1:13" x14ac:dyDescent="0.2">
      <c r="A325" s="255"/>
      <c r="B325" s="277"/>
      <c r="C325" s="266"/>
      <c r="D325" s="266"/>
      <c r="E325" s="266"/>
      <c r="F325" s="278" t="str">
        <f>CONCATENATE($H$3," ",$I$3)</f>
        <v>BDI: 23,32</v>
      </c>
      <c r="G325" s="403"/>
      <c r="H325" s="253"/>
      <c r="I325" s="446">
        <f>+ROUND(I324*$I$4,2)</f>
        <v>479.21</v>
      </c>
    </row>
    <row r="326" spans="1:13" x14ac:dyDescent="0.2">
      <c r="A326" s="240"/>
      <c r="B326" s="279"/>
      <c r="C326" s="272"/>
      <c r="D326" s="272"/>
      <c r="E326" s="272"/>
      <c r="F326" s="280" t="s">
        <v>207</v>
      </c>
      <c r="G326" s="404"/>
      <c r="H326" s="241"/>
      <c r="I326" s="720">
        <f>+I324+I325</f>
        <v>2534.12</v>
      </c>
    </row>
    <row r="327" spans="1:13" x14ac:dyDescent="0.2">
      <c r="A327" s="1116" t="s">
        <v>213</v>
      </c>
      <c r="B327" s="1116"/>
      <c r="C327" s="1116"/>
      <c r="D327" s="1116"/>
      <c r="E327" s="1116"/>
      <c r="F327" s="1116"/>
      <c r="G327" s="1116"/>
      <c r="H327" s="1116"/>
      <c r="I327" s="1116"/>
    </row>
    <row r="328" spans="1:13" x14ac:dyDescent="0.2">
      <c r="A328" s="228" t="str">
        <f>$A$2</f>
        <v>Tabela Referencial de Preços - DER-ES - sem desoneração</v>
      </c>
      <c r="B328" s="229"/>
      <c r="C328" s="199"/>
      <c r="D328" s="199"/>
      <c r="E328" s="199"/>
      <c r="F328" s="199"/>
      <c r="G328" s="199"/>
      <c r="H328" s="199"/>
      <c r="I328" s="414" t="str">
        <f>$I$2</f>
        <v>Data Base: novembro/2020</v>
      </c>
    </row>
    <row r="329" spans="1:13" ht="14.25" customHeight="1" x14ac:dyDescent="0.2">
      <c r="A329" s="1117" t="str">
        <f>+CONCATENATE("Serviço: ",J329," ",L329)</f>
        <v>Serviço: PR-010 Caixa Coletora para BSTC  Ø 0,80 H-&gt; 2,40m</v>
      </c>
      <c r="B329" s="1117"/>
      <c r="C329" s="1117"/>
      <c r="D329" s="1117"/>
      <c r="E329" s="1117"/>
      <c r="F329" s="1117"/>
      <c r="G329" s="1117"/>
      <c r="H329" s="1117"/>
      <c r="I329" s="1119" t="str">
        <f>CONCATENATE("Unidade: ", M329)</f>
        <v>Unidade: m3</v>
      </c>
      <c r="J329" s="360" t="s">
        <v>672</v>
      </c>
      <c r="K329" s="780">
        <f>VLOOKUP("Preço Unitário Total",F330:I358,4,FALSE)</f>
        <v>2730.88</v>
      </c>
      <c r="L329" s="1058" t="s">
        <v>538</v>
      </c>
      <c r="M329" s="393" t="s">
        <v>407</v>
      </c>
    </row>
    <row r="330" spans="1:13" x14ac:dyDescent="0.2">
      <c r="A330" s="1118"/>
      <c r="B330" s="1118"/>
      <c r="C330" s="1118"/>
      <c r="D330" s="1118"/>
      <c r="E330" s="1118"/>
      <c r="F330" s="1118"/>
      <c r="G330" s="1118"/>
      <c r="H330" s="1118"/>
      <c r="I330" s="1120"/>
      <c r="L330" s="1058"/>
    </row>
    <row r="331" spans="1:13" ht="22.5" x14ac:dyDescent="0.2">
      <c r="A331" s="231" t="s">
        <v>177</v>
      </c>
      <c r="B331" s="232" t="s">
        <v>59</v>
      </c>
      <c r="C331" s="232" t="s">
        <v>178</v>
      </c>
      <c r="D331" s="232" t="s">
        <v>179</v>
      </c>
      <c r="E331" s="232" t="s">
        <v>180</v>
      </c>
      <c r="F331" s="232" t="s">
        <v>181</v>
      </c>
      <c r="G331" s="232" t="s">
        <v>182</v>
      </c>
      <c r="H331" s="232" t="s">
        <v>89</v>
      </c>
      <c r="I331" s="434" t="s">
        <v>183</v>
      </c>
      <c r="L331" s="1058"/>
    </row>
    <row r="332" spans="1:13" x14ac:dyDescent="0.2">
      <c r="A332" s="199"/>
      <c r="B332" s="229"/>
      <c r="C332" s="229"/>
      <c r="D332" s="199"/>
      <c r="E332" s="199"/>
      <c r="F332" s="230" t="s">
        <v>184</v>
      </c>
      <c r="G332" s="240"/>
      <c r="H332" s="241"/>
      <c r="I332" s="438">
        <v>0</v>
      </c>
    </row>
    <row r="333" spans="1:13" x14ac:dyDescent="0.2">
      <c r="A333" s="199"/>
      <c r="B333" s="229"/>
      <c r="C333" s="229"/>
      <c r="D333" s="199"/>
      <c r="E333" s="199"/>
      <c r="F333" s="199"/>
      <c r="G333" s="199"/>
      <c r="H333" s="199"/>
      <c r="I333" s="439"/>
    </row>
    <row r="334" spans="1:13" x14ac:dyDescent="0.2">
      <c r="A334" s="242" t="s">
        <v>185</v>
      </c>
      <c r="B334" s="243" t="s">
        <v>59</v>
      </c>
      <c r="C334" s="232" t="s">
        <v>186</v>
      </c>
      <c r="D334" s="243" t="s">
        <v>187</v>
      </c>
      <c r="E334" s="1111" t="s">
        <v>89</v>
      </c>
      <c r="F334" s="1112"/>
      <c r="G334" s="1113"/>
      <c r="H334" s="1121" t="s">
        <v>183</v>
      </c>
      <c r="I334" s="1115"/>
    </row>
    <row r="335" spans="1:13" x14ac:dyDescent="0.2">
      <c r="A335" s="244" t="str">
        <f>VLOOKUP(B335,m.o.!$A:$H,2,FALSE)</f>
        <v>Encarregado de O.A.C.</v>
      </c>
      <c r="B335" s="234">
        <v>20060</v>
      </c>
      <c r="C335" s="239" t="str">
        <f>VLOOKUP(B335,m.o.!$A:$F,3,FALSE)</f>
        <v>h</v>
      </c>
      <c r="D335" s="239">
        <f>VLOOKUP(B335,m.o.!$A:$G,7,FALSE)</f>
        <v>28.31</v>
      </c>
      <c r="E335" s="255"/>
      <c r="F335" s="253"/>
      <c r="G335" s="293">
        <v>12.9</v>
      </c>
      <c r="H335" s="240"/>
      <c r="I335" s="427">
        <f>ROUND(D335*G335,2)</f>
        <v>365.2</v>
      </c>
    </row>
    <row r="336" spans="1:13" x14ac:dyDescent="0.2">
      <c r="A336" s="199"/>
      <c r="B336" s="229"/>
      <c r="C336" s="229"/>
      <c r="D336" s="199"/>
      <c r="E336" s="199"/>
      <c r="F336" s="230" t="s">
        <v>188</v>
      </c>
      <c r="G336" s="240"/>
      <c r="H336" s="241"/>
      <c r="I336" s="438">
        <f>SUM(I335:I335)</f>
        <v>365.2</v>
      </c>
    </row>
    <row r="337" spans="1:17" x14ac:dyDescent="0.2">
      <c r="A337" s="199"/>
      <c r="B337" s="229"/>
      <c r="C337" s="229"/>
      <c r="D337" s="199"/>
      <c r="E337" s="199"/>
      <c r="F337" s="199"/>
      <c r="G337" s="199"/>
      <c r="H337" s="199"/>
      <c r="I337" s="439"/>
    </row>
    <row r="338" spans="1:17" x14ac:dyDescent="0.2">
      <c r="A338" s="245" t="s">
        <v>189</v>
      </c>
      <c r="B338" s="243" t="s">
        <v>59</v>
      </c>
      <c r="C338" s="830" t="s">
        <v>17</v>
      </c>
      <c r="D338" s="243" t="s">
        <v>190</v>
      </c>
      <c r="E338" s="243" t="s">
        <v>191</v>
      </c>
      <c r="F338" s="243" t="s">
        <v>192</v>
      </c>
      <c r="G338" s="1121" t="s">
        <v>94</v>
      </c>
      <c r="H338" s="1114"/>
      <c r="I338" s="1115"/>
    </row>
    <row r="339" spans="1:17" x14ac:dyDescent="0.2">
      <c r="A339" s="199"/>
      <c r="B339" s="229"/>
      <c r="C339" s="199"/>
      <c r="D339" s="199"/>
      <c r="E339" s="199"/>
      <c r="F339" s="230" t="s">
        <v>327</v>
      </c>
      <c r="G339" s="240"/>
      <c r="H339" s="241"/>
      <c r="I339" s="438">
        <v>0</v>
      </c>
    </row>
    <row r="340" spans="1:17" x14ac:dyDescent="0.2">
      <c r="A340" s="199"/>
      <c r="B340" s="229"/>
      <c r="C340" s="199"/>
      <c r="D340" s="199"/>
      <c r="E340" s="199"/>
      <c r="F340" s="199"/>
      <c r="G340" s="199"/>
      <c r="H340" s="199"/>
      <c r="I340" s="439"/>
    </row>
    <row r="341" spans="1:17" x14ac:dyDescent="0.2">
      <c r="A341" s="247"/>
      <c r="B341" s="248"/>
      <c r="C341" s="249"/>
      <c r="D341" s="249"/>
      <c r="E341" s="249"/>
      <c r="F341" s="250" t="s">
        <v>193</v>
      </c>
      <c r="G341" s="401"/>
      <c r="H341" s="249"/>
      <c r="I341" s="445">
        <f>+I332+I336+I339</f>
        <v>365.2</v>
      </c>
    </row>
    <row r="342" spans="1:17" x14ac:dyDescent="0.2">
      <c r="A342" s="251"/>
      <c r="B342" s="252"/>
      <c r="C342" s="253"/>
      <c r="D342" s="253"/>
      <c r="E342" s="253"/>
      <c r="F342" s="254" t="s">
        <v>194</v>
      </c>
      <c r="G342" s="255"/>
      <c r="H342" s="253"/>
      <c r="I342" s="446">
        <v>48</v>
      </c>
    </row>
    <row r="343" spans="1:17" x14ac:dyDescent="0.2">
      <c r="A343" s="233"/>
      <c r="B343" s="256"/>
      <c r="C343" s="241"/>
      <c r="D343" s="241"/>
      <c r="E343" s="241"/>
      <c r="F343" s="257" t="s">
        <v>216</v>
      </c>
      <c r="G343" s="240"/>
      <c r="H343" s="241"/>
      <c r="I343" s="447">
        <f>ROUND(I341/I342,2)</f>
        <v>7.61</v>
      </c>
    </row>
    <row r="344" spans="1:17" x14ac:dyDescent="0.2">
      <c r="A344" s="829"/>
      <c r="B344" s="229"/>
      <c r="C344" s="199"/>
      <c r="D344" s="199"/>
      <c r="E344" s="199"/>
      <c r="F344" s="258"/>
      <c r="G344" s="199"/>
      <c r="H344" s="199"/>
      <c r="I344" s="450"/>
    </row>
    <row r="345" spans="1:17" x14ac:dyDescent="0.2">
      <c r="A345" s="242" t="s">
        <v>195</v>
      </c>
      <c r="B345" s="243" t="s">
        <v>59</v>
      </c>
      <c r="C345" s="243" t="s">
        <v>196</v>
      </c>
      <c r="D345" s="243" t="s">
        <v>217</v>
      </c>
      <c r="E345" s="1121" t="s">
        <v>89</v>
      </c>
      <c r="F345" s="1114"/>
      <c r="G345" s="1115"/>
      <c r="H345" s="1121" t="s">
        <v>63</v>
      </c>
      <c r="I345" s="1115"/>
    </row>
    <row r="346" spans="1:17" x14ac:dyDescent="0.2">
      <c r="A346" s="199"/>
      <c r="B346" s="229"/>
      <c r="C346" s="199"/>
      <c r="D346" s="199"/>
      <c r="E346" s="199"/>
      <c r="F346" s="230" t="s">
        <v>197</v>
      </c>
      <c r="G346" s="240"/>
      <c r="H346" s="241"/>
      <c r="I346" s="438">
        <v>0</v>
      </c>
    </row>
    <row r="347" spans="1:17" x14ac:dyDescent="0.2">
      <c r="A347" s="199"/>
      <c r="B347" s="229"/>
      <c r="C347" s="199"/>
      <c r="D347" s="199"/>
      <c r="E347" s="199"/>
      <c r="F347" s="199"/>
      <c r="G347" s="262"/>
      <c r="H347" s="199"/>
      <c r="I347" s="439"/>
    </row>
    <row r="348" spans="1:17" x14ac:dyDescent="0.2">
      <c r="A348" s="263" t="s">
        <v>198</v>
      </c>
      <c r="B348" s="243" t="s">
        <v>59</v>
      </c>
      <c r="C348" s="243" t="s">
        <v>196</v>
      </c>
      <c r="D348" s="830" t="s">
        <v>217</v>
      </c>
      <c r="E348" s="1111" t="s">
        <v>89</v>
      </c>
      <c r="F348" s="1112"/>
      <c r="G348" s="1113"/>
      <c r="H348" s="1121" t="s">
        <v>63</v>
      </c>
      <c r="I348" s="1115"/>
      <c r="J348" s="295"/>
      <c r="L348" s="22"/>
      <c r="M348" s="22"/>
      <c r="N348" s="22"/>
    </row>
    <row r="349" spans="1:17" ht="45" x14ac:dyDescent="0.2">
      <c r="A349" s="416" t="str">
        <f>VLOOKUP(B349,'DER 11-20'!$A:$E,2,FALSE)</f>
        <v>Formas planas de madeira com 02 (dois) reaproveitamentos, inclusive fornecimento e transporte das madeiras</v>
      </c>
      <c r="B349" s="417">
        <v>40312</v>
      </c>
      <c r="C349" s="417" t="str">
        <f>VLOOKUP(B349,'DER 11-20'!$A:$E,3,FALSE)</f>
        <v>M2</v>
      </c>
      <c r="D349" s="418">
        <f>TRUNC(VLOOKUP(B349,'DER 11-20'!$A:$F,6,FALSE)/(1+$I$4),2)</f>
        <v>84.31</v>
      </c>
      <c r="E349" s="419"/>
      <c r="F349" s="420"/>
      <c r="G349" s="790">
        <v>11.48</v>
      </c>
      <c r="H349" s="422"/>
      <c r="I349" s="423">
        <f>TRUNC(D349*G349,2)</f>
        <v>967.87</v>
      </c>
      <c r="J349" s="415"/>
      <c r="K349" s="415"/>
      <c r="L349" s="198"/>
      <c r="M349" s="198"/>
      <c r="N349" s="198"/>
      <c r="O349" s="198"/>
      <c r="P349" s="198"/>
      <c r="Q349" s="198"/>
    </row>
    <row r="350" spans="1:17" ht="22.5" x14ac:dyDescent="0.2">
      <c r="A350" s="416" t="str">
        <f>VLOOKUP(B350,'DER 11-20'!$A:$E,2,FALSE)</f>
        <v>Concreto estrutural fck = 15,0 MPa, tudo incluído</v>
      </c>
      <c r="B350" s="417">
        <v>40358</v>
      </c>
      <c r="C350" s="417" t="str">
        <f>VLOOKUP(B350,'DER 11-20'!$A:$E,3,FALSE)</f>
        <v>M3</v>
      </c>
      <c r="D350" s="418">
        <f>TRUNC(VLOOKUP(B350,'DER 11-20'!$A:$F,6,FALSE)/(1+$I$4),2)</f>
        <v>547.26</v>
      </c>
      <c r="E350" s="419"/>
      <c r="F350" s="420"/>
      <c r="G350" s="790">
        <v>2.2639999999999998</v>
      </c>
      <c r="H350" s="422"/>
      <c r="I350" s="423">
        <f>TRUNC(D350*G350,2)</f>
        <v>1238.99</v>
      </c>
      <c r="J350" s="415"/>
      <c r="K350" s="415"/>
      <c r="L350" s="198"/>
      <c r="M350" s="198"/>
      <c r="N350" s="198"/>
      <c r="O350" s="198"/>
      <c r="P350" s="198"/>
      <c r="Q350" s="198"/>
    </row>
    <row r="351" spans="1:17" x14ac:dyDescent="0.2">
      <c r="A351" s="200"/>
      <c r="B351" s="264"/>
      <c r="C351" s="200"/>
      <c r="D351" s="200"/>
      <c r="E351" s="200"/>
      <c r="F351" s="265" t="s">
        <v>199</v>
      </c>
      <c r="G351" s="255"/>
      <c r="H351" s="266"/>
      <c r="I351" s="441">
        <f>SUM(I349:I350)</f>
        <v>2206.86</v>
      </c>
      <c r="J351" s="295"/>
    </row>
    <row r="352" spans="1:17" x14ac:dyDescent="0.2">
      <c r="A352" s="200"/>
      <c r="B352" s="264"/>
      <c r="C352" s="200"/>
      <c r="D352" s="200"/>
      <c r="E352" s="200"/>
      <c r="F352" s="200"/>
      <c r="G352" s="200"/>
      <c r="H352" s="200"/>
      <c r="I352" s="440"/>
      <c r="J352" s="295"/>
    </row>
    <row r="353" spans="1:13" x14ac:dyDescent="0.2">
      <c r="A353" s="267" t="s">
        <v>200</v>
      </c>
      <c r="B353" s="268" t="s">
        <v>59</v>
      </c>
      <c r="C353" s="268" t="s">
        <v>196</v>
      </c>
      <c r="D353" s="268" t="s">
        <v>201</v>
      </c>
      <c r="E353" s="268" t="s">
        <v>202</v>
      </c>
      <c r="F353" s="268" t="s">
        <v>203</v>
      </c>
      <c r="G353" s="268" t="s">
        <v>94</v>
      </c>
      <c r="H353" s="268" t="s">
        <v>89</v>
      </c>
      <c r="I353" s="442" t="s">
        <v>204</v>
      </c>
    </row>
    <row r="354" spans="1:13" x14ac:dyDescent="0.2">
      <c r="A354" s="200"/>
      <c r="B354" s="264"/>
      <c r="C354" s="200"/>
      <c r="D354" s="200"/>
      <c r="E354" s="200"/>
      <c r="F354" s="265" t="s">
        <v>205</v>
      </c>
      <c r="G354" s="240"/>
      <c r="H354" s="272"/>
      <c r="I354" s="443">
        <v>0</v>
      </c>
    </row>
    <row r="355" spans="1:13" x14ac:dyDescent="0.2">
      <c r="A355" s="200"/>
      <c r="B355" s="264"/>
      <c r="C355" s="200"/>
      <c r="D355" s="200"/>
      <c r="E355" s="200"/>
      <c r="F355" s="200"/>
      <c r="G355" s="200"/>
      <c r="H355" s="200"/>
      <c r="I355" s="444"/>
    </row>
    <row r="356" spans="1:13" x14ac:dyDescent="0.2">
      <c r="A356" s="273"/>
      <c r="B356" s="274"/>
      <c r="C356" s="275"/>
      <c r="D356" s="275"/>
      <c r="E356" s="275"/>
      <c r="F356" s="276" t="s">
        <v>206</v>
      </c>
      <c r="G356" s="273"/>
      <c r="H356" s="249"/>
      <c r="I356" s="445">
        <f>+I343+I346+I351+I354</f>
        <v>2214.4699999999998</v>
      </c>
    </row>
    <row r="357" spans="1:13" x14ac:dyDescent="0.2">
      <c r="A357" s="255"/>
      <c r="B357" s="277"/>
      <c r="C357" s="266"/>
      <c r="D357" s="266"/>
      <c r="E357" s="266"/>
      <c r="F357" s="278" t="str">
        <f>CONCATENATE($H$3," ",$I$3)</f>
        <v>BDI: 23,32</v>
      </c>
      <c r="G357" s="403"/>
      <c r="H357" s="253"/>
      <c r="I357" s="446">
        <f>+ROUND(I356*$I$4,2)</f>
        <v>516.41</v>
      </c>
    </row>
    <row r="358" spans="1:13" x14ac:dyDescent="0.2">
      <c r="A358" s="240"/>
      <c r="B358" s="279"/>
      <c r="C358" s="272"/>
      <c r="D358" s="272"/>
      <c r="E358" s="272"/>
      <c r="F358" s="280" t="s">
        <v>207</v>
      </c>
      <c r="G358" s="404"/>
      <c r="H358" s="241"/>
      <c r="I358" s="720">
        <f>+I356+I357</f>
        <v>2730.88</v>
      </c>
    </row>
    <row r="359" spans="1:13" x14ac:dyDescent="0.2">
      <c r="A359" s="1116" t="s">
        <v>213</v>
      </c>
      <c r="B359" s="1116"/>
      <c r="C359" s="1116"/>
      <c r="D359" s="1116"/>
      <c r="E359" s="1116"/>
      <c r="F359" s="1116"/>
      <c r="G359" s="1116"/>
      <c r="H359" s="1116"/>
      <c r="I359" s="1116"/>
    </row>
    <row r="360" spans="1:13" x14ac:dyDescent="0.2">
      <c r="A360" s="228" t="str">
        <f>$A$2</f>
        <v>Tabela Referencial de Preços - DER-ES - sem desoneração</v>
      </c>
      <c r="B360" s="229"/>
      <c r="C360" s="199"/>
      <c r="D360" s="199"/>
      <c r="E360" s="199"/>
      <c r="F360" s="199"/>
      <c r="G360" s="199"/>
      <c r="H360" s="199"/>
      <c r="I360" s="414" t="str">
        <f>$I$2</f>
        <v>Data Base: novembro/2020</v>
      </c>
    </row>
    <row r="361" spans="1:13" ht="14.25" customHeight="1" x14ac:dyDescent="0.2">
      <c r="A361" s="1117" t="str">
        <f>+CONCATENATE("Serviço: ",J361," ",L361)</f>
        <v>Serviço: PR-011 Caixa coletora de talvegue - CCT 03</v>
      </c>
      <c r="B361" s="1117"/>
      <c r="C361" s="1117"/>
      <c r="D361" s="1117"/>
      <c r="E361" s="1117"/>
      <c r="F361" s="1117"/>
      <c r="G361" s="1117"/>
      <c r="H361" s="1117"/>
      <c r="I361" s="1119" t="str">
        <f>CONCATENATE("Unidade: ", M361)</f>
        <v>Unidade: m3</v>
      </c>
      <c r="J361" s="360" t="s">
        <v>673</v>
      </c>
      <c r="K361" s="780">
        <f>VLOOKUP("Preço Unitário Total",F362:I391,4,FALSE)</f>
        <v>3884.31</v>
      </c>
      <c r="L361" s="1058" t="s">
        <v>539</v>
      </c>
      <c r="M361" s="393" t="s">
        <v>407</v>
      </c>
    </row>
    <row r="362" spans="1:13" x14ac:dyDescent="0.2">
      <c r="A362" s="1118"/>
      <c r="B362" s="1118"/>
      <c r="C362" s="1118"/>
      <c r="D362" s="1118"/>
      <c r="E362" s="1118"/>
      <c r="F362" s="1118"/>
      <c r="G362" s="1118"/>
      <c r="H362" s="1118"/>
      <c r="I362" s="1120"/>
      <c r="L362" s="1058"/>
    </row>
    <row r="363" spans="1:13" ht="22.5" x14ac:dyDescent="0.2">
      <c r="A363" s="231" t="s">
        <v>177</v>
      </c>
      <c r="B363" s="232" t="s">
        <v>59</v>
      </c>
      <c r="C363" s="232" t="s">
        <v>178</v>
      </c>
      <c r="D363" s="232" t="s">
        <v>179</v>
      </c>
      <c r="E363" s="232" t="s">
        <v>180</v>
      </c>
      <c r="F363" s="232" t="s">
        <v>181</v>
      </c>
      <c r="G363" s="232" t="s">
        <v>182</v>
      </c>
      <c r="H363" s="232" t="s">
        <v>89</v>
      </c>
      <c r="I363" s="434" t="s">
        <v>183</v>
      </c>
      <c r="L363" s="1058"/>
    </row>
    <row r="364" spans="1:13" x14ac:dyDescent="0.2">
      <c r="A364" s="199"/>
      <c r="B364" s="229"/>
      <c r="C364" s="229"/>
      <c r="D364" s="199"/>
      <c r="E364" s="199"/>
      <c r="F364" s="230" t="s">
        <v>184</v>
      </c>
      <c r="G364" s="240"/>
      <c r="H364" s="241"/>
      <c r="I364" s="438">
        <v>0</v>
      </c>
    </row>
    <row r="365" spans="1:13" x14ac:dyDescent="0.2">
      <c r="A365" s="199"/>
      <c r="B365" s="229"/>
      <c r="C365" s="229"/>
      <c r="D365" s="199"/>
      <c r="E365" s="199"/>
      <c r="F365" s="199"/>
      <c r="G365" s="199"/>
      <c r="H365" s="199"/>
      <c r="I365" s="439"/>
    </row>
    <row r="366" spans="1:13" x14ac:dyDescent="0.2">
      <c r="A366" s="242" t="s">
        <v>185</v>
      </c>
      <c r="B366" s="243" t="s">
        <v>59</v>
      </c>
      <c r="C366" s="232" t="s">
        <v>186</v>
      </c>
      <c r="D366" s="243" t="s">
        <v>187</v>
      </c>
      <c r="E366" s="1111" t="s">
        <v>89</v>
      </c>
      <c r="F366" s="1112"/>
      <c r="G366" s="1113"/>
      <c r="H366" s="1121" t="s">
        <v>183</v>
      </c>
      <c r="I366" s="1115"/>
    </row>
    <row r="367" spans="1:13" x14ac:dyDescent="0.2">
      <c r="A367" s="244" t="str">
        <f>VLOOKUP(B367,m.o.!$A:$H,2,FALSE)</f>
        <v>Encarregado de O.A.C.</v>
      </c>
      <c r="B367" s="234">
        <v>20060</v>
      </c>
      <c r="C367" s="239" t="str">
        <f>VLOOKUP(B367,m.o.!$A:$F,3,FALSE)</f>
        <v>h</v>
      </c>
      <c r="D367" s="239">
        <f>VLOOKUP(B367,m.o.!$A:$G,7,FALSE)</f>
        <v>28.31</v>
      </c>
      <c r="E367" s="255"/>
      <c r="F367" s="253"/>
      <c r="G367" s="293">
        <v>13</v>
      </c>
      <c r="H367" s="240"/>
      <c r="I367" s="427">
        <f>ROUND(D367*G367,2)</f>
        <v>368.03</v>
      </c>
    </row>
    <row r="368" spans="1:13" x14ac:dyDescent="0.2">
      <c r="A368" s="199"/>
      <c r="B368" s="229"/>
      <c r="C368" s="229"/>
      <c r="D368" s="199"/>
      <c r="E368" s="199"/>
      <c r="F368" s="230" t="s">
        <v>188</v>
      </c>
      <c r="G368" s="240"/>
      <c r="H368" s="241"/>
      <c r="I368" s="438">
        <f>SUM(I367:I367)</f>
        <v>368.03</v>
      </c>
    </row>
    <row r="369" spans="1:17" x14ac:dyDescent="0.2">
      <c r="A369" s="199"/>
      <c r="B369" s="229"/>
      <c r="C369" s="229"/>
      <c r="D369" s="199"/>
      <c r="E369" s="199"/>
      <c r="F369" s="199"/>
      <c r="G369" s="199"/>
      <c r="H369" s="199"/>
      <c r="I369" s="439"/>
    </row>
    <row r="370" spans="1:17" x14ac:dyDescent="0.2">
      <c r="A370" s="245" t="s">
        <v>189</v>
      </c>
      <c r="B370" s="243" t="s">
        <v>59</v>
      </c>
      <c r="C370" s="830" t="s">
        <v>17</v>
      </c>
      <c r="D370" s="243" t="s">
        <v>190</v>
      </c>
      <c r="E370" s="243" t="s">
        <v>191</v>
      </c>
      <c r="F370" s="243" t="s">
        <v>192</v>
      </c>
      <c r="G370" s="1121" t="s">
        <v>94</v>
      </c>
      <c r="H370" s="1114"/>
      <c r="I370" s="1115"/>
    </row>
    <row r="371" spans="1:17" x14ac:dyDescent="0.2">
      <c r="A371" s="199"/>
      <c r="B371" s="229"/>
      <c r="C371" s="199"/>
      <c r="D371" s="199"/>
      <c r="E371" s="199"/>
      <c r="F371" s="230" t="s">
        <v>327</v>
      </c>
      <c r="G371" s="240"/>
      <c r="H371" s="241"/>
      <c r="I371" s="438">
        <v>0</v>
      </c>
    </row>
    <row r="372" spans="1:17" x14ac:dyDescent="0.2">
      <c r="A372" s="199"/>
      <c r="B372" s="229"/>
      <c r="C372" s="199"/>
      <c r="D372" s="199"/>
      <c r="E372" s="199"/>
      <c r="F372" s="199"/>
      <c r="G372" s="199"/>
      <c r="H372" s="199"/>
      <c r="I372" s="439"/>
    </row>
    <row r="373" spans="1:17" x14ac:dyDescent="0.2">
      <c r="A373" s="247"/>
      <c r="B373" s="248"/>
      <c r="C373" s="249"/>
      <c r="D373" s="249"/>
      <c r="E373" s="249"/>
      <c r="F373" s="250" t="s">
        <v>193</v>
      </c>
      <c r="G373" s="401"/>
      <c r="H373" s="249"/>
      <c r="I373" s="445">
        <f>+I364+I368+I371</f>
        <v>368.03</v>
      </c>
    </row>
    <row r="374" spans="1:17" x14ac:dyDescent="0.2">
      <c r="A374" s="251"/>
      <c r="B374" s="252"/>
      <c r="C374" s="253"/>
      <c r="D374" s="253"/>
      <c r="E374" s="253"/>
      <c r="F374" s="254" t="s">
        <v>194</v>
      </c>
      <c r="G374" s="255"/>
      <c r="H374" s="253"/>
      <c r="I374" s="446">
        <v>48</v>
      </c>
    </row>
    <row r="375" spans="1:17" x14ac:dyDescent="0.2">
      <c r="A375" s="233"/>
      <c r="B375" s="256"/>
      <c r="C375" s="241"/>
      <c r="D375" s="241"/>
      <c r="E375" s="241"/>
      <c r="F375" s="257" t="s">
        <v>216</v>
      </c>
      <c r="G375" s="240"/>
      <c r="H375" s="241"/>
      <c r="I375" s="447">
        <f>ROUND(I373/I374,2)</f>
        <v>7.67</v>
      </c>
    </row>
    <row r="376" spans="1:17" x14ac:dyDescent="0.2">
      <c r="A376" s="829"/>
      <c r="B376" s="229"/>
      <c r="C376" s="199"/>
      <c r="D376" s="199"/>
      <c r="E376" s="199"/>
      <c r="F376" s="258"/>
      <c r="G376" s="199"/>
      <c r="H376" s="199"/>
      <c r="I376" s="450"/>
    </row>
    <row r="377" spans="1:17" x14ac:dyDescent="0.2">
      <c r="A377" s="242" t="s">
        <v>195</v>
      </c>
      <c r="B377" s="243" t="s">
        <v>59</v>
      </c>
      <c r="C377" s="243" t="s">
        <v>196</v>
      </c>
      <c r="D377" s="243" t="s">
        <v>217</v>
      </c>
      <c r="E377" s="1121" t="s">
        <v>89</v>
      </c>
      <c r="F377" s="1114"/>
      <c r="G377" s="1115"/>
      <c r="H377" s="1121" t="s">
        <v>63</v>
      </c>
      <c r="I377" s="1115"/>
    </row>
    <row r="378" spans="1:17" x14ac:dyDescent="0.2">
      <c r="A378" s="199"/>
      <c r="B378" s="229"/>
      <c r="C378" s="199"/>
      <c r="D378" s="199"/>
      <c r="E378" s="199"/>
      <c r="F378" s="230" t="s">
        <v>197</v>
      </c>
      <c r="G378" s="240"/>
      <c r="H378" s="241"/>
      <c r="I378" s="438">
        <v>0</v>
      </c>
    </row>
    <row r="379" spans="1:17" x14ac:dyDescent="0.2">
      <c r="A379" s="199"/>
      <c r="B379" s="229"/>
      <c r="C379" s="199"/>
      <c r="D379" s="199"/>
      <c r="E379" s="199"/>
      <c r="F379" s="199"/>
      <c r="G379" s="262"/>
      <c r="H379" s="199"/>
      <c r="I379" s="439"/>
    </row>
    <row r="380" spans="1:17" x14ac:dyDescent="0.2">
      <c r="A380" s="263" t="s">
        <v>198</v>
      </c>
      <c r="B380" s="243" t="s">
        <v>59</v>
      </c>
      <c r="C380" s="243" t="s">
        <v>196</v>
      </c>
      <c r="D380" s="830" t="s">
        <v>217</v>
      </c>
      <c r="E380" s="1111" t="s">
        <v>89</v>
      </c>
      <c r="F380" s="1112"/>
      <c r="G380" s="1113"/>
      <c r="H380" s="1121" t="s">
        <v>63</v>
      </c>
      <c r="I380" s="1115"/>
      <c r="J380" s="295"/>
      <c r="L380" s="22"/>
      <c r="M380" s="22"/>
      <c r="N380" s="22"/>
    </row>
    <row r="381" spans="1:17" ht="33.75" x14ac:dyDescent="0.2">
      <c r="A381" s="416" t="str">
        <f>VLOOKUP(B381,'DER 11-20'!$A:$E,2,FALSE)</f>
        <v>Reaterro de cavas c/ compactação manual (apiloamento)</v>
      </c>
      <c r="B381" s="417">
        <v>40302</v>
      </c>
      <c r="C381" s="417" t="str">
        <f>VLOOKUP(B381,'DER 11-20'!$A:$E,3,FALSE)</f>
        <v>M3</v>
      </c>
      <c r="D381" s="418">
        <f>TRUNC(VLOOKUP(B381,'DER 11-20'!$A:$F,6,FALSE)/(1+$I$4),2)</f>
        <v>59.56</v>
      </c>
      <c r="E381" s="419"/>
      <c r="F381" s="420"/>
      <c r="G381" s="790">
        <v>5</v>
      </c>
      <c r="H381" s="422"/>
      <c r="I381" s="423">
        <f>TRUNC(D381*G381,2)</f>
        <v>297.8</v>
      </c>
      <c r="J381" s="415"/>
      <c r="K381" s="415"/>
      <c r="L381" s="198"/>
      <c r="M381" s="198"/>
      <c r="N381" s="198"/>
      <c r="O381" s="198"/>
      <c r="P381" s="198"/>
      <c r="Q381" s="198"/>
    </row>
    <row r="382" spans="1:17" ht="45" x14ac:dyDescent="0.2">
      <c r="A382" s="416" t="str">
        <f>VLOOKUP(B382,'DER 11-20'!$A:$E,2,FALSE)</f>
        <v>Formas planas de madeira com 02 (dois) reaproveitamentos, inclusive fornecimento e transporte das madeiras</v>
      </c>
      <c r="B382" s="417">
        <v>40312</v>
      </c>
      <c r="C382" s="417" t="str">
        <f>VLOOKUP(B382,'DER 11-20'!$A:$E,3,FALSE)</f>
        <v>M2</v>
      </c>
      <c r="D382" s="418">
        <f>TRUNC(VLOOKUP(B382,'DER 11-20'!$A:$F,6,FALSE)/(1+$I$4),2)</f>
        <v>84.31</v>
      </c>
      <c r="E382" s="419"/>
      <c r="F382" s="420"/>
      <c r="G382" s="790">
        <v>20.3</v>
      </c>
      <c r="H382" s="422"/>
      <c r="I382" s="423">
        <f>TRUNC(D382*G382,2)</f>
        <v>1711.49</v>
      </c>
      <c r="J382" s="415"/>
      <c r="K382" s="415"/>
      <c r="L382" s="198"/>
      <c r="M382" s="198"/>
      <c r="N382" s="198"/>
      <c r="O382" s="198"/>
      <c r="P382" s="198"/>
      <c r="Q382" s="198"/>
    </row>
    <row r="383" spans="1:17" ht="22.5" x14ac:dyDescent="0.2">
      <c r="A383" s="416" t="str">
        <f>VLOOKUP(B383,'DER 11-20'!$A:$E,2,FALSE)</f>
        <v>Concreto estrutural fck = 15,0 MPa, tudo incluído</v>
      </c>
      <c r="B383" s="417">
        <v>40358</v>
      </c>
      <c r="C383" s="417" t="str">
        <f>VLOOKUP(B383,'DER 11-20'!$A:$E,3,FALSE)</f>
        <v>M3</v>
      </c>
      <c r="D383" s="418">
        <f>TRUNC(VLOOKUP(B383,'DER 11-20'!$A:$F,6,FALSE)/(1+$I$4),2)</f>
        <v>547.26</v>
      </c>
      <c r="E383" s="419"/>
      <c r="F383" s="420"/>
      <c r="G383" s="790">
        <v>2.0699999999999998</v>
      </c>
      <c r="H383" s="422"/>
      <c r="I383" s="423">
        <f>TRUNC(D383*G383,2)</f>
        <v>1132.82</v>
      </c>
      <c r="J383" s="415"/>
      <c r="K383" s="415"/>
      <c r="L383" s="198"/>
      <c r="M383" s="198"/>
      <c r="N383" s="198"/>
      <c r="O383" s="198"/>
      <c r="P383" s="198"/>
      <c r="Q383" s="198"/>
    </row>
    <row r="384" spans="1:17" x14ac:dyDescent="0.2">
      <c r="A384" s="200"/>
      <c r="B384" s="264"/>
      <c r="C384" s="200"/>
      <c r="D384" s="200"/>
      <c r="E384" s="200"/>
      <c r="F384" s="265" t="s">
        <v>199</v>
      </c>
      <c r="G384" s="255"/>
      <c r="H384" s="266"/>
      <c r="I384" s="441">
        <f>SUM(I381:I383)</f>
        <v>3142.11</v>
      </c>
      <c r="J384" s="295"/>
    </row>
    <row r="385" spans="1:13" x14ac:dyDescent="0.2">
      <c r="A385" s="200"/>
      <c r="B385" s="264"/>
      <c r="C385" s="200"/>
      <c r="D385" s="200"/>
      <c r="E385" s="200"/>
      <c r="F385" s="200"/>
      <c r="G385" s="200"/>
      <c r="H385" s="200"/>
      <c r="I385" s="440"/>
      <c r="J385" s="295"/>
    </row>
    <row r="386" spans="1:13" x14ac:dyDescent="0.2">
      <c r="A386" s="267" t="s">
        <v>200</v>
      </c>
      <c r="B386" s="268" t="s">
        <v>59</v>
      </c>
      <c r="C386" s="268" t="s">
        <v>196</v>
      </c>
      <c r="D386" s="268" t="s">
        <v>201</v>
      </c>
      <c r="E386" s="268" t="s">
        <v>202</v>
      </c>
      <c r="F386" s="268" t="s">
        <v>203</v>
      </c>
      <c r="G386" s="268" t="s">
        <v>94</v>
      </c>
      <c r="H386" s="268" t="s">
        <v>89</v>
      </c>
      <c r="I386" s="442" t="s">
        <v>204</v>
      </c>
    </row>
    <row r="387" spans="1:13" x14ac:dyDescent="0.2">
      <c r="A387" s="200"/>
      <c r="B387" s="264"/>
      <c r="C387" s="200"/>
      <c r="D387" s="200"/>
      <c r="E387" s="200"/>
      <c r="F387" s="265" t="s">
        <v>205</v>
      </c>
      <c r="G387" s="240"/>
      <c r="H387" s="272"/>
      <c r="I387" s="443">
        <v>0</v>
      </c>
    </row>
    <row r="388" spans="1:13" x14ac:dyDescent="0.2">
      <c r="A388" s="200"/>
      <c r="B388" s="264"/>
      <c r="C388" s="200"/>
      <c r="D388" s="200"/>
      <c r="E388" s="200"/>
      <c r="F388" s="200"/>
      <c r="G388" s="200"/>
      <c r="H388" s="200"/>
      <c r="I388" s="444"/>
    </row>
    <row r="389" spans="1:13" x14ac:dyDescent="0.2">
      <c r="A389" s="273"/>
      <c r="B389" s="274"/>
      <c r="C389" s="275"/>
      <c r="D389" s="275"/>
      <c r="E389" s="275"/>
      <c r="F389" s="276" t="s">
        <v>206</v>
      </c>
      <c r="G389" s="273"/>
      <c r="H389" s="249"/>
      <c r="I389" s="445">
        <f>+I375+I378+I384+I387</f>
        <v>3149.78</v>
      </c>
    </row>
    <row r="390" spans="1:13" x14ac:dyDescent="0.2">
      <c r="A390" s="255"/>
      <c r="B390" s="277"/>
      <c r="C390" s="266"/>
      <c r="D390" s="266"/>
      <c r="E390" s="266"/>
      <c r="F390" s="278" t="str">
        <f>CONCATENATE($H$3," ",$I$3)</f>
        <v>BDI: 23,32</v>
      </c>
      <c r="G390" s="403"/>
      <c r="H390" s="253"/>
      <c r="I390" s="446">
        <f>+ROUND(I389*$I$4,2)</f>
        <v>734.53</v>
      </c>
    </row>
    <row r="391" spans="1:13" x14ac:dyDescent="0.2">
      <c r="A391" s="240"/>
      <c r="B391" s="279"/>
      <c r="C391" s="272"/>
      <c r="D391" s="272"/>
      <c r="E391" s="272"/>
      <c r="F391" s="280" t="s">
        <v>207</v>
      </c>
      <c r="G391" s="404"/>
      <c r="H391" s="241"/>
      <c r="I391" s="720">
        <f>+I389+I390</f>
        <v>3884.31</v>
      </c>
    </row>
    <row r="392" spans="1:13" x14ac:dyDescent="0.2">
      <c r="A392" s="1116" t="s">
        <v>213</v>
      </c>
      <c r="B392" s="1116"/>
      <c r="C392" s="1116"/>
      <c r="D392" s="1116"/>
      <c r="E392" s="1116"/>
      <c r="F392" s="1116"/>
      <c r="G392" s="1116"/>
      <c r="H392" s="1116"/>
      <c r="I392" s="1116"/>
    </row>
    <row r="393" spans="1:13" x14ac:dyDescent="0.2">
      <c r="A393" s="228" t="str">
        <f>$A$2</f>
        <v>Tabela Referencial de Preços - DER-ES - sem desoneração</v>
      </c>
      <c r="B393" s="229"/>
      <c r="C393" s="199"/>
      <c r="D393" s="199"/>
      <c r="E393" s="199"/>
      <c r="F393" s="199"/>
      <c r="G393" s="199"/>
      <c r="H393" s="199"/>
      <c r="I393" s="414" t="str">
        <f>$I$2</f>
        <v>Data Base: novembro/2020</v>
      </c>
    </row>
    <row r="394" spans="1:13" ht="14.25" customHeight="1" x14ac:dyDescent="0.2">
      <c r="A394" s="1117" t="str">
        <f>+CONCATENATE("Serviço: ",J394," ",L394)</f>
        <v>Serviço: PR-012 Caixa coletora de talvegue - CCT 07</v>
      </c>
      <c r="B394" s="1117"/>
      <c r="C394" s="1117"/>
      <c r="D394" s="1117"/>
      <c r="E394" s="1117"/>
      <c r="F394" s="1117"/>
      <c r="G394" s="1117"/>
      <c r="H394" s="1117"/>
      <c r="I394" s="1119" t="str">
        <f>CONCATENATE("Unidade: ", M394)</f>
        <v>Unidade: m3</v>
      </c>
      <c r="J394" s="360" t="s">
        <v>674</v>
      </c>
      <c r="K394" s="780">
        <f>VLOOKUP("Preço Unitário Total",F395:I424,4,FALSE)</f>
        <v>4879.99</v>
      </c>
      <c r="L394" s="1058" t="s">
        <v>650</v>
      </c>
      <c r="M394" s="393" t="s">
        <v>407</v>
      </c>
    </row>
    <row r="395" spans="1:13" x14ac:dyDescent="0.2">
      <c r="A395" s="1118"/>
      <c r="B395" s="1118"/>
      <c r="C395" s="1118"/>
      <c r="D395" s="1118"/>
      <c r="E395" s="1118"/>
      <c r="F395" s="1118"/>
      <c r="G395" s="1118"/>
      <c r="H395" s="1118"/>
      <c r="I395" s="1120"/>
      <c r="L395" s="1058"/>
    </row>
    <row r="396" spans="1:13" ht="22.5" x14ac:dyDescent="0.2">
      <c r="A396" s="231" t="s">
        <v>177</v>
      </c>
      <c r="B396" s="232" t="s">
        <v>59</v>
      </c>
      <c r="C396" s="232" t="s">
        <v>178</v>
      </c>
      <c r="D396" s="232" t="s">
        <v>179</v>
      </c>
      <c r="E396" s="232" t="s">
        <v>180</v>
      </c>
      <c r="F396" s="232" t="s">
        <v>181</v>
      </c>
      <c r="G396" s="232" t="s">
        <v>182</v>
      </c>
      <c r="H396" s="232" t="s">
        <v>89</v>
      </c>
      <c r="I396" s="434" t="s">
        <v>183</v>
      </c>
      <c r="L396" s="1058"/>
    </row>
    <row r="397" spans="1:13" x14ac:dyDescent="0.2">
      <c r="A397" s="199"/>
      <c r="B397" s="229"/>
      <c r="C397" s="229"/>
      <c r="D397" s="199"/>
      <c r="E397" s="199"/>
      <c r="F397" s="230" t="s">
        <v>184</v>
      </c>
      <c r="G397" s="240"/>
      <c r="H397" s="241"/>
      <c r="I397" s="438">
        <v>0</v>
      </c>
    </row>
    <row r="398" spans="1:13" x14ac:dyDescent="0.2">
      <c r="A398" s="199"/>
      <c r="B398" s="229"/>
      <c r="C398" s="229"/>
      <c r="D398" s="199"/>
      <c r="E398" s="199"/>
      <c r="F398" s="199"/>
      <c r="G398" s="199"/>
      <c r="H398" s="199"/>
      <c r="I398" s="439"/>
    </row>
    <row r="399" spans="1:13" x14ac:dyDescent="0.2">
      <c r="A399" s="242" t="s">
        <v>185</v>
      </c>
      <c r="B399" s="243" t="s">
        <v>59</v>
      </c>
      <c r="C399" s="232" t="s">
        <v>186</v>
      </c>
      <c r="D399" s="243" t="s">
        <v>187</v>
      </c>
      <c r="E399" s="1111" t="s">
        <v>89</v>
      </c>
      <c r="F399" s="1112"/>
      <c r="G399" s="1113"/>
      <c r="H399" s="1121" t="s">
        <v>183</v>
      </c>
      <c r="I399" s="1115"/>
    </row>
    <row r="400" spans="1:13" x14ac:dyDescent="0.2">
      <c r="A400" s="244" t="str">
        <f>VLOOKUP(B400,m.o.!$A:$H,2,FALSE)</f>
        <v>Encarregado de O.A.C.</v>
      </c>
      <c r="B400" s="234">
        <v>20060</v>
      </c>
      <c r="C400" s="239" t="str">
        <f>VLOOKUP(B400,m.o.!$A:$F,3,FALSE)</f>
        <v>h</v>
      </c>
      <c r="D400" s="239">
        <f>VLOOKUP(B400,m.o.!$A:$G,7,FALSE)</f>
        <v>28.31</v>
      </c>
      <c r="E400" s="255"/>
      <c r="F400" s="253"/>
      <c r="G400" s="293">
        <v>13</v>
      </c>
      <c r="H400" s="240"/>
      <c r="I400" s="427">
        <f>ROUND(D400*G400,2)</f>
        <v>368.03</v>
      </c>
    </row>
    <row r="401" spans="1:17" x14ac:dyDescent="0.2">
      <c r="A401" s="199"/>
      <c r="B401" s="229"/>
      <c r="C401" s="229"/>
      <c r="D401" s="199"/>
      <c r="E401" s="199"/>
      <c r="F401" s="230" t="s">
        <v>188</v>
      </c>
      <c r="G401" s="240"/>
      <c r="H401" s="241"/>
      <c r="I401" s="438">
        <f>SUM(I400:I400)</f>
        <v>368.03</v>
      </c>
    </row>
    <row r="402" spans="1:17" x14ac:dyDescent="0.2">
      <c r="A402" s="199"/>
      <c r="B402" s="229"/>
      <c r="C402" s="229"/>
      <c r="D402" s="199"/>
      <c r="E402" s="199"/>
      <c r="F402" s="199"/>
      <c r="G402" s="199"/>
      <c r="H402" s="199"/>
      <c r="I402" s="439"/>
    </row>
    <row r="403" spans="1:17" x14ac:dyDescent="0.2">
      <c r="A403" s="245" t="s">
        <v>189</v>
      </c>
      <c r="B403" s="243" t="s">
        <v>59</v>
      </c>
      <c r="C403" s="830" t="s">
        <v>17</v>
      </c>
      <c r="D403" s="243" t="s">
        <v>190</v>
      </c>
      <c r="E403" s="243" t="s">
        <v>191</v>
      </c>
      <c r="F403" s="243" t="s">
        <v>192</v>
      </c>
      <c r="G403" s="1121" t="s">
        <v>94</v>
      </c>
      <c r="H403" s="1114"/>
      <c r="I403" s="1115"/>
    </row>
    <row r="404" spans="1:17" x14ac:dyDescent="0.2">
      <c r="A404" s="199"/>
      <c r="B404" s="229"/>
      <c r="C404" s="199"/>
      <c r="D404" s="199"/>
      <c r="E404" s="199"/>
      <c r="F404" s="230" t="s">
        <v>327</v>
      </c>
      <c r="G404" s="240"/>
      <c r="H404" s="241"/>
      <c r="I404" s="438">
        <v>0</v>
      </c>
    </row>
    <row r="405" spans="1:17" x14ac:dyDescent="0.2">
      <c r="A405" s="199"/>
      <c r="B405" s="229"/>
      <c r="C405" s="199"/>
      <c r="D405" s="199"/>
      <c r="E405" s="199"/>
      <c r="F405" s="199"/>
      <c r="G405" s="199"/>
      <c r="H405" s="199"/>
      <c r="I405" s="439"/>
    </row>
    <row r="406" spans="1:17" x14ac:dyDescent="0.2">
      <c r="A406" s="247"/>
      <c r="B406" s="248"/>
      <c r="C406" s="249"/>
      <c r="D406" s="249"/>
      <c r="E406" s="249"/>
      <c r="F406" s="250" t="s">
        <v>193</v>
      </c>
      <c r="G406" s="401"/>
      <c r="H406" s="249"/>
      <c r="I406" s="445">
        <f>+I397+I401+I404</f>
        <v>368.03</v>
      </c>
    </row>
    <row r="407" spans="1:17" x14ac:dyDescent="0.2">
      <c r="A407" s="251"/>
      <c r="B407" s="252"/>
      <c r="C407" s="253"/>
      <c r="D407" s="253"/>
      <c r="E407" s="253"/>
      <c r="F407" s="254" t="s">
        <v>194</v>
      </c>
      <c r="G407" s="255"/>
      <c r="H407" s="253"/>
      <c r="I407" s="446">
        <v>48</v>
      </c>
    </row>
    <row r="408" spans="1:17" x14ac:dyDescent="0.2">
      <c r="A408" s="233"/>
      <c r="B408" s="256"/>
      <c r="C408" s="241"/>
      <c r="D408" s="241"/>
      <c r="E408" s="241"/>
      <c r="F408" s="257" t="s">
        <v>216</v>
      </c>
      <c r="G408" s="240"/>
      <c r="H408" s="241"/>
      <c r="I408" s="447">
        <f>ROUND(I406/I407,2)</f>
        <v>7.67</v>
      </c>
    </row>
    <row r="409" spans="1:17" x14ac:dyDescent="0.2">
      <c r="A409" s="829"/>
      <c r="B409" s="229"/>
      <c r="C409" s="199"/>
      <c r="D409" s="199"/>
      <c r="E409" s="199"/>
      <c r="F409" s="258"/>
      <c r="G409" s="199"/>
      <c r="H409" s="199"/>
      <c r="I409" s="450"/>
    </row>
    <row r="410" spans="1:17" x14ac:dyDescent="0.2">
      <c r="A410" s="242" t="s">
        <v>195</v>
      </c>
      <c r="B410" s="243" t="s">
        <v>59</v>
      </c>
      <c r="C410" s="243" t="s">
        <v>196</v>
      </c>
      <c r="D410" s="243" t="s">
        <v>217</v>
      </c>
      <c r="E410" s="1121" t="s">
        <v>89</v>
      </c>
      <c r="F410" s="1114"/>
      <c r="G410" s="1115"/>
      <c r="H410" s="1121" t="s">
        <v>63</v>
      </c>
      <c r="I410" s="1115"/>
    </row>
    <row r="411" spans="1:17" x14ac:dyDescent="0.2">
      <c r="A411" s="199"/>
      <c r="B411" s="229"/>
      <c r="C411" s="199"/>
      <c r="D411" s="199"/>
      <c r="E411" s="199"/>
      <c r="F411" s="230" t="s">
        <v>197</v>
      </c>
      <c r="G411" s="240"/>
      <c r="H411" s="241"/>
      <c r="I411" s="438">
        <v>0</v>
      </c>
    </row>
    <row r="412" spans="1:17" x14ac:dyDescent="0.2">
      <c r="A412" s="199"/>
      <c r="B412" s="229"/>
      <c r="C412" s="199"/>
      <c r="D412" s="199"/>
      <c r="E412" s="199"/>
      <c r="F412" s="199"/>
      <c r="G412" s="262"/>
      <c r="H412" s="199"/>
      <c r="I412" s="439"/>
    </row>
    <row r="413" spans="1:17" x14ac:dyDescent="0.2">
      <c r="A413" s="263" t="s">
        <v>198</v>
      </c>
      <c r="B413" s="243" t="s">
        <v>59</v>
      </c>
      <c r="C413" s="243" t="s">
        <v>196</v>
      </c>
      <c r="D413" s="830" t="s">
        <v>217</v>
      </c>
      <c r="E413" s="1111" t="s">
        <v>89</v>
      </c>
      <c r="F413" s="1112"/>
      <c r="G413" s="1113"/>
      <c r="H413" s="1121" t="s">
        <v>63</v>
      </c>
      <c r="I413" s="1115"/>
      <c r="J413" s="295"/>
      <c r="L413" s="22"/>
      <c r="M413" s="22"/>
      <c r="N413" s="22"/>
    </row>
    <row r="414" spans="1:17" ht="33.75" x14ac:dyDescent="0.2">
      <c r="A414" s="416" t="str">
        <f>VLOOKUP(B414,'DER 11-20'!$A:$E,2,FALSE)</f>
        <v>Reaterro de cavas c/ compactação manual (apiloamento)</v>
      </c>
      <c r="B414" s="417">
        <v>40302</v>
      </c>
      <c r="C414" s="417" t="str">
        <f>VLOOKUP(B414,'DER 11-20'!$A:$E,3,FALSE)</f>
        <v>M3</v>
      </c>
      <c r="D414" s="418">
        <f>TRUNC(VLOOKUP(B414,'DER 11-20'!$A:$F,6,FALSE)/(1+$I$4),2)</f>
        <v>59.56</v>
      </c>
      <c r="E414" s="419"/>
      <c r="F414" s="420"/>
      <c r="G414" s="790">
        <v>6</v>
      </c>
      <c r="H414" s="422"/>
      <c r="I414" s="423">
        <f>TRUNC(D414*G414,2)</f>
        <v>357.36</v>
      </c>
      <c r="J414" s="415"/>
      <c r="K414" s="415"/>
      <c r="L414" s="198"/>
      <c r="M414" s="198"/>
      <c r="N414" s="198"/>
      <c r="O414" s="198"/>
      <c r="P414" s="198"/>
      <c r="Q414" s="198"/>
    </row>
    <row r="415" spans="1:17" ht="45" x14ac:dyDescent="0.2">
      <c r="A415" s="416" t="str">
        <f>VLOOKUP(B415,'DER 11-20'!$A:$E,2,FALSE)</f>
        <v>Formas planas de madeira com 02 (dois) reaproveitamentos, inclusive fornecimento e transporte das madeiras</v>
      </c>
      <c r="B415" s="417">
        <v>40312</v>
      </c>
      <c r="C415" s="417" t="str">
        <f>VLOOKUP(B415,'DER 11-20'!$A:$E,3,FALSE)</f>
        <v>M2</v>
      </c>
      <c r="D415" s="418">
        <f>TRUNC(VLOOKUP(B415,'DER 11-20'!$A:$F,6,FALSE)/(1+$I$4),2)</f>
        <v>84.31</v>
      </c>
      <c r="E415" s="419"/>
      <c r="F415" s="420"/>
      <c r="G415" s="790">
        <v>25.6</v>
      </c>
      <c r="H415" s="422"/>
      <c r="I415" s="423">
        <f>TRUNC(D415*G415,2)</f>
        <v>2158.33</v>
      </c>
      <c r="J415" s="415"/>
      <c r="K415" s="415"/>
      <c r="L415" s="198"/>
      <c r="M415" s="198"/>
      <c r="N415" s="198"/>
      <c r="O415" s="198"/>
      <c r="P415" s="198"/>
      <c r="Q415" s="198"/>
    </row>
    <row r="416" spans="1:17" ht="22.5" x14ac:dyDescent="0.2">
      <c r="A416" s="416" t="str">
        <f>VLOOKUP(B416,'DER 11-20'!$A:$E,2,FALSE)</f>
        <v>Concreto estrutural fck = 15,0 MPa, tudo incluído</v>
      </c>
      <c r="B416" s="417">
        <v>40358</v>
      </c>
      <c r="C416" s="417" t="str">
        <f>VLOOKUP(B416,'DER 11-20'!$A:$E,3,FALSE)</f>
        <v>M3</v>
      </c>
      <c r="D416" s="418">
        <f>TRUNC(VLOOKUP(B416,'DER 11-20'!$A:$F,6,FALSE)/(1+$I$4),2)</f>
        <v>547.26</v>
      </c>
      <c r="E416" s="419"/>
      <c r="F416" s="420"/>
      <c r="G416" s="790">
        <v>2.62</v>
      </c>
      <c r="H416" s="422"/>
      <c r="I416" s="423">
        <f>TRUNC(D416*G416,2)</f>
        <v>1433.82</v>
      </c>
      <c r="J416" s="415"/>
      <c r="K416" s="415"/>
      <c r="L416" s="198"/>
      <c r="M416" s="198"/>
      <c r="N416" s="198"/>
      <c r="O416" s="198"/>
      <c r="P416" s="198"/>
      <c r="Q416" s="198"/>
    </row>
    <row r="417" spans="1:13" x14ac:dyDescent="0.2">
      <c r="A417" s="200"/>
      <c r="B417" s="264"/>
      <c r="C417" s="200"/>
      <c r="D417" s="200"/>
      <c r="E417" s="200"/>
      <c r="F417" s="265" t="s">
        <v>199</v>
      </c>
      <c r="G417" s="255"/>
      <c r="H417" s="266"/>
      <c r="I417" s="441">
        <f>SUM(I414:I416)</f>
        <v>3949.51</v>
      </c>
      <c r="J417" s="295"/>
    </row>
    <row r="418" spans="1:13" x14ac:dyDescent="0.2">
      <c r="A418" s="200"/>
      <c r="B418" s="264"/>
      <c r="C418" s="200"/>
      <c r="D418" s="200"/>
      <c r="E418" s="200"/>
      <c r="F418" s="200"/>
      <c r="G418" s="200"/>
      <c r="H418" s="200"/>
      <c r="I418" s="440"/>
      <c r="J418" s="295"/>
    </row>
    <row r="419" spans="1:13" x14ac:dyDescent="0.2">
      <c r="A419" s="267" t="s">
        <v>200</v>
      </c>
      <c r="B419" s="268" t="s">
        <v>59</v>
      </c>
      <c r="C419" s="268" t="s">
        <v>196</v>
      </c>
      <c r="D419" s="268" t="s">
        <v>201</v>
      </c>
      <c r="E419" s="268" t="s">
        <v>202</v>
      </c>
      <c r="F419" s="268" t="s">
        <v>203</v>
      </c>
      <c r="G419" s="268" t="s">
        <v>94</v>
      </c>
      <c r="H419" s="268" t="s">
        <v>89</v>
      </c>
      <c r="I419" s="442" t="s">
        <v>204</v>
      </c>
    </row>
    <row r="420" spans="1:13" x14ac:dyDescent="0.2">
      <c r="A420" s="200"/>
      <c r="B420" s="264"/>
      <c r="C420" s="200"/>
      <c r="D420" s="200"/>
      <c r="E420" s="200"/>
      <c r="F420" s="265" t="s">
        <v>205</v>
      </c>
      <c r="G420" s="240"/>
      <c r="H420" s="272"/>
      <c r="I420" s="443">
        <v>0</v>
      </c>
    </row>
    <row r="421" spans="1:13" x14ac:dyDescent="0.2">
      <c r="A421" s="200"/>
      <c r="B421" s="264"/>
      <c r="C421" s="200"/>
      <c r="D421" s="200"/>
      <c r="E421" s="200"/>
      <c r="F421" s="200"/>
      <c r="G421" s="200"/>
      <c r="H421" s="200"/>
      <c r="I421" s="444"/>
    </row>
    <row r="422" spans="1:13" x14ac:dyDescent="0.2">
      <c r="A422" s="273"/>
      <c r="B422" s="274"/>
      <c r="C422" s="275"/>
      <c r="D422" s="275"/>
      <c r="E422" s="275"/>
      <c r="F422" s="276" t="s">
        <v>206</v>
      </c>
      <c r="G422" s="273"/>
      <c r="H422" s="249"/>
      <c r="I422" s="445">
        <f>+I408+I411+I417+I420</f>
        <v>3957.18</v>
      </c>
    </row>
    <row r="423" spans="1:13" x14ac:dyDescent="0.2">
      <c r="A423" s="255"/>
      <c r="B423" s="277"/>
      <c r="C423" s="266"/>
      <c r="D423" s="266"/>
      <c r="E423" s="266"/>
      <c r="F423" s="278" t="str">
        <f>CONCATENATE($H$3," ",$I$3)</f>
        <v>BDI: 23,32</v>
      </c>
      <c r="G423" s="403"/>
      <c r="H423" s="253"/>
      <c r="I423" s="446">
        <f>+ROUND(I422*$I$4,2)</f>
        <v>922.81</v>
      </c>
    </row>
    <row r="424" spans="1:13" x14ac:dyDescent="0.2">
      <c r="A424" s="240"/>
      <c r="B424" s="279"/>
      <c r="C424" s="272"/>
      <c r="D424" s="272"/>
      <c r="E424" s="272"/>
      <c r="F424" s="280" t="s">
        <v>207</v>
      </c>
      <c r="G424" s="404"/>
      <c r="H424" s="241"/>
      <c r="I424" s="720">
        <f>+I422+I423</f>
        <v>4879.99</v>
      </c>
    </row>
    <row r="425" spans="1:13" x14ac:dyDescent="0.2">
      <c r="A425" s="1116" t="s">
        <v>213</v>
      </c>
      <c r="B425" s="1116"/>
      <c r="C425" s="1116"/>
      <c r="D425" s="1116"/>
      <c r="E425" s="1116"/>
      <c r="F425" s="1116"/>
      <c r="G425" s="1116"/>
      <c r="H425" s="1116"/>
      <c r="I425" s="1116"/>
    </row>
    <row r="426" spans="1:13" x14ac:dyDescent="0.2">
      <c r="A426" s="228" t="str">
        <f>$A$2</f>
        <v>Tabela Referencial de Preços - DER-ES - sem desoneração</v>
      </c>
      <c r="B426" s="229"/>
      <c r="C426" s="199"/>
      <c r="D426" s="199"/>
      <c r="E426" s="199"/>
      <c r="F426" s="199"/>
      <c r="G426" s="199"/>
      <c r="H426" s="199"/>
      <c r="I426" s="414" t="str">
        <f>$I$2</f>
        <v>Data Base: novembro/2020</v>
      </c>
    </row>
    <row r="427" spans="1:13" ht="14.25" customHeight="1" x14ac:dyDescent="0.2">
      <c r="A427" s="1117" t="str">
        <f>+CONCATENATE("Serviço: ",J427," ",L427)</f>
        <v>Serviço: PR-013 Dissipador de energia aplicado a saída de bueiro/descida d'agua de aterro (DEB-11)</v>
      </c>
      <c r="B427" s="1117"/>
      <c r="C427" s="1117"/>
      <c r="D427" s="1117"/>
      <c r="E427" s="1117"/>
      <c r="F427" s="1117"/>
      <c r="G427" s="1117"/>
      <c r="H427" s="1117"/>
      <c r="I427" s="1119" t="str">
        <f>CONCATENATE("Unidade: ", M427)</f>
        <v>Unidade: Ud</v>
      </c>
      <c r="J427" s="360" t="s">
        <v>675</v>
      </c>
      <c r="K427" s="780">
        <f>VLOOKUP("Preço Unitário Total",F428:I458,4,FALSE)</f>
        <v>9502.18</v>
      </c>
      <c r="L427" s="1058" t="s">
        <v>548</v>
      </c>
      <c r="M427" s="393" t="s">
        <v>396</v>
      </c>
    </row>
    <row r="428" spans="1:13" x14ac:dyDescent="0.2">
      <c r="A428" s="1118"/>
      <c r="B428" s="1118"/>
      <c r="C428" s="1118"/>
      <c r="D428" s="1118"/>
      <c r="E428" s="1118"/>
      <c r="F428" s="1118"/>
      <c r="G428" s="1118"/>
      <c r="H428" s="1118"/>
      <c r="I428" s="1120"/>
      <c r="L428" s="1058"/>
    </row>
    <row r="429" spans="1:13" ht="22.5" x14ac:dyDescent="0.2">
      <c r="A429" s="231" t="s">
        <v>177</v>
      </c>
      <c r="B429" s="232" t="s">
        <v>59</v>
      </c>
      <c r="C429" s="232" t="s">
        <v>178</v>
      </c>
      <c r="D429" s="232" t="s">
        <v>179</v>
      </c>
      <c r="E429" s="232" t="s">
        <v>180</v>
      </c>
      <c r="F429" s="232" t="s">
        <v>181</v>
      </c>
      <c r="G429" s="232" t="s">
        <v>182</v>
      </c>
      <c r="H429" s="232" t="s">
        <v>89</v>
      </c>
      <c r="I429" s="434" t="s">
        <v>183</v>
      </c>
      <c r="L429" s="1058"/>
    </row>
    <row r="430" spans="1:13" x14ac:dyDescent="0.2">
      <c r="A430" s="199"/>
      <c r="B430" s="229"/>
      <c r="C430" s="229"/>
      <c r="D430" s="199"/>
      <c r="E430" s="199"/>
      <c r="F430" s="230" t="s">
        <v>184</v>
      </c>
      <c r="G430" s="240"/>
      <c r="H430" s="241"/>
      <c r="I430" s="438">
        <v>0</v>
      </c>
    </row>
    <row r="431" spans="1:13" x14ac:dyDescent="0.2">
      <c r="A431" s="199"/>
      <c r="B431" s="229"/>
      <c r="C431" s="229"/>
      <c r="D431" s="199"/>
      <c r="E431" s="199"/>
      <c r="F431" s="199"/>
      <c r="G431" s="199"/>
      <c r="H431" s="199"/>
      <c r="I431" s="439"/>
    </row>
    <row r="432" spans="1:13" x14ac:dyDescent="0.2">
      <c r="A432" s="242" t="s">
        <v>185</v>
      </c>
      <c r="B432" s="243" t="s">
        <v>59</v>
      </c>
      <c r="C432" s="232" t="s">
        <v>186</v>
      </c>
      <c r="D432" s="243" t="s">
        <v>187</v>
      </c>
      <c r="E432" s="1111" t="s">
        <v>89</v>
      </c>
      <c r="F432" s="1112"/>
      <c r="G432" s="1113"/>
      <c r="H432" s="1121" t="s">
        <v>183</v>
      </c>
      <c r="I432" s="1115"/>
    </row>
    <row r="433" spans="1:17" x14ac:dyDescent="0.2">
      <c r="A433" s="199"/>
      <c r="B433" s="229"/>
      <c r="C433" s="229"/>
      <c r="D433" s="199"/>
      <c r="E433" s="199"/>
      <c r="F433" s="230" t="s">
        <v>188</v>
      </c>
      <c r="G433" s="240"/>
      <c r="H433" s="241"/>
      <c r="I433" s="438">
        <v>0</v>
      </c>
    </row>
    <row r="434" spans="1:17" x14ac:dyDescent="0.2">
      <c r="A434" s="199"/>
      <c r="B434" s="229"/>
      <c r="C434" s="229"/>
      <c r="D434" s="199"/>
      <c r="E434" s="199"/>
      <c r="F434" s="199"/>
      <c r="G434" s="199"/>
      <c r="H434" s="199"/>
      <c r="I434" s="439"/>
    </row>
    <row r="435" spans="1:17" x14ac:dyDescent="0.2">
      <c r="A435" s="245" t="s">
        <v>189</v>
      </c>
      <c r="B435" s="243" t="s">
        <v>59</v>
      </c>
      <c r="C435" s="830" t="s">
        <v>17</v>
      </c>
      <c r="D435" s="243" t="s">
        <v>190</v>
      </c>
      <c r="E435" s="243" t="s">
        <v>191</v>
      </c>
      <c r="F435" s="243" t="s">
        <v>192</v>
      </c>
      <c r="G435" s="1121" t="s">
        <v>94</v>
      </c>
      <c r="H435" s="1114"/>
      <c r="I435" s="1115"/>
    </row>
    <row r="436" spans="1:17" x14ac:dyDescent="0.2">
      <c r="A436" s="199"/>
      <c r="B436" s="229"/>
      <c r="C436" s="199"/>
      <c r="D436" s="199"/>
      <c r="E436" s="199"/>
      <c r="F436" s="230" t="s">
        <v>327</v>
      </c>
      <c r="G436" s="240"/>
      <c r="H436" s="241"/>
      <c r="I436" s="438">
        <v>0</v>
      </c>
    </row>
    <row r="437" spans="1:17" x14ac:dyDescent="0.2">
      <c r="A437" s="199"/>
      <c r="B437" s="229"/>
      <c r="C437" s="199"/>
      <c r="D437" s="199"/>
      <c r="E437" s="199"/>
      <c r="F437" s="199"/>
      <c r="G437" s="199"/>
      <c r="H437" s="199"/>
      <c r="I437" s="439"/>
    </row>
    <row r="438" spans="1:17" x14ac:dyDescent="0.2">
      <c r="A438" s="247"/>
      <c r="B438" s="248"/>
      <c r="C438" s="249"/>
      <c r="D438" s="249"/>
      <c r="E438" s="249"/>
      <c r="F438" s="250" t="s">
        <v>193</v>
      </c>
      <c r="G438" s="401"/>
      <c r="H438" s="249"/>
      <c r="I438" s="445">
        <f>+I430+I433+I436</f>
        <v>0</v>
      </c>
    </row>
    <row r="439" spans="1:17" x14ac:dyDescent="0.2">
      <c r="A439" s="251"/>
      <c r="B439" s="252"/>
      <c r="C439" s="253"/>
      <c r="D439" s="253"/>
      <c r="E439" s="253"/>
      <c r="F439" s="254" t="s">
        <v>194</v>
      </c>
      <c r="G439" s="255"/>
      <c r="H439" s="253"/>
      <c r="I439" s="446">
        <v>1</v>
      </c>
    </row>
    <row r="440" spans="1:17" x14ac:dyDescent="0.2">
      <c r="A440" s="233"/>
      <c r="B440" s="256"/>
      <c r="C440" s="241"/>
      <c r="D440" s="241"/>
      <c r="E440" s="241"/>
      <c r="F440" s="257" t="s">
        <v>216</v>
      </c>
      <c r="G440" s="240"/>
      <c r="H440" s="241"/>
      <c r="I440" s="447">
        <f>ROUND(I438/I439,2)</f>
        <v>0</v>
      </c>
    </row>
    <row r="441" spans="1:17" x14ac:dyDescent="0.2">
      <c r="A441" s="829"/>
      <c r="B441" s="229"/>
      <c r="C441" s="199"/>
      <c r="D441" s="199"/>
      <c r="E441" s="199"/>
      <c r="F441" s="258"/>
      <c r="G441" s="199"/>
      <c r="H441" s="199"/>
      <c r="I441" s="450"/>
    </row>
    <row r="442" spans="1:17" x14ac:dyDescent="0.2">
      <c r="A442" s="242" t="s">
        <v>195</v>
      </c>
      <c r="B442" s="243" t="s">
        <v>59</v>
      </c>
      <c r="C442" s="243" t="s">
        <v>196</v>
      </c>
      <c r="D442" s="243" t="s">
        <v>217</v>
      </c>
      <c r="E442" s="1121" t="s">
        <v>89</v>
      </c>
      <c r="F442" s="1114"/>
      <c r="G442" s="1115"/>
      <c r="H442" s="1121" t="s">
        <v>63</v>
      </c>
      <c r="I442" s="1115"/>
    </row>
    <row r="443" spans="1:17" x14ac:dyDescent="0.2">
      <c r="A443" s="199"/>
      <c r="B443" s="229"/>
      <c r="C443" s="199"/>
      <c r="D443" s="199"/>
      <c r="E443" s="199"/>
      <c r="F443" s="230" t="s">
        <v>197</v>
      </c>
      <c r="G443" s="240"/>
      <c r="H443" s="241"/>
      <c r="I443" s="438">
        <v>0</v>
      </c>
    </row>
    <row r="444" spans="1:17" x14ac:dyDescent="0.2">
      <c r="A444" s="199"/>
      <c r="B444" s="229"/>
      <c r="C444" s="199"/>
      <c r="D444" s="199"/>
      <c r="E444" s="199"/>
      <c r="F444" s="199"/>
      <c r="G444" s="262"/>
      <c r="H444" s="199"/>
      <c r="I444" s="439"/>
    </row>
    <row r="445" spans="1:17" x14ac:dyDescent="0.2">
      <c r="A445" s="263" t="s">
        <v>198</v>
      </c>
      <c r="B445" s="243" t="s">
        <v>59</v>
      </c>
      <c r="C445" s="243" t="s">
        <v>196</v>
      </c>
      <c r="D445" s="830" t="s">
        <v>217</v>
      </c>
      <c r="E445" s="1111" t="s">
        <v>89</v>
      </c>
      <c r="F445" s="1112"/>
      <c r="G445" s="1113"/>
      <c r="H445" s="1121" t="s">
        <v>63</v>
      </c>
      <c r="I445" s="1115"/>
      <c r="J445" s="295"/>
      <c r="L445" s="22"/>
      <c r="M445" s="22"/>
      <c r="N445" s="22"/>
    </row>
    <row r="446" spans="1:17" s="198" customFormat="1" ht="22.5" x14ac:dyDescent="0.2">
      <c r="A446" s="416" t="str">
        <f>VLOOKUP(B446,'DER 11-20'!$A:$E,2,FALSE)</f>
        <v>Escavação manual em mat. 1ª cat. H= 0,00 a 1,50 m</v>
      </c>
      <c r="B446" s="417">
        <v>40258</v>
      </c>
      <c r="C446" s="417" t="str">
        <f>VLOOKUP(B446,'DER 11-20'!$A:$E,3,FALSE)</f>
        <v>M3</v>
      </c>
      <c r="D446" s="418">
        <f>TRUNC(VLOOKUP(B446,'DER 11-20'!$A:$F,6,FALSE)/(1+$I$4),2)</f>
        <v>56.6</v>
      </c>
      <c r="E446" s="419"/>
      <c r="F446" s="420"/>
      <c r="G446" s="790">
        <v>11.9</v>
      </c>
      <c r="H446" s="422"/>
      <c r="I446" s="423">
        <f>TRUNC(D446*G446,2)</f>
        <v>673.54</v>
      </c>
      <c r="J446" s="415"/>
      <c r="K446" s="415"/>
    </row>
    <row r="447" spans="1:17" x14ac:dyDescent="0.2">
      <c r="A447" s="416" t="str">
        <f>VLOOKUP(B447,'DER 11-20'!$A:$E,2,FALSE)</f>
        <v>Apiloamento manual</v>
      </c>
      <c r="B447" s="417">
        <v>40300</v>
      </c>
      <c r="C447" s="417" t="str">
        <f>VLOOKUP(B447,'DER 11-20'!$A:$E,3,FALSE)</f>
        <v>M3</v>
      </c>
      <c r="D447" s="418">
        <f>TRUNC(VLOOKUP(B447,'DER 11-20'!$A:$F,6,FALSE)/(1+$I$4),2)</f>
        <v>46.15</v>
      </c>
      <c r="E447" s="419"/>
      <c r="F447" s="420"/>
      <c r="G447" s="790">
        <v>0.7</v>
      </c>
      <c r="H447" s="422"/>
      <c r="I447" s="423">
        <f>TRUNC(D447*G447,2)</f>
        <v>32.299999999999997</v>
      </c>
      <c r="J447" s="415"/>
      <c r="K447" s="415"/>
      <c r="L447" s="198"/>
      <c r="M447" s="198"/>
      <c r="N447" s="198"/>
      <c r="O447" s="198"/>
      <c r="P447" s="198"/>
      <c r="Q447" s="198"/>
    </row>
    <row r="448" spans="1:17" ht="45" x14ac:dyDescent="0.2">
      <c r="A448" s="416" t="str">
        <f>VLOOKUP(B448,'DER 11-20'!$A:$E,2,FALSE)</f>
        <v>Formas planas de madeira com 04 (quatro) reaproveitamentos, inclusive fornecimento e transporte das madeiras</v>
      </c>
      <c r="B448" s="417">
        <v>40313</v>
      </c>
      <c r="C448" s="417" t="str">
        <f>VLOOKUP(B448,'DER 11-20'!$A:$E,3,FALSE)</f>
        <v>M2</v>
      </c>
      <c r="D448" s="418">
        <f>TRUNC(VLOOKUP(B448,'DER 11-20'!$A:$F,6,FALSE)/(1+$I$4),2)</f>
        <v>71.56</v>
      </c>
      <c r="E448" s="419"/>
      <c r="F448" s="420"/>
      <c r="G448" s="790">
        <v>16.91</v>
      </c>
      <c r="H448" s="422"/>
      <c r="I448" s="423">
        <f>TRUNC(D448*G448,2)</f>
        <v>1210.07</v>
      </c>
      <c r="J448" s="415"/>
      <c r="K448" s="415"/>
      <c r="L448" s="198"/>
      <c r="M448" s="198"/>
      <c r="N448" s="198"/>
      <c r="O448" s="198"/>
      <c r="P448" s="198"/>
      <c r="Q448" s="198"/>
    </row>
    <row r="449" spans="1:17" ht="45" x14ac:dyDescent="0.2">
      <c r="A449" s="416" t="str">
        <f>VLOOKUP(B449,'DER 11-20'!$A:$E,2,FALSE)</f>
        <v>Alvenaria de pedra de mão argamassada (argamassa cimento areia 1:4), inclusive transporte da pedra</v>
      </c>
      <c r="B449" s="417">
        <v>40343</v>
      </c>
      <c r="C449" s="417" t="str">
        <f>VLOOKUP(B449,'DER 11-20'!$A:$E,3,FALSE)</f>
        <v>M3</v>
      </c>
      <c r="D449" s="418">
        <f>TRUNC(VLOOKUP(B449,'DER 11-20'!$A:$F,6,FALSE)/(1+$I$4),2)</f>
        <v>337.39</v>
      </c>
      <c r="E449" s="419"/>
      <c r="F449" s="420"/>
      <c r="G449" s="790">
        <v>10.17</v>
      </c>
      <c r="H449" s="422"/>
      <c r="I449" s="423">
        <f>TRUNC(D449*G449,2)</f>
        <v>3431.25</v>
      </c>
      <c r="J449" s="415"/>
      <c r="K449" s="415"/>
      <c r="L449" s="198"/>
      <c r="M449" s="198"/>
      <c r="N449" s="198"/>
      <c r="O449" s="198"/>
      <c r="P449" s="198"/>
      <c r="Q449" s="198"/>
    </row>
    <row r="450" spans="1:17" ht="22.5" x14ac:dyDescent="0.2">
      <c r="A450" s="416" t="str">
        <f>VLOOKUP(B450,'DER 11-20'!$A:$E,2,FALSE)</f>
        <v>Concreto estrutural fck = 15,0 MPa, tudo incluído</v>
      </c>
      <c r="B450" s="417">
        <v>40358</v>
      </c>
      <c r="C450" s="417" t="str">
        <f>VLOOKUP(B450,'DER 11-20'!$A:$E,3,FALSE)</f>
        <v>M3</v>
      </c>
      <c r="D450" s="418">
        <f>TRUNC(VLOOKUP(B450,'DER 11-20'!$A:$F,6,FALSE)/(1+$I$4),2)</f>
        <v>547.26</v>
      </c>
      <c r="E450" s="419"/>
      <c r="F450" s="420"/>
      <c r="G450" s="790">
        <v>4.3090000000000002</v>
      </c>
      <c r="H450" s="422"/>
      <c r="I450" s="423">
        <f>TRUNC(D450*G450,2)</f>
        <v>2358.14</v>
      </c>
      <c r="J450" s="415"/>
      <c r="K450" s="415"/>
      <c r="L450" s="198"/>
      <c r="M450" s="198"/>
      <c r="N450" s="198"/>
      <c r="O450" s="198"/>
      <c r="P450" s="198"/>
      <c r="Q450" s="198"/>
    </row>
    <row r="451" spans="1:17" x14ac:dyDescent="0.2">
      <c r="A451" s="200"/>
      <c r="B451" s="264"/>
      <c r="C451" s="200"/>
      <c r="D451" s="200"/>
      <c r="E451" s="200"/>
      <c r="F451" s="265" t="s">
        <v>199</v>
      </c>
      <c r="G451" s="255"/>
      <c r="H451" s="266"/>
      <c r="I451" s="441">
        <f>SUM(I446:I450)</f>
        <v>7705.3</v>
      </c>
      <c r="J451" s="295"/>
    </row>
    <row r="452" spans="1:17" x14ac:dyDescent="0.2">
      <c r="A452" s="200"/>
      <c r="B452" s="264"/>
      <c r="C452" s="200"/>
      <c r="D452" s="200"/>
      <c r="E452" s="200"/>
      <c r="F452" s="200"/>
      <c r="G452" s="200"/>
      <c r="H452" s="200"/>
      <c r="I452" s="440"/>
      <c r="J452" s="295"/>
    </row>
    <row r="453" spans="1:17" x14ac:dyDescent="0.2">
      <c r="A453" s="267" t="s">
        <v>200</v>
      </c>
      <c r="B453" s="268" t="s">
        <v>59</v>
      </c>
      <c r="C453" s="268" t="s">
        <v>196</v>
      </c>
      <c r="D453" s="268" t="s">
        <v>201</v>
      </c>
      <c r="E453" s="268" t="s">
        <v>202</v>
      </c>
      <c r="F453" s="268" t="s">
        <v>203</v>
      </c>
      <c r="G453" s="268" t="s">
        <v>94</v>
      </c>
      <c r="H453" s="268" t="s">
        <v>89</v>
      </c>
      <c r="I453" s="442" t="s">
        <v>204</v>
      </c>
    </row>
    <row r="454" spans="1:17" x14ac:dyDescent="0.2">
      <c r="A454" s="200"/>
      <c r="B454" s="264"/>
      <c r="C454" s="200"/>
      <c r="D454" s="200"/>
      <c r="E454" s="200"/>
      <c r="F454" s="265" t="s">
        <v>205</v>
      </c>
      <c r="G454" s="240"/>
      <c r="H454" s="272"/>
      <c r="I454" s="443">
        <v>0</v>
      </c>
    </row>
    <row r="455" spans="1:17" x14ac:dyDescent="0.2">
      <c r="A455" s="200"/>
      <c r="B455" s="264"/>
      <c r="C455" s="200"/>
      <c r="D455" s="200"/>
      <c r="E455" s="200"/>
      <c r="F455" s="200"/>
      <c r="G455" s="200"/>
      <c r="H455" s="200"/>
      <c r="I455" s="444"/>
    </row>
    <row r="456" spans="1:17" x14ac:dyDescent="0.2">
      <c r="A456" s="273"/>
      <c r="B456" s="274"/>
      <c r="C456" s="275"/>
      <c r="D456" s="275"/>
      <c r="E456" s="275"/>
      <c r="F456" s="276" t="s">
        <v>206</v>
      </c>
      <c r="G456" s="273"/>
      <c r="H456" s="249"/>
      <c r="I456" s="445">
        <f>+I440+I443+I451+I454</f>
        <v>7705.3</v>
      </c>
    </row>
    <row r="457" spans="1:17" x14ac:dyDescent="0.2">
      <c r="A457" s="255"/>
      <c r="B457" s="277"/>
      <c r="C457" s="266"/>
      <c r="D457" s="266"/>
      <c r="E457" s="266"/>
      <c r="F457" s="278" t="str">
        <f>CONCATENATE($H$3," ",$I$3)</f>
        <v>BDI: 23,32</v>
      </c>
      <c r="G457" s="403"/>
      <c r="H457" s="253"/>
      <c r="I457" s="446">
        <f>+ROUND(I456*$I$4,2)</f>
        <v>1796.88</v>
      </c>
    </row>
    <row r="458" spans="1:17" x14ac:dyDescent="0.2">
      <c r="A458" s="240"/>
      <c r="B458" s="279"/>
      <c r="C458" s="272"/>
      <c r="D458" s="272"/>
      <c r="E458" s="272"/>
      <c r="F458" s="280" t="s">
        <v>207</v>
      </c>
      <c r="G458" s="404"/>
      <c r="H458" s="241"/>
      <c r="I458" s="720">
        <f>+I456+I457</f>
        <v>9502.18</v>
      </c>
    </row>
    <row r="459" spans="1:17" x14ac:dyDescent="0.2">
      <c r="A459" s="1116" t="s">
        <v>213</v>
      </c>
      <c r="B459" s="1116"/>
      <c r="C459" s="1116"/>
      <c r="D459" s="1116"/>
      <c r="E459" s="1116"/>
      <c r="F459" s="1116"/>
      <c r="G459" s="1116"/>
      <c r="H459" s="1116"/>
      <c r="I459" s="1116"/>
    </row>
    <row r="460" spans="1:17" x14ac:dyDescent="0.2">
      <c r="A460" s="228" t="str">
        <f>$A$2</f>
        <v>Tabela Referencial de Preços - DER-ES - sem desoneração</v>
      </c>
      <c r="B460" s="229"/>
      <c r="C460" s="199"/>
      <c r="D460" s="199"/>
      <c r="E460" s="199"/>
      <c r="F460" s="199"/>
      <c r="G460" s="199"/>
      <c r="H460" s="199"/>
      <c r="I460" s="414" t="str">
        <f>$I$2</f>
        <v>Data Base: novembro/2020</v>
      </c>
    </row>
    <row r="461" spans="1:17" ht="14.25" customHeight="1" x14ac:dyDescent="0.2">
      <c r="A461" s="1117" t="str">
        <f>+CONCATENATE("Serviço: ",J461," ",L461)</f>
        <v>Serviço: PR-014 Meio fio tipo DP-3</v>
      </c>
      <c r="B461" s="1117"/>
      <c r="C461" s="1117"/>
      <c r="D461" s="1117"/>
      <c r="E461" s="1117"/>
      <c r="F461" s="1117"/>
      <c r="G461" s="1117"/>
      <c r="H461" s="1117"/>
      <c r="I461" s="1119" t="str">
        <f>CONCATENATE("Unidade: ", M461)</f>
        <v>Unidade: M</v>
      </c>
      <c r="J461" s="360" t="s">
        <v>676</v>
      </c>
      <c r="K461" s="780">
        <f>VLOOKUP("Preço Unitário Total",F462:I490,4,FALSE)</f>
        <v>162.16999999999999</v>
      </c>
      <c r="L461" s="1058" t="s">
        <v>558</v>
      </c>
      <c r="M461" s="393" t="s">
        <v>397</v>
      </c>
    </row>
    <row r="462" spans="1:17" x14ac:dyDescent="0.2">
      <c r="A462" s="1118"/>
      <c r="B462" s="1118"/>
      <c r="C462" s="1118"/>
      <c r="D462" s="1118"/>
      <c r="E462" s="1118"/>
      <c r="F462" s="1118"/>
      <c r="G462" s="1118"/>
      <c r="H462" s="1118"/>
      <c r="I462" s="1120"/>
      <c r="L462" s="1058"/>
    </row>
    <row r="463" spans="1:17" ht="22.5" x14ac:dyDescent="0.2">
      <c r="A463" s="231" t="s">
        <v>177</v>
      </c>
      <c r="B463" s="232" t="s">
        <v>59</v>
      </c>
      <c r="C463" s="232" t="s">
        <v>178</v>
      </c>
      <c r="D463" s="232" t="s">
        <v>179</v>
      </c>
      <c r="E463" s="232" t="s">
        <v>180</v>
      </c>
      <c r="F463" s="232" t="s">
        <v>181</v>
      </c>
      <c r="G463" s="232" t="s">
        <v>182</v>
      </c>
      <c r="H463" s="232" t="s">
        <v>89</v>
      </c>
      <c r="I463" s="434" t="s">
        <v>183</v>
      </c>
      <c r="L463" s="1058"/>
    </row>
    <row r="464" spans="1:17" x14ac:dyDescent="0.2">
      <c r="A464" s="199"/>
      <c r="B464" s="229"/>
      <c r="C464" s="229"/>
      <c r="D464" s="199"/>
      <c r="E464" s="199"/>
      <c r="F464" s="230" t="s">
        <v>184</v>
      </c>
      <c r="G464" s="240"/>
      <c r="H464" s="241"/>
      <c r="I464" s="438">
        <v>0</v>
      </c>
    </row>
    <row r="465" spans="1:14" x14ac:dyDescent="0.2">
      <c r="A465" s="199"/>
      <c r="B465" s="229"/>
      <c r="C465" s="229"/>
      <c r="D465" s="199"/>
      <c r="E465" s="199"/>
      <c r="F465" s="199"/>
      <c r="G465" s="199"/>
      <c r="H465" s="199"/>
      <c r="I465" s="439"/>
    </row>
    <row r="466" spans="1:14" x14ac:dyDescent="0.2">
      <c r="A466" s="242" t="s">
        <v>185</v>
      </c>
      <c r="B466" s="243" t="s">
        <v>59</v>
      </c>
      <c r="C466" s="232" t="s">
        <v>186</v>
      </c>
      <c r="D466" s="243" t="s">
        <v>187</v>
      </c>
      <c r="E466" s="1111" t="s">
        <v>89</v>
      </c>
      <c r="F466" s="1112"/>
      <c r="G466" s="1113"/>
      <c r="H466" s="1121" t="s">
        <v>183</v>
      </c>
      <c r="I466" s="1115"/>
    </row>
    <row r="467" spans="1:14" x14ac:dyDescent="0.2">
      <c r="A467" s="199"/>
      <c r="B467" s="229"/>
      <c r="C467" s="229"/>
      <c r="D467" s="199"/>
      <c r="E467" s="199"/>
      <c r="F467" s="230" t="s">
        <v>188</v>
      </c>
      <c r="G467" s="240"/>
      <c r="H467" s="241"/>
      <c r="I467" s="438">
        <v>0</v>
      </c>
    </row>
    <row r="468" spans="1:14" x14ac:dyDescent="0.2">
      <c r="A468" s="199"/>
      <c r="B468" s="229"/>
      <c r="C468" s="229"/>
      <c r="D468" s="199"/>
      <c r="E468" s="199"/>
      <c r="F468" s="199"/>
      <c r="G468" s="199"/>
      <c r="H468" s="199"/>
      <c r="I468" s="439"/>
    </row>
    <row r="469" spans="1:14" x14ac:dyDescent="0.2">
      <c r="A469" s="245" t="s">
        <v>189</v>
      </c>
      <c r="B469" s="243" t="s">
        <v>59</v>
      </c>
      <c r="C469" s="831" t="s">
        <v>17</v>
      </c>
      <c r="D469" s="243" t="s">
        <v>190</v>
      </c>
      <c r="E469" s="243" t="s">
        <v>191</v>
      </c>
      <c r="F469" s="243" t="s">
        <v>192</v>
      </c>
      <c r="G469" s="1121" t="s">
        <v>94</v>
      </c>
      <c r="H469" s="1114"/>
      <c r="I469" s="1115"/>
    </row>
    <row r="470" spans="1:14" x14ac:dyDescent="0.2">
      <c r="A470" s="199"/>
      <c r="B470" s="229"/>
      <c r="C470" s="199"/>
      <c r="D470" s="199"/>
      <c r="E470" s="199"/>
      <c r="F470" s="230" t="s">
        <v>327</v>
      </c>
      <c r="G470" s="240"/>
      <c r="H470" s="241"/>
      <c r="I470" s="438">
        <v>0</v>
      </c>
    </row>
    <row r="471" spans="1:14" x14ac:dyDescent="0.2">
      <c r="A471" s="199"/>
      <c r="B471" s="229"/>
      <c r="C471" s="199"/>
      <c r="D471" s="199"/>
      <c r="E471" s="199"/>
      <c r="F471" s="199"/>
      <c r="G471" s="199"/>
      <c r="H471" s="199"/>
      <c r="I471" s="439"/>
    </row>
    <row r="472" spans="1:14" x14ac:dyDescent="0.2">
      <c r="A472" s="247"/>
      <c r="B472" s="248"/>
      <c r="C472" s="249"/>
      <c r="D472" s="249"/>
      <c r="E472" s="249"/>
      <c r="F472" s="250" t="s">
        <v>193</v>
      </c>
      <c r="G472" s="401"/>
      <c r="H472" s="249"/>
      <c r="I472" s="445">
        <f>+I464+I467+I470</f>
        <v>0</v>
      </c>
    </row>
    <row r="473" spans="1:14" x14ac:dyDescent="0.2">
      <c r="A473" s="251"/>
      <c r="B473" s="252"/>
      <c r="C473" s="253"/>
      <c r="D473" s="253"/>
      <c r="E473" s="253"/>
      <c r="F473" s="254" t="s">
        <v>194</v>
      </c>
      <c r="G473" s="255"/>
      <c r="H473" s="253"/>
      <c r="I473" s="446">
        <v>1</v>
      </c>
    </row>
    <row r="474" spans="1:14" x14ac:dyDescent="0.2">
      <c r="A474" s="233"/>
      <c r="B474" s="256"/>
      <c r="C474" s="241"/>
      <c r="D474" s="241"/>
      <c r="E474" s="241"/>
      <c r="F474" s="257" t="s">
        <v>216</v>
      </c>
      <c r="G474" s="240"/>
      <c r="H474" s="241"/>
      <c r="I474" s="447">
        <f>ROUND(I472/I473,2)</f>
        <v>0</v>
      </c>
    </row>
    <row r="475" spans="1:14" x14ac:dyDescent="0.2">
      <c r="A475" s="832"/>
      <c r="B475" s="229"/>
      <c r="C475" s="199"/>
      <c r="D475" s="199"/>
      <c r="E475" s="199"/>
      <c r="F475" s="258"/>
      <c r="G475" s="199"/>
      <c r="H475" s="199"/>
      <c r="I475" s="450"/>
    </row>
    <row r="476" spans="1:14" x14ac:dyDescent="0.2">
      <c r="A476" s="242" t="s">
        <v>195</v>
      </c>
      <c r="B476" s="243" t="s">
        <v>59</v>
      </c>
      <c r="C476" s="243" t="s">
        <v>196</v>
      </c>
      <c r="D476" s="243" t="s">
        <v>217</v>
      </c>
      <c r="E476" s="1121" t="s">
        <v>89</v>
      </c>
      <c r="F476" s="1114"/>
      <c r="G476" s="1115"/>
      <c r="H476" s="1121" t="s">
        <v>63</v>
      </c>
      <c r="I476" s="1115"/>
    </row>
    <row r="477" spans="1:14" x14ac:dyDescent="0.2">
      <c r="A477" s="199"/>
      <c r="B477" s="229"/>
      <c r="C477" s="199"/>
      <c r="D477" s="199"/>
      <c r="E477" s="199"/>
      <c r="F477" s="230" t="s">
        <v>197</v>
      </c>
      <c r="G477" s="240"/>
      <c r="H477" s="241"/>
      <c r="I477" s="438">
        <v>0</v>
      </c>
    </row>
    <row r="478" spans="1:14" x14ac:dyDescent="0.2">
      <c r="A478" s="199"/>
      <c r="B478" s="229"/>
      <c r="C478" s="199"/>
      <c r="D478" s="199"/>
      <c r="E478" s="199"/>
      <c r="F478" s="199"/>
      <c r="G478" s="262"/>
      <c r="H478" s="199"/>
      <c r="I478" s="439"/>
    </row>
    <row r="479" spans="1:14" x14ac:dyDescent="0.2">
      <c r="A479" s="263" t="s">
        <v>198</v>
      </c>
      <c r="B479" s="243" t="s">
        <v>59</v>
      </c>
      <c r="C479" s="243" t="s">
        <v>196</v>
      </c>
      <c r="D479" s="831" t="s">
        <v>217</v>
      </c>
      <c r="E479" s="1111" t="s">
        <v>89</v>
      </c>
      <c r="F479" s="1112"/>
      <c r="G479" s="1113"/>
      <c r="H479" s="1121" t="s">
        <v>63</v>
      </c>
      <c r="I479" s="1115"/>
      <c r="J479" s="295"/>
      <c r="L479" s="22"/>
      <c r="M479" s="22"/>
      <c r="N479" s="22"/>
    </row>
    <row r="480" spans="1:14" s="198" customFormat="1" ht="22.5" x14ac:dyDescent="0.2">
      <c r="A480" s="416" t="str">
        <f>VLOOKUP(B480,'DER 11-20'!$A:$E,2,FALSE)</f>
        <v>Escavação manual em mat. 1ª cat. H= 0,00 a 1,50 m</v>
      </c>
      <c r="B480" s="417">
        <v>40258</v>
      </c>
      <c r="C480" s="417" t="str">
        <f>VLOOKUP(B480,'DER 11-20'!$A:$E,3,FALSE)</f>
        <v>M3</v>
      </c>
      <c r="D480" s="418">
        <f>TRUNC(VLOOKUP(B480,'DER 11-20'!$A:$F,6,FALSE)/(1+$I$4),2)</f>
        <v>56.6</v>
      </c>
      <c r="E480" s="419"/>
      <c r="F480" s="420"/>
      <c r="G480" s="790">
        <v>0.05</v>
      </c>
      <c r="H480" s="422"/>
      <c r="I480" s="423">
        <f>TRUNC(D480*G480,2)</f>
        <v>2.83</v>
      </c>
      <c r="J480" s="415"/>
      <c r="K480" s="415"/>
    </row>
    <row r="481" spans="1:17" ht="45" x14ac:dyDescent="0.2">
      <c r="A481" s="416" t="str">
        <f>VLOOKUP(B481,'DER 11-20'!$A:$E,2,FALSE)</f>
        <v>Formas planas de madeira com 02 (dois) reaproveitamentos, inclusive fornecimento e transporte das madeiras</v>
      </c>
      <c r="B481" s="417">
        <v>40312</v>
      </c>
      <c r="C481" s="417" t="str">
        <f>VLOOKUP(B481,'DER 11-20'!$A:$E,3,FALSE)</f>
        <v>M2</v>
      </c>
      <c r="D481" s="418">
        <f>TRUNC(VLOOKUP(B481,'DER 11-20'!$A:$F,6,FALSE)/(1+$I$4),2)</f>
        <v>84.31</v>
      </c>
      <c r="E481" s="419"/>
      <c r="F481" s="420"/>
      <c r="G481" s="790">
        <v>1.18</v>
      </c>
      <c r="H481" s="422"/>
      <c r="I481" s="423">
        <f>TRUNC(D481*G481,2)</f>
        <v>99.48</v>
      </c>
      <c r="J481" s="415"/>
      <c r="K481" s="415"/>
      <c r="L481" s="198"/>
      <c r="M481" s="198"/>
      <c r="N481" s="198"/>
      <c r="O481" s="198"/>
      <c r="P481" s="198"/>
      <c r="Q481" s="198"/>
    </row>
    <row r="482" spans="1:17" ht="45" x14ac:dyDescent="0.2">
      <c r="A482" s="416" t="str">
        <f>VLOOKUP(B482,'DER 11-20'!$A:$E,2,FALSE)</f>
        <v>Concreto estrutural fck = 25,0 MPa, inclusive fornecimento e transporte do cimento, areia e pedra britada</v>
      </c>
      <c r="B482" s="417">
        <v>40362</v>
      </c>
      <c r="C482" s="417" t="str">
        <f>VLOOKUP(B482,'DER 11-20'!$A:$E,3,FALSE)</f>
        <v>M3</v>
      </c>
      <c r="D482" s="418">
        <f>TRUNC(VLOOKUP(B482,'DER 11-20'!$A:$F,6,FALSE)/(1+$I$4),2)</f>
        <v>583.97</v>
      </c>
      <c r="E482" s="419"/>
      <c r="F482" s="420"/>
      <c r="G482" s="790">
        <v>0.05</v>
      </c>
      <c r="H482" s="422"/>
      <c r="I482" s="423">
        <f>TRUNC(D482*G482,2)</f>
        <v>29.19</v>
      </c>
      <c r="J482" s="415"/>
      <c r="K482" s="415"/>
      <c r="L482" s="198"/>
      <c r="M482" s="198"/>
      <c r="N482" s="198"/>
      <c r="O482" s="198"/>
      <c r="P482" s="198"/>
      <c r="Q482" s="198"/>
    </row>
    <row r="483" spans="1:17" x14ac:dyDescent="0.2">
      <c r="A483" s="200"/>
      <c r="B483" s="264"/>
      <c r="C483" s="200"/>
      <c r="D483" s="200"/>
      <c r="E483" s="200"/>
      <c r="F483" s="265" t="s">
        <v>199</v>
      </c>
      <c r="G483" s="255"/>
      <c r="H483" s="266"/>
      <c r="I483" s="441">
        <f>SUM(I480:I482)</f>
        <v>131.5</v>
      </c>
      <c r="J483" s="295"/>
    </row>
    <row r="484" spans="1:17" x14ac:dyDescent="0.2">
      <c r="A484" s="200"/>
      <c r="B484" s="264"/>
      <c r="C484" s="200"/>
      <c r="D484" s="200"/>
      <c r="E484" s="200"/>
      <c r="F484" s="200"/>
      <c r="G484" s="200"/>
      <c r="H484" s="200"/>
      <c r="I484" s="440"/>
      <c r="J484" s="295"/>
    </row>
    <row r="485" spans="1:17" x14ac:dyDescent="0.2">
      <c r="A485" s="267" t="s">
        <v>200</v>
      </c>
      <c r="B485" s="268" t="s">
        <v>59</v>
      </c>
      <c r="C485" s="268" t="s">
        <v>196</v>
      </c>
      <c r="D485" s="268" t="s">
        <v>201</v>
      </c>
      <c r="E485" s="268" t="s">
        <v>202</v>
      </c>
      <c r="F485" s="268" t="s">
        <v>203</v>
      </c>
      <c r="G485" s="268" t="s">
        <v>94</v>
      </c>
      <c r="H485" s="268" t="s">
        <v>89</v>
      </c>
      <c r="I485" s="442" t="s">
        <v>204</v>
      </c>
    </row>
    <row r="486" spans="1:17" x14ac:dyDescent="0.2">
      <c r="A486" s="200"/>
      <c r="B486" s="264"/>
      <c r="C486" s="200"/>
      <c r="D486" s="200"/>
      <c r="E486" s="200"/>
      <c r="F486" s="265" t="s">
        <v>205</v>
      </c>
      <c r="G486" s="240"/>
      <c r="H486" s="272"/>
      <c r="I486" s="443">
        <v>0</v>
      </c>
    </row>
    <row r="487" spans="1:17" x14ac:dyDescent="0.2">
      <c r="A487" s="200"/>
      <c r="B487" s="264"/>
      <c r="C487" s="200"/>
      <c r="D487" s="200"/>
      <c r="E487" s="200"/>
      <c r="F487" s="200"/>
      <c r="G487" s="200"/>
      <c r="H487" s="200"/>
      <c r="I487" s="444"/>
    </row>
    <row r="488" spans="1:17" x14ac:dyDescent="0.2">
      <c r="A488" s="273"/>
      <c r="B488" s="274"/>
      <c r="C488" s="275"/>
      <c r="D488" s="275"/>
      <c r="E488" s="275"/>
      <c r="F488" s="276" t="s">
        <v>206</v>
      </c>
      <c r="G488" s="273"/>
      <c r="H488" s="249"/>
      <c r="I488" s="445">
        <f>+I474+I477+I483+I486</f>
        <v>131.5</v>
      </c>
    </row>
    <row r="489" spans="1:17" x14ac:dyDescent="0.2">
      <c r="A489" s="255"/>
      <c r="B489" s="277"/>
      <c r="C489" s="266"/>
      <c r="D489" s="266"/>
      <c r="E489" s="266"/>
      <c r="F489" s="278" t="str">
        <f>CONCATENATE($H$3," ",$I$3)</f>
        <v>BDI: 23,32</v>
      </c>
      <c r="G489" s="403"/>
      <c r="H489" s="253"/>
      <c r="I489" s="446">
        <f>+ROUND(I488*$I$4,2)</f>
        <v>30.67</v>
      </c>
    </row>
    <row r="490" spans="1:17" x14ac:dyDescent="0.2">
      <c r="A490" s="240"/>
      <c r="B490" s="279"/>
      <c r="C490" s="272"/>
      <c r="D490" s="272"/>
      <c r="E490" s="272"/>
      <c r="F490" s="280" t="s">
        <v>207</v>
      </c>
      <c r="G490" s="404"/>
      <c r="H490" s="241"/>
      <c r="I490" s="720">
        <f>+I488+I489</f>
        <v>162.16999999999999</v>
      </c>
    </row>
    <row r="491" spans="1:17" x14ac:dyDescent="0.2">
      <c r="A491" s="1116" t="s">
        <v>213</v>
      </c>
      <c r="B491" s="1116"/>
      <c r="C491" s="1116"/>
      <c r="D491" s="1116"/>
      <c r="E491" s="1116"/>
      <c r="F491" s="1116"/>
      <c r="G491" s="1116"/>
      <c r="H491" s="1116"/>
      <c r="I491" s="1116"/>
    </row>
    <row r="492" spans="1:17" x14ac:dyDescent="0.2">
      <c r="A492" s="228" t="str">
        <f>$A$2</f>
        <v>Tabela Referencial de Preços - DER-ES - sem desoneração</v>
      </c>
      <c r="B492" s="229"/>
      <c r="C492" s="199"/>
      <c r="D492" s="199"/>
      <c r="E492" s="199"/>
      <c r="F492" s="199"/>
      <c r="G492" s="199"/>
      <c r="H492" s="199"/>
      <c r="I492" s="414" t="str">
        <f>$I$2</f>
        <v>Data Base: novembro/2020</v>
      </c>
    </row>
    <row r="493" spans="1:17" ht="14.25" customHeight="1" x14ac:dyDescent="0.2">
      <c r="A493" s="1117" t="str">
        <f>+CONCATENATE("Serviço: ",J493," ",L493)</f>
        <v>Serviço: PR-015 Meio fio de concreto MFC 04</v>
      </c>
      <c r="B493" s="1117"/>
      <c r="C493" s="1117"/>
      <c r="D493" s="1117"/>
      <c r="E493" s="1117"/>
      <c r="F493" s="1117"/>
      <c r="G493" s="1117"/>
      <c r="H493" s="1117"/>
      <c r="I493" s="1119" t="str">
        <f>CONCATENATE("Unidade: ", M493)</f>
        <v>Unidade: M</v>
      </c>
      <c r="J493" s="360" t="s">
        <v>677</v>
      </c>
      <c r="K493" s="780">
        <f>VLOOKUP("Preço Unitário Total",F494:I523,4,FALSE)</f>
        <v>54.11</v>
      </c>
      <c r="L493" s="1058" t="s">
        <v>560</v>
      </c>
      <c r="M493" s="393" t="s">
        <v>397</v>
      </c>
    </row>
    <row r="494" spans="1:17" x14ac:dyDescent="0.2">
      <c r="A494" s="1118"/>
      <c r="B494" s="1118"/>
      <c r="C494" s="1118"/>
      <c r="D494" s="1118"/>
      <c r="E494" s="1118"/>
      <c r="F494" s="1118"/>
      <c r="G494" s="1118"/>
      <c r="H494" s="1118"/>
      <c r="I494" s="1120"/>
      <c r="L494" s="1058"/>
    </row>
    <row r="495" spans="1:17" ht="22.5" x14ac:dyDescent="0.2">
      <c r="A495" s="231" t="s">
        <v>177</v>
      </c>
      <c r="B495" s="232" t="s">
        <v>59</v>
      </c>
      <c r="C495" s="232" t="s">
        <v>178</v>
      </c>
      <c r="D495" s="232" t="s">
        <v>179</v>
      </c>
      <c r="E495" s="232" t="s">
        <v>180</v>
      </c>
      <c r="F495" s="232" t="s">
        <v>181</v>
      </c>
      <c r="G495" s="232" t="s">
        <v>182</v>
      </c>
      <c r="H495" s="232" t="s">
        <v>89</v>
      </c>
      <c r="I495" s="434" t="s">
        <v>183</v>
      </c>
      <c r="L495" s="1058"/>
    </row>
    <row r="496" spans="1:17" x14ac:dyDescent="0.2">
      <c r="A496" s="199"/>
      <c r="B496" s="229"/>
      <c r="C496" s="229"/>
      <c r="D496" s="199"/>
      <c r="E496" s="199"/>
      <c r="F496" s="230" t="s">
        <v>184</v>
      </c>
      <c r="G496" s="240"/>
      <c r="H496" s="241"/>
      <c r="I496" s="438">
        <v>0</v>
      </c>
    </row>
    <row r="497" spans="1:14" x14ac:dyDescent="0.2">
      <c r="A497" s="199"/>
      <c r="B497" s="229"/>
      <c r="C497" s="229"/>
      <c r="D497" s="199"/>
      <c r="E497" s="199"/>
      <c r="F497" s="199"/>
      <c r="G497" s="199"/>
      <c r="H497" s="199"/>
      <c r="I497" s="439"/>
    </row>
    <row r="498" spans="1:14" x14ac:dyDescent="0.2">
      <c r="A498" s="242" t="s">
        <v>185</v>
      </c>
      <c r="B498" s="243" t="s">
        <v>59</v>
      </c>
      <c r="C498" s="232" t="s">
        <v>186</v>
      </c>
      <c r="D498" s="243" t="s">
        <v>187</v>
      </c>
      <c r="E498" s="1111" t="s">
        <v>89</v>
      </c>
      <c r="F498" s="1112"/>
      <c r="G498" s="1113"/>
      <c r="H498" s="1121" t="s">
        <v>183</v>
      </c>
      <c r="I498" s="1115"/>
    </row>
    <row r="499" spans="1:14" x14ac:dyDescent="0.2">
      <c r="A499" s="244" t="str">
        <f>VLOOKUP(B499,m.o.!$A:$H,2,FALSE)</f>
        <v>Encarregado de O.A.C.</v>
      </c>
      <c r="B499" s="234">
        <v>20060</v>
      </c>
      <c r="C499" s="239" t="str">
        <f>VLOOKUP(B499,m.o.!$A:$F,3,FALSE)</f>
        <v>h</v>
      </c>
      <c r="D499" s="239">
        <f>VLOOKUP(B499,m.o.!$A:$G,7,FALSE)</f>
        <v>28.31</v>
      </c>
      <c r="E499" s="255"/>
      <c r="F499" s="253"/>
      <c r="G499" s="293">
        <v>0.1</v>
      </c>
      <c r="H499" s="240"/>
      <c r="I499" s="427">
        <f>ROUND(D499*G499,2)</f>
        <v>2.83</v>
      </c>
    </row>
    <row r="500" spans="1:14" x14ac:dyDescent="0.2">
      <c r="A500" s="199"/>
      <c r="B500" s="229"/>
      <c r="C500" s="229"/>
      <c r="D500" s="199"/>
      <c r="E500" s="199"/>
      <c r="F500" s="230" t="s">
        <v>188</v>
      </c>
      <c r="G500" s="240"/>
      <c r="H500" s="241"/>
      <c r="I500" s="438">
        <f>I499</f>
        <v>2.83</v>
      </c>
    </row>
    <row r="501" spans="1:14" x14ac:dyDescent="0.2">
      <c r="A501" s="199"/>
      <c r="B501" s="229"/>
      <c r="C501" s="229"/>
      <c r="D501" s="199"/>
      <c r="E501" s="199"/>
      <c r="F501" s="199"/>
      <c r="G501" s="199"/>
      <c r="H501" s="199"/>
      <c r="I501" s="439"/>
    </row>
    <row r="502" spans="1:14" x14ac:dyDescent="0.2">
      <c r="A502" s="245" t="s">
        <v>189</v>
      </c>
      <c r="B502" s="243" t="s">
        <v>59</v>
      </c>
      <c r="C502" s="831" t="s">
        <v>17</v>
      </c>
      <c r="D502" s="243" t="s">
        <v>190</v>
      </c>
      <c r="E502" s="243" t="s">
        <v>191</v>
      </c>
      <c r="F502" s="243" t="s">
        <v>192</v>
      </c>
      <c r="G502" s="1121" t="s">
        <v>94</v>
      </c>
      <c r="H502" s="1114"/>
      <c r="I502" s="1115"/>
    </row>
    <row r="503" spans="1:14" x14ac:dyDescent="0.2">
      <c r="A503" s="199"/>
      <c r="B503" s="229"/>
      <c r="C503" s="199"/>
      <c r="D503" s="199"/>
      <c r="E503" s="199"/>
      <c r="F503" s="230" t="s">
        <v>327</v>
      </c>
      <c r="G503" s="240"/>
      <c r="H503" s="241"/>
      <c r="I503" s="438">
        <v>0</v>
      </c>
    </row>
    <row r="504" spans="1:14" x14ac:dyDescent="0.2">
      <c r="A504" s="199"/>
      <c r="B504" s="229"/>
      <c r="C504" s="199"/>
      <c r="D504" s="199"/>
      <c r="E504" s="199"/>
      <c r="F504" s="199"/>
      <c r="G504" s="199"/>
      <c r="H504" s="199"/>
      <c r="I504" s="439"/>
    </row>
    <row r="505" spans="1:14" x14ac:dyDescent="0.2">
      <c r="A505" s="247"/>
      <c r="B505" s="248"/>
      <c r="C505" s="249"/>
      <c r="D505" s="249"/>
      <c r="E505" s="249"/>
      <c r="F505" s="250" t="s">
        <v>193</v>
      </c>
      <c r="G505" s="401"/>
      <c r="H505" s="249"/>
      <c r="I505" s="445">
        <f>+I496+I500+I503</f>
        <v>2.83</v>
      </c>
    </row>
    <row r="506" spans="1:14" x14ac:dyDescent="0.2">
      <c r="A506" s="251"/>
      <c r="B506" s="252"/>
      <c r="C506" s="253"/>
      <c r="D506" s="253"/>
      <c r="E506" s="253"/>
      <c r="F506" s="254" t="s">
        <v>194</v>
      </c>
      <c r="G506" s="255"/>
      <c r="H506" s="253"/>
      <c r="I506" s="446">
        <v>1</v>
      </c>
    </row>
    <row r="507" spans="1:14" x14ac:dyDescent="0.2">
      <c r="A507" s="233"/>
      <c r="B507" s="256"/>
      <c r="C507" s="241"/>
      <c r="D507" s="241"/>
      <c r="E507" s="241"/>
      <c r="F507" s="257" t="s">
        <v>216</v>
      </c>
      <c r="G507" s="240"/>
      <c r="H507" s="241"/>
      <c r="I507" s="447">
        <f>ROUND(I505/I506,2)</f>
        <v>2.83</v>
      </c>
    </row>
    <row r="508" spans="1:14" x14ac:dyDescent="0.2">
      <c r="A508" s="832"/>
      <c r="B508" s="229"/>
      <c r="C508" s="199"/>
      <c r="D508" s="199"/>
      <c r="E508" s="199"/>
      <c r="F508" s="258"/>
      <c r="G508" s="199"/>
      <c r="H508" s="199"/>
      <c r="I508" s="450"/>
    </row>
    <row r="509" spans="1:14" x14ac:dyDescent="0.2">
      <c r="A509" s="242" t="s">
        <v>195</v>
      </c>
      <c r="B509" s="243" t="s">
        <v>59</v>
      </c>
      <c r="C509" s="243" t="s">
        <v>196</v>
      </c>
      <c r="D509" s="243" t="s">
        <v>217</v>
      </c>
      <c r="E509" s="1121" t="s">
        <v>89</v>
      </c>
      <c r="F509" s="1114"/>
      <c r="G509" s="1115"/>
      <c r="H509" s="1121" t="s">
        <v>63</v>
      </c>
      <c r="I509" s="1115"/>
    </row>
    <row r="510" spans="1:14" x14ac:dyDescent="0.2">
      <c r="A510" s="199"/>
      <c r="B510" s="229"/>
      <c r="C510" s="199"/>
      <c r="D510" s="199"/>
      <c r="E510" s="199"/>
      <c r="F510" s="230" t="s">
        <v>197</v>
      </c>
      <c r="G510" s="240"/>
      <c r="H510" s="241"/>
      <c r="I510" s="438">
        <v>0</v>
      </c>
    </row>
    <row r="511" spans="1:14" x14ac:dyDescent="0.2">
      <c r="A511" s="199"/>
      <c r="B511" s="229"/>
      <c r="C511" s="199"/>
      <c r="D511" s="199"/>
      <c r="E511" s="199"/>
      <c r="F511" s="199"/>
      <c r="G511" s="262"/>
      <c r="H511" s="199"/>
      <c r="I511" s="439"/>
    </row>
    <row r="512" spans="1:14" x14ac:dyDescent="0.2">
      <c r="A512" s="263" t="s">
        <v>198</v>
      </c>
      <c r="B512" s="243" t="s">
        <v>59</v>
      </c>
      <c r="C512" s="243" t="s">
        <v>196</v>
      </c>
      <c r="D512" s="831" t="s">
        <v>217</v>
      </c>
      <c r="E512" s="1111" t="s">
        <v>89</v>
      </c>
      <c r="F512" s="1112"/>
      <c r="G512" s="1113"/>
      <c r="H512" s="1121" t="s">
        <v>63</v>
      </c>
      <c r="I512" s="1115"/>
      <c r="J512" s="295"/>
      <c r="L512" s="22"/>
      <c r="M512" s="22"/>
      <c r="N512" s="22"/>
    </row>
    <row r="513" spans="1:17" s="198" customFormat="1" ht="22.5" x14ac:dyDescent="0.2">
      <c r="A513" s="416" t="str">
        <f>VLOOKUP(B513,'DER 11-20'!$A:$E,2,FALSE)</f>
        <v>Escavação manual em mat. 1ª cat. H= 0,00 a 1,50 m</v>
      </c>
      <c r="B513" s="417">
        <v>40258</v>
      </c>
      <c r="C513" s="417" t="str">
        <f>VLOOKUP(B513,'DER 11-20'!$A:$E,3,FALSE)</f>
        <v>M3</v>
      </c>
      <c r="D513" s="418">
        <f>TRUNC(VLOOKUP(B513,'DER 11-20'!$A:$F,6,FALSE)/(1+$I$4),2)</f>
        <v>56.6</v>
      </c>
      <c r="E513" s="419"/>
      <c r="F513" s="420"/>
      <c r="G513" s="790">
        <v>0.05</v>
      </c>
      <c r="H513" s="422"/>
      <c r="I513" s="423">
        <f>TRUNC(D513*G513,2)</f>
        <v>2.83</v>
      </c>
      <c r="J513" s="415"/>
      <c r="K513" s="415"/>
    </row>
    <row r="514" spans="1:17" ht="33.75" x14ac:dyDescent="0.2">
      <c r="A514" s="416" t="str">
        <f>VLOOKUP(B514,'DER 11-20'!$A:$E,2,FALSE)</f>
        <v>Forma especial de madeira para meio fio, inclusive fornecimento e transporte das madeiras</v>
      </c>
      <c r="B514" s="417">
        <v>40316</v>
      </c>
      <c r="C514" s="417" t="str">
        <f>VLOOKUP(B514,'DER 11-20'!$A:$E,3,FALSE)</f>
        <v>M2</v>
      </c>
      <c r="D514" s="418">
        <f>TRUNC(VLOOKUP(B514,'DER 11-20'!$A:$F,6,FALSE)/(1+$I$4),2)</f>
        <v>64.45</v>
      </c>
      <c r="E514" s="419"/>
      <c r="F514" s="420"/>
      <c r="G514" s="790">
        <v>0.33</v>
      </c>
      <c r="H514" s="422"/>
      <c r="I514" s="423">
        <f>TRUNC(D514*G514,2)</f>
        <v>21.26</v>
      </c>
      <c r="J514" s="415"/>
      <c r="K514" s="415"/>
      <c r="L514" s="198"/>
      <c r="M514" s="198"/>
      <c r="N514" s="198"/>
      <c r="O514" s="198"/>
      <c r="P514" s="198"/>
      <c r="Q514" s="198"/>
    </row>
    <row r="515" spans="1:17" ht="22.5" x14ac:dyDescent="0.2">
      <c r="A515" s="416" t="str">
        <f>VLOOKUP(B515,'DER 11-20'!$A:$E,2,FALSE)</f>
        <v>Concreto estrutural fck = 15,0 MPa, tudo incluído</v>
      </c>
      <c r="B515" s="417">
        <v>40358</v>
      </c>
      <c r="C515" s="417" t="str">
        <f>VLOOKUP(B515,'DER 11-20'!$A:$E,3,FALSE)</f>
        <v>M3</v>
      </c>
      <c r="D515" s="418">
        <f>TRUNC(VLOOKUP(B515,'DER 11-20'!$A:$F,6,FALSE)/(1+$I$4),2)</f>
        <v>547.26</v>
      </c>
      <c r="E515" s="419"/>
      <c r="F515" s="420"/>
      <c r="G515" s="790">
        <v>3.1E-2</v>
      </c>
      <c r="H515" s="422"/>
      <c r="I515" s="423">
        <f>TRUNC(D515*G515,2)</f>
        <v>16.96</v>
      </c>
      <c r="J515" s="415"/>
      <c r="K515" s="415"/>
      <c r="L515" s="198"/>
      <c r="M515" s="198"/>
      <c r="N515" s="198"/>
      <c r="O515" s="198"/>
      <c r="P515" s="198"/>
      <c r="Q515" s="198"/>
    </row>
    <row r="516" spans="1:17" x14ac:dyDescent="0.2">
      <c r="A516" s="200"/>
      <c r="B516" s="264"/>
      <c r="C516" s="200"/>
      <c r="D516" s="200"/>
      <c r="E516" s="200"/>
      <c r="F516" s="265" t="s">
        <v>199</v>
      </c>
      <c r="G516" s="255"/>
      <c r="H516" s="266"/>
      <c r="I516" s="441">
        <f>SUM(I513:I515)</f>
        <v>41.05</v>
      </c>
      <c r="J516" s="295"/>
    </row>
    <row r="517" spans="1:17" x14ac:dyDescent="0.2">
      <c r="A517" s="200"/>
      <c r="B517" s="264"/>
      <c r="C517" s="200"/>
      <c r="D517" s="200"/>
      <c r="E517" s="200"/>
      <c r="F517" s="200"/>
      <c r="G517" s="200"/>
      <c r="H517" s="200"/>
      <c r="I517" s="440"/>
      <c r="J517" s="295"/>
    </row>
    <row r="518" spans="1:17" x14ac:dyDescent="0.2">
      <c r="A518" s="267" t="s">
        <v>200</v>
      </c>
      <c r="B518" s="268" t="s">
        <v>59</v>
      </c>
      <c r="C518" s="268" t="s">
        <v>196</v>
      </c>
      <c r="D518" s="268" t="s">
        <v>201</v>
      </c>
      <c r="E518" s="268" t="s">
        <v>202</v>
      </c>
      <c r="F518" s="268" t="s">
        <v>203</v>
      </c>
      <c r="G518" s="268" t="s">
        <v>94</v>
      </c>
      <c r="H518" s="268" t="s">
        <v>89</v>
      </c>
      <c r="I518" s="442" t="s">
        <v>204</v>
      </c>
    </row>
    <row r="519" spans="1:17" x14ac:dyDescent="0.2">
      <c r="A519" s="200"/>
      <c r="B519" s="264"/>
      <c r="C519" s="200"/>
      <c r="D519" s="200"/>
      <c r="E519" s="200"/>
      <c r="F519" s="265" t="s">
        <v>205</v>
      </c>
      <c r="G519" s="240"/>
      <c r="H519" s="272"/>
      <c r="I519" s="443">
        <v>0</v>
      </c>
    </row>
    <row r="520" spans="1:17" x14ac:dyDescent="0.2">
      <c r="A520" s="200"/>
      <c r="B520" s="264"/>
      <c r="C520" s="200"/>
      <c r="D520" s="200"/>
      <c r="E520" s="200"/>
      <c r="F520" s="200"/>
      <c r="G520" s="200"/>
      <c r="H520" s="200"/>
      <c r="I520" s="444"/>
    </row>
    <row r="521" spans="1:17" x14ac:dyDescent="0.2">
      <c r="A521" s="273"/>
      <c r="B521" s="274"/>
      <c r="C521" s="275"/>
      <c r="D521" s="275"/>
      <c r="E521" s="275"/>
      <c r="F521" s="276" t="s">
        <v>206</v>
      </c>
      <c r="G521" s="273"/>
      <c r="H521" s="249"/>
      <c r="I521" s="445">
        <f>+I507+I510+I516+I519</f>
        <v>43.88</v>
      </c>
    </row>
    <row r="522" spans="1:17" x14ac:dyDescent="0.2">
      <c r="A522" s="255"/>
      <c r="B522" s="277"/>
      <c r="C522" s="266"/>
      <c r="D522" s="266"/>
      <c r="E522" s="266"/>
      <c r="F522" s="278" t="str">
        <f>CONCATENATE($H$3," ",$I$3)</f>
        <v>BDI: 23,32</v>
      </c>
      <c r="G522" s="403"/>
      <c r="H522" s="253"/>
      <c r="I522" s="446">
        <f>+ROUND(I521*$I$4,2)</f>
        <v>10.23</v>
      </c>
    </row>
    <row r="523" spans="1:17" x14ac:dyDescent="0.2">
      <c r="A523" s="240"/>
      <c r="B523" s="279"/>
      <c r="C523" s="272"/>
      <c r="D523" s="272"/>
      <c r="E523" s="272"/>
      <c r="F523" s="280" t="s">
        <v>207</v>
      </c>
      <c r="G523" s="404"/>
      <c r="H523" s="241"/>
      <c r="I523" s="720">
        <f>+I521+I522</f>
        <v>54.11</v>
      </c>
    </row>
    <row r="524" spans="1:17" x14ac:dyDescent="0.2">
      <c r="A524" s="1116" t="s">
        <v>213</v>
      </c>
      <c r="B524" s="1116"/>
      <c r="C524" s="1116"/>
      <c r="D524" s="1116"/>
      <c r="E524" s="1116"/>
      <c r="F524" s="1116"/>
      <c r="G524" s="1116"/>
      <c r="H524" s="1116"/>
      <c r="I524" s="1116"/>
    </row>
    <row r="525" spans="1:17" x14ac:dyDescent="0.2">
      <c r="A525" s="228" t="str">
        <f>$A$2</f>
        <v>Tabela Referencial de Preços - DER-ES - sem desoneração</v>
      </c>
      <c r="B525" s="229"/>
      <c r="C525" s="199"/>
      <c r="D525" s="199"/>
      <c r="E525" s="199"/>
      <c r="F525" s="199"/>
      <c r="G525" s="199"/>
      <c r="H525" s="199"/>
      <c r="I525" s="414" t="str">
        <f>$I$2</f>
        <v>Data Base: novembro/2020</v>
      </c>
    </row>
    <row r="526" spans="1:17" ht="14.25" customHeight="1" x14ac:dyDescent="0.2">
      <c r="A526" s="1117" t="str">
        <f>+CONCATENATE("Serviço: ",J526," ",L526)</f>
        <v>Serviço: PR-016 Sarjeta retangular de concreto - Tipo SRC-01: incl. escavação de mat. 1ª categoria</v>
      </c>
      <c r="B526" s="1117"/>
      <c r="C526" s="1117"/>
      <c r="D526" s="1117"/>
      <c r="E526" s="1117"/>
      <c r="F526" s="1117"/>
      <c r="G526" s="1117"/>
      <c r="H526" s="1117"/>
      <c r="I526" s="1119" t="str">
        <f>CONCATENATE("Unidade: ", M526)</f>
        <v>Unidade: M</v>
      </c>
      <c r="J526" s="360" t="s">
        <v>678</v>
      </c>
      <c r="K526" s="780">
        <f>VLOOKUP("Preço Unitário Total",F527:I556,4,FALSE)</f>
        <v>461.72</v>
      </c>
      <c r="L526" s="1058" t="s">
        <v>562</v>
      </c>
      <c r="M526" s="393" t="s">
        <v>397</v>
      </c>
    </row>
    <row r="527" spans="1:17" x14ac:dyDescent="0.2">
      <c r="A527" s="1118"/>
      <c r="B527" s="1118"/>
      <c r="C527" s="1118"/>
      <c r="D527" s="1118"/>
      <c r="E527" s="1118"/>
      <c r="F527" s="1118"/>
      <c r="G527" s="1118"/>
      <c r="H527" s="1118"/>
      <c r="I527" s="1120"/>
      <c r="L527" s="1058"/>
    </row>
    <row r="528" spans="1:17" ht="22.5" x14ac:dyDescent="0.2">
      <c r="A528" s="231" t="s">
        <v>177</v>
      </c>
      <c r="B528" s="232" t="s">
        <v>59</v>
      </c>
      <c r="C528" s="232" t="s">
        <v>178</v>
      </c>
      <c r="D528" s="232" t="s">
        <v>179</v>
      </c>
      <c r="E528" s="232" t="s">
        <v>180</v>
      </c>
      <c r="F528" s="232" t="s">
        <v>181</v>
      </c>
      <c r="G528" s="232" t="s">
        <v>182</v>
      </c>
      <c r="H528" s="232" t="s">
        <v>89</v>
      </c>
      <c r="I528" s="434" t="s">
        <v>183</v>
      </c>
      <c r="L528" s="1058"/>
    </row>
    <row r="529" spans="1:9" x14ac:dyDescent="0.2">
      <c r="A529" s="199"/>
      <c r="B529" s="229"/>
      <c r="C529" s="229"/>
      <c r="D529" s="199"/>
      <c r="E529" s="199"/>
      <c r="F529" s="230" t="s">
        <v>184</v>
      </c>
      <c r="G529" s="240"/>
      <c r="H529" s="241"/>
      <c r="I529" s="438">
        <v>0</v>
      </c>
    </row>
    <row r="530" spans="1:9" x14ac:dyDescent="0.2">
      <c r="A530" s="199"/>
      <c r="B530" s="229"/>
      <c r="C530" s="229"/>
      <c r="D530" s="199"/>
      <c r="E530" s="199"/>
      <c r="F530" s="199"/>
      <c r="G530" s="199"/>
      <c r="H530" s="199"/>
      <c r="I530" s="439"/>
    </row>
    <row r="531" spans="1:9" x14ac:dyDescent="0.2">
      <c r="A531" s="242" t="s">
        <v>185</v>
      </c>
      <c r="B531" s="243" t="s">
        <v>59</v>
      </c>
      <c r="C531" s="232" t="s">
        <v>186</v>
      </c>
      <c r="D531" s="243" t="s">
        <v>187</v>
      </c>
      <c r="E531" s="1111" t="s">
        <v>89</v>
      </c>
      <c r="F531" s="1112"/>
      <c r="G531" s="1113"/>
      <c r="H531" s="1121" t="s">
        <v>183</v>
      </c>
      <c r="I531" s="1115"/>
    </row>
    <row r="532" spans="1:9" x14ac:dyDescent="0.2">
      <c r="A532" s="244" t="str">
        <f>VLOOKUP(B532,m.o.!$A:$H,2,FALSE)</f>
        <v>Encarregado de O.A.C.</v>
      </c>
      <c r="B532" s="234">
        <v>20060</v>
      </c>
      <c r="C532" s="239" t="str">
        <f>VLOOKUP(B532,m.o.!$A:$F,3,FALSE)</f>
        <v>h</v>
      </c>
      <c r="D532" s="239">
        <f>VLOOKUP(B532,m.o.!$A:$G,7,FALSE)</f>
        <v>28.31</v>
      </c>
      <c r="E532" s="255"/>
      <c r="F532" s="253"/>
      <c r="G532" s="293">
        <v>0.19</v>
      </c>
      <c r="H532" s="240"/>
      <c r="I532" s="427">
        <f>ROUND(D532*G532,2)</f>
        <v>5.38</v>
      </c>
    </row>
    <row r="533" spans="1:9" x14ac:dyDescent="0.2">
      <c r="A533" s="199"/>
      <c r="B533" s="229"/>
      <c r="C533" s="229"/>
      <c r="D533" s="199"/>
      <c r="E533" s="199"/>
      <c r="F533" s="230" t="s">
        <v>188</v>
      </c>
      <c r="G533" s="240"/>
      <c r="H533" s="241"/>
      <c r="I533" s="438">
        <f>I532</f>
        <v>5.38</v>
      </c>
    </row>
    <row r="534" spans="1:9" x14ac:dyDescent="0.2">
      <c r="A534" s="199"/>
      <c r="B534" s="229"/>
      <c r="C534" s="229"/>
      <c r="D534" s="199"/>
      <c r="E534" s="199"/>
      <c r="F534" s="199"/>
      <c r="G534" s="199"/>
      <c r="H534" s="199"/>
      <c r="I534" s="439"/>
    </row>
    <row r="535" spans="1:9" x14ac:dyDescent="0.2">
      <c r="A535" s="245" t="s">
        <v>189</v>
      </c>
      <c r="B535" s="243" t="s">
        <v>59</v>
      </c>
      <c r="C535" s="831" t="s">
        <v>17</v>
      </c>
      <c r="D535" s="243" t="s">
        <v>190</v>
      </c>
      <c r="E535" s="243" t="s">
        <v>191</v>
      </c>
      <c r="F535" s="243" t="s">
        <v>192</v>
      </c>
      <c r="G535" s="1121" t="s">
        <v>94</v>
      </c>
      <c r="H535" s="1114"/>
      <c r="I535" s="1115"/>
    </row>
    <row r="536" spans="1:9" x14ac:dyDescent="0.2">
      <c r="A536" s="199"/>
      <c r="B536" s="229"/>
      <c r="C536" s="199"/>
      <c r="D536" s="199"/>
      <c r="E536" s="199"/>
      <c r="F536" s="230" t="s">
        <v>327</v>
      </c>
      <c r="G536" s="240"/>
      <c r="H536" s="241"/>
      <c r="I536" s="438">
        <v>0</v>
      </c>
    </row>
    <row r="537" spans="1:9" x14ac:dyDescent="0.2">
      <c r="A537" s="199"/>
      <c r="B537" s="229"/>
      <c r="C537" s="199"/>
      <c r="D537" s="199"/>
      <c r="E537" s="199"/>
      <c r="F537" s="199"/>
      <c r="G537" s="199"/>
      <c r="H537" s="199"/>
      <c r="I537" s="439"/>
    </row>
    <row r="538" spans="1:9" x14ac:dyDescent="0.2">
      <c r="A538" s="247"/>
      <c r="B538" s="248"/>
      <c r="C538" s="249"/>
      <c r="D538" s="249"/>
      <c r="E538" s="249"/>
      <c r="F538" s="250" t="s">
        <v>193</v>
      </c>
      <c r="G538" s="401"/>
      <c r="H538" s="249"/>
      <c r="I538" s="445">
        <f>+I529+I533+I536</f>
        <v>5.38</v>
      </c>
    </row>
    <row r="539" spans="1:9" x14ac:dyDescent="0.2">
      <c r="A539" s="251"/>
      <c r="B539" s="252"/>
      <c r="C539" s="253"/>
      <c r="D539" s="253"/>
      <c r="E539" s="253"/>
      <c r="F539" s="254" t="s">
        <v>194</v>
      </c>
      <c r="G539" s="255"/>
      <c r="H539" s="253"/>
      <c r="I539" s="446">
        <v>1</v>
      </c>
    </row>
    <row r="540" spans="1:9" x14ac:dyDescent="0.2">
      <c r="A540" s="233"/>
      <c r="B540" s="256"/>
      <c r="C540" s="241"/>
      <c r="D540" s="241"/>
      <c r="E540" s="241"/>
      <c r="F540" s="257" t="s">
        <v>216</v>
      </c>
      <c r="G540" s="240"/>
      <c r="H540" s="241"/>
      <c r="I540" s="447">
        <f>ROUND(I538/I539,2)</f>
        <v>5.38</v>
      </c>
    </row>
    <row r="541" spans="1:9" x14ac:dyDescent="0.2">
      <c r="A541" s="832"/>
      <c r="B541" s="229"/>
      <c r="C541" s="199"/>
      <c r="D541" s="199"/>
      <c r="E541" s="199"/>
      <c r="F541" s="258"/>
      <c r="G541" s="199"/>
      <c r="H541" s="199"/>
      <c r="I541" s="450"/>
    </row>
    <row r="542" spans="1:9" x14ac:dyDescent="0.2">
      <c r="A542" s="242" t="s">
        <v>195</v>
      </c>
      <c r="B542" s="243" t="s">
        <v>59</v>
      </c>
      <c r="C542" s="243" t="s">
        <v>196</v>
      </c>
      <c r="D542" s="243" t="s">
        <v>217</v>
      </c>
      <c r="E542" s="1121" t="s">
        <v>89</v>
      </c>
      <c r="F542" s="1114"/>
      <c r="G542" s="1115"/>
      <c r="H542" s="1121" t="s">
        <v>63</v>
      </c>
      <c r="I542" s="1115"/>
    </row>
    <row r="543" spans="1:9" x14ac:dyDescent="0.2">
      <c r="A543" s="199"/>
      <c r="B543" s="229"/>
      <c r="C543" s="199"/>
      <c r="D543" s="199"/>
      <c r="E543" s="199"/>
      <c r="F543" s="230" t="s">
        <v>197</v>
      </c>
      <c r="G543" s="240"/>
      <c r="H543" s="241"/>
      <c r="I543" s="438">
        <v>0</v>
      </c>
    </row>
    <row r="544" spans="1:9" x14ac:dyDescent="0.2">
      <c r="A544" s="199"/>
      <c r="B544" s="229"/>
      <c r="C544" s="199"/>
      <c r="D544" s="199"/>
      <c r="E544" s="199"/>
      <c r="F544" s="199"/>
      <c r="G544" s="262"/>
      <c r="H544" s="199"/>
      <c r="I544" s="439"/>
    </row>
    <row r="545" spans="1:17" x14ac:dyDescent="0.2">
      <c r="A545" s="263" t="s">
        <v>198</v>
      </c>
      <c r="B545" s="243" t="s">
        <v>59</v>
      </c>
      <c r="C545" s="243" t="s">
        <v>196</v>
      </c>
      <c r="D545" s="831" t="s">
        <v>217</v>
      </c>
      <c r="E545" s="1111" t="s">
        <v>89</v>
      </c>
      <c r="F545" s="1112"/>
      <c r="G545" s="1113"/>
      <c r="H545" s="1121" t="s">
        <v>63</v>
      </c>
      <c r="I545" s="1115"/>
      <c r="J545" s="295"/>
      <c r="L545" s="22"/>
      <c r="M545" s="22"/>
      <c r="N545" s="22"/>
    </row>
    <row r="546" spans="1:17" s="198" customFormat="1" ht="22.5" x14ac:dyDescent="0.2">
      <c r="A546" s="416" t="str">
        <f>VLOOKUP(B546,'DER 11-20'!$A:$E,2,FALSE)</f>
        <v>Escavação manual em mat. 1ª cat. H= 0,00 a 1,50 m</v>
      </c>
      <c r="B546" s="417">
        <v>40258</v>
      </c>
      <c r="C546" s="417" t="str">
        <f>VLOOKUP(B546,'DER 11-20'!$A:$E,3,FALSE)</f>
        <v>M3</v>
      </c>
      <c r="D546" s="418">
        <f>TRUNC(VLOOKUP(B546,'DER 11-20'!$A:$F,6,FALSE)/(1+$I$4),2)</f>
        <v>56.6</v>
      </c>
      <c r="E546" s="419"/>
      <c r="F546" s="420"/>
      <c r="G546" s="790">
        <v>0.54400000000000004</v>
      </c>
      <c r="H546" s="422"/>
      <c r="I546" s="423">
        <f>TRUNC(D546*G546,2)</f>
        <v>30.79</v>
      </c>
      <c r="J546" s="415"/>
      <c r="K546" s="415"/>
    </row>
    <row r="547" spans="1:17" ht="45" x14ac:dyDescent="0.2">
      <c r="A547" s="416" t="str">
        <f>VLOOKUP(B547,'DER 11-20'!$A:$E,2,FALSE)</f>
        <v>Formas planas de madeira com 02 (dois) reaproveitamentos, inclusive fornecimento e transporte das madeiras</v>
      </c>
      <c r="B547" s="417">
        <v>40312</v>
      </c>
      <c r="C547" s="417" t="str">
        <f>VLOOKUP(B547,'DER 11-20'!$A:$E,3,FALSE)</f>
        <v>M2</v>
      </c>
      <c r="D547" s="418">
        <f>TRUNC(VLOOKUP(B547,'DER 11-20'!$A:$F,6,FALSE)/(1+$I$4),2)</f>
        <v>84.31</v>
      </c>
      <c r="E547" s="419"/>
      <c r="F547" s="420"/>
      <c r="G547" s="790">
        <v>2.5449999999999999</v>
      </c>
      <c r="H547" s="422"/>
      <c r="I547" s="423">
        <f>TRUNC(D547*G547,2)</f>
        <v>214.56</v>
      </c>
      <c r="J547" s="415"/>
      <c r="K547" s="415"/>
      <c r="L547" s="198"/>
      <c r="M547" s="198"/>
      <c r="N547" s="198"/>
      <c r="O547" s="198"/>
      <c r="P547" s="198"/>
      <c r="Q547" s="198"/>
    </row>
    <row r="548" spans="1:17" ht="22.5" x14ac:dyDescent="0.2">
      <c r="A548" s="416" t="str">
        <f>VLOOKUP(B548,'DER 11-20'!$A:$E,2,FALSE)</f>
        <v>Concreto estrutural fck = 15,0 MPa, tudo incluído</v>
      </c>
      <c r="B548" s="417">
        <v>40358</v>
      </c>
      <c r="C548" s="417" t="str">
        <f>VLOOKUP(B548,'DER 11-20'!$A:$E,3,FALSE)</f>
        <v>M3</v>
      </c>
      <c r="D548" s="418">
        <f>TRUNC(VLOOKUP(B548,'DER 11-20'!$A:$F,6,FALSE)/(1+$I$4),2)</f>
        <v>547.26</v>
      </c>
      <c r="E548" s="419"/>
      <c r="F548" s="420"/>
      <c r="G548" s="790">
        <v>0.22600000000000001</v>
      </c>
      <c r="H548" s="422"/>
      <c r="I548" s="423">
        <f>TRUNC(D548*G548,2)</f>
        <v>123.68</v>
      </c>
      <c r="J548" s="415"/>
      <c r="K548" s="415"/>
      <c r="L548" s="198"/>
      <c r="M548" s="198"/>
      <c r="N548" s="198"/>
      <c r="O548" s="198"/>
      <c r="P548" s="198"/>
      <c r="Q548" s="198"/>
    </row>
    <row r="549" spans="1:17" x14ac:dyDescent="0.2">
      <c r="A549" s="200"/>
      <c r="B549" s="264"/>
      <c r="C549" s="200"/>
      <c r="D549" s="200"/>
      <c r="E549" s="200"/>
      <c r="F549" s="265" t="s">
        <v>199</v>
      </c>
      <c r="G549" s="255"/>
      <c r="H549" s="266"/>
      <c r="I549" s="441">
        <f>SUM(I546:I548)</f>
        <v>369.03</v>
      </c>
      <c r="J549" s="295"/>
    </row>
    <row r="550" spans="1:17" x14ac:dyDescent="0.2">
      <c r="A550" s="200"/>
      <c r="B550" s="264"/>
      <c r="C550" s="200"/>
      <c r="D550" s="200"/>
      <c r="E550" s="200"/>
      <c r="F550" s="200"/>
      <c r="G550" s="200"/>
      <c r="H550" s="200"/>
      <c r="I550" s="440"/>
      <c r="J550" s="295"/>
    </row>
    <row r="551" spans="1:17" x14ac:dyDescent="0.2">
      <c r="A551" s="267" t="s">
        <v>200</v>
      </c>
      <c r="B551" s="268" t="s">
        <v>59</v>
      </c>
      <c r="C551" s="268" t="s">
        <v>196</v>
      </c>
      <c r="D551" s="268" t="s">
        <v>201</v>
      </c>
      <c r="E551" s="268" t="s">
        <v>202</v>
      </c>
      <c r="F551" s="268" t="s">
        <v>203</v>
      </c>
      <c r="G551" s="268" t="s">
        <v>94</v>
      </c>
      <c r="H551" s="268" t="s">
        <v>89</v>
      </c>
      <c r="I551" s="442" t="s">
        <v>204</v>
      </c>
    </row>
    <row r="552" spans="1:17" x14ac:dyDescent="0.2">
      <c r="A552" s="200"/>
      <c r="B552" s="264"/>
      <c r="C552" s="200"/>
      <c r="D552" s="200"/>
      <c r="E552" s="200"/>
      <c r="F552" s="265" t="s">
        <v>205</v>
      </c>
      <c r="G552" s="240"/>
      <c r="H552" s="272"/>
      <c r="I552" s="443">
        <v>0</v>
      </c>
    </row>
    <row r="553" spans="1:17" x14ac:dyDescent="0.2">
      <c r="A553" s="200"/>
      <c r="B553" s="264"/>
      <c r="C553" s="200"/>
      <c r="D553" s="200"/>
      <c r="E553" s="200"/>
      <c r="F553" s="200"/>
      <c r="G553" s="200"/>
      <c r="H553" s="200"/>
      <c r="I553" s="444"/>
    </row>
    <row r="554" spans="1:17" x14ac:dyDescent="0.2">
      <c r="A554" s="273"/>
      <c r="B554" s="274"/>
      <c r="C554" s="275"/>
      <c r="D554" s="275"/>
      <c r="E554" s="275"/>
      <c r="F554" s="276" t="s">
        <v>206</v>
      </c>
      <c r="G554" s="273"/>
      <c r="H554" s="249"/>
      <c r="I554" s="445">
        <f>+I540+I543+I549+I552</f>
        <v>374.41</v>
      </c>
    </row>
    <row r="555" spans="1:17" x14ac:dyDescent="0.2">
      <c r="A555" s="255"/>
      <c r="B555" s="277"/>
      <c r="C555" s="266"/>
      <c r="D555" s="266"/>
      <c r="E555" s="266"/>
      <c r="F555" s="278" t="str">
        <f>CONCATENATE($H$3," ",$I$3)</f>
        <v>BDI: 23,32</v>
      </c>
      <c r="G555" s="403"/>
      <c r="H555" s="253"/>
      <c r="I555" s="446">
        <f>+ROUND(I554*$I$4,2)</f>
        <v>87.31</v>
      </c>
    </row>
    <row r="556" spans="1:17" x14ac:dyDescent="0.2">
      <c r="A556" s="240"/>
      <c r="B556" s="279"/>
      <c r="C556" s="272"/>
      <c r="D556" s="272"/>
      <c r="E556" s="272"/>
      <c r="F556" s="280" t="s">
        <v>207</v>
      </c>
      <c r="G556" s="404"/>
      <c r="H556" s="241"/>
      <c r="I556" s="720">
        <f>+I554+I555</f>
        <v>461.72</v>
      </c>
    </row>
    <row r="557" spans="1:17" x14ac:dyDescent="0.2">
      <c r="A557" s="1116" t="s">
        <v>213</v>
      </c>
      <c r="B557" s="1116"/>
      <c r="C557" s="1116"/>
      <c r="D557" s="1116"/>
      <c r="E557" s="1116"/>
      <c r="F557" s="1116"/>
      <c r="G557" s="1116"/>
      <c r="H557" s="1116"/>
      <c r="I557" s="1116"/>
    </row>
    <row r="558" spans="1:17" x14ac:dyDescent="0.2">
      <c r="A558" s="228" t="str">
        <f>$A$2</f>
        <v>Tabela Referencial de Preços - DER-ES - sem desoneração</v>
      </c>
      <c r="B558" s="229"/>
      <c r="C558" s="199"/>
      <c r="D558" s="199"/>
      <c r="E558" s="199"/>
      <c r="F558" s="199"/>
      <c r="G558" s="199"/>
      <c r="H558" s="199"/>
      <c r="I558" s="414" t="str">
        <f>$I$2</f>
        <v>Data Base: novembro/2020</v>
      </c>
    </row>
    <row r="559" spans="1:17" ht="14.25" customHeight="1" x14ac:dyDescent="0.2">
      <c r="A559" s="1117" t="str">
        <f>+CONCATENATE("Serviço: ",J559," ",L559)</f>
        <v>Serviço: PR-017 Transposição de Sarjeta do tipo TSS-02 - inclusive caiação</v>
      </c>
      <c r="B559" s="1117"/>
      <c r="C559" s="1117"/>
      <c r="D559" s="1117"/>
      <c r="E559" s="1117"/>
      <c r="F559" s="1117"/>
      <c r="G559" s="1117"/>
      <c r="H559" s="1117"/>
      <c r="I559" s="1119" t="str">
        <f>CONCATENATE("Unidade: ", M559)</f>
        <v>Unidade: M</v>
      </c>
      <c r="J559" s="360" t="s">
        <v>679</v>
      </c>
      <c r="K559" s="780">
        <f>VLOOKUP("Preço Unitário Total",F560:I592,4,FALSE)</f>
        <v>748.91</v>
      </c>
      <c r="L559" s="1058" t="s">
        <v>652</v>
      </c>
      <c r="M559" s="393" t="s">
        <v>397</v>
      </c>
    </row>
    <row r="560" spans="1:17" x14ac:dyDescent="0.2">
      <c r="A560" s="1118"/>
      <c r="B560" s="1118"/>
      <c r="C560" s="1118"/>
      <c r="D560" s="1118"/>
      <c r="E560" s="1118"/>
      <c r="F560" s="1118"/>
      <c r="G560" s="1118"/>
      <c r="H560" s="1118"/>
      <c r="I560" s="1120"/>
      <c r="L560" s="1058"/>
    </row>
    <row r="561" spans="1:12" ht="22.5" x14ac:dyDescent="0.2">
      <c r="A561" s="231" t="s">
        <v>177</v>
      </c>
      <c r="B561" s="232" t="s">
        <v>59</v>
      </c>
      <c r="C561" s="232" t="s">
        <v>178</v>
      </c>
      <c r="D561" s="232" t="s">
        <v>179</v>
      </c>
      <c r="E561" s="232" t="s">
        <v>180</v>
      </c>
      <c r="F561" s="232" t="s">
        <v>181</v>
      </c>
      <c r="G561" s="232" t="s">
        <v>182</v>
      </c>
      <c r="H561" s="232" t="s">
        <v>89</v>
      </c>
      <c r="I561" s="434" t="s">
        <v>183</v>
      </c>
      <c r="L561" s="1058"/>
    </row>
    <row r="562" spans="1:12" x14ac:dyDescent="0.2">
      <c r="A562" s="199"/>
      <c r="B562" s="229"/>
      <c r="C562" s="229"/>
      <c r="D562" s="199"/>
      <c r="E562" s="199"/>
      <c r="F562" s="230" t="s">
        <v>184</v>
      </c>
      <c r="G562" s="240"/>
      <c r="H562" s="241"/>
      <c r="I562" s="438">
        <v>0</v>
      </c>
    </row>
    <row r="563" spans="1:12" x14ac:dyDescent="0.2">
      <c r="A563" s="199"/>
      <c r="B563" s="229"/>
      <c r="C563" s="229"/>
      <c r="D563" s="199"/>
      <c r="E563" s="199"/>
      <c r="F563" s="199"/>
      <c r="G563" s="199"/>
      <c r="H563" s="199"/>
      <c r="I563" s="439"/>
    </row>
    <row r="564" spans="1:12" x14ac:dyDescent="0.2">
      <c r="A564" s="242" t="s">
        <v>185</v>
      </c>
      <c r="B564" s="243" t="s">
        <v>59</v>
      </c>
      <c r="C564" s="232" t="s">
        <v>186</v>
      </c>
      <c r="D564" s="243" t="s">
        <v>187</v>
      </c>
      <c r="E564" s="1111" t="s">
        <v>89</v>
      </c>
      <c r="F564" s="1112"/>
      <c r="G564" s="1113"/>
      <c r="H564" s="1121" t="s">
        <v>183</v>
      </c>
      <c r="I564" s="1115"/>
    </row>
    <row r="565" spans="1:12" x14ac:dyDescent="0.2">
      <c r="A565" s="244" t="str">
        <f>VLOOKUP(B565,m.o.!$A:$H,2,FALSE)</f>
        <v>Servente</v>
      </c>
      <c r="B565" s="234">
        <v>20002</v>
      </c>
      <c r="C565" s="239" t="str">
        <f>VLOOKUP(B565,m.o.!$A:$F,3,FALSE)</f>
        <v>h</v>
      </c>
      <c r="D565" s="239">
        <f>VLOOKUP(B565,m.o.!$A:$G,7,FALSE)</f>
        <v>12.52</v>
      </c>
      <c r="E565" s="255"/>
      <c r="F565" s="253"/>
      <c r="G565" s="293">
        <v>2</v>
      </c>
      <c r="H565" s="240"/>
      <c r="I565" s="427">
        <f>ROUND(D565*G565,2)</f>
        <v>25.04</v>
      </c>
    </row>
    <row r="566" spans="1:12" x14ac:dyDescent="0.2">
      <c r="A566" s="244" t="str">
        <f>VLOOKUP(B566,m.o.!$A:$H,2,FALSE)</f>
        <v>Encarregado de O.A.C.</v>
      </c>
      <c r="B566" s="234">
        <v>20060</v>
      </c>
      <c r="C566" s="239" t="str">
        <f>VLOOKUP(B566,m.o.!$A:$F,3,FALSE)</f>
        <v>h</v>
      </c>
      <c r="D566" s="239">
        <f>VLOOKUP(B566,m.o.!$A:$G,7,FALSE)</f>
        <v>28.31</v>
      </c>
      <c r="E566" s="255"/>
      <c r="F566" s="253"/>
      <c r="G566" s="293">
        <v>1</v>
      </c>
      <c r="H566" s="240"/>
      <c r="I566" s="427">
        <f>ROUND(D566*G566,2)</f>
        <v>28.31</v>
      </c>
    </row>
    <row r="567" spans="1:12" x14ac:dyDescent="0.2">
      <c r="A567" s="199"/>
      <c r="B567" s="229"/>
      <c r="C567" s="229"/>
      <c r="D567" s="199"/>
      <c r="E567" s="199"/>
      <c r="F567" s="230" t="s">
        <v>188</v>
      </c>
      <c r="G567" s="240"/>
      <c r="H567" s="241"/>
      <c r="I567" s="438">
        <f>SUM(I565:I566)</f>
        <v>53.35</v>
      </c>
    </row>
    <row r="568" spans="1:12" x14ac:dyDescent="0.2">
      <c r="A568" s="199"/>
      <c r="B568" s="229"/>
      <c r="C568" s="229"/>
      <c r="D568" s="199"/>
      <c r="E568" s="199"/>
      <c r="F568" s="199"/>
      <c r="G568" s="199"/>
      <c r="H568" s="199"/>
      <c r="I568" s="439"/>
    </row>
    <row r="569" spans="1:12" x14ac:dyDescent="0.2">
      <c r="A569" s="245" t="s">
        <v>189</v>
      </c>
      <c r="B569" s="243" t="s">
        <v>59</v>
      </c>
      <c r="C569" s="831" t="s">
        <v>17</v>
      </c>
      <c r="D569" s="243" t="s">
        <v>190</v>
      </c>
      <c r="E569" s="243" t="s">
        <v>191</v>
      </c>
      <c r="F569" s="243" t="s">
        <v>192</v>
      </c>
      <c r="G569" s="1121" t="s">
        <v>94</v>
      </c>
      <c r="H569" s="1114"/>
      <c r="I569" s="1115"/>
    </row>
    <row r="570" spans="1:12" x14ac:dyDescent="0.2">
      <c r="A570" s="199"/>
      <c r="B570" s="229"/>
      <c r="C570" s="199"/>
      <c r="D570" s="199"/>
      <c r="E570" s="199"/>
      <c r="F570" s="230" t="s">
        <v>327</v>
      </c>
      <c r="G570" s="240"/>
      <c r="H570" s="241"/>
      <c r="I570" s="438">
        <v>0</v>
      </c>
    </row>
    <row r="571" spans="1:12" x14ac:dyDescent="0.2">
      <c r="A571" s="199"/>
      <c r="B571" s="229"/>
      <c r="C571" s="199"/>
      <c r="D571" s="199"/>
      <c r="E571" s="199"/>
      <c r="F571" s="199"/>
      <c r="G571" s="199"/>
      <c r="H571" s="199"/>
      <c r="I571" s="439"/>
    </row>
    <row r="572" spans="1:12" x14ac:dyDescent="0.2">
      <c r="A572" s="247"/>
      <c r="B572" s="248"/>
      <c r="C572" s="249"/>
      <c r="D572" s="249"/>
      <c r="E572" s="249"/>
      <c r="F572" s="250" t="s">
        <v>193</v>
      </c>
      <c r="G572" s="401"/>
      <c r="H572" s="249"/>
      <c r="I572" s="445">
        <f>+I562+I567+I570</f>
        <v>53.35</v>
      </c>
    </row>
    <row r="573" spans="1:12" x14ac:dyDescent="0.2">
      <c r="A573" s="251"/>
      <c r="B573" s="252"/>
      <c r="C573" s="253"/>
      <c r="D573" s="253"/>
      <c r="E573" s="253"/>
      <c r="F573" s="254" t="s">
        <v>194</v>
      </c>
      <c r="G573" s="255"/>
      <c r="H573" s="253"/>
      <c r="I573" s="446">
        <v>1</v>
      </c>
    </row>
    <row r="574" spans="1:12" x14ac:dyDescent="0.2">
      <c r="A574" s="233"/>
      <c r="B574" s="256"/>
      <c r="C574" s="241"/>
      <c r="D574" s="241"/>
      <c r="E574" s="241"/>
      <c r="F574" s="257" t="s">
        <v>216</v>
      </c>
      <c r="G574" s="240"/>
      <c r="H574" s="241"/>
      <c r="I574" s="447">
        <f>ROUND(I572/I573,2)</f>
        <v>53.35</v>
      </c>
    </row>
    <row r="575" spans="1:12" x14ac:dyDescent="0.2">
      <c r="A575" s="832"/>
      <c r="B575" s="229"/>
      <c r="C575" s="199"/>
      <c r="D575" s="199"/>
      <c r="E575" s="199"/>
      <c r="F575" s="258"/>
      <c r="G575" s="199"/>
      <c r="H575" s="199"/>
      <c r="I575" s="450"/>
    </row>
    <row r="576" spans="1:12" x14ac:dyDescent="0.2">
      <c r="A576" s="242" t="s">
        <v>195</v>
      </c>
      <c r="B576" s="243" t="s">
        <v>59</v>
      </c>
      <c r="C576" s="243" t="s">
        <v>196</v>
      </c>
      <c r="D576" s="243" t="s">
        <v>217</v>
      </c>
      <c r="E576" s="1121" t="s">
        <v>89</v>
      </c>
      <c r="F576" s="1114"/>
      <c r="G576" s="1115"/>
      <c r="H576" s="1121" t="s">
        <v>63</v>
      </c>
      <c r="I576" s="1115"/>
    </row>
    <row r="577" spans="1:17" x14ac:dyDescent="0.2">
      <c r="A577" s="199"/>
      <c r="B577" s="229"/>
      <c r="C577" s="199"/>
      <c r="D577" s="199"/>
      <c r="E577" s="199"/>
      <c r="F577" s="230" t="s">
        <v>197</v>
      </c>
      <c r="G577" s="240"/>
      <c r="H577" s="241"/>
      <c r="I577" s="438">
        <v>0</v>
      </c>
    </row>
    <row r="578" spans="1:17" x14ac:dyDescent="0.2">
      <c r="A578" s="199"/>
      <c r="B578" s="229"/>
      <c r="C578" s="199"/>
      <c r="D578" s="199"/>
      <c r="E578" s="199"/>
      <c r="F578" s="199"/>
      <c r="G578" s="262"/>
      <c r="H578" s="199"/>
      <c r="I578" s="439"/>
    </row>
    <row r="579" spans="1:17" x14ac:dyDescent="0.2">
      <c r="A579" s="263" t="s">
        <v>198</v>
      </c>
      <c r="B579" s="243" t="s">
        <v>59</v>
      </c>
      <c r="C579" s="243" t="s">
        <v>196</v>
      </c>
      <c r="D579" s="831" t="s">
        <v>217</v>
      </c>
      <c r="E579" s="1111" t="s">
        <v>89</v>
      </c>
      <c r="F579" s="1112"/>
      <c r="G579" s="1113"/>
      <c r="H579" s="1121" t="s">
        <v>63</v>
      </c>
      <c r="I579" s="1115"/>
      <c r="J579" s="295"/>
      <c r="L579" s="22"/>
      <c r="M579" s="22"/>
      <c r="N579" s="22"/>
    </row>
    <row r="580" spans="1:17" s="198" customFormat="1" ht="22.5" x14ac:dyDescent="0.2">
      <c r="A580" s="416" t="str">
        <f>VLOOKUP(B580,'DER 11-20'!$A:$E,2,FALSE)</f>
        <v>Escavação manual em mat. 1ª cat. H= 0,00 a 1,50 m</v>
      </c>
      <c r="B580" s="417">
        <v>40258</v>
      </c>
      <c r="C580" s="417" t="str">
        <f>VLOOKUP(B580,'DER 11-20'!$A:$E,3,FALSE)</f>
        <v>M3</v>
      </c>
      <c r="D580" s="418">
        <f>TRUNC(VLOOKUP(B580,'DER 11-20'!$A:$F,6,FALSE)/(1+$I$4),2)</f>
        <v>56.6</v>
      </c>
      <c r="E580" s="419"/>
      <c r="F580" s="420"/>
      <c r="G580" s="790">
        <v>0.2</v>
      </c>
      <c r="H580" s="422"/>
      <c r="I580" s="423">
        <f>TRUNC(D580*G580,2)</f>
        <v>11.32</v>
      </c>
      <c r="J580" s="415"/>
      <c r="K580" s="415"/>
    </row>
    <row r="581" spans="1:17" ht="22.5" x14ac:dyDescent="0.2">
      <c r="A581" s="416" t="str">
        <f>VLOOKUP(B581,'DER 11-20'!$A:$E,2,FALSE)</f>
        <v>Concreto estrutural fck = 15,0 MPa, tudo incluído</v>
      </c>
      <c r="B581" s="417">
        <v>40358</v>
      </c>
      <c r="C581" s="417" t="str">
        <f>VLOOKUP(B581,'DER 11-20'!$A:$E,3,FALSE)</f>
        <v>M3</v>
      </c>
      <c r="D581" s="418">
        <f>TRUNC(VLOOKUP(B581,'DER 11-20'!$A:$F,6,FALSE)/(1+$I$4),2)</f>
        <v>547.26</v>
      </c>
      <c r="E581" s="419"/>
      <c r="F581" s="420"/>
      <c r="G581" s="790">
        <v>0.16</v>
      </c>
      <c r="H581" s="422"/>
      <c r="I581" s="423">
        <f>TRUNC(D581*G581,2)</f>
        <v>87.56</v>
      </c>
      <c r="J581" s="415"/>
      <c r="K581" s="415"/>
      <c r="L581" s="198"/>
      <c r="M581" s="198"/>
      <c r="N581" s="198"/>
      <c r="O581" s="198"/>
      <c r="P581" s="198"/>
      <c r="Q581" s="198"/>
    </row>
    <row r="582" spans="1:17" ht="45" x14ac:dyDescent="0.2">
      <c r="A582" s="416" t="str">
        <f>VLOOKUP(B582,'DER 11-20'!$A:$E,2,FALSE)</f>
        <v>Concreto estrutural fck = 25,0 MPa, inclusive fornecimento e transporte do cimento, areia e pedra britada</v>
      </c>
      <c r="B582" s="417">
        <v>40362</v>
      </c>
      <c r="C582" s="417" t="str">
        <f>VLOOKUP(B582,'DER 11-20'!$A:$E,3,FALSE)</f>
        <v>M3</v>
      </c>
      <c r="D582" s="418">
        <f>TRUNC(VLOOKUP(B582,'DER 11-20'!$A:$F,6,FALSE)/(1+$I$4),2)</f>
        <v>583.97</v>
      </c>
      <c r="E582" s="419"/>
      <c r="F582" s="420"/>
      <c r="G582" s="790">
        <v>0.17</v>
      </c>
      <c r="H582" s="422"/>
      <c r="I582" s="423">
        <f>TRUNC(D582*G582,2)</f>
        <v>99.27</v>
      </c>
      <c r="J582" s="415"/>
      <c r="K582" s="415"/>
      <c r="L582" s="198"/>
      <c r="M582" s="198"/>
      <c r="N582" s="198"/>
      <c r="O582" s="198"/>
      <c r="P582" s="198"/>
      <c r="Q582" s="198"/>
    </row>
    <row r="583" spans="1:17" ht="45" x14ac:dyDescent="0.2">
      <c r="A583" s="416" t="str">
        <f>VLOOKUP(B583,'DER 11-20'!$A:$E,2,FALSE)</f>
        <v>Formas planas de madeira com 02 (dois) reaproveitamentos, inclusive fornecimento e transporte das madeiras</v>
      </c>
      <c r="B583" s="417">
        <v>40312</v>
      </c>
      <c r="C583" s="417" t="str">
        <f>VLOOKUP(B583,'DER 11-20'!$A:$E,3,FALSE)</f>
        <v>M2</v>
      </c>
      <c r="D583" s="418">
        <f>TRUNC(VLOOKUP(B583,'DER 11-20'!$A:$F,6,FALSE)/(1+$I$4),2)</f>
        <v>84.31</v>
      </c>
      <c r="E583" s="419"/>
      <c r="F583" s="420"/>
      <c r="G583" s="790">
        <v>2.2400000000000002</v>
      </c>
      <c r="H583" s="422"/>
      <c r="I583" s="423">
        <f>TRUNC(D583*G583,2)</f>
        <v>188.85</v>
      </c>
      <c r="J583" s="415"/>
      <c r="K583" s="415"/>
      <c r="L583" s="198"/>
      <c r="M583" s="198"/>
      <c r="N583" s="198"/>
      <c r="O583" s="198"/>
      <c r="P583" s="198"/>
      <c r="Q583" s="198"/>
    </row>
    <row r="584" spans="1:17" ht="33.75" x14ac:dyDescent="0.2">
      <c r="A584" s="416" t="str">
        <f>VLOOKUP(B584,'DER 11-20'!$A:$E,2,FALSE)</f>
        <v>Aço CA-50, fornecimento, dobragem e colocação nas formas (preço médio das bitolas)</v>
      </c>
      <c r="B584" s="417">
        <v>40376</v>
      </c>
      <c r="C584" s="417" t="str">
        <f>VLOOKUP(B584,'DER 11-20'!$A:$E,3,FALSE)</f>
        <v>kg</v>
      </c>
      <c r="D584" s="418">
        <f>TRUNC(VLOOKUP(B584,'DER 11-20'!$A:$F,6,FALSE)/(1+$I$4),2)</f>
        <v>10.62</v>
      </c>
      <c r="E584" s="419"/>
      <c r="F584" s="420"/>
      <c r="G584" s="790">
        <v>15.72</v>
      </c>
      <c r="H584" s="422"/>
      <c r="I584" s="423">
        <f>TRUNC(D584*G584,2)</f>
        <v>166.94</v>
      </c>
      <c r="J584" s="415"/>
      <c r="K584" s="415"/>
      <c r="L584" s="198"/>
      <c r="M584" s="198"/>
      <c r="N584" s="198"/>
      <c r="O584" s="198"/>
      <c r="P584" s="198"/>
      <c r="Q584" s="198"/>
    </row>
    <row r="585" spans="1:17" x14ac:dyDescent="0.2">
      <c r="A585" s="200"/>
      <c r="B585" s="264"/>
      <c r="C585" s="200"/>
      <c r="D585" s="200"/>
      <c r="E585" s="200"/>
      <c r="F585" s="265" t="s">
        <v>199</v>
      </c>
      <c r="G585" s="255"/>
      <c r="H585" s="266"/>
      <c r="I585" s="441">
        <f>SUM(I580:I584)</f>
        <v>553.94000000000005</v>
      </c>
      <c r="J585" s="295"/>
    </row>
    <row r="586" spans="1:17" x14ac:dyDescent="0.2">
      <c r="A586" s="200"/>
      <c r="B586" s="264"/>
      <c r="C586" s="200"/>
      <c r="D586" s="200"/>
      <c r="E586" s="200"/>
      <c r="F586" s="200"/>
      <c r="G586" s="200"/>
      <c r="H586" s="200"/>
      <c r="I586" s="440"/>
      <c r="J586" s="295"/>
    </row>
    <row r="587" spans="1:17" x14ac:dyDescent="0.2">
      <c r="A587" s="267" t="s">
        <v>200</v>
      </c>
      <c r="B587" s="268" t="s">
        <v>59</v>
      </c>
      <c r="C587" s="268" t="s">
        <v>196</v>
      </c>
      <c r="D587" s="268" t="s">
        <v>201</v>
      </c>
      <c r="E587" s="268" t="s">
        <v>202</v>
      </c>
      <c r="F587" s="268" t="s">
        <v>203</v>
      </c>
      <c r="G587" s="268" t="s">
        <v>94</v>
      </c>
      <c r="H587" s="268" t="s">
        <v>89</v>
      </c>
      <c r="I587" s="442" t="s">
        <v>204</v>
      </c>
    </row>
    <row r="588" spans="1:17" x14ac:dyDescent="0.2">
      <c r="A588" s="200"/>
      <c r="B588" s="264"/>
      <c r="C588" s="200"/>
      <c r="D588" s="200"/>
      <c r="E588" s="200"/>
      <c r="F588" s="265" t="s">
        <v>205</v>
      </c>
      <c r="G588" s="240"/>
      <c r="H588" s="272"/>
      <c r="I588" s="443">
        <v>0</v>
      </c>
    </row>
    <row r="589" spans="1:17" x14ac:dyDescent="0.2">
      <c r="A589" s="200"/>
      <c r="B589" s="264"/>
      <c r="C589" s="200"/>
      <c r="D589" s="200"/>
      <c r="E589" s="200"/>
      <c r="F589" s="200"/>
      <c r="G589" s="200"/>
      <c r="H589" s="200"/>
      <c r="I589" s="444"/>
    </row>
    <row r="590" spans="1:17" x14ac:dyDescent="0.2">
      <c r="A590" s="273"/>
      <c r="B590" s="274"/>
      <c r="C590" s="275"/>
      <c r="D590" s="275"/>
      <c r="E590" s="275"/>
      <c r="F590" s="276" t="s">
        <v>206</v>
      </c>
      <c r="G590" s="273"/>
      <c r="H590" s="249"/>
      <c r="I590" s="445">
        <f>+I574+I577+I585+I588</f>
        <v>607.29</v>
      </c>
    </row>
    <row r="591" spans="1:17" x14ac:dyDescent="0.2">
      <c r="A591" s="255"/>
      <c r="B591" s="277"/>
      <c r="C591" s="266"/>
      <c r="D591" s="266"/>
      <c r="E591" s="266"/>
      <c r="F591" s="278" t="str">
        <f>CONCATENATE($H$3," ",$I$3)</f>
        <v>BDI: 23,32</v>
      </c>
      <c r="G591" s="403"/>
      <c r="H591" s="253"/>
      <c r="I591" s="446">
        <f>+ROUND(I590*$I$4,2)</f>
        <v>141.62</v>
      </c>
    </row>
    <row r="592" spans="1:17" x14ac:dyDescent="0.2">
      <c r="A592" s="240"/>
      <c r="B592" s="279"/>
      <c r="C592" s="272"/>
      <c r="D592" s="272"/>
      <c r="E592" s="272"/>
      <c r="F592" s="280" t="s">
        <v>207</v>
      </c>
      <c r="G592" s="404"/>
      <c r="H592" s="241"/>
      <c r="I592" s="720">
        <f>+I590+I591</f>
        <v>748.91</v>
      </c>
    </row>
    <row r="593" spans="1:13" x14ac:dyDescent="0.2">
      <c r="A593" s="1116" t="s">
        <v>213</v>
      </c>
      <c r="B593" s="1116"/>
      <c r="C593" s="1116"/>
      <c r="D593" s="1116"/>
      <c r="E593" s="1116"/>
      <c r="F593" s="1116"/>
      <c r="G593" s="1116"/>
      <c r="H593" s="1116"/>
      <c r="I593" s="1116"/>
    </row>
    <row r="594" spans="1:13" x14ac:dyDescent="0.2">
      <c r="A594" s="228" t="str">
        <f>$A$2</f>
        <v>Tabela Referencial de Preços - DER-ES - sem desoneração</v>
      </c>
      <c r="B594" s="229"/>
      <c r="C594" s="199"/>
      <c r="D594" s="199"/>
      <c r="E594" s="199"/>
      <c r="F594" s="199"/>
      <c r="G594" s="199"/>
      <c r="H594" s="199"/>
      <c r="I594" s="414" t="str">
        <f>$I$2</f>
        <v>Data Base: novembro/2020</v>
      </c>
    </row>
    <row r="595" spans="1:13" ht="14.25" customHeight="1" x14ac:dyDescent="0.2">
      <c r="A595" s="1117" t="str">
        <f>+CONCATENATE("Serviço: ",J595," ",L595)</f>
        <v>Serviço: PR-018 Dissipador de energia aplicado a saída de sarjeta/valeta (DES-04)</v>
      </c>
      <c r="B595" s="1117"/>
      <c r="C595" s="1117"/>
      <c r="D595" s="1117"/>
      <c r="E595" s="1117"/>
      <c r="F595" s="1117"/>
      <c r="G595" s="1117"/>
      <c r="H595" s="1117"/>
      <c r="I595" s="1119" t="str">
        <f>CONCATENATE("Unidade: ", M595)</f>
        <v>Unidade: M</v>
      </c>
      <c r="J595" s="360" t="s">
        <v>680</v>
      </c>
      <c r="K595" s="780">
        <f>VLOOKUP("Preço Unitário Total",F596:I624,4,FALSE)</f>
        <v>657.62</v>
      </c>
      <c r="L595" s="1058" t="s">
        <v>567</v>
      </c>
      <c r="M595" s="393" t="s">
        <v>397</v>
      </c>
    </row>
    <row r="596" spans="1:13" x14ac:dyDescent="0.2">
      <c r="A596" s="1118"/>
      <c r="B596" s="1118"/>
      <c r="C596" s="1118"/>
      <c r="D596" s="1118"/>
      <c r="E596" s="1118"/>
      <c r="F596" s="1118"/>
      <c r="G596" s="1118"/>
      <c r="H596" s="1118"/>
      <c r="I596" s="1120"/>
      <c r="L596" s="1058"/>
    </row>
    <row r="597" spans="1:13" ht="22.5" x14ac:dyDescent="0.2">
      <c r="A597" s="231" t="s">
        <v>177</v>
      </c>
      <c r="B597" s="232" t="s">
        <v>59</v>
      </c>
      <c r="C597" s="232" t="s">
        <v>178</v>
      </c>
      <c r="D597" s="232" t="s">
        <v>179</v>
      </c>
      <c r="E597" s="232" t="s">
        <v>180</v>
      </c>
      <c r="F597" s="232" t="s">
        <v>181</v>
      </c>
      <c r="G597" s="232" t="s">
        <v>182</v>
      </c>
      <c r="H597" s="232" t="s">
        <v>89</v>
      </c>
      <c r="I597" s="434" t="s">
        <v>183</v>
      </c>
      <c r="L597" s="1058"/>
    </row>
    <row r="598" spans="1:13" x14ac:dyDescent="0.2">
      <c r="A598" s="199"/>
      <c r="B598" s="229"/>
      <c r="C598" s="229"/>
      <c r="D598" s="199"/>
      <c r="E598" s="199"/>
      <c r="F598" s="230" t="s">
        <v>184</v>
      </c>
      <c r="G598" s="240"/>
      <c r="H598" s="241"/>
      <c r="I598" s="438">
        <v>0</v>
      </c>
    </row>
    <row r="599" spans="1:13" x14ac:dyDescent="0.2">
      <c r="A599" s="199"/>
      <c r="B599" s="229"/>
      <c r="C599" s="229"/>
      <c r="D599" s="199"/>
      <c r="E599" s="199"/>
      <c r="F599" s="199"/>
      <c r="G599" s="199"/>
      <c r="H599" s="199"/>
      <c r="I599" s="439"/>
    </row>
    <row r="600" spans="1:13" x14ac:dyDescent="0.2">
      <c r="A600" s="242" t="s">
        <v>185</v>
      </c>
      <c r="B600" s="243" t="s">
        <v>59</v>
      </c>
      <c r="C600" s="232" t="s">
        <v>186</v>
      </c>
      <c r="D600" s="243" t="s">
        <v>187</v>
      </c>
      <c r="E600" s="1111" t="s">
        <v>89</v>
      </c>
      <c r="F600" s="1112"/>
      <c r="G600" s="1113"/>
      <c r="H600" s="1121" t="s">
        <v>183</v>
      </c>
      <c r="I600" s="1115"/>
    </row>
    <row r="601" spans="1:13" x14ac:dyDescent="0.2">
      <c r="A601" s="244" t="str">
        <f>VLOOKUP(B601,m.o.!$A:$H,2,FALSE)</f>
        <v>Encarregado de O.A.C.</v>
      </c>
      <c r="B601" s="234">
        <v>20060</v>
      </c>
      <c r="C601" s="239" t="str">
        <f>VLOOKUP(B601,m.o.!$A:$F,3,FALSE)</f>
        <v>h</v>
      </c>
      <c r="D601" s="239">
        <f>VLOOKUP(B601,m.o.!$A:$G,7,FALSE)</f>
        <v>28.31</v>
      </c>
      <c r="E601" s="255"/>
      <c r="F601" s="253"/>
      <c r="G601" s="293">
        <v>1.37</v>
      </c>
      <c r="H601" s="240"/>
      <c r="I601" s="427">
        <f>ROUND(D601*G601,2)</f>
        <v>38.78</v>
      </c>
    </row>
    <row r="602" spans="1:13" x14ac:dyDescent="0.2">
      <c r="A602" s="199"/>
      <c r="B602" s="229"/>
      <c r="C602" s="229"/>
      <c r="D602" s="199"/>
      <c r="E602" s="199"/>
      <c r="F602" s="230" t="s">
        <v>188</v>
      </c>
      <c r="G602" s="240"/>
      <c r="H602" s="241"/>
      <c r="I602" s="438">
        <f>SUM(I601:I601)</f>
        <v>38.78</v>
      </c>
    </row>
    <row r="603" spans="1:13" x14ac:dyDescent="0.2">
      <c r="A603" s="199"/>
      <c r="B603" s="229"/>
      <c r="C603" s="229"/>
      <c r="D603" s="199"/>
      <c r="E603" s="199"/>
      <c r="F603" s="199"/>
      <c r="G603" s="199"/>
      <c r="H603" s="199"/>
      <c r="I603" s="439"/>
    </row>
    <row r="604" spans="1:13" x14ac:dyDescent="0.2">
      <c r="A604" s="245" t="s">
        <v>189</v>
      </c>
      <c r="B604" s="243" t="s">
        <v>59</v>
      </c>
      <c r="C604" s="833" t="s">
        <v>17</v>
      </c>
      <c r="D604" s="243" t="s">
        <v>190</v>
      </c>
      <c r="E604" s="243" t="s">
        <v>191</v>
      </c>
      <c r="F604" s="243" t="s">
        <v>192</v>
      </c>
      <c r="G604" s="1121" t="s">
        <v>94</v>
      </c>
      <c r="H604" s="1114"/>
      <c r="I604" s="1115"/>
    </row>
    <row r="605" spans="1:13" x14ac:dyDescent="0.2">
      <c r="A605" s="199"/>
      <c r="B605" s="229"/>
      <c r="C605" s="199"/>
      <c r="D605" s="199"/>
      <c r="E605" s="199"/>
      <c r="F605" s="230" t="s">
        <v>327</v>
      </c>
      <c r="G605" s="240"/>
      <c r="H605" s="241"/>
      <c r="I605" s="438">
        <v>0</v>
      </c>
    </row>
    <row r="606" spans="1:13" x14ac:dyDescent="0.2">
      <c r="A606" s="199"/>
      <c r="B606" s="229"/>
      <c r="C606" s="199"/>
      <c r="D606" s="199"/>
      <c r="E606" s="199"/>
      <c r="F606" s="199"/>
      <c r="G606" s="199"/>
      <c r="H606" s="199"/>
      <c r="I606" s="439"/>
    </row>
    <row r="607" spans="1:13" x14ac:dyDescent="0.2">
      <c r="A607" s="247"/>
      <c r="B607" s="248"/>
      <c r="C607" s="249"/>
      <c r="D607" s="249"/>
      <c r="E607" s="249"/>
      <c r="F607" s="250" t="s">
        <v>193</v>
      </c>
      <c r="G607" s="401"/>
      <c r="H607" s="249"/>
      <c r="I607" s="445">
        <f>+I598+I602+I605</f>
        <v>38.78</v>
      </c>
    </row>
    <row r="608" spans="1:13" x14ac:dyDescent="0.2">
      <c r="A608" s="251"/>
      <c r="B608" s="252"/>
      <c r="C608" s="253"/>
      <c r="D608" s="253"/>
      <c r="E608" s="253"/>
      <c r="F608" s="254" t="s">
        <v>194</v>
      </c>
      <c r="G608" s="255"/>
      <c r="H608" s="253"/>
      <c r="I608" s="446">
        <v>1</v>
      </c>
    </row>
    <row r="609" spans="1:17" x14ac:dyDescent="0.2">
      <c r="A609" s="233"/>
      <c r="B609" s="256"/>
      <c r="C609" s="241"/>
      <c r="D609" s="241"/>
      <c r="E609" s="241"/>
      <c r="F609" s="257" t="s">
        <v>216</v>
      </c>
      <c r="G609" s="240"/>
      <c r="H609" s="241"/>
      <c r="I609" s="447">
        <f>ROUND(I607/I608,2)</f>
        <v>38.78</v>
      </c>
    </row>
    <row r="610" spans="1:17" x14ac:dyDescent="0.2">
      <c r="A610" s="834"/>
      <c r="B610" s="229"/>
      <c r="C610" s="199"/>
      <c r="D610" s="199"/>
      <c r="E610" s="199"/>
      <c r="F610" s="258"/>
      <c r="G610" s="199"/>
      <c r="H610" s="199"/>
      <c r="I610" s="450"/>
    </row>
    <row r="611" spans="1:17" x14ac:dyDescent="0.2">
      <c r="A611" s="242" t="s">
        <v>195</v>
      </c>
      <c r="B611" s="243" t="s">
        <v>59</v>
      </c>
      <c r="C611" s="243" t="s">
        <v>196</v>
      </c>
      <c r="D611" s="243" t="s">
        <v>217</v>
      </c>
      <c r="E611" s="1121" t="s">
        <v>89</v>
      </c>
      <c r="F611" s="1114"/>
      <c r="G611" s="1115"/>
      <c r="H611" s="1121" t="s">
        <v>63</v>
      </c>
      <c r="I611" s="1115"/>
    </row>
    <row r="612" spans="1:17" x14ac:dyDescent="0.2">
      <c r="A612" s="199"/>
      <c r="B612" s="229"/>
      <c r="C612" s="199"/>
      <c r="D612" s="199"/>
      <c r="E612" s="199"/>
      <c r="F612" s="230" t="s">
        <v>197</v>
      </c>
      <c r="G612" s="240"/>
      <c r="H612" s="241"/>
      <c r="I612" s="438">
        <v>0</v>
      </c>
    </row>
    <row r="613" spans="1:17" x14ac:dyDescent="0.2">
      <c r="A613" s="199"/>
      <c r="B613" s="229"/>
      <c r="C613" s="199"/>
      <c r="D613" s="199"/>
      <c r="E613" s="199"/>
      <c r="F613" s="199"/>
      <c r="G613" s="262"/>
      <c r="H613" s="199"/>
      <c r="I613" s="439"/>
    </row>
    <row r="614" spans="1:17" x14ac:dyDescent="0.2">
      <c r="A614" s="263" t="s">
        <v>198</v>
      </c>
      <c r="B614" s="243" t="s">
        <v>59</v>
      </c>
      <c r="C614" s="243" t="s">
        <v>196</v>
      </c>
      <c r="D614" s="833" t="s">
        <v>217</v>
      </c>
      <c r="E614" s="1111" t="s">
        <v>89</v>
      </c>
      <c r="F614" s="1112"/>
      <c r="G614" s="1113"/>
      <c r="H614" s="1121" t="s">
        <v>63</v>
      </c>
      <c r="I614" s="1115"/>
      <c r="J614" s="295"/>
      <c r="L614" s="22"/>
      <c r="M614" s="22"/>
      <c r="N614" s="22"/>
    </row>
    <row r="615" spans="1:17" s="198" customFormat="1" ht="22.5" x14ac:dyDescent="0.2">
      <c r="A615" s="416" t="str">
        <f>VLOOKUP(B615,'DER 11-20'!$A:$E,2,FALSE)</f>
        <v>Escavação manual em mat. 1ª cat. H= 0,00 a 1,50 m</v>
      </c>
      <c r="B615" s="417">
        <v>40258</v>
      </c>
      <c r="C615" s="417" t="str">
        <f>VLOOKUP(B615,'DER 11-20'!$A:$E,3,FALSE)</f>
        <v>M3</v>
      </c>
      <c r="D615" s="418">
        <f>TRUNC(VLOOKUP(B615,'DER 11-20'!$A:$F,6,FALSE)/(1+$I$4),2)</f>
        <v>56.6</v>
      </c>
      <c r="E615" s="419"/>
      <c r="F615" s="420"/>
      <c r="G615" s="790">
        <v>0.56999999999999995</v>
      </c>
      <c r="H615" s="422"/>
      <c r="I615" s="423">
        <f>TRUNC(D615*G615,2)</f>
        <v>32.26</v>
      </c>
      <c r="J615" s="415"/>
      <c r="K615" s="415"/>
    </row>
    <row r="616" spans="1:17" ht="45" x14ac:dyDescent="0.2">
      <c r="A616" s="416" t="str">
        <f>VLOOKUP(B616,'DER 11-20'!$A:$E,2,FALSE)</f>
        <v>Alvenaria de pedra de mão argamassada (argamassa cimento areia 1:4), inclusive transporte da pedra</v>
      </c>
      <c r="B616" s="417">
        <v>40343</v>
      </c>
      <c r="C616" s="417" t="str">
        <f>VLOOKUP(B616,'DER 11-20'!$A:$E,3,FALSE)</f>
        <v>M3</v>
      </c>
      <c r="D616" s="418">
        <f>TRUNC(VLOOKUP(B616,'DER 11-20'!$A:$F,6,FALSE)/(1+$I$4),2)</f>
        <v>337.39</v>
      </c>
      <c r="E616" s="419"/>
      <c r="F616" s="420"/>
      <c r="G616" s="790">
        <v>1.37</v>
      </c>
      <c r="H616" s="422"/>
      <c r="I616" s="423">
        <f>TRUNC(D616*G616,2)</f>
        <v>462.22</v>
      </c>
      <c r="J616" s="415"/>
      <c r="K616" s="415"/>
      <c r="L616" s="198"/>
      <c r="M616" s="198"/>
      <c r="N616" s="198"/>
      <c r="O616" s="198"/>
      <c r="P616" s="198"/>
      <c r="Q616" s="198"/>
    </row>
    <row r="617" spans="1:17" x14ac:dyDescent="0.2">
      <c r="A617" s="200"/>
      <c r="B617" s="264"/>
      <c r="C617" s="200"/>
      <c r="D617" s="200"/>
      <c r="E617" s="200"/>
      <c r="F617" s="265" t="s">
        <v>199</v>
      </c>
      <c r="G617" s="255"/>
      <c r="H617" s="266"/>
      <c r="I617" s="441">
        <f>SUM(I615:I616)</f>
        <v>494.48</v>
      </c>
      <c r="J617" s="295"/>
    </row>
    <row r="618" spans="1:17" x14ac:dyDescent="0.2">
      <c r="A618" s="200"/>
      <c r="B618" s="264"/>
      <c r="C618" s="200"/>
      <c r="D618" s="200"/>
      <c r="E618" s="200"/>
      <c r="F618" s="200"/>
      <c r="G618" s="200"/>
      <c r="H618" s="200"/>
      <c r="I618" s="440"/>
      <c r="J618" s="295"/>
    </row>
    <row r="619" spans="1:17" x14ac:dyDescent="0.2">
      <c r="A619" s="267" t="s">
        <v>200</v>
      </c>
      <c r="B619" s="268" t="s">
        <v>59</v>
      </c>
      <c r="C619" s="268" t="s">
        <v>196</v>
      </c>
      <c r="D619" s="268" t="s">
        <v>201</v>
      </c>
      <c r="E619" s="268" t="s">
        <v>202</v>
      </c>
      <c r="F619" s="268" t="s">
        <v>203</v>
      </c>
      <c r="G619" s="268" t="s">
        <v>94</v>
      </c>
      <c r="H619" s="268" t="s">
        <v>89</v>
      </c>
      <c r="I619" s="442" t="s">
        <v>204</v>
      </c>
    </row>
    <row r="620" spans="1:17" x14ac:dyDescent="0.2">
      <c r="A620" s="200"/>
      <c r="B620" s="264"/>
      <c r="C620" s="200"/>
      <c r="D620" s="200"/>
      <c r="E620" s="200"/>
      <c r="F620" s="265" t="s">
        <v>205</v>
      </c>
      <c r="G620" s="240"/>
      <c r="H620" s="272"/>
      <c r="I620" s="443">
        <v>0</v>
      </c>
    </row>
    <row r="621" spans="1:17" x14ac:dyDescent="0.2">
      <c r="A621" s="200"/>
      <c r="B621" s="264"/>
      <c r="C621" s="200"/>
      <c r="D621" s="200"/>
      <c r="E621" s="200"/>
      <c r="F621" s="200"/>
      <c r="G621" s="200"/>
      <c r="H621" s="200"/>
      <c r="I621" s="444"/>
    </row>
    <row r="622" spans="1:17" x14ac:dyDescent="0.2">
      <c r="A622" s="273"/>
      <c r="B622" s="274"/>
      <c r="C622" s="275"/>
      <c r="D622" s="275"/>
      <c r="E622" s="275"/>
      <c r="F622" s="276" t="s">
        <v>206</v>
      </c>
      <c r="G622" s="273"/>
      <c r="H622" s="249"/>
      <c r="I622" s="445">
        <f>+I609+I612+I617+I620</f>
        <v>533.26</v>
      </c>
    </row>
    <row r="623" spans="1:17" x14ac:dyDescent="0.2">
      <c r="A623" s="255"/>
      <c r="B623" s="277"/>
      <c r="C623" s="266"/>
      <c r="D623" s="266"/>
      <c r="E623" s="266"/>
      <c r="F623" s="278" t="str">
        <f>CONCATENATE($H$3," ",$I$3)</f>
        <v>BDI: 23,32</v>
      </c>
      <c r="G623" s="403"/>
      <c r="H623" s="253"/>
      <c r="I623" s="446">
        <f>+ROUND(I622*$I$4,2)</f>
        <v>124.36</v>
      </c>
    </row>
    <row r="624" spans="1:17" x14ac:dyDescent="0.2">
      <c r="A624" s="240"/>
      <c r="B624" s="279"/>
      <c r="C624" s="272"/>
      <c r="D624" s="272"/>
      <c r="E624" s="272"/>
      <c r="F624" s="280" t="s">
        <v>207</v>
      </c>
      <c r="G624" s="404"/>
      <c r="H624" s="241"/>
      <c r="I624" s="720">
        <f>+I622+I623</f>
        <v>657.62</v>
      </c>
    </row>
    <row r="625" spans="1:13" x14ac:dyDescent="0.2">
      <c r="A625" s="1116" t="s">
        <v>213</v>
      </c>
      <c r="B625" s="1116"/>
      <c r="C625" s="1116"/>
      <c r="D625" s="1116"/>
      <c r="E625" s="1116"/>
      <c r="F625" s="1116"/>
      <c r="G625" s="1116"/>
      <c r="H625" s="1116"/>
      <c r="I625" s="1116"/>
    </row>
    <row r="626" spans="1:13" x14ac:dyDescent="0.2">
      <c r="A626" s="228" t="str">
        <f>$A$2</f>
        <v>Tabela Referencial de Preços - DER-ES - sem desoneração</v>
      </c>
      <c r="B626" s="229"/>
      <c r="C626" s="199"/>
      <c r="D626" s="199"/>
      <c r="E626" s="199"/>
      <c r="F626" s="199"/>
      <c r="G626" s="199"/>
      <c r="H626" s="199"/>
      <c r="I626" s="414" t="str">
        <f>$I$2</f>
        <v>Data Base: novembro/2020</v>
      </c>
    </row>
    <row r="627" spans="1:13" ht="14.25" customHeight="1" x14ac:dyDescent="0.2">
      <c r="A627" s="1117" t="str">
        <f>+CONCATENATE("Serviço: ",J627," ",L627)</f>
        <v>Serviço: PR-019 Descida D'Água Tipo  DSC-01 entrada</v>
      </c>
      <c r="B627" s="1117"/>
      <c r="C627" s="1117"/>
      <c r="D627" s="1117"/>
      <c r="E627" s="1117"/>
      <c r="F627" s="1117"/>
      <c r="G627" s="1117"/>
      <c r="H627" s="1117"/>
      <c r="I627" s="1119" t="str">
        <f>CONCATENATE("Unidade: ", M627)</f>
        <v>Unidade: M</v>
      </c>
      <c r="J627" s="360" t="s">
        <v>681</v>
      </c>
      <c r="K627" s="780">
        <f>VLOOKUP("Preço Unitário Total",F628:I657,4,FALSE)</f>
        <v>924.57</v>
      </c>
      <c r="L627" s="1058" t="s">
        <v>580</v>
      </c>
      <c r="M627" s="393" t="s">
        <v>397</v>
      </c>
    </row>
    <row r="628" spans="1:13" x14ac:dyDescent="0.2">
      <c r="A628" s="1118"/>
      <c r="B628" s="1118"/>
      <c r="C628" s="1118"/>
      <c r="D628" s="1118"/>
      <c r="E628" s="1118"/>
      <c r="F628" s="1118"/>
      <c r="G628" s="1118"/>
      <c r="H628" s="1118"/>
      <c r="I628" s="1120"/>
      <c r="L628" s="1058"/>
    </row>
    <row r="629" spans="1:13" ht="22.5" x14ac:dyDescent="0.2">
      <c r="A629" s="231" t="s">
        <v>177</v>
      </c>
      <c r="B629" s="232" t="s">
        <v>59</v>
      </c>
      <c r="C629" s="232" t="s">
        <v>178</v>
      </c>
      <c r="D629" s="232" t="s">
        <v>179</v>
      </c>
      <c r="E629" s="232" t="s">
        <v>180</v>
      </c>
      <c r="F629" s="232" t="s">
        <v>181</v>
      </c>
      <c r="G629" s="232" t="s">
        <v>182</v>
      </c>
      <c r="H629" s="232" t="s">
        <v>89</v>
      </c>
      <c r="I629" s="434" t="s">
        <v>183</v>
      </c>
      <c r="L629" s="1058"/>
    </row>
    <row r="630" spans="1:13" x14ac:dyDescent="0.2">
      <c r="A630" s="199"/>
      <c r="B630" s="229"/>
      <c r="C630" s="229"/>
      <c r="D630" s="199"/>
      <c r="E630" s="199"/>
      <c r="F630" s="230" t="s">
        <v>184</v>
      </c>
      <c r="G630" s="240"/>
      <c r="H630" s="241"/>
      <c r="I630" s="438">
        <v>0</v>
      </c>
    </row>
    <row r="631" spans="1:13" x14ac:dyDescent="0.2">
      <c r="A631" s="199"/>
      <c r="B631" s="229"/>
      <c r="C631" s="229"/>
      <c r="D631" s="199"/>
      <c r="E631" s="199"/>
      <c r="F631" s="199"/>
      <c r="G631" s="199"/>
      <c r="H631" s="199"/>
      <c r="I631" s="439"/>
    </row>
    <row r="632" spans="1:13" x14ac:dyDescent="0.2">
      <c r="A632" s="242" t="s">
        <v>185</v>
      </c>
      <c r="B632" s="243" t="s">
        <v>59</v>
      </c>
      <c r="C632" s="232" t="s">
        <v>186</v>
      </c>
      <c r="D632" s="243" t="s">
        <v>187</v>
      </c>
      <c r="E632" s="1111" t="s">
        <v>89</v>
      </c>
      <c r="F632" s="1112"/>
      <c r="G632" s="1113"/>
      <c r="H632" s="1121" t="s">
        <v>183</v>
      </c>
      <c r="I632" s="1115"/>
    </row>
    <row r="633" spans="1:13" x14ac:dyDescent="0.2">
      <c r="A633" s="244" t="str">
        <f>VLOOKUP(B633,m.o.!$A:$H,2,FALSE)</f>
        <v>Encarregado de O.A.C.</v>
      </c>
      <c r="B633" s="234">
        <v>20060</v>
      </c>
      <c r="C633" s="239" t="str">
        <f>VLOOKUP(B633,m.o.!$A:$F,3,FALSE)</f>
        <v>h</v>
      </c>
      <c r="D633" s="239">
        <f>VLOOKUP(B633,m.o.!$A:$G,7,FALSE)</f>
        <v>28.31</v>
      </c>
      <c r="E633" s="255"/>
      <c r="F633" s="253"/>
      <c r="G633" s="293">
        <v>0.19</v>
      </c>
      <c r="H633" s="240"/>
      <c r="I633" s="427">
        <f>ROUND(D633*G633,2)</f>
        <v>5.38</v>
      </c>
    </row>
    <row r="634" spans="1:13" x14ac:dyDescent="0.2">
      <c r="A634" s="199"/>
      <c r="B634" s="229"/>
      <c r="C634" s="229"/>
      <c r="D634" s="199"/>
      <c r="E634" s="199"/>
      <c r="F634" s="230" t="s">
        <v>188</v>
      </c>
      <c r="G634" s="240"/>
      <c r="H634" s="241"/>
      <c r="I634" s="438">
        <f>SUM(I633:I633)</f>
        <v>5.38</v>
      </c>
    </row>
    <row r="635" spans="1:13" x14ac:dyDescent="0.2">
      <c r="A635" s="199"/>
      <c r="B635" s="229"/>
      <c r="C635" s="229"/>
      <c r="D635" s="199"/>
      <c r="E635" s="199"/>
      <c r="F635" s="199"/>
      <c r="G635" s="199"/>
      <c r="H635" s="199"/>
      <c r="I635" s="439"/>
    </row>
    <row r="636" spans="1:13" x14ac:dyDescent="0.2">
      <c r="A636" s="245" t="s">
        <v>189</v>
      </c>
      <c r="B636" s="243" t="s">
        <v>59</v>
      </c>
      <c r="C636" s="833" t="s">
        <v>17</v>
      </c>
      <c r="D636" s="243" t="s">
        <v>190</v>
      </c>
      <c r="E636" s="243" t="s">
        <v>191</v>
      </c>
      <c r="F636" s="243" t="s">
        <v>192</v>
      </c>
      <c r="G636" s="1121" t="s">
        <v>94</v>
      </c>
      <c r="H636" s="1114"/>
      <c r="I636" s="1115"/>
    </row>
    <row r="637" spans="1:13" x14ac:dyDescent="0.2">
      <c r="A637" s="199"/>
      <c r="B637" s="229"/>
      <c r="C637" s="199"/>
      <c r="D637" s="199"/>
      <c r="E637" s="199"/>
      <c r="F637" s="230" t="s">
        <v>327</v>
      </c>
      <c r="G637" s="240"/>
      <c r="H637" s="241"/>
      <c r="I637" s="438">
        <v>0</v>
      </c>
    </row>
    <row r="638" spans="1:13" x14ac:dyDescent="0.2">
      <c r="A638" s="199"/>
      <c r="B638" s="229"/>
      <c r="C638" s="199"/>
      <c r="D638" s="199"/>
      <c r="E638" s="199"/>
      <c r="F638" s="199"/>
      <c r="G638" s="199"/>
      <c r="H638" s="199"/>
      <c r="I638" s="439"/>
    </row>
    <row r="639" spans="1:13" x14ac:dyDescent="0.2">
      <c r="A639" s="247"/>
      <c r="B639" s="248"/>
      <c r="C639" s="249"/>
      <c r="D639" s="249"/>
      <c r="E639" s="249"/>
      <c r="F639" s="250" t="s">
        <v>193</v>
      </c>
      <c r="G639" s="401"/>
      <c r="H639" s="249"/>
      <c r="I639" s="445">
        <f>+I630+I634+I637</f>
        <v>5.38</v>
      </c>
    </row>
    <row r="640" spans="1:13" x14ac:dyDescent="0.2">
      <c r="A640" s="251"/>
      <c r="B640" s="252"/>
      <c r="C640" s="253"/>
      <c r="D640" s="253"/>
      <c r="E640" s="253"/>
      <c r="F640" s="254" t="s">
        <v>194</v>
      </c>
      <c r="G640" s="255"/>
      <c r="H640" s="253"/>
      <c r="I640" s="446">
        <v>1</v>
      </c>
    </row>
    <row r="641" spans="1:17" x14ac:dyDescent="0.2">
      <c r="A641" s="233"/>
      <c r="B641" s="256"/>
      <c r="C641" s="241"/>
      <c r="D641" s="241"/>
      <c r="E641" s="241"/>
      <c r="F641" s="257" t="s">
        <v>216</v>
      </c>
      <c r="G641" s="240"/>
      <c r="H641" s="241"/>
      <c r="I641" s="447">
        <f>ROUND(I639/I640,2)</f>
        <v>5.38</v>
      </c>
    </row>
    <row r="642" spans="1:17" x14ac:dyDescent="0.2">
      <c r="A642" s="834"/>
      <c r="B642" s="229"/>
      <c r="C642" s="199"/>
      <c r="D642" s="199"/>
      <c r="E642" s="199"/>
      <c r="F642" s="258"/>
      <c r="G642" s="199"/>
      <c r="H642" s="199"/>
      <c r="I642" s="450"/>
    </row>
    <row r="643" spans="1:17" x14ac:dyDescent="0.2">
      <c r="A643" s="242" t="s">
        <v>195</v>
      </c>
      <c r="B643" s="243" t="s">
        <v>59</v>
      </c>
      <c r="C643" s="243" t="s">
        <v>196</v>
      </c>
      <c r="D643" s="243" t="s">
        <v>217</v>
      </c>
      <c r="E643" s="1121" t="s">
        <v>89</v>
      </c>
      <c r="F643" s="1114"/>
      <c r="G643" s="1115"/>
      <c r="H643" s="1121" t="s">
        <v>63</v>
      </c>
      <c r="I643" s="1115"/>
    </row>
    <row r="644" spans="1:17" x14ac:dyDescent="0.2">
      <c r="A644" s="199"/>
      <c r="B644" s="229"/>
      <c r="C644" s="199"/>
      <c r="D644" s="199"/>
      <c r="E644" s="199"/>
      <c r="F644" s="230" t="s">
        <v>197</v>
      </c>
      <c r="G644" s="240"/>
      <c r="H644" s="241"/>
      <c r="I644" s="438">
        <v>0</v>
      </c>
    </row>
    <row r="645" spans="1:17" x14ac:dyDescent="0.2">
      <c r="A645" s="199"/>
      <c r="B645" s="229"/>
      <c r="C645" s="199"/>
      <c r="D645" s="199"/>
      <c r="E645" s="199"/>
      <c r="F645" s="199"/>
      <c r="G645" s="262"/>
      <c r="H645" s="199"/>
      <c r="I645" s="439"/>
    </row>
    <row r="646" spans="1:17" x14ac:dyDescent="0.2">
      <c r="A646" s="263" t="s">
        <v>198</v>
      </c>
      <c r="B646" s="243" t="s">
        <v>59</v>
      </c>
      <c r="C646" s="243" t="s">
        <v>196</v>
      </c>
      <c r="D646" s="833" t="s">
        <v>217</v>
      </c>
      <c r="E646" s="1111" t="s">
        <v>89</v>
      </c>
      <c r="F646" s="1112"/>
      <c r="G646" s="1113"/>
      <c r="H646" s="1121" t="s">
        <v>63</v>
      </c>
      <c r="I646" s="1115"/>
      <c r="J646" s="295"/>
      <c r="L646" s="22"/>
      <c r="M646" s="22"/>
      <c r="N646" s="22"/>
    </row>
    <row r="647" spans="1:17" s="198" customFormat="1" ht="22.5" x14ac:dyDescent="0.2">
      <c r="A647" s="416" t="str">
        <f>VLOOKUP(B647,'DER 11-20'!$A:$E,2,FALSE)</f>
        <v>Escavação manual em mat. 1ª cat. H= 0,00 a 1,50 m</v>
      </c>
      <c r="B647" s="417">
        <v>40258</v>
      </c>
      <c r="C647" s="417" t="str">
        <f>VLOOKUP(B647,'DER 11-20'!$A:$E,3,FALSE)</f>
        <v>M3</v>
      </c>
      <c r="D647" s="418">
        <f>TRUNC(VLOOKUP(B647,'DER 11-20'!$A:$F,6,FALSE)/(1+$I$4),2)</f>
        <v>56.6</v>
      </c>
      <c r="E647" s="419"/>
      <c r="F647" s="420"/>
      <c r="G647" s="790">
        <v>2.4</v>
      </c>
      <c r="H647" s="422"/>
      <c r="I647" s="423">
        <f>TRUNC(D647*G647,2)</f>
        <v>135.84</v>
      </c>
      <c r="J647" s="415"/>
      <c r="K647" s="415"/>
    </row>
    <row r="648" spans="1:17" ht="45" x14ac:dyDescent="0.2">
      <c r="A648" s="416" t="str">
        <f>VLOOKUP(B648,'DER 11-20'!$A:$E,2,FALSE)</f>
        <v>Formas planas de madeira com 02 (dois) reaproveitamentos, inclusive fornecimento e transporte das madeiras</v>
      </c>
      <c r="B648" s="417">
        <v>40312</v>
      </c>
      <c r="C648" s="417" t="str">
        <f>VLOOKUP(B648,'DER 11-20'!$A:$E,3,FALSE)</f>
        <v>M2</v>
      </c>
      <c r="D648" s="418">
        <f>TRUNC(VLOOKUP(B648,'DER 11-20'!$A:$F,6,FALSE)/(1+$I$4),2)</f>
        <v>84.31</v>
      </c>
      <c r="E648" s="419"/>
      <c r="F648" s="420"/>
      <c r="G648" s="790">
        <v>2.2000000000000002</v>
      </c>
      <c r="H648" s="422"/>
      <c r="I648" s="423">
        <f>TRUNC(D648*G648,2)</f>
        <v>185.48</v>
      </c>
      <c r="J648" s="415"/>
      <c r="K648" s="415"/>
      <c r="L648" s="198"/>
      <c r="M648" s="198"/>
      <c r="N648" s="198"/>
      <c r="O648" s="198"/>
      <c r="P648" s="198"/>
      <c r="Q648" s="198"/>
    </row>
    <row r="649" spans="1:17" s="198" customFormat="1" ht="22.5" x14ac:dyDescent="0.2">
      <c r="A649" s="416" t="str">
        <f>VLOOKUP(B649,'DER 11-20'!$A:$E,2,FALSE)</f>
        <v>Concreto estrutural fck = 15,0 MPa, tudo incluído</v>
      </c>
      <c r="B649" s="417">
        <v>40358</v>
      </c>
      <c r="C649" s="417" t="str">
        <f>VLOOKUP(B649,'DER 11-20'!$A:$E,3,FALSE)</f>
        <v>M3</v>
      </c>
      <c r="D649" s="418">
        <f>TRUNC(VLOOKUP(B649,'DER 11-20'!$A:$F,6,FALSE)/(1+$I$4),2)</f>
        <v>547.26</v>
      </c>
      <c r="E649" s="419"/>
      <c r="F649" s="420"/>
      <c r="G649" s="790">
        <v>0.77300000000000002</v>
      </c>
      <c r="H649" s="422"/>
      <c r="I649" s="423">
        <f>TRUNC(D649*G649,2)</f>
        <v>423.03</v>
      </c>
      <c r="J649" s="415"/>
      <c r="K649" s="415"/>
    </row>
    <row r="650" spans="1:17" x14ac:dyDescent="0.2">
      <c r="A650" s="200"/>
      <c r="B650" s="264"/>
      <c r="C650" s="200"/>
      <c r="D650" s="200"/>
      <c r="E650" s="200"/>
      <c r="F650" s="265" t="s">
        <v>199</v>
      </c>
      <c r="G650" s="255"/>
      <c r="H650" s="266"/>
      <c r="I650" s="441">
        <f>SUM(I647:I649)</f>
        <v>744.35</v>
      </c>
      <c r="J650" s="295"/>
    </row>
    <row r="651" spans="1:17" x14ac:dyDescent="0.2">
      <c r="A651" s="200"/>
      <c r="B651" s="264"/>
      <c r="C651" s="200"/>
      <c r="D651" s="200"/>
      <c r="E651" s="200"/>
      <c r="F651" s="200"/>
      <c r="G651" s="200"/>
      <c r="H651" s="200"/>
      <c r="I651" s="440"/>
      <c r="J651" s="295"/>
    </row>
    <row r="652" spans="1:17" x14ac:dyDescent="0.2">
      <c r="A652" s="267" t="s">
        <v>200</v>
      </c>
      <c r="B652" s="268" t="s">
        <v>59</v>
      </c>
      <c r="C652" s="268" t="s">
        <v>196</v>
      </c>
      <c r="D652" s="268" t="s">
        <v>201</v>
      </c>
      <c r="E652" s="268" t="s">
        <v>202</v>
      </c>
      <c r="F652" s="268" t="s">
        <v>203</v>
      </c>
      <c r="G652" s="268" t="s">
        <v>94</v>
      </c>
      <c r="H652" s="268" t="s">
        <v>89</v>
      </c>
      <c r="I652" s="442" t="s">
        <v>204</v>
      </c>
    </row>
    <row r="653" spans="1:17" x14ac:dyDescent="0.2">
      <c r="A653" s="200"/>
      <c r="B653" s="264"/>
      <c r="C653" s="200"/>
      <c r="D653" s="200"/>
      <c r="E653" s="200"/>
      <c r="F653" s="265" t="s">
        <v>205</v>
      </c>
      <c r="G653" s="240"/>
      <c r="H653" s="272"/>
      <c r="I653" s="443">
        <v>0</v>
      </c>
    </row>
    <row r="654" spans="1:17" x14ac:dyDescent="0.2">
      <c r="A654" s="200"/>
      <c r="B654" s="264"/>
      <c r="C654" s="200"/>
      <c r="D654" s="200"/>
      <c r="E654" s="200"/>
      <c r="F654" s="200"/>
      <c r="G654" s="200"/>
      <c r="H654" s="200"/>
      <c r="I654" s="444"/>
    </row>
    <row r="655" spans="1:17" x14ac:dyDescent="0.2">
      <c r="A655" s="273"/>
      <c r="B655" s="274"/>
      <c r="C655" s="275"/>
      <c r="D655" s="275"/>
      <c r="E655" s="275"/>
      <c r="F655" s="276" t="s">
        <v>206</v>
      </c>
      <c r="G655" s="273"/>
      <c r="H655" s="249"/>
      <c r="I655" s="445">
        <f>+I641+I644+I650+I653</f>
        <v>749.73</v>
      </c>
    </row>
    <row r="656" spans="1:17" x14ac:dyDescent="0.2">
      <c r="A656" s="255"/>
      <c r="B656" s="277"/>
      <c r="C656" s="266"/>
      <c r="D656" s="266"/>
      <c r="E656" s="266"/>
      <c r="F656" s="278" t="str">
        <f>CONCATENATE($H$3," ",$I$3)</f>
        <v>BDI: 23,32</v>
      </c>
      <c r="G656" s="403"/>
      <c r="H656" s="253"/>
      <c r="I656" s="446">
        <f>+ROUND(I655*$I$4,2)</f>
        <v>174.84</v>
      </c>
    </row>
    <row r="657" spans="1:13" x14ac:dyDescent="0.2">
      <c r="A657" s="240"/>
      <c r="B657" s="279"/>
      <c r="C657" s="272"/>
      <c r="D657" s="272"/>
      <c r="E657" s="272"/>
      <c r="F657" s="280" t="s">
        <v>207</v>
      </c>
      <c r="G657" s="404"/>
      <c r="H657" s="241"/>
      <c r="I657" s="720">
        <f>+I655+I656</f>
        <v>924.57</v>
      </c>
    </row>
    <row r="658" spans="1:13" x14ac:dyDescent="0.2">
      <c r="A658" s="1116" t="s">
        <v>213</v>
      </c>
      <c r="B658" s="1116"/>
      <c r="C658" s="1116"/>
      <c r="D658" s="1116"/>
      <c r="E658" s="1116"/>
      <c r="F658" s="1116"/>
      <c r="G658" s="1116"/>
      <c r="H658" s="1116"/>
      <c r="I658" s="1116"/>
    </row>
    <row r="659" spans="1:13" x14ac:dyDescent="0.2">
      <c r="A659" s="228" t="str">
        <f>$A$2</f>
        <v>Tabela Referencial de Preços - DER-ES - sem desoneração</v>
      </c>
      <c r="B659" s="229"/>
      <c r="C659" s="199"/>
      <c r="D659" s="199"/>
      <c r="E659" s="199"/>
      <c r="F659" s="199"/>
      <c r="G659" s="199"/>
      <c r="H659" s="199"/>
      <c r="I659" s="414" t="str">
        <f>$I$2</f>
        <v>Data Base: novembro/2020</v>
      </c>
    </row>
    <row r="660" spans="1:13" ht="14.25" customHeight="1" x14ac:dyDescent="0.2">
      <c r="A660" s="1117" t="str">
        <f>+CONCATENATE("Serviço: ",J660," ",L660)</f>
        <v>Serviço: PR-020 Descida D'Água Tipo  DSC-01 canal</v>
      </c>
      <c r="B660" s="1117"/>
      <c r="C660" s="1117"/>
      <c r="D660" s="1117"/>
      <c r="E660" s="1117"/>
      <c r="F660" s="1117"/>
      <c r="G660" s="1117"/>
      <c r="H660" s="1117"/>
      <c r="I660" s="1119" t="str">
        <f>CONCATENATE("Unidade: ", M660)</f>
        <v>Unidade: M</v>
      </c>
      <c r="J660" s="360" t="s">
        <v>682</v>
      </c>
      <c r="K660" s="780">
        <f>VLOOKUP("Preço Unitário Total",F661:I690,4,FALSE)</f>
        <v>520.74</v>
      </c>
      <c r="L660" s="1058" t="s">
        <v>581</v>
      </c>
      <c r="M660" s="393" t="s">
        <v>397</v>
      </c>
    </row>
    <row r="661" spans="1:13" x14ac:dyDescent="0.2">
      <c r="A661" s="1118"/>
      <c r="B661" s="1118"/>
      <c r="C661" s="1118"/>
      <c r="D661" s="1118"/>
      <c r="E661" s="1118"/>
      <c r="F661" s="1118"/>
      <c r="G661" s="1118"/>
      <c r="H661" s="1118"/>
      <c r="I661" s="1120"/>
      <c r="L661" s="1058"/>
    </row>
    <row r="662" spans="1:13" ht="22.5" x14ac:dyDescent="0.2">
      <c r="A662" s="231" t="s">
        <v>177</v>
      </c>
      <c r="B662" s="232" t="s">
        <v>59</v>
      </c>
      <c r="C662" s="232" t="s">
        <v>178</v>
      </c>
      <c r="D662" s="232" t="s">
        <v>179</v>
      </c>
      <c r="E662" s="232" t="s">
        <v>180</v>
      </c>
      <c r="F662" s="232" t="s">
        <v>181</v>
      </c>
      <c r="G662" s="232" t="s">
        <v>182</v>
      </c>
      <c r="H662" s="232" t="s">
        <v>89</v>
      </c>
      <c r="I662" s="434" t="s">
        <v>183</v>
      </c>
      <c r="L662" s="1058"/>
    </row>
    <row r="663" spans="1:13" x14ac:dyDescent="0.2">
      <c r="A663" s="199"/>
      <c r="B663" s="229"/>
      <c r="C663" s="229"/>
      <c r="D663" s="199"/>
      <c r="E663" s="199"/>
      <c r="F663" s="230" t="s">
        <v>184</v>
      </c>
      <c r="G663" s="240"/>
      <c r="H663" s="241"/>
      <c r="I663" s="438">
        <v>0</v>
      </c>
    </row>
    <row r="664" spans="1:13" x14ac:dyDescent="0.2">
      <c r="A664" s="199"/>
      <c r="B664" s="229"/>
      <c r="C664" s="229"/>
      <c r="D664" s="199"/>
      <c r="E664" s="199"/>
      <c r="F664" s="199"/>
      <c r="G664" s="199"/>
      <c r="H664" s="199"/>
      <c r="I664" s="439"/>
    </row>
    <row r="665" spans="1:13" x14ac:dyDescent="0.2">
      <c r="A665" s="242" t="s">
        <v>185</v>
      </c>
      <c r="B665" s="243" t="s">
        <v>59</v>
      </c>
      <c r="C665" s="232" t="s">
        <v>186</v>
      </c>
      <c r="D665" s="243" t="s">
        <v>187</v>
      </c>
      <c r="E665" s="1111" t="s">
        <v>89</v>
      </c>
      <c r="F665" s="1112"/>
      <c r="G665" s="1113"/>
      <c r="H665" s="1121" t="s">
        <v>183</v>
      </c>
      <c r="I665" s="1115"/>
    </row>
    <row r="666" spans="1:13" x14ac:dyDescent="0.2">
      <c r="A666" s="244" t="str">
        <f>VLOOKUP(B666,m.o.!$A:$H,2,FALSE)</f>
        <v>Encarregado de O.A.C.</v>
      </c>
      <c r="B666" s="234">
        <v>20060</v>
      </c>
      <c r="C666" s="239" t="str">
        <f>VLOOKUP(B666,m.o.!$A:$F,3,FALSE)</f>
        <v>h</v>
      </c>
      <c r="D666" s="239">
        <f>VLOOKUP(B666,m.o.!$A:$G,7,FALSE)</f>
        <v>28.31</v>
      </c>
      <c r="E666" s="255"/>
      <c r="F666" s="253"/>
      <c r="G666" s="293">
        <v>0.19</v>
      </c>
      <c r="H666" s="240"/>
      <c r="I666" s="427">
        <f>ROUND(D666*G666,2)</f>
        <v>5.38</v>
      </c>
    </row>
    <row r="667" spans="1:13" x14ac:dyDescent="0.2">
      <c r="A667" s="199"/>
      <c r="B667" s="229"/>
      <c r="C667" s="229"/>
      <c r="D667" s="199"/>
      <c r="E667" s="199"/>
      <c r="F667" s="230" t="s">
        <v>188</v>
      </c>
      <c r="G667" s="240"/>
      <c r="H667" s="241"/>
      <c r="I667" s="438">
        <f>SUM(I666:I666)</f>
        <v>5.38</v>
      </c>
    </row>
    <row r="668" spans="1:13" x14ac:dyDescent="0.2">
      <c r="A668" s="199"/>
      <c r="B668" s="229"/>
      <c r="C668" s="229"/>
      <c r="D668" s="199"/>
      <c r="E668" s="199"/>
      <c r="F668" s="199"/>
      <c r="G668" s="199"/>
      <c r="H668" s="199"/>
      <c r="I668" s="439"/>
    </row>
    <row r="669" spans="1:13" x14ac:dyDescent="0.2">
      <c r="A669" s="245" t="s">
        <v>189</v>
      </c>
      <c r="B669" s="243" t="s">
        <v>59</v>
      </c>
      <c r="C669" s="833" t="s">
        <v>17</v>
      </c>
      <c r="D669" s="243" t="s">
        <v>190</v>
      </c>
      <c r="E669" s="243" t="s">
        <v>191</v>
      </c>
      <c r="F669" s="243" t="s">
        <v>192</v>
      </c>
      <c r="G669" s="1121" t="s">
        <v>94</v>
      </c>
      <c r="H669" s="1114"/>
      <c r="I669" s="1115"/>
    </row>
    <row r="670" spans="1:13" x14ac:dyDescent="0.2">
      <c r="A670" s="199"/>
      <c r="B670" s="229"/>
      <c r="C670" s="199"/>
      <c r="D670" s="199"/>
      <c r="E670" s="199"/>
      <c r="F670" s="230" t="s">
        <v>327</v>
      </c>
      <c r="G670" s="240"/>
      <c r="H670" s="241"/>
      <c r="I670" s="438">
        <v>0</v>
      </c>
    </row>
    <row r="671" spans="1:13" x14ac:dyDescent="0.2">
      <c r="A671" s="199"/>
      <c r="B671" s="229"/>
      <c r="C671" s="199"/>
      <c r="D671" s="199"/>
      <c r="E671" s="199"/>
      <c r="F671" s="199"/>
      <c r="G671" s="199"/>
      <c r="H671" s="199"/>
      <c r="I671" s="439"/>
    </row>
    <row r="672" spans="1:13" x14ac:dyDescent="0.2">
      <c r="A672" s="247"/>
      <c r="B672" s="248"/>
      <c r="C672" s="249"/>
      <c r="D672" s="249"/>
      <c r="E672" s="249"/>
      <c r="F672" s="250" t="s">
        <v>193</v>
      </c>
      <c r="G672" s="401"/>
      <c r="H672" s="249"/>
      <c r="I672" s="445">
        <f>+I663+I667+I670</f>
        <v>5.38</v>
      </c>
    </row>
    <row r="673" spans="1:17" x14ac:dyDescent="0.2">
      <c r="A673" s="251"/>
      <c r="B673" s="252"/>
      <c r="C673" s="253"/>
      <c r="D673" s="253"/>
      <c r="E673" s="253"/>
      <c r="F673" s="254" t="s">
        <v>194</v>
      </c>
      <c r="G673" s="255"/>
      <c r="H673" s="253"/>
      <c r="I673" s="446">
        <v>1</v>
      </c>
    </row>
    <row r="674" spans="1:17" x14ac:dyDescent="0.2">
      <c r="A674" s="233"/>
      <c r="B674" s="256"/>
      <c r="C674" s="241"/>
      <c r="D674" s="241"/>
      <c r="E674" s="241"/>
      <c r="F674" s="257" t="s">
        <v>216</v>
      </c>
      <c r="G674" s="240"/>
      <c r="H674" s="241"/>
      <c r="I674" s="447">
        <f>ROUND(I672/I673,2)</f>
        <v>5.38</v>
      </c>
    </row>
    <row r="675" spans="1:17" x14ac:dyDescent="0.2">
      <c r="A675" s="834"/>
      <c r="B675" s="229"/>
      <c r="C675" s="199"/>
      <c r="D675" s="199"/>
      <c r="E675" s="199"/>
      <c r="F675" s="258"/>
      <c r="G675" s="199"/>
      <c r="H675" s="199"/>
      <c r="I675" s="450"/>
    </row>
    <row r="676" spans="1:17" x14ac:dyDescent="0.2">
      <c r="A676" s="242" t="s">
        <v>195</v>
      </c>
      <c r="B676" s="243" t="s">
        <v>59</v>
      </c>
      <c r="C676" s="243" t="s">
        <v>196</v>
      </c>
      <c r="D676" s="243" t="s">
        <v>217</v>
      </c>
      <c r="E676" s="1121" t="s">
        <v>89</v>
      </c>
      <c r="F676" s="1114"/>
      <c r="G676" s="1115"/>
      <c r="H676" s="1121" t="s">
        <v>63</v>
      </c>
      <c r="I676" s="1115"/>
    </row>
    <row r="677" spans="1:17" x14ac:dyDescent="0.2">
      <c r="A677" s="199"/>
      <c r="B677" s="229"/>
      <c r="C677" s="199"/>
      <c r="D677" s="199"/>
      <c r="E677" s="199"/>
      <c r="F677" s="230" t="s">
        <v>197</v>
      </c>
      <c r="G677" s="240"/>
      <c r="H677" s="241"/>
      <c r="I677" s="438">
        <v>0</v>
      </c>
    </row>
    <row r="678" spans="1:17" x14ac:dyDescent="0.2">
      <c r="A678" s="199"/>
      <c r="B678" s="229"/>
      <c r="C678" s="199"/>
      <c r="D678" s="199"/>
      <c r="E678" s="199"/>
      <c r="F678" s="199"/>
      <c r="G678" s="262"/>
      <c r="H678" s="199"/>
      <c r="I678" s="439"/>
    </row>
    <row r="679" spans="1:17" x14ac:dyDescent="0.2">
      <c r="A679" s="263" t="s">
        <v>198</v>
      </c>
      <c r="B679" s="243" t="s">
        <v>59</v>
      </c>
      <c r="C679" s="243" t="s">
        <v>196</v>
      </c>
      <c r="D679" s="833" t="s">
        <v>217</v>
      </c>
      <c r="E679" s="1111" t="s">
        <v>89</v>
      </c>
      <c r="F679" s="1112"/>
      <c r="G679" s="1113"/>
      <c r="H679" s="1121" t="s">
        <v>63</v>
      </c>
      <c r="I679" s="1115"/>
      <c r="J679" s="295"/>
      <c r="L679" s="22"/>
      <c r="M679" s="22"/>
      <c r="N679" s="22"/>
    </row>
    <row r="680" spans="1:17" s="198" customFormat="1" ht="22.5" x14ac:dyDescent="0.2">
      <c r="A680" s="416" t="str">
        <f>VLOOKUP(B680,'DER 11-20'!$A:$E,2,FALSE)</f>
        <v>Escavação manual em mat. 1ª cat. H= 0,00 a 1,50 m</v>
      </c>
      <c r="B680" s="417">
        <v>40258</v>
      </c>
      <c r="C680" s="417" t="str">
        <f>VLOOKUP(B680,'DER 11-20'!$A:$E,3,FALSE)</f>
        <v>M3</v>
      </c>
      <c r="D680" s="418">
        <f>TRUNC(VLOOKUP(B680,'DER 11-20'!$A:$F,6,FALSE)/(1+$I$4),2)</f>
        <v>56.6</v>
      </c>
      <c r="E680" s="419"/>
      <c r="F680" s="420"/>
      <c r="G680" s="790">
        <v>0.6</v>
      </c>
      <c r="H680" s="422"/>
      <c r="I680" s="423">
        <f>TRUNC(D680*G680,2)</f>
        <v>33.96</v>
      </c>
      <c r="J680" s="415"/>
      <c r="K680" s="415"/>
    </row>
    <row r="681" spans="1:17" ht="45" x14ac:dyDescent="0.2">
      <c r="A681" s="416" t="str">
        <f>VLOOKUP(B681,'DER 11-20'!$A:$E,2,FALSE)</f>
        <v>Formas planas de madeira com 02 (dois) reaproveitamentos, inclusive fornecimento e transporte das madeiras</v>
      </c>
      <c r="B681" s="417">
        <v>40312</v>
      </c>
      <c r="C681" s="417" t="str">
        <f>VLOOKUP(B681,'DER 11-20'!$A:$E,3,FALSE)</f>
        <v>M2</v>
      </c>
      <c r="D681" s="418">
        <f>TRUNC(VLOOKUP(B681,'DER 11-20'!$A:$F,6,FALSE)/(1+$I$4),2)</f>
        <v>84.31</v>
      </c>
      <c r="E681" s="419"/>
      <c r="F681" s="420"/>
      <c r="G681" s="790">
        <v>2.4</v>
      </c>
      <c r="H681" s="422"/>
      <c r="I681" s="423">
        <f>TRUNC(D681*G681,2)</f>
        <v>202.34</v>
      </c>
      <c r="J681" s="415"/>
      <c r="K681" s="415"/>
      <c r="L681" s="198"/>
      <c r="M681" s="198"/>
      <c r="N681" s="198"/>
      <c r="O681" s="198"/>
      <c r="P681" s="198"/>
      <c r="Q681" s="198"/>
    </row>
    <row r="682" spans="1:17" s="198" customFormat="1" ht="22.5" x14ac:dyDescent="0.2">
      <c r="A682" s="416" t="str">
        <f>VLOOKUP(B682,'DER 11-20'!$A:$E,2,FALSE)</f>
        <v>Concreto estrutural fck = 15,0 MPa, tudo incluído</v>
      </c>
      <c r="B682" s="417">
        <v>40358</v>
      </c>
      <c r="C682" s="417" t="str">
        <f>VLOOKUP(B682,'DER 11-20'!$A:$E,3,FALSE)</f>
        <v>M3</v>
      </c>
      <c r="D682" s="418">
        <f>TRUNC(VLOOKUP(B682,'DER 11-20'!$A:$F,6,FALSE)/(1+$I$4),2)</f>
        <v>547.26</v>
      </c>
      <c r="E682" s="419"/>
      <c r="F682" s="420"/>
      <c r="G682" s="790">
        <v>0.33</v>
      </c>
      <c r="H682" s="422"/>
      <c r="I682" s="423">
        <f>TRUNC(D682*G682,2)</f>
        <v>180.59</v>
      </c>
      <c r="J682" s="415"/>
      <c r="K682" s="415"/>
    </row>
    <row r="683" spans="1:17" x14ac:dyDescent="0.2">
      <c r="A683" s="200"/>
      <c r="B683" s="264"/>
      <c r="C683" s="200"/>
      <c r="D683" s="200"/>
      <c r="E683" s="200"/>
      <c r="F683" s="265" t="s">
        <v>199</v>
      </c>
      <c r="G683" s="255"/>
      <c r="H683" s="266"/>
      <c r="I683" s="441">
        <f>SUM(I680:I682)</f>
        <v>416.89</v>
      </c>
      <c r="J683" s="295"/>
    </row>
    <row r="684" spans="1:17" x14ac:dyDescent="0.2">
      <c r="A684" s="200"/>
      <c r="B684" s="264"/>
      <c r="C684" s="200"/>
      <c r="D684" s="200"/>
      <c r="E684" s="200"/>
      <c r="F684" s="200"/>
      <c r="G684" s="200"/>
      <c r="H684" s="200"/>
      <c r="I684" s="440"/>
      <c r="J684" s="295"/>
    </row>
    <row r="685" spans="1:17" x14ac:dyDescent="0.2">
      <c r="A685" s="267" t="s">
        <v>200</v>
      </c>
      <c r="B685" s="268" t="s">
        <v>59</v>
      </c>
      <c r="C685" s="268" t="s">
        <v>196</v>
      </c>
      <c r="D685" s="268" t="s">
        <v>201</v>
      </c>
      <c r="E685" s="268" t="s">
        <v>202</v>
      </c>
      <c r="F685" s="268" t="s">
        <v>203</v>
      </c>
      <c r="G685" s="268" t="s">
        <v>94</v>
      </c>
      <c r="H685" s="268" t="s">
        <v>89</v>
      </c>
      <c r="I685" s="442" t="s">
        <v>204</v>
      </c>
    </row>
    <row r="686" spans="1:17" x14ac:dyDescent="0.2">
      <c r="A686" s="200"/>
      <c r="B686" s="264"/>
      <c r="C686" s="200"/>
      <c r="D686" s="200"/>
      <c r="E686" s="200"/>
      <c r="F686" s="265" t="s">
        <v>205</v>
      </c>
      <c r="G686" s="240"/>
      <c r="H686" s="272"/>
      <c r="I686" s="443">
        <v>0</v>
      </c>
    </row>
    <row r="687" spans="1:17" x14ac:dyDescent="0.2">
      <c r="A687" s="200"/>
      <c r="B687" s="264"/>
      <c r="C687" s="200"/>
      <c r="D687" s="200"/>
      <c r="E687" s="200"/>
      <c r="F687" s="200"/>
      <c r="G687" s="200"/>
      <c r="H687" s="200"/>
      <c r="I687" s="444"/>
    </row>
    <row r="688" spans="1:17" x14ac:dyDescent="0.2">
      <c r="A688" s="273"/>
      <c r="B688" s="274"/>
      <c r="C688" s="275"/>
      <c r="D688" s="275"/>
      <c r="E688" s="275"/>
      <c r="F688" s="276" t="s">
        <v>206</v>
      </c>
      <c r="G688" s="273"/>
      <c r="H688" s="249"/>
      <c r="I688" s="445">
        <f>+I674+I677+I683+I686</f>
        <v>422.27</v>
      </c>
    </row>
    <row r="689" spans="1:13" x14ac:dyDescent="0.2">
      <c r="A689" s="255"/>
      <c r="B689" s="277"/>
      <c r="C689" s="266"/>
      <c r="D689" s="266"/>
      <c r="E689" s="266"/>
      <c r="F689" s="278" t="str">
        <f>CONCATENATE($H$3," ",$I$3)</f>
        <v>BDI: 23,32</v>
      </c>
      <c r="G689" s="403"/>
      <c r="H689" s="253"/>
      <c r="I689" s="446">
        <f>+ROUND(I688*$I$4,2)</f>
        <v>98.47</v>
      </c>
    </row>
    <row r="690" spans="1:13" x14ac:dyDescent="0.2">
      <c r="A690" s="240"/>
      <c r="B690" s="279"/>
      <c r="C690" s="272"/>
      <c r="D690" s="272"/>
      <c r="E690" s="272"/>
      <c r="F690" s="280" t="s">
        <v>207</v>
      </c>
      <c r="G690" s="404"/>
      <c r="H690" s="241"/>
      <c r="I690" s="720">
        <f>+I688+I689</f>
        <v>520.74</v>
      </c>
    </row>
    <row r="691" spans="1:13" x14ac:dyDescent="0.2">
      <c r="A691" s="1116" t="s">
        <v>213</v>
      </c>
      <c r="B691" s="1116"/>
      <c r="C691" s="1116"/>
      <c r="D691" s="1116"/>
      <c r="E691" s="1116"/>
      <c r="F691" s="1116"/>
      <c r="G691" s="1116"/>
      <c r="H691" s="1116"/>
      <c r="I691" s="1116"/>
    </row>
    <row r="692" spans="1:13" x14ac:dyDescent="0.2">
      <c r="A692" s="228" t="str">
        <f>$A$2</f>
        <v>Tabela Referencial de Preços - DER-ES - sem desoneração</v>
      </c>
      <c r="B692" s="229"/>
      <c r="C692" s="199"/>
      <c r="D692" s="199"/>
      <c r="E692" s="199"/>
      <c r="F692" s="199"/>
      <c r="G692" s="199"/>
      <c r="H692" s="199"/>
      <c r="I692" s="414" t="str">
        <f>$I$2</f>
        <v>Data Base: novembro/2020</v>
      </c>
    </row>
    <row r="693" spans="1:13" ht="14.25" customHeight="1" x14ac:dyDescent="0.2">
      <c r="A693" s="1117" t="str">
        <f>+CONCATENATE("Serviço: ",J693," ",L693)</f>
        <v>Serviço: PR-021 Descida D'Água Tipo  DSC-01 degrau</v>
      </c>
      <c r="B693" s="1117"/>
      <c r="C693" s="1117"/>
      <c r="D693" s="1117"/>
      <c r="E693" s="1117"/>
      <c r="F693" s="1117"/>
      <c r="G693" s="1117"/>
      <c r="H693" s="1117"/>
      <c r="I693" s="1119" t="str">
        <f>CONCATENATE("Unidade: ", M693)</f>
        <v>Unidade: M</v>
      </c>
      <c r="J693" s="360" t="s">
        <v>683</v>
      </c>
      <c r="K693" s="780">
        <f>VLOOKUP("Preço Unitário Total",F694:I723,4,FALSE)</f>
        <v>387.1</v>
      </c>
      <c r="L693" s="1058" t="s">
        <v>582</v>
      </c>
      <c r="M693" s="393" t="s">
        <v>397</v>
      </c>
    </row>
    <row r="694" spans="1:13" x14ac:dyDescent="0.2">
      <c r="A694" s="1118"/>
      <c r="B694" s="1118"/>
      <c r="C694" s="1118"/>
      <c r="D694" s="1118"/>
      <c r="E694" s="1118"/>
      <c r="F694" s="1118"/>
      <c r="G694" s="1118"/>
      <c r="H694" s="1118"/>
      <c r="I694" s="1120"/>
      <c r="L694" s="1058"/>
    </row>
    <row r="695" spans="1:13" ht="22.5" x14ac:dyDescent="0.2">
      <c r="A695" s="231" t="s">
        <v>177</v>
      </c>
      <c r="B695" s="232" t="s">
        <v>59</v>
      </c>
      <c r="C695" s="232" t="s">
        <v>178</v>
      </c>
      <c r="D695" s="232" t="s">
        <v>179</v>
      </c>
      <c r="E695" s="232" t="s">
        <v>180</v>
      </c>
      <c r="F695" s="232" t="s">
        <v>181</v>
      </c>
      <c r="G695" s="232" t="s">
        <v>182</v>
      </c>
      <c r="H695" s="232" t="s">
        <v>89</v>
      </c>
      <c r="I695" s="434" t="s">
        <v>183</v>
      </c>
      <c r="L695" s="1058"/>
    </row>
    <row r="696" spans="1:13" x14ac:dyDescent="0.2">
      <c r="A696" s="199"/>
      <c r="B696" s="229"/>
      <c r="C696" s="229"/>
      <c r="D696" s="199"/>
      <c r="E696" s="199"/>
      <c r="F696" s="230" t="s">
        <v>184</v>
      </c>
      <c r="G696" s="240"/>
      <c r="H696" s="241"/>
      <c r="I696" s="438">
        <v>0</v>
      </c>
    </row>
    <row r="697" spans="1:13" x14ac:dyDescent="0.2">
      <c r="A697" s="199"/>
      <c r="B697" s="229"/>
      <c r="C697" s="229"/>
      <c r="D697" s="199"/>
      <c r="E697" s="199"/>
      <c r="F697" s="199"/>
      <c r="G697" s="199"/>
      <c r="H697" s="199"/>
      <c r="I697" s="439"/>
    </row>
    <row r="698" spans="1:13" x14ac:dyDescent="0.2">
      <c r="A698" s="242" t="s">
        <v>185</v>
      </c>
      <c r="B698" s="243" t="s">
        <v>59</v>
      </c>
      <c r="C698" s="232" t="s">
        <v>186</v>
      </c>
      <c r="D698" s="243" t="s">
        <v>187</v>
      </c>
      <c r="E698" s="1111" t="s">
        <v>89</v>
      </c>
      <c r="F698" s="1112"/>
      <c r="G698" s="1113"/>
      <c r="H698" s="1121" t="s">
        <v>183</v>
      </c>
      <c r="I698" s="1115"/>
    </row>
    <row r="699" spans="1:13" x14ac:dyDescent="0.2">
      <c r="A699" s="244" t="str">
        <f>VLOOKUP(B699,m.o.!$A:$H,2,FALSE)</f>
        <v>Encarregado de O.A.C.</v>
      </c>
      <c r="B699" s="234">
        <v>20060</v>
      </c>
      <c r="C699" s="239" t="str">
        <f>VLOOKUP(B699,m.o.!$A:$F,3,FALSE)</f>
        <v>h</v>
      </c>
      <c r="D699" s="239">
        <f>VLOOKUP(B699,m.o.!$A:$G,7,FALSE)</f>
        <v>28.31</v>
      </c>
      <c r="E699" s="255"/>
      <c r="F699" s="253"/>
      <c r="G699" s="293">
        <v>0.19</v>
      </c>
      <c r="H699" s="240"/>
      <c r="I699" s="427">
        <f>ROUND(D699*G699,2)</f>
        <v>5.38</v>
      </c>
    </row>
    <row r="700" spans="1:13" x14ac:dyDescent="0.2">
      <c r="A700" s="199"/>
      <c r="B700" s="229"/>
      <c r="C700" s="229"/>
      <c r="D700" s="199"/>
      <c r="E700" s="199"/>
      <c r="F700" s="230" t="s">
        <v>188</v>
      </c>
      <c r="G700" s="240"/>
      <c r="H700" s="241"/>
      <c r="I700" s="438">
        <f>SUM(I699:I699)</f>
        <v>5.38</v>
      </c>
    </row>
    <row r="701" spans="1:13" x14ac:dyDescent="0.2">
      <c r="A701" s="199"/>
      <c r="B701" s="229"/>
      <c r="C701" s="229"/>
      <c r="D701" s="199"/>
      <c r="E701" s="199"/>
      <c r="F701" s="199"/>
      <c r="G701" s="199"/>
      <c r="H701" s="199"/>
      <c r="I701" s="439"/>
    </row>
    <row r="702" spans="1:13" x14ac:dyDescent="0.2">
      <c r="A702" s="245" t="s">
        <v>189</v>
      </c>
      <c r="B702" s="243" t="s">
        <v>59</v>
      </c>
      <c r="C702" s="833" t="s">
        <v>17</v>
      </c>
      <c r="D702" s="243" t="s">
        <v>190</v>
      </c>
      <c r="E702" s="243" t="s">
        <v>191</v>
      </c>
      <c r="F702" s="243" t="s">
        <v>192</v>
      </c>
      <c r="G702" s="1121" t="s">
        <v>94</v>
      </c>
      <c r="H702" s="1114"/>
      <c r="I702" s="1115"/>
    </row>
    <row r="703" spans="1:13" x14ac:dyDescent="0.2">
      <c r="A703" s="199"/>
      <c r="B703" s="229"/>
      <c r="C703" s="199"/>
      <c r="D703" s="199"/>
      <c r="E703" s="199"/>
      <c r="F703" s="230" t="s">
        <v>327</v>
      </c>
      <c r="G703" s="240"/>
      <c r="H703" s="241"/>
      <c r="I703" s="438">
        <v>0</v>
      </c>
    </row>
    <row r="704" spans="1:13" x14ac:dyDescent="0.2">
      <c r="A704" s="199"/>
      <c r="B704" s="229"/>
      <c r="C704" s="199"/>
      <c r="D704" s="199"/>
      <c r="E704" s="199"/>
      <c r="F704" s="199"/>
      <c r="G704" s="199"/>
      <c r="H704" s="199"/>
      <c r="I704" s="439"/>
    </row>
    <row r="705" spans="1:17" x14ac:dyDescent="0.2">
      <c r="A705" s="247"/>
      <c r="B705" s="248"/>
      <c r="C705" s="249"/>
      <c r="D705" s="249"/>
      <c r="E705" s="249"/>
      <c r="F705" s="250" t="s">
        <v>193</v>
      </c>
      <c r="G705" s="401"/>
      <c r="H705" s="249"/>
      <c r="I705" s="445">
        <f>+I696+I700+I703</f>
        <v>5.38</v>
      </c>
    </row>
    <row r="706" spans="1:17" x14ac:dyDescent="0.2">
      <c r="A706" s="251"/>
      <c r="B706" s="252"/>
      <c r="C706" s="253"/>
      <c r="D706" s="253"/>
      <c r="E706" s="253"/>
      <c r="F706" s="254" t="s">
        <v>194</v>
      </c>
      <c r="G706" s="255"/>
      <c r="H706" s="253"/>
      <c r="I706" s="446">
        <v>1</v>
      </c>
    </row>
    <row r="707" spans="1:17" x14ac:dyDescent="0.2">
      <c r="A707" s="233"/>
      <c r="B707" s="256"/>
      <c r="C707" s="241"/>
      <c r="D707" s="241"/>
      <c r="E707" s="241"/>
      <c r="F707" s="257" t="s">
        <v>216</v>
      </c>
      <c r="G707" s="240"/>
      <c r="H707" s="241"/>
      <c r="I707" s="447">
        <f>ROUND(I705/I706,2)</f>
        <v>5.38</v>
      </c>
    </row>
    <row r="708" spans="1:17" x14ac:dyDescent="0.2">
      <c r="A708" s="834"/>
      <c r="B708" s="229"/>
      <c r="C708" s="199"/>
      <c r="D708" s="199"/>
      <c r="E708" s="199"/>
      <c r="F708" s="258"/>
      <c r="G708" s="199"/>
      <c r="H708" s="199"/>
      <c r="I708" s="450"/>
    </row>
    <row r="709" spans="1:17" x14ac:dyDescent="0.2">
      <c r="A709" s="242" t="s">
        <v>195</v>
      </c>
      <c r="B709" s="243" t="s">
        <v>59</v>
      </c>
      <c r="C709" s="243" t="s">
        <v>196</v>
      </c>
      <c r="D709" s="243" t="s">
        <v>217</v>
      </c>
      <c r="E709" s="1121" t="s">
        <v>89</v>
      </c>
      <c r="F709" s="1114"/>
      <c r="G709" s="1115"/>
      <c r="H709" s="1121" t="s">
        <v>63</v>
      </c>
      <c r="I709" s="1115"/>
    </row>
    <row r="710" spans="1:17" x14ac:dyDescent="0.2">
      <c r="A710" s="199"/>
      <c r="B710" s="229"/>
      <c r="C710" s="199"/>
      <c r="D710" s="199"/>
      <c r="E710" s="199"/>
      <c r="F710" s="230" t="s">
        <v>197</v>
      </c>
      <c r="G710" s="240"/>
      <c r="H710" s="241"/>
      <c r="I710" s="438">
        <v>0</v>
      </c>
    </row>
    <row r="711" spans="1:17" x14ac:dyDescent="0.2">
      <c r="A711" s="199"/>
      <c r="B711" s="229"/>
      <c r="C711" s="199"/>
      <c r="D711" s="199"/>
      <c r="E711" s="199"/>
      <c r="F711" s="199"/>
      <c r="G711" s="262"/>
      <c r="H711" s="199"/>
      <c r="I711" s="439"/>
    </row>
    <row r="712" spans="1:17" x14ac:dyDescent="0.2">
      <c r="A712" s="263" t="s">
        <v>198</v>
      </c>
      <c r="B712" s="243" t="s">
        <v>59</v>
      </c>
      <c r="C712" s="243" t="s">
        <v>196</v>
      </c>
      <c r="D712" s="833" t="s">
        <v>217</v>
      </c>
      <c r="E712" s="1111" t="s">
        <v>89</v>
      </c>
      <c r="F712" s="1112"/>
      <c r="G712" s="1113"/>
      <c r="H712" s="1121" t="s">
        <v>63</v>
      </c>
      <c r="I712" s="1115"/>
      <c r="J712" s="295"/>
      <c r="L712" s="22"/>
      <c r="M712" s="22"/>
      <c r="N712" s="22"/>
    </row>
    <row r="713" spans="1:17" s="198" customFormat="1" ht="22.5" x14ac:dyDescent="0.2">
      <c r="A713" s="416" t="str">
        <f>VLOOKUP(B713,'DER 11-20'!$A:$E,2,FALSE)</f>
        <v>Escavação manual em mat. 1ª cat. H= 0,00 a 1,50 m</v>
      </c>
      <c r="B713" s="417">
        <v>40258</v>
      </c>
      <c r="C713" s="417" t="str">
        <f>VLOOKUP(B713,'DER 11-20'!$A:$E,3,FALSE)</f>
        <v>M3</v>
      </c>
      <c r="D713" s="418">
        <f>TRUNC(VLOOKUP(B713,'DER 11-20'!$A:$F,6,FALSE)/(1+$I$4),2)</f>
        <v>56.6</v>
      </c>
      <c r="E713" s="419"/>
      <c r="F713" s="420"/>
      <c r="G713" s="790">
        <v>0.71</v>
      </c>
      <c r="H713" s="422"/>
      <c r="I713" s="423">
        <f>TRUNC(D713*G713,2)</f>
        <v>40.18</v>
      </c>
      <c r="J713" s="415"/>
      <c r="K713" s="415"/>
    </row>
    <row r="714" spans="1:17" ht="45" x14ac:dyDescent="0.2">
      <c r="A714" s="416" t="str">
        <f>VLOOKUP(B714,'DER 11-20'!$A:$E,2,FALSE)</f>
        <v>Formas planas de madeira com 02 (dois) reaproveitamentos, inclusive fornecimento e transporte das madeiras</v>
      </c>
      <c r="B714" s="417">
        <v>40312</v>
      </c>
      <c r="C714" s="417" t="str">
        <f>VLOOKUP(B714,'DER 11-20'!$A:$E,3,FALSE)</f>
        <v>M2</v>
      </c>
      <c r="D714" s="418">
        <f>TRUNC(VLOOKUP(B714,'DER 11-20'!$A:$F,6,FALSE)/(1+$I$4),2)</f>
        <v>84.31</v>
      </c>
      <c r="E714" s="419"/>
      <c r="F714" s="420"/>
      <c r="G714" s="790">
        <v>0.95</v>
      </c>
      <c r="H714" s="422"/>
      <c r="I714" s="423">
        <f>TRUNC(D714*G714,2)</f>
        <v>80.09</v>
      </c>
      <c r="J714" s="415"/>
      <c r="K714" s="415"/>
      <c r="L714" s="198"/>
      <c r="M714" s="198"/>
      <c r="N714" s="198"/>
      <c r="O714" s="198"/>
      <c r="P714" s="198"/>
      <c r="Q714" s="198"/>
    </row>
    <row r="715" spans="1:17" s="198" customFormat="1" ht="22.5" x14ac:dyDescent="0.2">
      <c r="A715" s="416" t="str">
        <f>VLOOKUP(B715,'DER 11-20'!$A:$E,2,FALSE)</f>
        <v>Concreto estrutural fck = 15,0 MPa, tudo incluído</v>
      </c>
      <c r="B715" s="417">
        <v>40358</v>
      </c>
      <c r="C715" s="417" t="str">
        <f>VLOOKUP(B715,'DER 11-20'!$A:$E,3,FALSE)</f>
        <v>M3</v>
      </c>
      <c r="D715" s="418">
        <f>TRUNC(VLOOKUP(B715,'DER 11-20'!$A:$F,6,FALSE)/(1+$I$4),2)</f>
        <v>547.26</v>
      </c>
      <c r="E715" s="419"/>
      <c r="F715" s="420"/>
      <c r="G715" s="790">
        <v>0.34399999999999997</v>
      </c>
      <c r="H715" s="422"/>
      <c r="I715" s="423">
        <f>TRUNC(D715*G715,2)</f>
        <v>188.25</v>
      </c>
      <c r="J715" s="415"/>
      <c r="K715" s="415"/>
    </row>
    <row r="716" spans="1:17" x14ac:dyDescent="0.2">
      <c r="A716" s="200"/>
      <c r="B716" s="264"/>
      <c r="C716" s="200"/>
      <c r="D716" s="200"/>
      <c r="E716" s="200"/>
      <c r="F716" s="265" t="s">
        <v>199</v>
      </c>
      <c r="G716" s="255"/>
      <c r="H716" s="266"/>
      <c r="I716" s="441">
        <f>SUM(I713:I715)</f>
        <v>308.52</v>
      </c>
      <c r="J716" s="295"/>
    </row>
    <row r="717" spans="1:17" x14ac:dyDescent="0.2">
      <c r="A717" s="200"/>
      <c r="B717" s="264"/>
      <c r="C717" s="200"/>
      <c r="D717" s="200"/>
      <c r="E717" s="200"/>
      <c r="F717" s="200"/>
      <c r="G717" s="200"/>
      <c r="H717" s="200"/>
      <c r="I717" s="440"/>
      <c r="J717" s="295"/>
    </row>
    <row r="718" spans="1:17" x14ac:dyDescent="0.2">
      <c r="A718" s="267" t="s">
        <v>200</v>
      </c>
      <c r="B718" s="268" t="s">
        <v>59</v>
      </c>
      <c r="C718" s="268" t="s">
        <v>196</v>
      </c>
      <c r="D718" s="268" t="s">
        <v>201</v>
      </c>
      <c r="E718" s="268" t="s">
        <v>202</v>
      </c>
      <c r="F718" s="268" t="s">
        <v>203</v>
      </c>
      <c r="G718" s="268" t="s">
        <v>94</v>
      </c>
      <c r="H718" s="268" t="s">
        <v>89</v>
      </c>
      <c r="I718" s="442" t="s">
        <v>204</v>
      </c>
    </row>
    <row r="719" spans="1:17" x14ac:dyDescent="0.2">
      <c r="A719" s="200"/>
      <c r="B719" s="264"/>
      <c r="C719" s="200"/>
      <c r="D719" s="200"/>
      <c r="E719" s="200"/>
      <c r="F719" s="265" t="s">
        <v>205</v>
      </c>
      <c r="G719" s="240"/>
      <c r="H719" s="272"/>
      <c r="I719" s="443">
        <v>0</v>
      </c>
    </row>
    <row r="720" spans="1:17" x14ac:dyDescent="0.2">
      <c r="A720" s="200"/>
      <c r="B720" s="264"/>
      <c r="C720" s="200"/>
      <c r="D720" s="200"/>
      <c r="E720" s="200"/>
      <c r="F720" s="200"/>
      <c r="G720" s="200"/>
      <c r="H720" s="200"/>
      <c r="I720" s="444"/>
    </row>
    <row r="721" spans="1:13" x14ac:dyDescent="0.2">
      <c r="A721" s="273"/>
      <c r="B721" s="274"/>
      <c r="C721" s="275"/>
      <c r="D721" s="275"/>
      <c r="E721" s="275"/>
      <c r="F721" s="276" t="s">
        <v>206</v>
      </c>
      <c r="G721" s="273"/>
      <c r="H721" s="249"/>
      <c r="I721" s="445">
        <f>+I707+I710+I716+I719</f>
        <v>313.89999999999998</v>
      </c>
    </row>
    <row r="722" spans="1:13" x14ac:dyDescent="0.2">
      <c r="A722" s="255"/>
      <c r="B722" s="277"/>
      <c r="C722" s="266"/>
      <c r="D722" s="266"/>
      <c r="E722" s="266"/>
      <c r="F722" s="278" t="str">
        <f>CONCATENATE($H$3," ",$I$3)</f>
        <v>BDI: 23,32</v>
      </c>
      <c r="G722" s="403"/>
      <c r="H722" s="253"/>
      <c r="I722" s="446">
        <f>+ROUND(I721*$I$4,2)</f>
        <v>73.2</v>
      </c>
    </row>
    <row r="723" spans="1:13" x14ac:dyDescent="0.2">
      <c r="A723" s="240"/>
      <c r="B723" s="279"/>
      <c r="C723" s="272"/>
      <c r="D723" s="272"/>
      <c r="E723" s="272"/>
      <c r="F723" s="280" t="s">
        <v>207</v>
      </c>
      <c r="G723" s="404"/>
      <c r="H723" s="241"/>
      <c r="I723" s="720">
        <f>+I721+I722</f>
        <v>387.1</v>
      </c>
    </row>
    <row r="724" spans="1:13" x14ac:dyDescent="0.2">
      <c r="A724" s="1116" t="s">
        <v>213</v>
      </c>
      <c r="B724" s="1116"/>
      <c r="C724" s="1116"/>
      <c r="D724" s="1116"/>
      <c r="E724" s="1116"/>
      <c r="F724" s="1116"/>
      <c r="G724" s="1116"/>
      <c r="H724" s="1116"/>
      <c r="I724" s="1116"/>
    </row>
    <row r="725" spans="1:13" x14ac:dyDescent="0.2">
      <c r="A725" s="228" t="str">
        <f>$A$2</f>
        <v>Tabela Referencial de Preços - DER-ES - sem desoneração</v>
      </c>
      <c r="B725" s="229"/>
      <c r="C725" s="199"/>
      <c r="D725" s="199"/>
      <c r="E725" s="199"/>
      <c r="F725" s="199"/>
      <c r="G725" s="199"/>
      <c r="H725" s="199"/>
      <c r="I725" s="414" t="str">
        <f>$I$2</f>
        <v>Data Base: novembro/2020</v>
      </c>
    </row>
    <row r="726" spans="1:13" ht="14.25" customHeight="1" x14ac:dyDescent="0.2">
      <c r="A726" s="1117" t="str">
        <f>+CONCATENATE("Serviço: ",J726," ",L726)</f>
        <v>Serviço: PR-022 Cerca Arame farpado, 4 fios,  mourões de madeira e esticador de concreto a cada 40m</v>
      </c>
      <c r="B726" s="1117"/>
      <c r="C726" s="1117"/>
      <c r="D726" s="1117"/>
      <c r="E726" s="1117"/>
      <c r="F726" s="1117"/>
      <c r="G726" s="1117"/>
      <c r="H726" s="1117"/>
      <c r="I726" s="1119" t="str">
        <f>CONCATENATE("Unidade: ", M726)</f>
        <v>Unidade: M</v>
      </c>
      <c r="J726" s="360" t="s">
        <v>684</v>
      </c>
      <c r="K726" s="780">
        <f>VLOOKUP("Preço Unitário Total",F727:I763,4,FALSE)</f>
        <v>21.2</v>
      </c>
      <c r="L726" s="1058" t="s">
        <v>584</v>
      </c>
      <c r="M726" s="393" t="s">
        <v>397</v>
      </c>
    </row>
    <row r="727" spans="1:13" x14ac:dyDescent="0.2">
      <c r="A727" s="1118"/>
      <c r="B727" s="1118"/>
      <c r="C727" s="1118"/>
      <c r="D727" s="1118"/>
      <c r="E727" s="1118"/>
      <c r="F727" s="1118"/>
      <c r="G727" s="1118"/>
      <c r="H727" s="1118"/>
      <c r="I727" s="1120"/>
      <c r="L727" s="1058"/>
    </row>
    <row r="728" spans="1:13" ht="22.5" x14ac:dyDescent="0.2">
      <c r="A728" s="231" t="s">
        <v>177</v>
      </c>
      <c r="B728" s="232" t="s">
        <v>59</v>
      </c>
      <c r="C728" s="232" t="s">
        <v>178</v>
      </c>
      <c r="D728" s="232" t="s">
        <v>179</v>
      </c>
      <c r="E728" s="232" t="s">
        <v>180</v>
      </c>
      <c r="F728" s="232" t="s">
        <v>181</v>
      </c>
      <c r="G728" s="232" t="s">
        <v>182</v>
      </c>
      <c r="H728" s="232" t="s">
        <v>89</v>
      </c>
      <c r="I728" s="434" t="s">
        <v>183</v>
      </c>
      <c r="L728" s="1058"/>
    </row>
    <row r="729" spans="1:13" x14ac:dyDescent="0.2">
      <c r="A729" s="199"/>
      <c r="B729" s="229"/>
      <c r="C729" s="229"/>
      <c r="D729" s="199"/>
      <c r="E729" s="199"/>
      <c r="F729" s="230" t="s">
        <v>184</v>
      </c>
      <c r="G729" s="240"/>
      <c r="H729" s="241"/>
      <c r="I729" s="438">
        <v>0</v>
      </c>
    </row>
    <row r="730" spans="1:13" x14ac:dyDescent="0.2">
      <c r="A730" s="199"/>
      <c r="B730" s="229"/>
      <c r="C730" s="229"/>
      <c r="D730" s="199"/>
      <c r="E730" s="199"/>
      <c r="F730" s="199"/>
      <c r="G730" s="199"/>
      <c r="H730" s="199"/>
      <c r="I730" s="439"/>
    </row>
    <row r="731" spans="1:13" x14ac:dyDescent="0.2">
      <c r="A731" s="242" t="s">
        <v>185</v>
      </c>
      <c r="B731" s="243" t="s">
        <v>59</v>
      </c>
      <c r="C731" s="232" t="s">
        <v>186</v>
      </c>
      <c r="D731" s="243" t="s">
        <v>187</v>
      </c>
      <c r="E731" s="1111" t="s">
        <v>89</v>
      </c>
      <c r="F731" s="1112"/>
      <c r="G731" s="1113"/>
      <c r="H731" s="1121" t="s">
        <v>183</v>
      </c>
      <c r="I731" s="1115"/>
    </row>
    <row r="732" spans="1:13" x14ac:dyDescent="0.2">
      <c r="A732" s="244" t="str">
        <f>VLOOKUP(B732,m.o.!$A:$H,2,FALSE)</f>
        <v>Servente</v>
      </c>
      <c r="B732" s="234">
        <v>20002</v>
      </c>
      <c r="C732" s="239" t="str">
        <f>VLOOKUP(B732,m.o.!$A:$F,3,FALSE)</f>
        <v>h</v>
      </c>
      <c r="D732" s="239">
        <f>VLOOKUP(B732,m.o.!$A:$G,7,FALSE)</f>
        <v>12.52</v>
      </c>
      <c r="E732" s="255"/>
      <c r="F732" s="253"/>
      <c r="G732" s="293">
        <v>6</v>
      </c>
      <c r="H732" s="240"/>
      <c r="I732" s="427">
        <f>ROUND(D732*G732,2)</f>
        <v>75.12</v>
      </c>
    </row>
    <row r="733" spans="1:13" x14ac:dyDescent="0.2">
      <c r="A733" s="244" t="str">
        <f>VLOOKUP(B733,m.o.!$A:$H,2,FALSE)</f>
        <v>Encarregado de O.A.C.</v>
      </c>
      <c r="B733" s="234">
        <v>20060</v>
      </c>
      <c r="C733" s="239" t="str">
        <f>VLOOKUP(B733,m.o.!$A:$F,3,FALSE)</f>
        <v>h</v>
      </c>
      <c r="D733" s="239">
        <f>VLOOKUP(B733,m.o.!$A:$G,7,FALSE)</f>
        <v>28.31</v>
      </c>
      <c r="E733" s="255"/>
      <c r="F733" s="253"/>
      <c r="G733" s="293">
        <v>1</v>
      </c>
      <c r="H733" s="240"/>
      <c r="I733" s="427">
        <f>ROUND(D733*G733,2)</f>
        <v>28.31</v>
      </c>
    </row>
    <row r="734" spans="1:13" x14ac:dyDescent="0.2">
      <c r="A734" s="199"/>
      <c r="B734" s="229"/>
      <c r="C734" s="229"/>
      <c r="D734" s="199"/>
      <c r="E734" s="199"/>
      <c r="F734" s="230" t="s">
        <v>188</v>
      </c>
      <c r="G734" s="240"/>
      <c r="H734" s="241"/>
      <c r="I734" s="438">
        <f>SUM(I732:I733)</f>
        <v>103.43</v>
      </c>
    </row>
    <row r="735" spans="1:13" x14ac:dyDescent="0.2">
      <c r="A735" s="199"/>
      <c r="B735" s="229"/>
      <c r="C735" s="229"/>
      <c r="D735" s="199"/>
      <c r="E735" s="199"/>
      <c r="F735" s="199"/>
      <c r="G735" s="199"/>
      <c r="H735" s="199"/>
      <c r="I735" s="439"/>
    </row>
    <row r="736" spans="1:13" x14ac:dyDescent="0.2">
      <c r="A736" s="245" t="s">
        <v>189</v>
      </c>
      <c r="B736" s="243" t="s">
        <v>59</v>
      </c>
      <c r="C736" s="833" t="s">
        <v>17</v>
      </c>
      <c r="D736" s="243" t="s">
        <v>190</v>
      </c>
      <c r="E736" s="243" t="s">
        <v>191</v>
      </c>
      <c r="F736" s="243" t="s">
        <v>192</v>
      </c>
      <c r="G736" s="1121" t="s">
        <v>94</v>
      </c>
      <c r="H736" s="1114"/>
      <c r="I736" s="1115"/>
    </row>
    <row r="737" spans="1:17" s="198" customFormat="1" x14ac:dyDescent="0.2">
      <c r="A737" s="244" t="s">
        <v>127</v>
      </c>
      <c r="B737" s="234">
        <v>2000</v>
      </c>
      <c r="C737" s="239">
        <v>5</v>
      </c>
      <c r="D737" s="235" t="s">
        <v>208</v>
      </c>
      <c r="E737" s="246"/>
      <c r="F737" s="246"/>
      <c r="G737" s="240"/>
      <c r="H737" s="241"/>
      <c r="I737" s="427">
        <f>TRUNC(C737/100*I734,2)</f>
        <v>5.17</v>
      </c>
      <c r="J737" s="295"/>
      <c r="K737" s="295"/>
      <c r="L737" s="295"/>
      <c r="M737" s="295"/>
      <c r="N737" s="295"/>
      <c r="O737" s="295"/>
      <c r="P737" s="295"/>
      <c r="Q737" s="295"/>
    </row>
    <row r="738" spans="1:17" x14ac:dyDescent="0.2">
      <c r="A738" s="199"/>
      <c r="B738" s="229"/>
      <c r="C738" s="199"/>
      <c r="D738" s="199"/>
      <c r="E738" s="199"/>
      <c r="F738" s="230" t="s">
        <v>327</v>
      </c>
      <c r="G738" s="240"/>
      <c r="H738" s="241"/>
      <c r="I738" s="438">
        <f>I737</f>
        <v>5.17</v>
      </c>
    </row>
    <row r="739" spans="1:17" x14ac:dyDescent="0.2">
      <c r="A739" s="199"/>
      <c r="B739" s="229"/>
      <c r="C739" s="199"/>
      <c r="D739" s="199"/>
      <c r="E739" s="199"/>
      <c r="F739" s="199"/>
      <c r="G739" s="199"/>
      <c r="H739" s="199"/>
      <c r="I739" s="439"/>
    </row>
    <row r="740" spans="1:17" x14ac:dyDescent="0.2">
      <c r="A740" s="247"/>
      <c r="B740" s="248"/>
      <c r="C740" s="249"/>
      <c r="D740" s="249"/>
      <c r="E740" s="249"/>
      <c r="F740" s="250" t="s">
        <v>193</v>
      </c>
      <c r="G740" s="401"/>
      <c r="H740" s="249"/>
      <c r="I740" s="445">
        <f>+I729+I734+I738</f>
        <v>108.6</v>
      </c>
    </row>
    <row r="741" spans="1:17" x14ac:dyDescent="0.2">
      <c r="A741" s="251"/>
      <c r="B741" s="252"/>
      <c r="C741" s="253"/>
      <c r="D741" s="253"/>
      <c r="E741" s="253"/>
      <c r="F741" s="254" t="s">
        <v>194</v>
      </c>
      <c r="G741" s="255"/>
      <c r="H741" s="253"/>
      <c r="I741" s="446">
        <v>60</v>
      </c>
    </row>
    <row r="742" spans="1:17" x14ac:dyDescent="0.2">
      <c r="A742" s="233"/>
      <c r="B742" s="256"/>
      <c r="C742" s="241"/>
      <c r="D742" s="241"/>
      <c r="E742" s="241"/>
      <c r="F742" s="257" t="s">
        <v>216</v>
      </c>
      <c r="G742" s="240"/>
      <c r="H742" s="241"/>
      <c r="I742" s="447">
        <f>ROUND(I740/I741,2)</f>
        <v>1.81</v>
      </c>
    </row>
    <row r="743" spans="1:17" x14ac:dyDescent="0.2">
      <c r="A743" s="834"/>
      <c r="B743" s="229"/>
      <c r="C743" s="199"/>
      <c r="D743" s="199"/>
      <c r="E743" s="199"/>
      <c r="F743" s="258"/>
      <c r="G743" s="199"/>
      <c r="H743" s="199"/>
      <c r="I743" s="450"/>
    </row>
    <row r="744" spans="1:17" x14ac:dyDescent="0.2">
      <c r="A744" s="242" t="s">
        <v>195</v>
      </c>
      <c r="B744" s="243" t="s">
        <v>59</v>
      </c>
      <c r="C744" s="243" t="s">
        <v>196</v>
      </c>
      <c r="D744" s="243" t="s">
        <v>217</v>
      </c>
      <c r="E744" s="1121" t="s">
        <v>89</v>
      </c>
      <c r="F744" s="1114"/>
      <c r="G744" s="1115"/>
      <c r="H744" s="1121" t="s">
        <v>63</v>
      </c>
      <c r="I744" s="1115"/>
    </row>
    <row r="745" spans="1:17" ht="22.5" x14ac:dyDescent="0.2">
      <c r="A745" s="259" t="str">
        <f>VLOOKUP(B745,mat.!$A:$D,2,FALSE)</f>
        <v>Mourao p/ cerca (2,20m - D=0,10m) m. branca</v>
      </c>
      <c r="B745" s="234">
        <v>10074</v>
      </c>
      <c r="C745" s="260" t="str">
        <f>VLOOKUP(B745,mat.!$A:$D,3,FALSE)</f>
        <v>DZ</v>
      </c>
      <c r="D745" s="261">
        <f>VLOOKUP(B745,mat.!$A:$D,4,FALSE)</f>
        <v>162.62</v>
      </c>
      <c r="E745" s="255"/>
      <c r="F745" s="253"/>
      <c r="G745" s="293">
        <v>3.1300000000000001E-2</v>
      </c>
      <c r="H745" s="255"/>
      <c r="I745" s="423">
        <f>TRUNC(D745*G745,2)</f>
        <v>5.09</v>
      </c>
      <c r="J745" s="295"/>
      <c r="K745" s="295"/>
      <c r="L745" s="295"/>
      <c r="M745" s="295"/>
      <c r="N745" s="295"/>
      <c r="O745" s="295"/>
      <c r="P745" s="295"/>
    </row>
    <row r="746" spans="1:17" x14ac:dyDescent="0.2">
      <c r="A746" s="259" t="str">
        <f>VLOOKUP(B746,mat.!$A:$D,2,FALSE)</f>
        <v>Grampo para cerca (galvanizado)</v>
      </c>
      <c r="B746" s="234">
        <v>10137</v>
      </c>
      <c r="C746" s="260" t="str">
        <f>VLOOKUP(B746,mat.!$A:$D,3,FALSE)</f>
        <v>kg</v>
      </c>
      <c r="D746" s="261">
        <f>VLOOKUP(B746,mat.!$A:$D,4,FALSE)</f>
        <v>17.690000000000001</v>
      </c>
      <c r="E746" s="255"/>
      <c r="F746" s="253"/>
      <c r="G746" s="293">
        <v>0.01</v>
      </c>
      <c r="H746" s="255"/>
      <c r="I746" s="423">
        <f t="shared" ref="I746:I750" si="2">TRUNC(D746*G746,2)</f>
        <v>0.17</v>
      </c>
      <c r="J746" s="295"/>
      <c r="K746" s="295"/>
      <c r="L746" s="295"/>
      <c r="M746" s="295"/>
      <c r="N746" s="295"/>
      <c r="O746" s="295"/>
      <c r="P746" s="295"/>
    </row>
    <row r="747" spans="1:17" x14ac:dyDescent="0.2">
      <c r="A747" s="259" t="str">
        <f>VLOOKUP(B747,mat.!$A:$D,2,FALSE)</f>
        <v>Arame farpado fio 16 rolo 500 m</v>
      </c>
      <c r="B747" s="234">
        <v>10140</v>
      </c>
      <c r="C747" s="260" t="str">
        <f>VLOOKUP(B747,mat.!$A:$D,3,FALSE)</f>
        <v>rl</v>
      </c>
      <c r="D747" s="261">
        <f>VLOOKUP(B747,mat.!$A:$D,4,FALSE)</f>
        <v>331.26</v>
      </c>
      <c r="E747" s="255"/>
      <c r="F747" s="253"/>
      <c r="G747" s="293">
        <v>8.0000000000000002E-3</v>
      </c>
      <c r="H747" s="255"/>
      <c r="I747" s="423">
        <f t="shared" si="2"/>
        <v>2.65</v>
      </c>
      <c r="J747" s="295"/>
      <c r="K747" s="295"/>
      <c r="L747" s="295"/>
      <c r="M747" s="295"/>
      <c r="N747" s="295"/>
      <c r="O747" s="295"/>
      <c r="P747" s="295"/>
    </row>
    <row r="748" spans="1:17" ht="22.5" x14ac:dyDescent="0.2">
      <c r="A748" s="259" t="str">
        <f>VLOOKUP(B748,mat.!$A:$D,2,FALSE)</f>
        <v>Mourão para cerca (2,80 - D=0,20m) m. branca (esticador)</v>
      </c>
      <c r="B748" s="234">
        <v>10821</v>
      </c>
      <c r="C748" s="260" t="str">
        <f>VLOOKUP(B748,mat.!$A:$D,3,FALSE)</f>
        <v>DZ</v>
      </c>
      <c r="D748" s="261">
        <f>VLOOKUP(B748,mat.!$A:$D,4,FALSE)</f>
        <v>750.08</v>
      </c>
      <c r="E748" s="255"/>
      <c r="F748" s="253"/>
      <c r="G748" s="293">
        <v>4.1999999999999997E-3</v>
      </c>
      <c r="H748" s="255"/>
      <c r="I748" s="423">
        <f t="shared" si="2"/>
        <v>3.15</v>
      </c>
      <c r="J748" s="295"/>
      <c r="K748" s="295"/>
      <c r="L748" s="295"/>
      <c r="M748" s="295"/>
      <c r="N748" s="295"/>
      <c r="O748" s="295"/>
      <c r="P748" s="295"/>
    </row>
    <row r="749" spans="1:17" ht="22.5" x14ac:dyDescent="0.2">
      <c r="A749" s="259" t="str">
        <f>VLOOKUP(B749,mat.!$A:$D,2,FALSE)</f>
        <v>Parafuso sextavado, soberba 5/8" x 6" com porca e arruela</v>
      </c>
      <c r="B749" s="234">
        <v>11565</v>
      </c>
      <c r="C749" s="260" t="str">
        <f>VLOOKUP(B749,mat.!$A:$D,3,FALSE)</f>
        <v>Ud</v>
      </c>
      <c r="D749" s="261">
        <f>VLOOKUP(B749,mat.!$A:$D,4,FALSE)</f>
        <v>5.62</v>
      </c>
      <c r="E749" s="255"/>
      <c r="F749" s="253"/>
      <c r="G749" s="293">
        <v>0.05</v>
      </c>
      <c r="H749" s="255"/>
      <c r="I749" s="423">
        <f t="shared" si="2"/>
        <v>0.28000000000000003</v>
      </c>
      <c r="J749" s="295"/>
      <c r="K749" s="295"/>
      <c r="L749" s="295"/>
      <c r="M749" s="295"/>
      <c r="N749" s="295"/>
      <c r="O749" s="295"/>
      <c r="P749" s="295"/>
    </row>
    <row r="750" spans="1:17" x14ac:dyDescent="0.2">
      <c r="A750" s="259" t="str">
        <f>VLOOKUP(B750,mat.!$A:$D,2,FALSE)</f>
        <v>Bucha de nylon S16</v>
      </c>
      <c r="B750" s="234">
        <v>11566</v>
      </c>
      <c r="C750" s="260" t="str">
        <f>VLOOKUP(B750,mat.!$A:$D,3,FALSE)</f>
        <v>Ud</v>
      </c>
      <c r="D750" s="261">
        <f>VLOOKUP(B750,mat.!$A:$D,4,FALSE)</f>
        <v>4.26</v>
      </c>
      <c r="E750" s="255"/>
      <c r="F750" s="253"/>
      <c r="G750" s="293">
        <v>0.05</v>
      </c>
      <c r="H750" s="255"/>
      <c r="I750" s="423">
        <f t="shared" si="2"/>
        <v>0.21</v>
      </c>
      <c r="J750" s="295"/>
      <c r="K750" s="295"/>
      <c r="L750" s="295"/>
      <c r="M750" s="295"/>
      <c r="N750" s="295"/>
      <c r="O750" s="295"/>
      <c r="P750" s="295"/>
    </row>
    <row r="751" spans="1:17" x14ac:dyDescent="0.2">
      <c r="A751" s="199"/>
      <c r="B751" s="229"/>
      <c r="C751" s="199"/>
      <c r="D751" s="199"/>
      <c r="E751" s="199"/>
      <c r="F751" s="230" t="s">
        <v>197</v>
      </c>
      <c r="G751" s="240"/>
      <c r="H751" s="241"/>
      <c r="I751" s="438">
        <f>SUM(I745:I750)</f>
        <v>11.55</v>
      </c>
    </row>
    <row r="752" spans="1:17" x14ac:dyDescent="0.2">
      <c r="A752" s="199"/>
      <c r="B752" s="229"/>
      <c r="C752" s="199"/>
      <c r="D752" s="199"/>
      <c r="E752" s="199"/>
      <c r="F752" s="199"/>
      <c r="G752" s="262"/>
      <c r="H752" s="199"/>
      <c r="I752" s="439"/>
    </row>
    <row r="753" spans="1:17" x14ac:dyDescent="0.2">
      <c r="A753" s="263" t="s">
        <v>198</v>
      </c>
      <c r="B753" s="243" t="s">
        <v>59</v>
      </c>
      <c r="C753" s="243" t="s">
        <v>196</v>
      </c>
      <c r="D753" s="833" t="s">
        <v>217</v>
      </c>
      <c r="E753" s="1111" t="s">
        <v>89</v>
      </c>
      <c r="F753" s="1112"/>
      <c r="G753" s="1113"/>
      <c r="H753" s="1121" t="s">
        <v>63</v>
      </c>
      <c r="I753" s="1115"/>
      <c r="J753" s="295"/>
      <c r="L753" s="22"/>
      <c r="M753" s="22"/>
      <c r="N753" s="22"/>
    </row>
    <row r="754" spans="1:17" s="198" customFormat="1" ht="33.75" x14ac:dyDescent="0.2">
      <c r="A754" s="416" t="str">
        <f>VLOOKUP(B754,'DER 11-20'!$A:$E,2,FALSE)</f>
        <v>Escavação manual furos, valetas mat. 1ª cat. H= 0,00 a 1,50 m (dim. reduz.)</v>
      </c>
      <c r="B754" s="417">
        <v>40256</v>
      </c>
      <c r="C754" s="417" t="str">
        <f>VLOOKUP(B754,'DER 11-20'!$A:$E,3,FALSE)</f>
        <v>M3</v>
      </c>
      <c r="D754" s="418">
        <f>TRUNC(VLOOKUP(B754,'DER 11-20'!$A:$F,6,FALSE)/(1+$I$4),2)</f>
        <v>83.41</v>
      </c>
      <c r="E754" s="419"/>
      <c r="F754" s="420"/>
      <c r="G754" s="790">
        <v>3.0599999999999999E-2</v>
      </c>
      <c r="H754" s="422"/>
      <c r="I754" s="423">
        <f>TRUNC(D754*G754,2)</f>
        <v>2.5499999999999998</v>
      </c>
      <c r="J754" s="415"/>
      <c r="K754" s="415"/>
    </row>
    <row r="755" spans="1:17" x14ac:dyDescent="0.2">
      <c r="A755" s="416" t="str">
        <f>VLOOKUP(B755,'DER 11-20'!$A:$E,2,FALSE)</f>
        <v>Apiloamento manual</v>
      </c>
      <c r="B755" s="417">
        <v>40300</v>
      </c>
      <c r="C755" s="417" t="str">
        <f>VLOOKUP(B755,'DER 11-20'!$A:$E,3,FALSE)</f>
        <v>M3</v>
      </c>
      <c r="D755" s="418">
        <f>TRUNC(VLOOKUP(B755,'DER 11-20'!$A:$F,6,FALSE)/(1+$I$4),2)</f>
        <v>46.15</v>
      </c>
      <c r="E755" s="419"/>
      <c r="F755" s="420"/>
      <c r="G755" s="790">
        <v>2.7900000000000001E-2</v>
      </c>
      <c r="H755" s="422"/>
      <c r="I755" s="423">
        <f>TRUNC(D755*G755,2)</f>
        <v>1.28</v>
      </c>
      <c r="J755" s="415"/>
      <c r="K755" s="415"/>
      <c r="L755" s="198"/>
      <c r="M755" s="198"/>
      <c r="N755" s="198"/>
      <c r="O755" s="198"/>
      <c r="P755" s="198"/>
      <c r="Q755" s="198"/>
    </row>
    <row r="756" spans="1:17" x14ac:dyDescent="0.2">
      <c r="A756" s="200"/>
      <c r="B756" s="264"/>
      <c r="C756" s="200"/>
      <c r="D756" s="200"/>
      <c r="E756" s="200"/>
      <c r="F756" s="265" t="s">
        <v>199</v>
      </c>
      <c r="G756" s="255"/>
      <c r="H756" s="266"/>
      <c r="I756" s="441">
        <f>SUM(I754:I755)</f>
        <v>3.83</v>
      </c>
      <c r="J756" s="295"/>
    </row>
    <row r="757" spans="1:17" x14ac:dyDescent="0.2">
      <c r="A757" s="200"/>
      <c r="B757" s="264"/>
      <c r="C757" s="200"/>
      <c r="D757" s="200"/>
      <c r="E757" s="200"/>
      <c r="F757" s="200"/>
      <c r="G757" s="200"/>
      <c r="H757" s="200"/>
      <c r="I757" s="440"/>
      <c r="J757" s="295"/>
    </row>
    <row r="758" spans="1:17" x14ac:dyDescent="0.2">
      <c r="A758" s="267" t="s">
        <v>200</v>
      </c>
      <c r="B758" s="268" t="s">
        <v>59</v>
      </c>
      <c r="C758" s="268" t="s">
        <v>196</v>
      </c>
      <c r="D758" s="268" t="s">
        <v>201</v>
      </c>
      <c r="E758" s="268" t="s">
        <v>202</v>
      </c>
      <c r="F758" s="268" t="s">
        <v>203</v>
      </c>
      <c r="G758" s="268" t="s">
        <v>94</v>
      </c>
      <c r="H758" s="268" t="s">
        <v>89</v>
      </c>
      <c r="I758" s="442" t="s">
        <v>204</v>
      </c>
    </row>
    <row r="759" spans="1:17" x14ac:dyDescent="0.2">
      <c r="A759" s="200"/>
      <c r="B759" s="264"/>
      <c r="C759" s="200"/>
      <c r="D759" s="200"/>
      <c r="E759" s="200"/>
      <c r="F759" s="265" t="s">
        <v>205</v>
      </c>
      <c r="G759" s="240"/>
      <c r="H759" s="272"/>
      <c r="I759" s="443">
        <v>0</v>
      </c>
    </row>
    <row r="760" spans="1:17" x14ac:dyDescent="0.2">
      <c r="A760" s="200"/>
      <c r="B760" s="264"/>
      <c r="C760" s="200"/>
      <c r="D760" s="200"/>
      <c r="E760" s="200"/>
      <c r="F760" s="200"/>
      <c r="G760" s="200"/>
      <c r="H760" s="200"/>
      <c r="I760" s="444"/>
    </row>
    <row r="761" spans="1:17" x14ac:dyDescent="0.2">
      <c r="A761" s="273"/>
      <c r="B761" s="274"/>
      <c r="C761" s="275"/>
      <c r="D761" s="275"/>
      <c r="E761" s="275"/>
      <c r="F761" s="276" t="s">
        <v>206</v>
      </c>
      <c r="G761" s="273"/>
      <c r="H761" s="249"/>
      <c r="I761" s="445">
        <f>+I742+I751+I756+I759</f>
        <v>17.190000000000001</v>
      </c>
    </row>
    <row r="762" spans="1:17" x14ac:dyDescent="0.2">
      <c r="A762" s="255"/>
      <c r="B762" s="277"/>
      <c r="C762" s="266"/>
      <c r="D762" s="266"/>
      <c r="E762" s="266"/>
      <c r="F762" s="278" t="str">
        <f>CONCATENATE($H$3," ",$I$3)</f>
        <v>BDI: 23,32</v>
      </c>
      <c r="G762" s="403"/>
      <c r="H762" s="253"/>
      <c r="I762" s="446">
        <f>+ROUND(I761*$I$4,2)</f>
        <v>4.01</v>
      </c>
    </row>
    <row r="763" spans="1:17" x14ac:dyDescent="0.2">
      <c r="A763" s="240"/>
      <c r="B763" s="279"/>
      <c r="C763" s="272"/>
      <c r="D763" s="272"/>
      <c r="E763" s="272"/>
      <c r="F763" s="280" t="s">
        <v>207</v>
      </c>
      <c r="G763" s="404"/>
      <c r="H763" s="241"/>
      <c r="I763" s="720">
        <f>+I761+I762</f>
        <v>21.2</v>
      </c>
    </row>
  </sheetData>
  <autoFilter ref="L1:L43"/>
  <mergeCells count="237">
    <mergeCell ref="L726:L728"/>
    <mergeCell ref="E731:G731"/>
    <mergeCell ref="H731:I731"/>
    <mergeCell ref="G736:I736"/>
    <mergeCell ref="E744:G744"/>
    <mergeCell ref="H744:I744"/>
    <mergeCell ref="E753:G753"/>
    <mergeCell ref="H753:I753"/>
    <mergeCell ref="E698:G698"/>
    <mergeCell ref="H698:I698"/>
    <mergeCell ref="G702:I702"/>
    <mergeCell ref="E709:G709"/>
    <mergeCell ref="H709:I709"/>
    <mergeCell ref="E712:G712"/>
    <mergeCell ref="H712:I712"/>
    <mergeCell ref="A724:I724"/>
    <mergeCell ref="A726:H727"/>
    <mergeCell ref="I726:I727"/>
    <mergeCell ref="G669:I669"/>
    <mergeCell ref="E676:G676"/>
    <mergeCell ref="H676:I676"/>
    <mergeCell ref="E679:G679"/>
    <mergeCell ref="H679:I679"/>
    <mergeCell ref="A691:I691"/>
    <mergeCell ref="A693:H694"/>
    <mergeCell ref="I693:I694"/>
    <mergeCell ref="L693:L695"/>
    <mergeCell ref="E643:G643"/>
    <mergeCell ref="H643:I643"/>
    <mergeCell ref="E646:G646"/>
    <mergeCell ref="H646:I646"/>
    <mergeCell ref="A658:I658"/>
    <mergeCell ref="A660:H661"/>
    <mergeCell ref="I660:I661"/>
    <mergeCell ref="L660:L662"/>
    <mergeCell ref="E665:G665"/>
    <mergeCell ref="H665:I665"/>
    <mergeCell ref="E614:G614"/>
    <mergeCell ref="H614:I614"/>
    <mergeCell ref="A625:I625"/>
    <mergeCell ref="A627:H628"/>
    <mergeCell ref="I627:I628"/>
    <mergeCell ref="L627:L629"/>
    <mergeCell ref="E632:G632"/>
    <mergeCell ref="H632:I632"/>
    <mergeCell ref="G636:I636"/>
    <mergeCell ref="A593:I593"/>
    <mergeCell ref="A595:H596"/>
    <mergeCell ref="I595:I596"/>
    <mergeCell ref="L595:L597"/>
    <mergeCell ref="E600:G600"/>
    <mergeCell ref="H600:I600"/>
    <mergeCell ref="G604:I604"/>
    <mergeCell ref="E611:G611"/>
    <mergeCell ref="H611:I611"/>
    <mergeCell ref="E251:G251"/>
    <mergeCell ref="H251:I251"/>
    <mergeCell ref="A217:I217"/>
    <mergeCell ref="A219:H220"/>
    <mergeCell ref="I219:I220"/>
    <mergeCell ref="E232:G232"/>
    <mergeCell ref="H232:I232"/>
    <mergeCell ref="L219:L221"/>
    <mergeCell ref="G238:I238"/>
    <mergeCell ref="E245:G245"/>
    <mergeCell ref="H245:I245"/>
    <mergeCell ref="A185:I185"/>
    <mergeCell ref="A187:H188"/>
    <mergeCell ref="I187:I188"/>
    <mergeCell ref="E192:G192"/>
    <mergeCell ref="H192:I192"/>
    <mergeCell ref="G195:I195"/>
    <mergeCell ref="E203:G203"/>
    <mergeCell ref="H203:I203"/>
    <mergeCell ref="E207:G207"/>
    <mergeCell ref="H207:I207"/>
    <mergeCell ref="A117:I117"/>
    <mergeCell ref="A119:H120"/>
    <mergeCell ref="I119:I120"/>
    <mergeCell ref="E125:G125"/>
    <mergeCell ref="H125:I125"/>
    <mergeCell ref="G130:I130"/>
    <mergeCell ref="E138:G138"/>
    <mergeCell ref="H138:I138"/>
    <mergeCell ref="E142:G142"/>
    <mergeCell ref="H142:I142"/>
    <mergeCell ref="A44:I44"/>
    <mergeCell ref="A46:H47"/>
    <mergeCell ref="I46:I47"/>
    <mergeCell ref="E52:G52"/>
    <mergeCell ref="H52:I52"/>
    <mergeCell ref="G94:I94"/>
    <mergeCell ref="E102:G102"/>
    <mergeCell ref="H102:I102"/>
    <mergeCell ref="E106:G106"/>
    <mergeCell ref="H106:I106"/>
    <mergeCell ref="G57:I57"/>
    <mergeCell ref="E65:G65"/>
    <mergeCell ref="H65:I65"/>
    <mergeCell ref="E70:G70"/>
    <mergeCell ref="H70:I70"/>
    <mergeCell ref="A81:I81"/>
    <mergeCell ref="A83:H84"/>
    <mergeCell ref="I83:I84"/>
    <mergeCell ref="E89:G89"/>
    <mergeCell ref="H89:I89"/>
    <mergeCell ref="A1:I1"/>
    <mergeCell ref="G19:I19"/>
    <mergeCell ref="E27:G27"/>
    <mergeCell ref="H27:I27"/>
    <mergeCell ref="E32:G32"/>
    <mergeCell ref="H32:I32"/>
    <mergeCell ref="A5:I5"/>
    <mergeCell ref="A7:H8"/>
    <mergeCell ref="I7:I8"/>
    <mergeCell ref="E13:G13"/>
    <mergeCell ref="H13:I13"/>
    <mergeCell ref="G163:I163"/>
    <mergeCell ref="E171:G171"/>
    <mergeCell ref="H171:I171"/>
    <mergeCell ref="E175:G175"/>
    <mergeCell ref="H175:I175"/>
    <mergeCell ref="A153:I153"/>
    <mergeCell ref="A155:H156"/>
    <mergeCell ref="I155:I156"/>
    <mergeCell ref="E160:G160"/>
    <mergeCell ref="H160:I160"/>
    <mergeCell ref="G274:I274"/>
    <mergeCell ref="E281:G281"/>
    <mergeCell ref="H281:I281"/>
    <mergeCell ref="E284:G284"/>
    <mergeCell ref="H284:I284"/>
    <mergeCell ref="A263:I263"/>
    <mergeCell ref="A265:H266"/>
    <mergeCell ref="I265:I266"/>
    <mergeCell ref="L265:L267"/>
    <mergeCell ref="E270:G270"/>
    <mergeCell ref="H270:I270"/>
    <mergeCell ref="G306:I306"/>
    <mergeCell ref="E313:G313"/>
    <mergeCell ref="H313:I313"/>
    <mergeCell ref="E316:G316"/>
    <mergeCell ref="H316:I316"/>
    <mergeCell ref="A295:I295"/>
    <mergeCell ref="A297:H298"/>
    <mergeCell ref="I297:I298"/>
    <mergeCell ref="L297:L299"/>
    <mergeCell ref="E302:G302"/>
    <mergeCell ref="H302:I302"/>
    <mergeCell ref="G338:I338"/>
    <mergeCell ref="E345:G345"/>
    <mergeCell ref="H345:I345"/>
    <mergeCell ref="E348:G348"/>
    <mergeCell ref="H348:I348"/>
    <mergeCell ref="A327:I327"/>
    <mergeCell ref="A329:H330"/>
    <mergeCell ref="I329:I330"/>
    <mergeCell ref="L329:L331"/>
    <mergeCell ref="E334:G334"/>
    <mergeCell ref="H334:I334"/>
    <mergeCell ref="G370:I370"/>
    <mergeCell ref="E377:G377"/>
    <mergeCell ref="H377:I377"/>
    <mergeCell ref="E380:G380"/>
    <mergeCell ref="H380:I380"/>
    <mergeCell ref="A359:I359"/>
    <mergeCell ref="A361:H362"/>
    <mergeCell ref="I361:I362"/>
    <mergeCell ref="L361:L363"/>
    <mergeCell ref="E366:G366"/>
    <mergeCell ref="H366:I366"/>
    <mergeCell ref="G403:I403"/>
    <mergeCell ref="E410:G410"/>
    <mergeCell ref="H410:I410"/>
    <mergeCell ref="E413:G413"/>
    <mergeCell ref="H413:I413"/>
    <mergeCell ref="A392:I392"/>
    <mergeCell ref="A394:H395"/>
    <mergeCell ref="I394:I395"/>
    <mergeCell ref="L394:L396"/>
    <mergeCell ref="E399:G399"/>
    <mergeCell ref="H399:I399"/>
    <mergeCell ref="G435:I435"/>
    <mergeCell ref="E442:G442"/>
    <mergeCell ref="H442:I442"/>
    <mergeCell ref="E445:G445"/>
    <mergeCell ref="H445:I445"/>
    <mergeCell ref="A425:I425"/>
    <mergeCell ref="A427:H428"/>
    <mergeCell ref="I427:I428"/>
    <mergeCell ref="L427:L429"/>
    <mergeCell ref="E432:G432"/>
    <mergeCell ref="H432:I432"/>
    <mergeCell ref="A459:I459"/>
    <mergeCell ref="A461:H462"/>
    <mergeCell ref="I461:I462"/>
    <mergeCell ref="L461:L463"/>
    <mergeCell ref="E466:G466"/>
    <mergeCell ref="H466:I466"/>
    <mergeCell ref="G469:I469"/>
    <mergeCell ref="E476:G476"/>
    <mergeCell ref="H476:I476"/>
    <mergeCell ref="E479:G479"/>
    <mergeCell ref="H479:I479"/>
    <mergeCell ref="A491:I491"/>
    <mergeCell ref="A493:H494"/>
    <mergeCell ref="I493:I494"/>
    <mergeCell ref="L493:L495"/>
    <mergeCell ref="E498:G498"/>
    <mergeCell ref="H498:I498"/>
    <mergeCell ref="G502:I502"/>
    <mergeCell ref="L559:L561"/>
    <mergeCell ref="E509:G509"/>
    <mergeCell ref="H509:I509"/>
    <mergeCell ref="E512:G512"/>
    <mergeCell ref="H512:I512"/>
    <mergeCell ref="A524:I524"/>
    <mergeCell ref="A526:H527"/>
    <mergeCell ref="I526:I527"/>
    <mergeCell ref="L526:L528"/>
    <mergeCell ref="E531:G531"/>
    <mergeCell ref="H531:I531"/>
    <mergeCell ref="E564:G564"/>
    <mergeCell ref="H564:I564"/>
    <mergeCell ref="G569:I569"/>
    <mergeCell ref="E576:G576"/>
    <mergeCell ref="H576:I576"/>
    <mergeCell ref="E579:G579"/>
    <mergeCell ref="H579:I579"/>
    <mergeCell ref="G535:I535"/>
    <mergeCell ref="E542:G542"/>
    <mergeCell ref="H542:I542"/>
    <mergeCell ref="E545:G545"/>
    <mergeCell ref="H545:I545"/>
    <mergeCell ref="A557:I557"/>
    <mergeCell ref="A559:H560"/>
    <mergeCell ref="I559:I560"/>
  </mergeCells>
  <printOptions horizontalCentered="1"/>
  <pageMargins left="0.98425196850393704" right="0.98425196850393704" top="0.98425196850393704" bottom="0.98425196850393704" header="0.51181102362204722" footer="0.51181102362204722"/>
  <pageSetup paperSize="9" scale="70" firstPageNumber="275" fitToWidth="0" fitToHeight="0" orientation="portrait" useFirstPageNumber="1" r:id="rId1"/>
  <rowBreaks count="22" manualBreakCount="22">
    <brk id="4" max="8" man="1"/>
    <brk id="43" max="8" man="1"/>
    <brk id="80" max="8" man="1"/>
    <brk id="116" max="8" man="1"/>
    <brk id="152" max="8" man="1"/>
    <brk id="184" max="8" man="1"/>
    <brk id="216" max="8" man="1"/>
    <brk id="262" max="8" man="1"/>
    <brk id="294" max="8" man="1"/>
    <brk id="326" max="8" man="1"/>
    <brk id="358" max="8" man="1"/>
    <brk id="391" max="8" man="1"/>
    <brk id="424" max="8" man="1"/>
    <brk id="458" max="8" man="1"/>
    <brk id="490" max="8" man="1"/>
    <brk id="523" max="8" man="1"/>
    <brk id="556" max="8" man="1"/>
    <brk id="592" max="8" man="1"/>
    <brk id="624" max="8" man="1"/>
    <brk id="657" max="8" man="1"/>
    <brk id="690" max="8" man="1"/>
    <brk id="723" max="8" man="1"/>
  </rowBreaks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[7]Ocor.!#REF!</xm:f>
          </x14:formula1>
          <xm:sqref>J75 J111 J147</xm:sqref>
        </x14:dataValidation>
        <x14:dataValidation type="list" allowBlank="1" showInputMessage="1" showErrorMessage="1">
          <x14:formula1>
            <xm:f>[1]Ocor.!#REF!</xm:f>
          </x14:formula1>
          <xm:sqref>J38 J146 J212 J255:J257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"/>
  <sheetViews>
    <sheetView view="pageBreakPreview" zoomScale="85" zoomScaleNormal="70" zoomScaleSheetLayoutView="85" workbookViewId="0">
      <selection sqref="A1:T1"/>
    </sheetView>
  </sheetViews>
  <sheetFormatPr defaultColWidth="8.75" defaultRowHeight="14.25" x14ac:dyDescent="0.2"/>
  <cols>
    <col min="1" max="1" width="32.75" style="871" customWidth="1"/>
    <col min="2" max="2" width="13.875" style="390" bestFit="1" customWidth="1"/>
    <col min="3" max="3" width="9.75" style="390" customWidth="1"/>
    <col min="4" max="4" width="15.375" style="390" bestFit="1" customWidth="1"/>
    <col min="5" max="5" width="10.25" style="390" customWidth="1"/>
    <col min="6" max="6" width="10.125" style="390" customWidth="1"/>
    <col min="7" max="8" width="10.875" style="390" customWidth="1"/>
    <col min="9" max="9" width="11.75" style="390" customWidth="1"/>
    <col min="10" max="10" width="10.75" style="390" customWidth="1"/>
    <col min="11" max="11" width="11.125" style="390" customWidth="1"/>
    <col min="12" max="12" width="11" style="390" customWidth="1"/>
    <col min="13" max="13" width="10.375" style="390" customWidth="1"/>
    <col min="14" max="14" width="11.25" style="390" customWidth="1"/>
    <col min="15" max="15" width="11" style="390" customWidth="1"/>
    <col min="16" max="17" width="11.5" style="390" customWidth="1"/>
    <col min="18" max="18" width="10.25" style="390" customWidth="1"/>
    <col min="19" max="19" width="10.75" style="390" customWidth="1"/>
    <col min="20" max="20" width="14.875" style="390" customWidth="1"/>
    <col min="21" max="16384" width="8.75" style="390"/>
  </cols>
  <sheetData>
    <row r="1" spans="1:20" ht="18" x14ac:dyDescent="0.2">
      <c r="A1" s="930" t="s">
        <v>692</v>
      </c>
      <c r="B1" s="931"/>
      <c r="C1" s="931"/>
      <c r="D1" s="931"/>
      <c r="E1" s="931"/>
      <c r="F1" s="931"/>
      <c r="G1" s="931"/>
      <c r="H1" s="931"/>
      <c r="I1" s="931"/>
      <c r="J1" s="931"/>
      <c r="K1" s="931"/>
      <c r="L1" s="931"/>
      <c r="M1" s="931"/>
      <c r="N1" s="931"/>
      <c r="O1" s="931"/>
      <c r="P1" s="931"/>
      <c r="Q1" s="931"/>
      <c r="R1" s="931"/>
      <c r="S1" s="931"/>
      <c r="T1" s="931"/>
    </row>
    <row r="2" spans="1:20" ht="15" x14ac:dyDescent="0.2">
      <c r="A2" s="844" t="s">
        <v>373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  <c r="Q2" s="845"/>
      <c r="R2" s="845"/>
      <c r="S2" s="845"/>
      <c r="T2" s="846"/>
    </row>
    <row r="3" spans="1:20" ht="15" x14ac:dyDescent="0.2">
      <c r="A3" s="847" t="s">
        <v>373</v>
      </c>
      <c r="B3" s="848"/>
      <c r="C3" s="848"/>
      <c r="D3" s="848"/>
      <c r="E3" s="848"/>
      <c r="F3" s="848"/>
      <c r="G3" s="848"/>
      <c r="H3" s="848"/>
      <c r="I3" s="848"/>
      <c r="J3" s="848"/>
      <c r="K3" s="848"/>
      <c r="L3" s="848"/>
      <c r="M3" s="848"/>
      <c r="N3" s="848"/>
      <c r="O3" s="848"/>
      <c r="P3" s="849" t="s">
        <v>2942</v>
      </c>
      <c r="Q3" s="849"/>
      <c r="R3" s="849"/>
      <c r="S3" s="849"/>
      <c r="T3" s="850"/>
    </row>
    <row r="4" spans="1:20" x14ac:dyDescent="0.2">
      <c r="A4" s="851" t="s">
        <v>686</v>
      </c>
      <c r="B4" s="852" t="s">
        <v>306</v>
      </c>
      <c r="C4" s="853"/>
      <c r="D4" s="853"/>
      <c r="E4" s="853"/>
      <c r="F4" s="853"/>
      <c r="G4" s="853"/>
      <c r="H4" s="853"/>
      <c r="I4" s="853"/>
      <c r="J4" s="853"/>
      <c r="K4" s="853"/>
      <c r="L4" s="853"/>
      <c r="M4" s="853"/>
      <c r="N4" s="853"/>
      <c r="O4" s="853"/>
      <c r="P4" s="853"/>
      <c r="Q4" s="853"/>
      <c r="R4" s="853"/>
      <c r="S4" s="853"/>
      <c r="T4" s="854" t="s">
        <v>687</v>
      </c>
    </row>
    <row r="5" spans="1:20" x14ac:dyDescent="0.2">
      <c r="A5" s="855"/>
      <c r="B5" s="854">
        <v>30</v>
      </c>
      <c r="C5" s="854">
        <v>60</v>
      </c>
      <c r="D5" s="854">
        <v>90</v>
      </c>
      <c r="E5" s="854">
        <v>120</v>
      </c>
      <c r="F5" s="854">
        <v>150</v>
      </c>
      <c r="G5" s="854">
        <v>180</v>
      </c>
      <c r="H5" s="854">
        <v>210</v>
      </c>
      <c r="I5" s="854">
        <v>240</v>
      </c>
      <c r="J5" s="854">
        <v>270</v>
      </c>
      <c r="K5" s="854">
        <v>300</v>
      </c>
      <c r="L5" s="854">
        <v>330</v>
      </c>
      <c r="M5" s="854">
        <v>360</v>
      </c>
      <c r="N5" s="854">
        <v>390</v>
      </c>
      <c r="O5" s="854">
        <v>420</v>
      </c>
      <c r="P5" s="851">
        <v>450</v>
      </c>
      <c r="Q5" s="851">
        <v>480</v>
      </c>
      <c r="R5" s="851">
        <v>510</v>
      </c>
      <c r="S5" s="851">
        <v>540</v>
      </c>
      <c r="T5" s="856"/>
    </row>
    <row r="6" spans="1:20" ht="18" x14ac:dyDescent="0.2">
      <c r="A6" s="857"/>
      <c r="B6" s="858"/>
      <c r="C6" s="858"/>
      <c r="D6" s="858"/>
      <c r="E6" s="858"/>
      <c r="F6" s="858"/>
      <c r="G6" s="858"/>
      <c r="H6" s="858"/>
      <c r="I6" s="858"/>
      <c r="J6" s="858"/>
      <c r="K6" s="858"/>
      <c r="L6" s="858"/>
      <c r="M6" s="858"/>
      <c r="N6" s="858"/>
      <c r="O6" s="858"/>
      <c r="P6" s="858"/>
      <c r="Q6" s="858"/>
      <c r="R6" s="858"/>
      <c r="S6" s="858"/>
      <c r="T6" s="877"/>
    </row>
    <row r="7" spans="1:20" ht="16.5" x14ac:dyDescent="0.2">
      <c r="A7" s="859" t="s">
        <v>689</v>
      </c>
      <c r="B7" s="866">
        <v>0.06</v>
      </c>
      <c r="C7" s="866">
        <v>0.06</v>
      </c>
      <c r="D7" s="866">
        <v>0.06</v>
      </c>
      <c r="E7" s="866">
        <v>0.06</v>
      </c>
      <c r="F7" s="866">
        <v>0.06</v>
      </c>
      <c r="G7" s="866">
        <v>0.06</v>
      </c>
      <c r="H7" s="866">
        <v>0.06</v>
      </c>
      <c r="I7" s="866">
        <v>0.06</v>
      </c>
      <c r="J7" s="866">
        <v>0.06</v>
      </c>
      <c r="K7" s="866">
        <v>0.06</v>
      </c>
      <c r="L7" s="866">
        <v>0.05</v>
      </c>
      <c r="M7" s="866">
        <v>0.05</v>
      </c>
      <c r="N7" s="866">
        <v>0.05</v>
      </c>
      <c r="O7" s="866">
        <v>0.05</v>
      </c>
      <c r="P7" s="866">
        <v>0.05</v>
      </c>
      <c r="Q7" s="866">
        <v>0.05</v>
      </c>
      <c r="R7" s="866">
        <v>0.05</v>
      </c>
      <c r="S7" s="866">
        <v>0.05</v>
      </c>
      <c r="T7" s="878">
        <f>SUM(B7:S7)</f>
        <v>1</v>
      </c>
    </row>
    <row r="8" spans="1:20" s="875" customFormat="1" ht="16.5" x14ac:dyDescent="0.2">
      <c r="A8" s="874"/>
      <c r="B8" s="867">
        <f>B7*Resumo!$B$4</f>
        <v>23527.62</v>
      </c>
      <c r="C8" s="867">
        <f>C7*Resumo!$B$4</f>
        <v>23527.62</v>
      </c>
      <c r="D8" s="867">
        <f>D7*Resumo!$B$4</f>
        <v>23527.62</v>
      </c>
      <c r="E8" s="867">
        <f>E7*Resumo!$B$4</f>
        <v>23527.62</v>
      </c>
      <c r="F8" s="867">
        <f>F7*Resumo!$B$4</f>
        <v>23527.62</v>
      </c>
      <c r="G8" s="867">
        <f>G7*Resumo!$B$4</f>
        <v>23527.62</v>
      </c>
      <c r="H8" s="867">
        <f>H7*Resumo!$B$4</f>
        <v>23527.62</v>
      </c>
      <c r="I8" s="867">
        <f>I7*Resumo!$B$4</f>
        <v>23527.62</v>
      </c>
      <c r="J8" s="867">
        <f>J7*Resumo!$B$4</f>
        <v>23527.62</v>
      </c>
      <c r="K8" s="867">
        <f>K7*Resumo!$B$4</f>
        <v>23527.62</v>
      </c>
      <c r="L8" s="867">
        <f>L7*Resumo!$B$4</f>
        <v>19606.349999999999</v>
      </c>
      <c r="M8" s="867">
        <f>M7*Resumo!$B$4</f>
        <v>19606.349999999999</v>
      </c>
      <c r="N8" s="867">
        <f>N7*Resumo!$B$4</f>
        <v>19606.349999999999</v>
      </c>
      <c r="O8" s="867">
        <f>O7*Resumo!$B$4</f>
        <v>19606.349999999999</v>
      </c>
      <c r="P8" s="867">
        <f>P7*Resumo!$B$4</f>
        <v>19606.349999999999</v>
      </c>
      <c r="Q8" s="867">
        <f>Q7*Resumo!$B$4</f>
        <v>19606.349999999999</v>
      </c>
      <c r="R8" s="867">
        <f>R7*Resumo!$B$4</f>
        <v>19606.349999999999</v>
      </c>
      <c r="S8" s="867">
        <f>S7*Resumo!$B$4</f>
        <v>19606.349999999999</v>
      </c>
      <c r="T8" s="879">
        <f>SUM(B8:S8)</f>
        <v>392127</v>
      </c>
    </row>
    <row r="9" spans="1:20" ht="13.9" customHeight="1" x14ac:dyDescent="0.2">
      <c r="A9" s="857"/>
      <c r="B9" s="858"/>
      <c r="C9" s="858"/>
      <c r="D9" s="858"/>
      <c r="E9" s="858"/>
      <c r="F9" s="858"/>
      <c r="G9" s="858"/>
      <c r="H9" s="858"/>
      <c r="I9" s="858"/>
      <c r="J9" s="858"/>
      <c r="K9" s="858"/>
      <c r="L9" s="858"/>
      <c r="M9" s="858"/>
      <c r="N9" s="858"/>
      <c r="O9" s="858"/>
      <c r="P9" s="858"/>
      <c r="Q9" s="858"/>
      <c r="R9" s="858"/>
      <c r="S9" s="858"/>
      <c r="T9" s="877"/>
    </row>
    <row r="10" spans="1:20" ht="33" x14ac:dyDescent="0.2">
      <c r="A10" s="859" t="s">
        <v>688</v>
      </c>
      <c r="B10" s="862"/>
      <c r="C10" s="866">
        <v>0.08</v>
      </c>
      <c r="D10" s="866">
        <v>0.1</v>
      </c>
      <c r="E10" s="866">
        <v>0.1</v>
      </c>
      <c r="F10" s="866">
        <v>0.08</v>
      </c>
      <c r="G10" s="866">
        <v>0.08</v>
      </c>
      <c r="H10" s="866">
        <v>0.06</v>
      </c>
      <c r="I10" s="866">
        <v>0.06</v>
      </c>
      <c r="J10" s="866">
        <v>0.05</v>
      </c>
      <c r="K10" s="866">
        <v>0.05</v>
      </c>
      <c r="L10" s="866">
        <v>0.05</v>
      </c>
      <c r="M10" s="866">
        <v>0.05</v>
      </c>
      <c r="N10" s="866">
        <v>0.05</v>
      </c>
      <c r="O10" s="866">
        <v>0.05</v>
      </c>
      <c r="P10" s="866">
        <v>0.05</v>
      </c>
      <c r="Q10" s="866">
        <v>0.03</v>
      </c>
      <c r="R10" s="866">
        <v>0.03</v>
      </c>
      <c r="S10" s="866">
        <v>0.03</v>
      </c>
      <c r="T10" s="878">
        <f>SUM(B10:S10)</f>
        <v>1</v>
      </c>
    </row>
    <row r="11" spans="1:20" ht="16.5" x14ac:dyDescent="0.2">
      <c r="A11" s="863"/>
      <c r="B11" s="867"/>
      <c r="C11" s="867">
        <f>C10*Resumo!$B$5</f>
        <v>21215.9</v>
      </c>
      <c r="D11" s="867">
        <f>D10*Resumo!$B$5</f>
        <v>26519.87</v>
      </c>
      <c r="E11" s="867">
        <f>E10*Resumo!$B$5</f>
        <v>26519.87</v>
      </c>
      <c r="F11" s="867">
        <f>F10*Resumo!$B$5</f>
        <v>21215.9</v>
      </c>
      <c r="G11" s="867">
        <f>G10*Resumo!$B$5</f>
        <v>21215.9</v>
      </c>
      <c r="H11" s="867">
        <f>H10*Resumo!$B$5</f>
        <v>15911.92</v>
      </c>
      <c r="I11" s="867">
        <f>I10*Resumo!$B$5</f>
        <v>15911.92</v>
      </c>
      <c r="J11" s="867">
        <f>J10*Resumo!$B$5</f>
        <v>13259.93</v>
      </c>
      <c r="K11" s="867">
        <f>K10*Resumo!$B$5</f>
        <v>13259.93</v>
      </c>
      <c r="L11" s="867">
        <f>L10*Resumo!$B$5</f>
        <v>13259.93</v>
      </c>
      <c r="M11" s="867">
        <f>M10*Resumo!$B$5</f>
        <v>13259.93</v>
      </c>
      <c r="N11" s="867">
        <f>N10*Resumo!$B$5</f>
        <v>13259.93</v>
      </c>
      <c r="O11" s="867">
        <f>O10*Resumo!$B$5</f>
        <v>13259.93</v>
      </c>
      <c r="P11" s="867">
        <f>P10*Resumo!$B$5</f>
        <v>13259.93</v>
      </c>
      <c r="Q11" s="867">
        <f>Q10*Resumo!$B$5</f>
        <v>7955.96</v>
      </c>
      <c r="R11" s="867">
        <f>R10*Resumo!$B$5</f>
        <v>7955.96</v>
      </c>
      <c r="S11" s="867">
        <f>S10*Resumo!$B$5-0.02</f>
        <v>7955.94</v>
      </c>
      <c r="T11" s="880">
        <f>SUM(C11:S11)</f>
        <v>265198.65000000002</v>
      </c>
    </row>
    <row r="12" spans="1:20" ht="18" x14ac:dyDescent="0.2">
      <c r="A12" s="857"/>
      <c r="B12" s="858"/>
      <c r="C12" s="858"/>
      <c r="D12" s="858"/>
      <c r="E12" s="858"/>
      <c r="F12" s="858"/>
      <c r="G12" s="858"/>
      <c r="H12" s="858"/>
      <c r="I12" s="858"/>
      <c r="J12" s="858"/>
      <c r="K12" s="858"/>
      <c r="L12" s="858"/>
      <c r="M12" s="858"/>
      <c r="N12" s="858"/>
      <c r="O12" s="858"/>
      <c r="P12" s="858"/>
      <c r="Q12" s="858"/>
      <c r="R12" s="858"/>
      <c r="S12" s="858"/>
      <c r="T12" s="877"/>
    </row>
    <row r="13" spans="1:20" ht="16.5" x14ac:dyDescent="0.2">
      <c r="A13" s="859" t="s">
        <v>285</v>
      </c>
      <c r="B13" s="860">
        <v>0.03</v>
      </c>
      <c r="C13" s="861">
        <v>0.08</v>
      </c>
      <c r="D13" s="860">
        <v>0.15</v>
      </c>
      <c r="E13" s="861">
        <v>0.25</v>
      </c>
      <c r="F13" s="860">
        <v>0.25</v>
      </c>
      <c r="G13" s="861">
        <v>0.14000000000000001</v>
      </c>
      <c r="H13" s="860">
        <v>0.08</v>
      </c>
      <c r="I13" s="861">
        <v>0.01</v>
      </c>
      <c r="J13" s="861">
        <v>0.01</v>
      </c>
      <c r="K13" s="862"/>
      <c r="L13" s="862"/>
      <c r="M13" s="862"/>
      <c r="N13" s="862"/>
      <c r="O13" s="862"/>
      <c r="P13" s="862"/>
      <c r="Q13" s="862"/>
      <c r="R13" s="862"/>
      <c r="S13" s="862"/>
      <c r="T13" s="881">
        <f>SUM(B13:S13)</f>
        <v>1</v>
      </c>
    </row>
    <row r="14" spans="1:20" s="875" customFormat="1" ht="16.5" x14ac:dyDescent="0.2">
      <c r="A14" s="874"/>
      <c r="B14" s="873">
        <f>B13*Resumo!$B$6</f>
        <v>177359.04</v>
      </c>
      <c r="C14" s="873">
        <f>C13*Resumo!$B$6</f>
        <v>472957.44</v>
      </c>
      <c r="D14" s="873">
        <f>D13*Resumo!$B$6</f>
        <v>886795.2</v>
      </c>
      <c r="E14" s="873">
        <f>E13*Resumo!$B$6</f>
        <v>1477992</v>
      </c>
      <c r="F14" s="873">
        <f>F13*Resumo!$B$6</f>
        <v>1477992</v>
      </c>
      <c r="G14" s="873">
        <f>G13*Resumo!$B$6</f>
        <v>827675.52</v>
      </c>
      <c r="H14" s="873">
        <f>H13*Resumo!$B$6</f>
        <v>472957.44</v>
      </c>
      <c r="I14" s="873">
        <f>I13*Resumo!$B$6</f>
        <v>59119.68</v>
      </c>
      <c r="J14" s="873">
        <f>J13*Resumo!$B$6-0.01</f>
        <v>59119.67</v>
      </c>
      <c r="K14" s="867"/>
      <c r="L14" s="867"/>
      <c r="M14" s="867"/>
      <c r="N14" s="867"/>
      <c r="O14" s="867"/>
      <c r="P14" s="867"/>
      <c r="Q14" s="867"/>
      <c r="R14" s="867"/>
      <c r="S14" s="867"/>
      <c r="T14" s="879">
        <f>SUM(B14:S14)-0.01</f>
        <v>5911967.9800000004</v>
      </c>
    </row>
    <row r="15" spans="1:20" ht="18" x14ac:dyDescent="0.2">
      <c r="A15" s="857"/>
      <c r="B15" s="858"/>
      <c r="C15" s="858"/>
      <c r="D15" s="858"/>
      <c r="E15" s="858"/>
      <c r="F15" s="858"/>
      <c r="G15" s="858"/>
      <c r="H15" s="858"/>
      <c r="I15" s="858"/>
      <c r="J15" s="858"/>
      <c r="K15" s="858"/>
      <c r="L15" s="858"/>
      <c r="M15" s="858"/>
      <c r="N15" s="858"/>
      <c r="O15" s="858"/>
      <c r="P15" s="858"/>
      <c r="Q15" s="858"/>
      <c r="R15" s="858"/>
      <c r="S15" s="858"/>
      <c r="T15" s="877"/>
    </row>
    <row r="16" spans="1:20" ht="16.5" x14ac:dyDescent="0.2">
      <c r="A16" s="859" t="s">
        <v>284</v>
      </c>
      <c r="B16" s="862"/>
      <c r="C16" s="862"/>
      <c r="D16" s="862"/>
      <c r="E16" s="862"/>
      <c r="F16" s="866">
        <v>0.05</v>
      </c>
      <c r="G16" s="866">
        <v>0.05</v>
      </c>
      <c r="H16" s="866">
        <v>0.08</v>
      </c>
      <c r="I16" s="866">
        <v>0.1</v>
      </c>
      <c r="J16" s="866">
        <v>0.1</v>
      </c>
      <c r="K16" s="866">
        <v>0.1</v>
      </c>
      <c r="L16" s="866">
        <v>0.1</v>
      </c>
      <c r="M16" s="866">
        <v>0.1</v>
      </c>
      <c r="N16" s="866">
        <v>0.1</v>
      </c>
      <c r="O16" s="866">
        <v>0.08</v>
      </c>
      <c r="P16" s="866">
        <v>0.08</v>
      </c>
      <c r="Q16" s="866">
        <v>0.06</v>
      </c>
      <c r="R16" s="862"/>
      <c r="S16" s="862"/>
      <c r="T16" s="878">
        <f>SUM(B16:S16)</f>
        <v>1</v>
      </c>
    </row>
    <row r="17" spans="1:20" ht="16.5" x14ac:dyDescent="0.2">
      <c r="A17" s="863"/>
      <c r="B17" s="865"/>
      <c r="C17" s="865"/>
      <c r="D17" s="865"/>
      <c r="E17" s="865"/>
      <c r="F17" s="873">
        <f>F16*Resumo!$B$7</f>
        <v>246524.33</v>
      </c>
      <c r="G17" s="873">
        <f>G16*Resumo!$B$7</f>
        <v>246524.33</v>
      </c>
      <c r="H17" s="873">
        <f>H16*Resumo!$B$7</f>
        <v>394438.92</v>
      </c>
      <c r="I17" s="873">
        <f>I16*Resumo!$B$7</f>
        <v>493048.65</v>
      </c>
      <c r="J17" s="873">
        <f>J16*Resumo!$B$7</f>
        <v>493048.65</v>
      </c>
      <c r="K17" s="873">
        <f>K16*Resumo!$B$7</f>
        <v>493048.65</v>
      </c>
      <c r="L17" s="873">
        <f>L16*Resumo!$B$7</f>
        <v>493048.65</v>
      </c>
      <c r="M17" s="873">
        <f>M16*Resumo!$B$7</f>
        <v>493048.65</v>
      </c>
      <c r="N17" s="873">
        <f>N16*Resumo!$B$7</f>
        <v>493048.65</v>
      </c>
      <c r="O17" s="873">
        <f>O16*Resumo!$B$7</f>
        <v>394438.92</v>
      </c>
      <c r="P17" s="873">
        <f>P16*Resumo!$B$7</f>
        <v>394438.92</v>
      </c>
      <c r="Q17" s="873">
        <f>Q16*Resumo!$B$7+0.01</f>
        <v>295829.2</v>
      </c>
      <c r="R17" s="864"/>
      <c r="S17" s="864"/>
      <c r="T17" s="880">
        <f>SUM(B17:S17)-0.01</f>
        <v>4930486.51</v>
      </c>
    </row>
    <row r="18" spans="1:20" ht="18" x14ac:dyDescent="0.2">
      <c r="A18" s="857"/>
      <c r="B18" s="858"/>
      <c r="C18" s="858"/>
      <c r="D18" s="858"/>
      <c r="E18" s="858"/>
      <c r="F18" s="858"/>
      <c r="G18" s="858"/>
      <c r="H18" s="858"/>
      <c r="I18" s="858"/>
      <c r="J18" s="858"/>
      <c r="K18" s="858"/>
      <c r="L18" s="858"/>
      <c r="M18" s="858"/>
      <c r="N18" s="858"/>
      <c r="O18" s="858"/>
      <c r="P18" s="858"/>
      <c r="Q18" s="858"/>
      <c r="R18" s="858"/>
      <c r="S18" s="858"/>
      <c r="T18" s="877"/>
    </row>
    <row r="19" spans="1:20" ht="16.5" x14ac:dyDescent="0.2">
      <c r="A19" s="859" t="s">
        <v>286</v>
      </c>
      <c r="B19" s="862"/>
      <c r="C19" s="866">
        <v>0.05</v>
      </c>
      <c r="D19" s="866">
        <v>0.05</v>
      </c>
      <c r="E19" s="866">
        <v>7.0000000000000007E-2</v>
      </c>
      <c r="F19" s="866">
        <v>0.1</v>
      </c>
      <c r="G19" s="866">
        <v>0.1</v>
      </c>
      <c r="H19" s="866">
        <v>0.15</v>
      </c>
      <c r="I19" s="866">
        <v>0.1</v>
      </c>
      <c r="J19" s="866">
        <v>0.1</v>
      </c>
      <c r="K19" s="866">
        <v>0.05</v>
      </c>
      <c r="L19" s="866">
        <v>0.08</v>
      </c>
      <c r="M19" s="866">
        <v>0.05</v>
      </c>
      <c r="N19" s="866">
        <v>0.05</v>
      </c>
      <c r="O19" s="866">
        <v>0.05</v>
      </c>
      <c r="P19" s="862"/>
      <c r="Q19" s="862"/>
      <c r="R19" s="862"/>
      <c r="S19" s="862"/>
      <c r="T19" s="878">
        <f>SUM(B19:S19)</f>
        <v>1</v>
      </c>
    </row>
    <row r="20" spans="1:20" ht="16.5" x14ac:dyDescent="0.2">
      <c r="A20" s="863"/>
      <c r="B20" s="865"/>
      <c r="C20" s="867">
        <f>C19*Resumo!$B$8</f>
        <v>206897.02</v>
      </c>
      <c r="D20" s="867">
        <f>D19*Resumo!$B$8</f>
        <v>206897.02</v>
      </c>
      <c r="E20" s="867">
        <f>E19*Resumo!$B$8</f>
        <v>289655.83</v>
      </c>
      <c r="F20" s="867">
        <f>F19*Resumo!$B$8</f>
        <v>413794.04</v>
      </c>
      <c r="G20" s="867">
        <f>G19*Resumo!$B$8</f>
        <v>413794.04</v>
      </c>
      <c r="H20" s="867">
        <f>H19*Resumo!$B$8+0.02</f>
        <v>620691.06999999995</v>
      </c>
      <c r="I20" s="867">
        <f>I19*Resumo!$B$8</f>
        <v>413794.04</v>
      </c>
      <c r="J20" s="867">
        <f>J19*Resumo!$B$8</f>
        <v>413794.04</v>
      </c>
      <c r="K20" s="867">
        <f>K19*Resumo!$B$8</f>
        <v>206897.02</v>
      </c>
      <c r="L20" s="867">
        <f>L19*Resumo!$B$8</f>
        <v>331035.23</v>
      </c>
      <c r="M20" s="867">
        <f>M19*Resumo!$B$8</f>
        <v>206897.02</v>
      </c>
      <c r="N20" s="867">
        <f>N19*Resumo!$B$8</f>
        <v>206897.02</v>
      </c>
      <c r="O20" s="867">
        <f>O19*Resumo!$B$8</f>
        <v>206897.02</v>
      </c>
      <c r="P20" s="865"/>
      <c r="Q20" s="865"/>
      <c r="R20" s="865"/>
      <c r="S20" s="865"/>
      <c r="T20" s="880">
        <f>SUM(C20:O20)</f>
        <v>4137940.41</v>
      </c>
    </row>
    <row r="21" spans="1:20" ht="18" x14ac:dyDescent="0.2">
      <c r="A21" s="857"/>
      <c r="B21" s="858"/>
      <c r="C21" s="858"/>
      <c r="D21" s="858"/>
      <c r="E21" s="858"/>
      <c r="F21" s="858"/>
      <c r="G21" s="858"/>
      <c r="H21" s="858"/>
      <c r="I21" s="858"/>
      <c r="J21" s="858"/>
      <c r="K21" s="858"/>
      <c r="L21" s="858"/>
      <c r="M21" s="858"/>
      <c r="N21" s="858"/>
      <c r="O21" s="858"/>
      <c r="P21" s="858"/>
      <c r="Q21" s="858"/>
      <c r="R21" s="858"/>
      <c r="S21" s="858"/>
      <c r="T21" s="877"/>
    </row>
    <row r="22" spans="1:20" ht="16.5" x14ac:dyDescent="0.2">
      <c r="A22" s="859" t="s">
        <v>279</v>
      </c>
      <c r="B22" s="862"/>
      <c r="C22" s="862"/>
      <c r="D22" s="862"/>
      <c r="E22" s="862"/>
      <c r="F22" s="862"/>
      <c r="G22" s="862"/>
      <c r="H22" s="862"/>
      <c r="I22" s="862"/>
      <c r="J22" s="862"/>
      <c r="K22" s="866">
        <v>0.1</v>
      </c>
      <c r="L22" s="866">
        <v>0.1</v>
      </c>
      <c r="M22" s="866">
        <v>0.15</v>
      </c>
      <c r="N22" s="866">
        <v>0.15</v>
      </c>
      <c r="O22" s="866">
        <v>0.1</v>
      </c>
      <c r="P22" s="866">
        <v>0.1</v>
      </c>
      <c r="Q22" s="866">
        <v>0.1</v>
      </c>
      <c r="R22" s="866">
        <v>0.1</v>
      </c>
      <c r="S22" s="866">
        <v>0.1</v>
      </c>
      <c r="T22" s="878">
        <f>SUM(B22:S22)</f>
        <v>1</v>
      </c>
    </row>
    <row r="23" spans="1:20" s="875" customFormat="1" ht="18" x14ac:dyDescent="0.2">
      <c r="A23" s="874"/>
      <c r="B23" s="876"/>
      <c r="C23" s="876"/>
      <c r="D23" s="876"/>
      <c r="E23" s="876"/>
      <c r="F23" s="876"/>
      <c r="G23" s="876"/>
      <c r="H23" s="876"/>
      <c r="I23" s="876"/>
      <c r="J23" s="867"/>
      <c r="K23" s="867">
        <f>K22*Resumo!$B$9</f>
        <v>114118.99</v>
      </c>
      <c r="L23" s="867">
        <f>L22*Resumo!$B$9</f>
        <v>114118.99</v>
      </c>
      <c r="M23" s="867">
        <f>M22*Resumo!$B$9</f>
        <v>171178.48</v>
      </c>
      <c r="N23" s="867">
        <f>N22*Resumo!$B$9-0.01</f>
        <v>171178.47</v>
      </c>
      <c r="O23" s="867">
        <f>O22*Resumo!$B$9</f>
        <v>114118.99</v>
      </c>
      <c r="P23" s="867">
        <f>P22*Resumo!$B$9</f>
        <v>114118.99</v>
      </c>
      <c r="Q23" s="867">
        <f>Q22*Resumo!$B$9</f>
        <v>114118.99</v>
      </c>
      <c r="R23" s="867">
        <f>R22*Resumo!$B$9</f>
        <v>114118.99</v>
      </c>
      <c r="S23" s="867">
        <f>S22*Resumo!$B$9</f>
        <v>114118.99</v>
      </c>
      <c r="T23" s="879">
        <f>SUM(B23:S23)-0.02</f>
        <v>1141189.8600000001</v>
      </c>
    </row>
    <row r="24" spans="1:20" ht="18" x14ac:dyDescent="0.2">
      <c r="A24" s="857"/>
      <c r="B24" s="858"/>
      <c r="C24" s="858"/>
      <c r="D24" s="858"/>
      <c r="E24" s="858"/>
      <c r="F24" s="858"/>
      <c r="G24" s="858"/>
      <c r="H24" s="858"/>
      <c r="I24" s="858"/>
      <c r="J24" s="858"/>
      <c r="K24" s="858"/>
      <c r="L24" s="858"/>
      <c r="M24" s="858"/>
      <c r="N24" s="858"/>
      <c r="O24" s="858"/>
      <c r="P24" s="858"/>
      <c r="Q24" s="858"/>
      <c r="R24" s="858"/>
      <c r="S24" s="858"/>
      <c r="T24" s="877"/>
    </row>
    <row r="25" spans="1:20" ht="16.5" x14ac:dyDescent="0.2">
      <c r="A25" s="859" t="s">
        <v>305</v>
      </c>
      <c r="B25" s="862"/>
      <c r="C25" s="862"/>
      <c r="D25" s="862"/>
      <c r="E25" s="866">
        <v>7.0000000000000007E-2</v>
      </c>
      <c r="F25" s="862"/>
      <c r="G25" s="862"/>
      <c r="H25" s="862"/>
      <c r="I25" s="862"/>
      <c r="J25" s="866">
        <v>0.08</v>
      </c>
      <c r="K25" s="866">
        <v>0.1</v>
      </c>
      <c r="L25" s="866">
        <v>0.1</v>
      </c>
      <c r="M25" s="866">
        <v>0.15</v>
      </c>
      <c r="N25" s="866">
        <v>0.1</v>
      </c>
      <c r="O25" s="866">
        <v>0.1</v>
      </c>
      <c r="P25" s="866">
        <v>0.08</v>
      </c>
      <c r="Q25" s="866">
        <v>0.08</v>
      </c>
      <c r="R25" s="866">
        <v>0.08</v>
      </c>
      <c r="S25" s="866">
        <v>0.06</v>
      </c>
      <c r="T25" s="878">
        <f>SUM(B25:S25)</f>
        <v>1</v>
      </c>
    </row>
    <row r="26" spans="1:20" s="875" customFormat="1" ht="18" x14ac:dyDescent="0.2">
      <c r="A26" s="874"/>
      <c r="B26" s="876"/>
      <c r="C26" s="876"/>
      <c r="D26" s="876"/>
      <c r="E26" s="867">
        <f>E25*Resumo!B10</f>
        <v>24557.14</v>
      </c>
      <c r="F26" s="876"/>
      <c r="G26" s="876"/>
      <c r="H26" s="867"/>
      <c r="I26" s="867"/>
      <c r="J26" s="867">
        <f>J25*Resumo!$B$10</f>
        <v>28065.3</v>
      </c>
      <c r="K26" s="867">
        <f>K25*Resumo!$B$10</f>
        <v>35081.620000000003</v>
      </c>
      <c r="L26" s="867">
        <f>L25*Resumo!$B$10</f>
        <v>35081.620000000003</v>
      </c>
      <c r="M26" s="867">
        <f>M25*Resumo!$B$10</f>
        <v>52622.43</v>
      </c>
      <c r="N26" s="867">
        <f>N25*Resumo!$B$10</f>
        <v>35081.620000000003</v>
      </c>
      <c r="O26" s="867">
        <f>O25*Resumo!$B$10</f>
        <v>35081.620000000003</v>
      </c>
      <c r="P26" s="867">
        <f>P25*Resumo!$B$10</f>
        <v>28065.3</v>
      </c>
      <c r="Q26" s="867">
        <f>Q25*Resumo!$B$10</f>
        <v>28065.3</v>
      </c>
      <c r="R26" s="867">
        <f>R25*Resumo!$B$10</f>
        <v>28065.3</v>
      </c>
      <c r="S26" s="867">
        <f>S25*Resumo!$B$10</f>
        <v>21048.97</v>
      </c>
      <c r="T26" s="879">
        <f>SUM(B26:S26)-0.02</f>
        <v>350816.2</v>
      </c>
    </row>
    <row r="27" spans="1:20" ht="15" x14ac:dyDescent="0.2">
      <c r="A27" s="868" t="s">
        <v>690</v>
      </c>
      <c r="B27" s="869">
        <f>B8+B11+B14+B17+B20+B23+B26</f>
        <v>200886.66</v>
      </c>
      <c r="C27" s="869">
        <f t="shared" ref="C27:M27" si="0">C8+C11+C14+C17+C20+C23+C26</f>
        <v>724597.98</v>
      </c>
      <c r="D27" s="869">
        <f t="shared" si="0"/>
        <v>1143739.71</v>
      </c>
      <c r="E27" s="869">
        <f t="shared" si="0"/>
        <v>1842252.46</v>
      </c>
      <c r="F27" s="869">
        <f t="shared" si="0"/>
        <v>2183053.89</v>
      </c>
      <c r="G27" s="869">
        <f t="shared" si="0"/>
        <v>1532737.41</v>
      </c>
      <c r="H27" s="869">
        <f t="shared" si="0"/>
        <v>1527526.97</v>
      </c>
      <c r="I27" s="869">
        <f t="shared" si="0"/>
        <v>1005401.91</v>
      </c>
      <c r="J27" s="869">
        <f t="shared" si="0"/>
        <v>1030815.21</v>
      </c>
      <c r="K27" s="869">
        <f t="shared" si="0"/>
        <v>885933.83</v>
      </c>
      <c r="L27" s="869">
        <f t="shared" si="0"/>
        <v>1006150.77</v>
      </c>
      <c r="M27" s="869">
        <f t="shared" si="0"/>
        <v>956612.86</v>
      </c>
      <c r="N27" s="869">
        <f>N8+N11+N14+N17+N20+N23+N26</f>
        <v>939072.04</v>
      </c>
      <c r="O27" s="869">
        <f t="shared" ref="O27" si="1">O8+O11+O14+O17+O20+O23+O26</f>
        <v>783402.83</v>
      </c>
      <c r="P27" s="869">
        <f t="shared" ref="P27" si="2">P8+P11+P14+P17+P20+P23+P26</f>
        <v>569489.49</v>
      </c>
      <c r="Q27" s="869">
        <f t="shared" ref="Q27" si="3">Q8+Q11+Q14+Q17+Q20+Q23+Q26</f>
        <v>465575.8</v>
      </c>
      <c r="R27" s="869">
        <f>R8+R11+R14+R17+R20+R23+R26+0.01</f>
        <v>169746.61</v>
      </c>
      <c r="S27" s="869">
        <f t="shared" ref="S27:T27" si="4">S8+S11+S14+S17+S20+S23+S26</f>
        <v>162730.25</v>
      </c>
      <c r="T27" s="869">
        <f t="shared" si="4"/>
        <v>17129726.609999999</v>
      </c>
    </row>
    <row r="28" spans="1:20" ht="15" x14ac:dyDescent="0.2">
      <c r="A28" s="868" t="s">
        <v>691</v>
      </c>
      <c r="B28" s="870">
        <f>B27</f>
        <v>200886.66</v>
      </c>
      <c r="C28" s="870">
        <f>B28+C27</f>
        <v>925484.64</v>
      </c>
      <c r="D28" s="870">
        <f t="shared" ref="D28:N28" si="5">C28+D27</f>
        <v>2069224.35</v>
      </c>
      <c r="E28" s="870">
        <f t="shared" si="5"/>
        <v>3911476.81</v>
      </c>
      <c r="F28" s="870">
        <f t="shared" si="5"/>
        <v>6094530.7000000002</v>
      </c>
      <c r="G28" s="870">
        <f t="shared" si="5"/>
        <v>7627268.1100000003</v>
      </c>
      <c r="H28" s="870">
        <f t="shared" si="5"/>
        <v>9154795.0800000001</v>
      </c>
      <c r="I28" s="870">
        <f t="shared" si="5"/>
        <v>10160196.99</v>
      </c>
      <c r="J28" s="870">
        <f t="shared" si="5"/>
        <v>11191012.199999999</v>
      </c>
      <c r="K28" s="870">
        <f t="shared" si="5"/>
        <v>12076946.029999999</v>
      </c>
      <c r="L28" s="870">
        <f t="shared" si="5"/>
        <v>13083096.800000001</v>
      </c>
      <c r="M28" s="870">
        <f t="shared" si="5"/>
        <v>14039709.66</v>
      </c>
      <c r="N28" s="870">
        <f t="shared" si="5"/>
        <v>14978781.699999999</v>
      </c>
      <c r="O28" s="870">
        <f>N28+O27-0.07</f>
        <v>15762184.460000001</v>
      </c>
      <c r="P28" s="870">
        <f>O28+P27</f>
        <v>16331673.949999999</v>
      </c>
      <c r="Q28" s="870">
        <f>P28+Q27</f>
        <v>16797249.75</v>
      </c>
      <c r="R28" s="870">
        <f t="shared" ref="R28:S28" si="6">Q28+R27</f>
        <v>16966996.359999999</v>
      </c>
      <c r="S28" s="870">
        <f t="shared" si="6"/>
        <v>17129726.609999999</v>
      </c>
      <c r="T28" s="882">
        <f>S28</f>
        <v>17129726.609999999</v>
      </c>
    </row>
    <row r="29" spans="1:20" x14ac:dyDescent="0.2">
      <c r="T29" s="906">
        <f>T8+T11+T14+T17+T20+T23+T26</f>
        <v>17129726.609999999</v>
      </c>
    </row>
  </sheetData>
  <mergeCells count="1">
    <mergeCell ref="A1:T1"/>
  </mergeCells>
  <pageMargins left="0.511811024" right="0.511811024" top="0.78740157499999996" bottom="0.78740157499999996" header="0.31496062000000002" footer="0.31496062000000002"/>
  <pageSetup paperSize="9" scale="5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5"/>
  <sheetViews>
    <sheetView view="pageBreakPreview" zoomScale="130" zoomScaleNormal="100" zoomScaleSheetLayoutView="130" workbookViewId="0">
      <selection activeCell="O15" sqref="O15"/>
    </sheetView>
  </sheetViews>
  <sheetFormatPr defaultColWidth="9" defaultRowHeight="12.75" x14ac:dyDescent="0.2"/>
  <cols>
    <col min="1" max="1" width="39.625" style="395" customWidth="1"/>
    <col min="2" max="19" width="5.25" style="395" customWidth="1"/>
    <col min="20" max="16384" width="9" style="395"/>
  </cols>
  <sheetData>
    <row r="1" spans="1:20" ht="18" x14ac:dyDescent="0.2">
      <c r="A1" s="930" t="s">
        <v>2943</v>
      </c>
      <c r="B1" s="931"/>
      <c r="C1" s="931"/>
      <c r="D1" s="931"/>
      <c r="E1" s="931"/>
      <c r="F1" s="931"/>
      <c r="G1" s="931"/>
      <c r="H1" s="931"/>
      <c r="I1" s="931"/>
      <c r="J1" s="931"/>
      <c r="K1" s="931"/>
      <c r="L1" s="931"/>
      <c r="M1" s="931"/>
      <c r="N1" s="931"/>
      <c r="O1" s="931"/>
      <c r="P1" s="931"/>
      <c r="Q1" s="931"/>
      <c r="R1" s="931"/>
      <c r="S1" s="1150"/>
      <c r="T1" s="1149"/>
    </row>
    <row r="2" spans="1:20" x14ac:dyDescent="0.2">
      <c r="A2" s="1151"/>
      <c r="B2" s="1152"/>
      <c r="C2" s="1152"/>
      <c r="D2" s="1152"/>
      <c r="E2" s="1152"/>
      <c r="F2" s="1152"/>
      <c r="G2" s="1152"/>
      <c r="H2" s="1152"/>
      <c r="I2" s="1152"/>
      <c r="J2" s="1152"/>
      <c r="K2" s="1152"/>
      <c r="L2" s="1152"/>
      <c r="M2" s="1152"/>
      <c r="N2" s="1152"/>
      <c r="O2" s="1152"/>
      <c r="P2" s="1152"/>
      <c r="Q2" s="1152"/>
      <c r="R2" s="1152"/>
      <c r="S2" s="1153"/>
      <c r="T2" s="1146"/>
    </row>
    <row r="3" spans="1:20" x14ac:dyDescent="0.2">
      <c r="A3" s="1147" t="s">
        <v>291</v>
      </c>
      <c r="B3" s="1154" t="s">
        <v>306</v>
      </c>
      <c r="C3" s="1155"/>
      <c r="D3" s="1155"/>
      <c r="E3" s="1155"/>
      <c r="F3" s="1155"/>
      <c r="G3" s="1155"/>
      <c r="H3" s="1155"/>
      <c r="I3" s="1155"/>
      <c r="J3" s="1155"/>
      <c r="K3" s="1155"/>
      <c r="L3" s="1155"/>
      <c r="M3" s="1155"/>
      <c r="N3" s="1155"/>
      <c r="O3" s="1155"/>
      <c r="P3" s="1155"/>
      <c r="Q3" s="1155"/>
      <c r="R3" s="1155"/>
      <c r="S3" s="1156"/>
      <c r="T3" s="1146"/>
    </row>
    <row r="4" spans="1:20" x14ac:dyDescent="0.2">
      <c r="A4" s="1147"/>
      <c r="B4" s="1148">
        <v>30</v>
      </c>
      <c r="C4" s="1148">
        <f t="shared" ref="C4:I4" si="0">+B4+30</f>
        <v>60</v>
      </c>
      <c r="D4" s="1148">
        <f t="shared" si="0"/>
        <v>90</v>
      </c>
      <c r="E4" s="1148">
        <f t="shared" si="0"/>
        <v>120</v>
      </c>
      <c r="F4" s="1148">
        <f t="shared" si="0"/>
        <v>150</v>
      </c>
      <c r="G4" s="1148">
        <f t="shared" si="0"/>
        <v>180</v>
      </c>
      <c r="H4" s="1148">
        <f t="shared" si="0"/>
        <v>210</v>
      </c>
      <c r="I4" s="1148">
        <f t="shared" si="0"/>
        <v>240</v>
      </c>
      <c r="J4" s="1148">
        <f t="shared" ref="J4" si="1">+I4+30</f>
        <v>270</v>
      </c>
      <c r="K4" s="1148">
        <f t="shared" ref="K4" si="2">+J4+30</f>
        <v>300</v>
      </c>
      <c r="L4" s="1148">
        <f t="shared" ref="L4" si="3">+K4+30</f>
        <v>330</v>
      </c>
      <c r="M4" s="1148">
        <f t="shared" ref="M4" si="4">+L4+30</f>
        <v>360</v>
      </c>
      <c r="N4" s="1148">
        <f t="shared" ref="N4" si="5">+M4+30</f>
        <v>390</v>
      </c>
      <c r="O4" s="1148">
        <f t="shared" ref="O4" si="6">+N4+30</f>
        <v>420</v>
      </c>
      <c r="P4" s="1148">
        <f t="shared" ref="P4" si="7">+O4+30</f>
        <v>450</v>
      </c>
      <c r="Q4" s="1148">
        <f t="shared" ref="Q4" si="8">+P4+30</f>
        <v>480</v>
      </c>
      <c r="R4" s="1148">
        <f t="shared" ref="R4" si="9">+Q4+30</f>
        <v>510</v>
      </c>
      <c r="S4" s="1148">
        <f t="shared" ref="S4" si="10">+R4+30</f>
        <v>540</v>
      </c>
      <c r="T4" s="1146"/>
    </row>
    <row r="5" spans="1:20" ht="10.5" customHeight="1" x14ac:dyDescent="0.2">
      <c r="A5" s="1145" t="str">
        <f>Resumo!A4</f>
        <v>ADMINISTRAÇÃO LOCAL E SERVIÇOS AUXILIARES</v>
      </c>
      <c r="B5" s="397"/>
      <c r="C5" s="397"/>
      <c r="D5" s="397"/>
      <c r="E5" s="397"/>
      <c r="F5" s="397"/>
      <c r="G5" s="397"/>
      <c r="H5" s="397"/>
      <c r="I5" s="397"/>
      <c r="J5" s="397"/>
      <c r="K5" s="397"/>
      <c r="L5" s="397"/>
      <c r="M5" s="397"/>
      <c r="N5" s="397"/>
      <c r="O5" s="397"/>
      <c r="P5" s="397"/>
      <c r="Q5" s="397"/>
      <c r="R5" s="397"/>
      <c r="S5" s="397"/>
    </row>
    <row r="6" spans="1:20" ht="10.5" customHeight="1" x14ac:dyDescent="0.2">
      <c r="A6" s="933"/>
      <c r="B6" s="399"/>
      <c r="C6" s="399"/>
      <c r="D6" s="399"/>
      <c r="E6" s="399"/>
      <c r="F6" s="399"/>
      <c r="G6" s="399"/>
      <c r="H6" s="399"/>
      <c r="I6" s="399"/>
      <c r="J6" s="399"/>
      <c r="K6" s="399"/>
      <c r="L6" s="399"/>
      <c r="M6" s="399"/>
      <c r="N6" s="399"/>
      <c r="O6" s="399"/>
      <c r="P6" s="399"/>
      <c r="Q6" s="399"/>
      <c r="R6" s="399"/>
      <c r="S6" s="399"/>
    </row>
    <row r="7" spans="1:20" ht="10.5" customHeight="1" x14ac:dyDescent="0.2">
      <c r="A7" s="933"/>
      <c r="B7" s="398"/>
      <c r="C7" s="398"/>
      <c r="D7" s="398"/>
      <c r="E7" s="398"/>
      <c r="F7" s="398"/>
      <c r="G7" s="398"/>
      <c r="H7" s="398"/>
      <c r="I7" s="398"/>
      <c r="J7" s="398"/>
      <c r="K7" s="398"/>
      <c r="L7" s="398"/>
      <c r="M7" s="398"/>
      <c r="N7" s="398"/>
      <c r="O7" s="398"/>
      <c r="P7" s="398"/>
      <c r="Q7" s="398"/>
      <c r="R7" s="398"/>
      <c r="S7" s="398"/>
    </row>
    <row r="8" spans="1:20" ht="10.5" customHeight="1" x14ac:dyDescent="0.2">
      <c r="A8" s="933" t="str">
        <f>Resumo!A5</f>
        <v>INSTALAÇÃO DE CANTEIRO. MOBILIZAÇÃO E DESMOBILIZAÇÃO</v>
      </c>
      <c r="B8" s="396"/>
      <c r="C8" s="396"/>
      <c r="D8" s="396"/>
      <c r="E8" s="396"/>
      <c r="F8" s="396"/>
      <c r="G8" s="396"/>
      <c r="H8" s="396"/>
      <c r="I8" s="396"/>
      <c r="J8" s="396"/>
      <c r="K8" s="396"/>
      <c r="L8" s="396"/>
      <c r="M8" s="396"/>
      <c r="N8" s="396"/>
      <c r="O8" s="396"/>
      <c r="P8" s="396"/>
      <c r="Q8" s="396"/>
      <c r="R8" s="396"/>
      <c r="S8" s="396"/>
    </row>
    <row r="9" spans="1:20" ht="10.5" customHeight="1" x14ac:dyDescent="0.2">
      <c r="A9" s="933"/>
      <c r="B9" s="397"/>
      <c r="C9" s="399"/>
      <c r="D9" s="399"/>
      <c r="E9" s="399"/>
      <c r="F9" s="399"/>
      <c r="G9" s="399"/>
      <c r="H9" s="399"/>
      <c r="I9" s="399"/>
      <c r="J9" s="399"/>
      <c r="K9" s="399"/>
      <c r="L9" s="399"/>
      <c r="M9" s="399"/>
      <c r="N9" s="399"/>
      <c r="O9" s="399"/>
      <c r="P9" s="399"/>
      <c r="Q9" s="399"/>
      <c r="R9" s="399"/>
      <c r="S9" s="399"/>
    </row>
    <row r="10" spans="1:20" ht="10.5" customHeight="1" x14ac:dyDescent="0.2">
      <c r="A10" s="933"/>
      <c r="B10" s="398"/>
      <c r="C10" s="398"/>
      <c r="D10" s="398"/>
      <c r="E10" s="398"/>
      <c r="F10" s="398"/>
      <c r="G10" s="398"/>
      <c r="H10" s="398"/>
      <c r="I10" s="398"/>
      <c r="J10" s="398"/>
      <c r="K10" s="398"/>
      <c r="L10" s="398"/>
      <c r="M10" s="398"/>
      <c r="N10" s="398"/>
      <c r="O10" s="398"/>
      <c r="P10" s="398"/>
      <c r="Q10" s="398"/>
      <c r="R10" s="398"/>
      <c r="S10" s="398"/>
    </row>
    <row r="11" spans="1:20" ht="10.5" customHeight="1" x14ac:dyDescent="0.2">
      <c r="A11" s="933" t="str">
        <f>Resumo!A6</f>
        <v>TERRAPLENAGEM</v>
      </c>
      <c r="B11" s="396"/>
      <c r="C11" s="396"/>
      <c r="D11" s="396"/>
      <c r="E11" s="396"/>
      <c r="F11" s="396"/>
      <c r="G11" s="396"/>
      <c r="H11" s="396"/>
      <c r="I11" s="396"/>
      <c r="J11" s="396"/>
      <c r="K11" s="396"/>
      <c r="L11" s="396"/>
      <c r="M11" s="396"/>
      <c r="N11" s="396"/>
      <c r="O11" s="396"/>
      <c r="P11" s="396"/>
      <c r="Q11" s="396"/>
      <c r="R11" s="396"/>
      <c r="S11" s="396"/>
    </row>
    <row r="12" spans="1:20" ht="10.5" customHeight="1" x14ac:dyDescent="0.2">
      <c r="A12" s="933"/>
      <c r="B12" s="399"/>
      <c r="C12" s="399"/>
      <c r="D12" s="399"/>
      <c r="E12" s="399"/>
      <c r="F12" s="399"/>
      <c r="G12" s="399"/>
      <c r="H12" s="399"/>
      <c r="I12" s="399"/>
      <c r="J12" s="399"/>
      <c r="K12" s="397"/>
      <c r="L12" s="397"/>
      <c r="M12" s="397"/>
      <c r="N12" s="397"/>
      <c r="O12" s="397"/>
      <c r="P12" s="397"/>
      <c r="Q12" s="397"/>
      <c r="R12" s="397"/>
      <c r="S12" s="397"/>
    </row>
    <row r="13" spans="1:20" ht="10.5" customHeight="1" x14ac:dyDescent="0.2">
      <c r="A13" s="933"/>
      <c r="B13" s="398"/>
      <c r="C13" s="398"/>
      <c r="D13" s="398"/>
      <c r="E13" s="398"/>
      <c r="F13" s="398"/>
      <c r="G13" s="398"/>
      <c r="H13" s="398"/>
      <c r="I13" s="398"/>
      <c r="J13" s="398"/>
      <c r="K13" s="398"/>
      <c r="L13" s="398"/>
      <c r="M13" s="398"/>
      <c r="N13" s="398"/>
      <c r="O13" s="398"/>
      <c r="P13" s="398"/>
      <c r="Q13" s="398"/>
      <c r="R13" s="398"/>
      <c r="S13" s="398"/>
    </row>
    <row r="14" spans="1:20" ht="10.5" customHeight="1" x14ac:dyDescent="0.2">
      <c r="A14" s="932" t="str">
        <f>Resumo!A7</f>
        <v>PAVIMENTAÇÃO</v>
      </c>
      <c r="B14" s="396"/>
      <c r="C14" s="396"/>
      <c r="D14" s="396"/>
      <c r="E14" s="396"/>
      <c r="F14" s="396"/>
      <c r="G14" s="396"/>
      <c r="H14" s="396"/>
      <c r="I14" s="396"/>
      <c r="J14" s="396"/>
      <c r="K14" s="396"/>
      <c r="L14" s="396"/>
      <c r="M14" s="396"/>
      <c r="N14" s="396"/>
      <c r="O14" s="396"/>
      <c r="P14" s="396"/>
      <c r="Q14" s="396"/>
      <c r="R14" s="396"/>
      <c r="S14" s="396"/>
    </row>
    <row r="15" spans="1:20" ht="10.5" customHeight="1" x14ac:dyDescent="0.2">
      <c r="A15" s="932"/>
      <c r="B15" s="397"/>
      <c r="C15" s="397"/>
      <c r="D15" s="397"/>
      <c r="E15" s="397"/>
      <c r="F15" s="399"/>
      <c r="G15" s="399"/>
      <c r="H15" s="399"/>
      <c r="I15" s="399"/>
      <c r="J15" s="399"/>
      <c r="K15" s="399"/>
      <c r="L15" s="399"/>
      <c r="M15" s="399"/>
      <c r="N15" s="399"/>
      <c r="O15" s="399"/>
      <c r="P15" s="399"/>
      <c r="Q15" s="399"/>
      <c r="R15" s="397"/>
      <c r="S15" s="397"/>
    </row>
    <row r="16" spans="1:20" ht="10.5" customHeight="1" x14ac:dyDescent="0.2">
      <c r="A16" s="932"/>
      <c r="B16" s="398"/>
      <c r="C16" s="398"/>
      <c r="D16" s="398"/>
      <c r="E16" s="398"/>
      <c r="F16" s="398"/>
      <c r="G16" s="398"/>
      <c r="H16" s="398"/>
      <c r="I16" s="398"/>
      <c r="J16" s="398"/>
      <c r="K16" s="398"/>
      <c r="L16" s="398"/>
      <c r="M16" s="398"/>
      <c r="N16" s="398"/>
      <c r="O16" s="398"/>
      <c r="P16" s="398"/>
      <c r="Q16" s="398"/>
      <c r="R16" s="398"/>
      <c r="S16" s="398"/>
    </row>
    <row r="17" spans="1:19" ht="10.5" customHeight="1" x14ac:dyDescent="0.2">
      <c r="A17" s="933" t="str">
        <f>Resumo!A8</f>
        <v>DRENAGEM E OAC</v>
      </c>
      <c r="B17" s="396"/>
      <c r="C17" s="396"/>
      <c r="D17" s="396"/>
      <c r="E17" s="396"/>
      <c r="F17" s="396"/>
      <c r="G17" s="396"/>
      <c r="H17" s="396"/>
      <c r="I17" s="396"/>
      <c r="J17" s="396"/>
      <c r="K17" s="396"/>
      <c r="L17" s="396"/>
      <c r="M17" s="396"/>
      <c r="N17" s="396"/>
      <c r="O17" s="396"/>
      <c r="P17" s="396"/>
      <c r="Q17" s="396"/>
      <c r="R17" s="396"/>
      <c r="S17" s="396"/>
    </row>
    <row r="18" spans="1:19" ht="10.5" customHeight="1" x14ac:dyDescent="0.2">
      <c r="A18" s="933"/>
      <c r="B18" s="397"/>
      <c r="C18" s="399"/>
      <c r="D18" s="399"/>
      <c r="E18" s="399"/>
      <c r="F18" s="399"/>
      <c r="G18" s="399"/>
      <c r="H18" s="399"/>
      <c r="I18" s="399"/>
      <c r="J18" s="399"/>
      <c r="K18" s="399"/>
      <c r="L18" s="399"/>
      <c r="M18" s="399"/>
      <c r="N18" s="399"/>
      <c r="O18" s="399"/>
      <c r="P18" s="397"/>
      <c r="Q18" s="397"/>
      <c r="R18" s="397"/>
      <c r="S18" s="397"/>
    </row>
    <row r="19" spans="1:19" ht="10.5" customHeight="1" x14ac:dyDescent="0.2">
      <c r="A19" s="933"/>
      <c r="B19" s="398"/>
      <c r="C19" s="398"/>
      <c r="D19" s="398"/>
      <c r="E19" s="398"/>
      <c r="F19" s="398"/>
      <c r="G19" s="398"/>
      <c r="H19" s="398"/>
      <c r="I19" s="398"/>
      <c r="J19" s="398"/>
      <c r="K19" s="398"/>
      <c r="L19" s="398"/>
      <c r="M19" s="398"/>
      <c r="N19" s="398"/>
      <c r="O19" s="398"/>
      <c r="P19" s="398"/>
      <c r="Q19" s="398"/>
      <c r="R19" s="398"/>
      <c r="S19" s="398"/>
    </row>
    <row r="20" spans="1:19" ht="10.5" customHeight="1" x14ac:dyDescent="0.2">
      <c r="A20" s="932" t="str">
        <f>Resumo!A9</f>
        <v>SINALIZAÇÃO</v>
      </c>
      <c r="B20" s="396"/>
      <c r="C20" s="396"/>
      <c r="D20" s="396"/>
      <c r="E20" s="396"/>
      <c r="F20" s="396"/>
      <c r="G20" s="396"/>
      <c r="H20" s="396"/>
      <c r="I20" s="396"/>
      <c r="J20" s="396"/>
      <c r="K20" s="396"/>
      <c r="L20" s="396"/>
      <c r="M20" s="396"/>
      <c r="N20" s="396"/>
      <c r="O20" s="396"/>
      <c r="P20" s="396"/>
      <c r="Q20" s="396"/>
      <c r="R20" s="396"/>
      <c r="S20" s="396"/>
    </row>
    <row r="21" spans="1:19" ht="10.5" customHeight="1" x14ac:dyDescent="0.2">
      <c r="A21" s="932"/>
      <c r="B21" s="397"/>
      <c r="C21" s="397"/>
      <c r="D21" s="397"/>
      <c r="E21" s="397"/>
      <c r="F21" s="397"/>
      <c r="G21" s="397"/>
      <c r="H21" s="397"/>
      <c r="I21" s="397"/>
      <c r="J21" s="397"/>
      <c r="K21" s="399"/>
      <c r="L21" s="399"/>
      <c r="M21" s="399"/>
      <c r="N21" s="399"/>
      <c r="O21" s="399"/>
      <c r="P21" s="399"/>
      <c r="Q21" s="399"/>
      <c r="R21" s="399"/>
      <c r="S21" s="399"/>
    </row>
    <row r="22" spans="1:19" ht="10.5" customHeight="1" x14ac:dyDescent="0.2">
      <c r="A22" s="932"/>
      <c r="B22" s="398"/>
      <c r="C22" s="398"/>
      <c r="D22" s="398"/>
      <c r="E22" s="398"/>
      <c r="F22" s="398"/>
      <c r="G22" s="398"/>
      <c r="H22" s="398"/>
      <c r="I22" s="398"/>
      <c r="J22" s="398"/>
      <c r="K22" s="398"/>
      <c r="L22" s="398"/>
      <c r="M22" s="398"/>
      <c r="N22" s="398"/>
      <c r="O22" s="398"/>
      <c r="P22" s="398"/>
      <c r="Q22" s="398"/>
      <c r="R22" s="398"/>
      <c r="S22" s="398"/>
    </row>
    <row r="23" spans="1:19" ht="10.5" customHeight="1" x14ac:dyDescent="0.2">
      <c r="A23" s="932" t="str">
        <f>Resumo!A10</f>
        <v>RECUPERAÇÃO AMBIENTAL</v>
      </c>
      <c r="B23" s="396"/>
      <c r="C23" s="396"/>
      <c r="D23" s="396"/>
      <c r="E23" s="396"/>
      <c r="F23" s="396"/>
      <c r="G23" s="396"/>
      <c r="H23" s="396"/>
      <c r="I23" s="396"/>
      <c r="J23" s="396"/>
      <c r="K23" s="396"/>
      <c r="L23" s="396"/>
      <c r="M23" s="396"/>
      <c r="N23" s="396"/>
      <c r="O23" s="396"/>
      <c r="P23" s="396"/>
      <c r="Q23" s="396"/>
      <c r="R23" s="396"/>
      <c r="S23" s="396"/>
    </row>
    <row r="24" spans="1:19" ht="10.5" customHeight="1" x14ac:dyDescent="0.2">
      <c r="A24" s="932"/>
      <c r="B24" s="397"/>
      <c r="C24" s="397"/>
      <c r="D24" s="397"/>
      <c r="E24" s="399"/>
      <c r="F24" s="397"/>
      <c r="G24" s="397"/>
      <c r="H24" s="397"/>
      <c r="I24" s="397"/>
      <c r="J24" s="399"/>
      <c r="K24" s="399"/>
      <c r="L24" s="399"/>
      <c r="M24" s="399"/>
      <c r="N24" s="399"/>
      <c r="O24" s="399"/>
      <c r="P24" s="399"/>
      <c r="Q24" s="399"/>
      <c r="R24" s="399"/>
      <c r="S24" s="399"/>
    </row>
    <row r="25" spans="1:19" ht="10.5" customHeight="1" x14ac:dyDescent="0.2">
      <c r="A25" s="932"/>
      <c r="B25" s="398"/>
      <c r="C25" s="398"/>
      <c r="D25" s="398"/>
      <c r="E25" s="398"/>
      <c r="F25" s="398"/>
      <c r="G25" s="398"/>
      <c r="H25" s="398"/>
      <c r="I25" s="398"/>
      <c r="J25" s="398"/>
      <c r="K25" s="398"/>
      <c r="L25" s="398"/>
      <c r="M25" s="398"/>
      <c r="N25" s="398"/>
      <c r="O25" s="398"/>
      <c r="P25" s="398"/>
      <c r="Q25" s="398"/>
      <c r="R25" s="398"/>
      <c r="S25" s="398"/>
    </row>
  </sheetData>
  <mergeCells count="10">
    <mergeCell ref="A1:S1"/>
    <mergeCell ref="B3:S3"/>
    <mergeCell ref="A20:A22"/>
    <mergeCell ref="A23:A25"/>
    <mergeCell ref="A11:A13"/>
    <mergeCell ref="A17:A19"/>
    <mergeCell ref="A3:A4"/>
    <mergeCell ref="A5:A7"/>
    <mergeCell ref="A8:A10"/>
    <mergeCell ref="A14:A16"/>
  </mergeCells>
  <pageMargins left="0.51181102362204722" right="0.51181102362204722" top="0.78740157480314965" bottom="0.78740157480314965" header="0.31496062992125984" footer="0.31496062992125984"/>
  <pageSetup paperSize="9" scale="8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75"/>
  <sheetViews>
    <sheetView view="pageBreakPreview" topLeftCell="A19" zoomScale="88" zoomScaleNormal="100" zoomScaleSheetLayoutView="100" zoomScalePageLayoutView="200" workbookViewId="0">
      <selection activeCell="A2" sqref="A2:R2"/>
    </sheetView>
  </sheetViews>
  <sheetFormatPr defaultColWidth="9" defaultRowHeight="12.75" x14ac:dyDescent="0.2"/>
  <cols>
    <col min="1" max="1" width="6.75" style="284" bestFit="1" customWidth="1"/>
    <col min="2" max="2" width="7.75" style="900" customWidth="1"/>
    <col min="3" max="3" width="47.375" style="283" customWidth="1"/>
    <col min="4" max="4" width="5.125" style="283" customWidth="1"/>
    <col min="5" max="5" width="1.5" style="284" customWidth="1"/>
    <col min="6" max="6" width="6.875" style="285" bestFit="1" customWidth="1"/>
    <col min="7" max="7" width="5.125" style="283" customWidth="1"/>
    <col min="8" max="8" width="1.5" style="284" customWidth="1"/>
    <col min="9" max="9" width="5.625" style="285" customWidth="1"/>
    <col min="10" max="10" width="12.5" style="286" bestFit="1" customWidth="1"/>
    <col min="11" max="11" width="11" style="290" customWidth="1"/>
    <col min="12" max="12" width="14.625" style="291" bestFit="1" customWidth="1"/>
    <col min="13" max="13" width="9.25" style="292" customWidth="1"/>
    <col min="14" max="14" width="15.875" style="541" bestFit="1" customWidth="1"/>
    <col min="15" max="15" width="11.625" style="288" customWidth="1"/>
    <col min="16" max="16" width="19.125" style="294" customWidth="1"/>
    <col min="17" max="17" width="9.125" style="294" customWidth="1"/>
    <col min="18" max="18" width="10.125" style="289" customWidth="1"/>
    <col min="19" max="19" width="13" style="281" bestFit="1" customWidth="1"/>
    <col min="20" max="20" width="9.25" style="281" customWidth="1"/>
    <col min="21" max="21" width="14.625" style="281" customWidth="1"/>
    <col min="22" max="22" width="16.5" style="281" customWidth="1"/>
    <col min="23" max="23" width="13.75" style="580" bestFit="1" customWidth="1"/>
    <col min="24" max="24" width="9" style="580"/>
    <col min="25" max="25" width="23.375" style="580" bestFit="1" customWidth="1"/>
    <col min="26" max="26" width="12.25" style="580" customWidth="1"/>
    <col min="27" max="27" width="11" style="580" bestFit="1" customWidth="1"/>
    <col min="28" max="28" width="12" style="580" bestFit="1" customWidth="1"/>
    <col min="29" max="16384" width="9" style="281"/>
  </cols>
  <sheetData>
    <row r="1" spans="1:28" x14ac:dyDescent="0.2">
      <c r="A1" s="944" t="s">
        <v>287</v>
      </c>
      <c r="B1" s="945"/>
      <c r="C1" s="945"/>
      <c r="D1" s="945"/>
      <c r="E1" s="945"/>
      <c r="F1" s="945"/>
      <c r="G1" s="945"/>
      <c r="H1" s="945"/>
      <c r="I1" s="945"/>
      <c r="J1" s="945"/>
      <c r="K1" s="945"/>
      <c r="L1" s="945"/>
      <c r="M1" s="945"/>
      <c r="N1" s="945"/>
      <c r="O1" s="945"/>
      <c r="P1" s="945"/>
      <c r="Q1" s="945"/>
      <c r="R1" s="946"/>
    </row>
    <row r="2" spans="1:28" x14ac:dyDescent="0.2">
      <c r="A2" s="947" t="s">
        <v>658</v>
      </c>
      <c r="B2" s="948"/>
      <c r="C2" s="948"/>
      <c r="D2" s="948"/>
      <c r="E2" s="948"/>
      <c r="F2" s="948"/>
      <c r="G2" s="948"/>
      <c r="H2" s="948"/>
      <c r="I2" s="948"/>
      <c r="J2" s="948"/>
      <c r="K2" s="948"/>
      <c r="L2" s="948"/>
      <c r="M2" s="948"/>
      <c r="N2" s="948"/>
      <c r="O2" s="948"/>
      <c r="P2" s="948"/>
      <c r="Q2" s="948"/>
      <c r="R2" s="949"/>
    </row>
    <row r="3" spans="1:28" x14ac:dyDescent="0.2">
      <c r="A3" s="956" t="s">
        <v>5</v>
      </c>
      <c r="B3" s="957"/>
      <c r="C3" s="950" t="s">
        <v>282</v>
      </c>
      <c r="D3" s="951"/>
      <c r="E3" s="951"/>
      <c r="F3" s="951"/>
      <c r="G3" s="951"/>
      <c r="H3" s="951"/>
      <c r="I3" s="951"/>
      <c r="J3" s="951"/>
      <c r="K3" s="951"/>
      <c r="L3" s="951"/>
      <c r="M3" s="951"/>
      <c r="N3" s="951"/>
      <c r="O3" s="951"/>
      <c r="P3" s="951"/>
      <c r="Q3" s="951"/>
      <c r="R3" s="952"/>
    </row>
    <row r="4" spans="1:28" x14ac:dyDescent="0.2">
      <c r="A4" s="649" t="s">
        <v>259</v>
      </c>
      <c r="B4" s="889" t="s">
        <v>59</v>
      </c>
      <c r="C4" s="953"/>
      <c r="D4" s="954"/>
      <c r="E4" s="954"/>
      <c r="F4" s="954"/>
      <c r="G4" s="954"/>
      <c r="H4" s="954"/>
      <c r="I4" s="954"/>
      <c r="J4" s="954"/>
      <c r="K4" s="954"/>
      <c r="L4" s="954"/>
      <c r="M4" s="954"/>
      <c r="N4" s="954"/>
      <c r="O4" s="954"/>
      <c r="P4" s="954"/>
      <c r="Q4" s="954"/>
      <c r="R4" s="955"/>
    </row>
    <row r="5" spans="1:28" x14ac:dyDescent="0.2">
      <c r="A5" s="287"/>
      <c r="B5" s="890"/>
      <c r="C5" s="331"/>
      <c r="H5" s="285"/>
      <c r="N5" s="306"/>
      <c r="O5" s="332"/>
      <c r="P5" s="307"/>
      <c r="Q5" s="307"/>
      <c r="R5" s="659"/>
      <c r="S5" s="593">
        <f>VLOOKUP("Total",C6:O2336,12,FALSE)</f>
        <v>18</v>
      </c>
      <c r="T5" s="593" t="str">
        <f>VLOOKUP("Total",C6:O2336,13,FALSE)</f>
        <v>vb</v>
      </c>
      <c r="U5" s="593"/>
    </row>
    <row r="6" spans="1:28" x14ac:dyDescent="0.2">
      <c r="A6" s="661">
        <v>1</v>
      </c>
      <c r="B6" s="752"/>
      <c r="C6" s="375" t="s">
        <v>350</v>
      </c>
      <c r="D6" s="376"/>
      <c r="E6" s="377"/>
      <c r="F6" s="378"/>
      <c r="G6" s="376"/>
      <c r="H6" s="377"/>
      <c r="I6" s="378"/>
      <c r="J6" s="379"/>
      <c r="K6" s="380"/>
      <c r="L6" s="381"/>
      <c r="M6" s="382"/>
      <c r="N6" s="381"/>
      <c r="O6" s="379"/>
      <c r="P6" s="383"/>
      <c r="Q6" s="383"/>
      <c r="R6" s="662"/>
      <c r="S6" s="593">
        <f>VLOOKUP("Total",C7:O2337,12,FALSE)</f>
        <v>18</v>
      </c>
      <c r="T6" s="593" t="str">
        <f>VLOOKUP("Total",C7:O2337,13,FALSE)</f>
        <v>vb</v>
      </c>
      <c r="U6" s="593"/>
    </row>
    <row r="7" spans="1:28" x14ac:dyDescent="0.2">
      <c r="A7" s="661" t="s">
        <v>223</v>
      </c>
      <c r="B7" s="752"/>
      <c r="C7" s="594" t="s">
        <v>354</v>
      </c>
      <c r="D7" s="376"/>
      <c r="E7" s="377"/>
      <c r="F7" s="378"/>
      <c r="G7" s="376"/>
      <c r="H7" s="377"/>
      <c r="I7" s="378"/>
      <c r="J7" s="379"/>
      <c r="K7" s="380"/>
      <c r="L7" s="381"/>
      <c r="M7" s="382"/>
      <c r="N7" s="381"/>
      <c r="O7" s="379"/>
      <c r="P7" s="383"/>
      <c r="Q7" s="383"/>
      <c r="R7" s="662"/>
      <c r="S7" s="593">
        <f>VLOOKUP("Total",C8:O2338,12,FALSE)</f>
        <v>18</v>
      </c>
      <c r="T7" s="593" t="str">
        <f>VLOOKUP("Total",C8:O2338,13,FALSE)</f>
        <v>vb</v>
      </c>
      <c r="U7" s="593"/>
    </row>
    <row r="8" spans="1:28" s="282" customFormat="1" x14ac:dyDescent="0.2">
      <c r="A8" s="674" t="s">
        <v>283</v>
      </c>
      <c r="B8" s="891" t="s">
        <v>659</v>
      </c>
      <c r="C8" s="335" t="str">
        <f>IF(MID(B8,1,2)="PR",VLOOKUP(B8,Composições!J:M,3,FALSE),IF(MID(B8,1,1)="6",VLOOKUP(B8,transp.!$A$4:$K$19,11,FALSE)&amp;" -  XP="&amp;TEXT(T737,"0.000")&amp;" / XR="&amp;TEXT(V737,"0.000"),VLOOKUP(B8,'DER 11-20'!$A$1:$I$1981,2,FALSE)))</f>
        <v>Administração local</v>
      </c>
      <c r="D8" s="934"/>
      <c r="E8" s="935"/>
      <c r="F8" s="936"/>
      <c r="G8" s="638"/>
      <c r="H8" s="639"/>
      <c r="I8" s="386"/>
      <c r="J8" s="337"/>
      <c r="K8" s="644"/>
      <c r="L8" s="291"/>
      <c r="M8" s="292"/>
      <c r="N8" s="641" t="str">
        <f>CONCATENATE("Total (",IF(MID(B8,1,2)="PR",VLOOKUP(B8,Composições!J:M,4,FALSE),IF(MID(B8,1,1)="6","t",VLOOKUP(B8,'DER 11-20'!$A$1:$I$1981,3,FALSE))),")")</f>
        <v>Total (vb)</v>
      </c>
      <c r="O8" s="339"/>
      <c r="P8" s="643"/>
      <c r="Q8" s="643"/>
      <c r="R8" s="658"/>
      <c r="S8" s="593">
        <f>VLOOKUP("Total",C9:O2339,12,FALSE)</f>
        <v>18</v>
      </c>
      <c r="T8" s="593" t="str">
        <f>VLOOKUP("Total",C9:O2339,13,FALSE)</f>
        <v>vb</v>
      </c>
      <c r="U8" s="593"/>
      <c r="W8" s="582"/>
      <c r="X8" s="582"/>
      <c r="Y8" s="582"/>
      <c r="Z8" s="582"/>
      <c r="AA8" s="582"/>
      <c r="AB8" s="582"/>
    </row>
    <row r="9" spans="1:28" x14ac:dyDescent="0.2">
      <c r="A9" s="655"/>
      <c r="B9" s="751"/>
      <c r="C9" s="342" t="s">
        <v>2</v>
      </c>
      <c r="D9" s="343"/>
      <c r="E9" s="340"/>
      <c r="F9" s="344"/>
      <c r="G9" s="343"/>
      <c r="H9" s="344"/>
      <c r="I9" s="344"/>
      <c r="J9" s="341"/>
      <c r="K9" s="345"/>
      <c r="L9" s="346"/>
      <c r="M9" s="347"/>
      <c r="N9" s="348">
        <v>18</v>
      </c>
      <c r="O9" s="349" t="s">
        <v>389</v>
      </c>
      <c r="P9" s="350"/>
      <c r="Q9" s="350"/>
      <c r="R9" s="656"/>
      <c r="S9" s="593">
        <f t="shared" ref="S9:S17" si="0">VLOOKUP("Total",C10:O2341,12,FALSE)</f>
        <v>10</v>
      </c>
      <c r="T9" s="593" t="str">
        <f t="shared" ref="T9:T17" si="1">VLOOKUP("Total",C10:O2341,13,FALSE)</f>
        <v>mês</v>
      </c>
      <c r="U9" s="593"/>
    </row>
    <row r="10" spans="1:28" x14ac:dyDescent="0.2">
      <c r="A10" s="287"/>
      <c r="B10" s="890"/>
      <c r="C10" s="331"/>
      <c r="H10" s="285"/>
      <c r="N10" s="306"/>
      <c r="O10" s="332"/>
      <c r="P10" s="307"/>
      <c r="Q10" s="307"/>
      <c r="R10" s="659"/>
      <c r="S10" s="593">
        <f t="shared" si="0"/>
        <v>10</v>
      </c>
      <c r="T10" s="593" t="str">
        <f t="shared" si="1"/>
        <v>mês</v>
      </c>
      <c r="U10" s="593"/>
    </row>
    <row r="11" spans="1:28" x14ac:dyDescent="0.2">
      <c r="A11" s="651" t="s">
        <v>441</v>
      </c>
      <c r="B11" s="890"/>
      <c r="C11" s="594" t="s">
        <v>355</v>
      </c>
      <c r="H11" s="285"/>
      <c r="N11" s="306"/>
      <c r="O11" s="332"/>
      <c r="P11" s="307"/>
      <c r="Q11" s="307"/>
      <c r="R11" s="659"/>
      <c r="S11" s="593">
        <f t="shared" si="0"/>
        <v>10</v>
      </c>
      <c r="T11" s="593" t="str">
        <f t="shared" si="1"/>
        <v>mês</v>
      </c>
      <c r="U11" s="593"/>
    </row>
    <row r="12" spans="1:28" x14ac:dyDescent="0.2">
      <c r="A12" s="652" t="s">
        <v>442</v>
      </c>
      <c r="B12" s="891" t="s">
        <v>660</v>
      </c>
      <c r="C12" s="335" t="str">
        <f>IF(MID(B12,1,2)="PR",VLOOKUP(B12,Composições!J:M,3,FALSE),IF(MID(B12,1,1)="6",VLOOKUP(B12,transp.!$A$4:$K$19,11,FALSE)&amp;" -  XP="&amp;TEXT(T741,"0.000")&amp;" / XR="&amp;TEXT(V741,"0.000"),VLOOKUP(B12,'DER 11-20'!$A$1:$I$1981,2,FALSE)))</f>
        <v>Equipe de Topografia</v>
      </c>
      <c r="D12" s="934"/>
      <c r="E12" s="935"/>
      <c r="F12" s="936"/>
      <c r="G12" s="638"/>
      <c r="H12" s="639"/>
      <c r="I12" s="386"/>
      <c r="J12" s="337"/>
      <c r="K12" s="644"/>
      <c r="L12" s="641" t="s">
        <v>273</v>
      </c>
      <c r="M12" s="645" t="s">
        <v>140</v>
      </c>
      <c r="N12" s="641" t="str">
        <f>CONCATENATE("Total (",IF(MID(B12,1,2)="PR",VLOOKUP(B12,Composições!J:M,4,FALSE),IF(MID(B12,1,1)="6","t",VLOOKUP(B12,'DER 11-20'!$A$1:$I$1981,3,FALSE))),")")</f>
        <v>Total (mês)</v>
      </c>
      <c r="O12" s="339"/>
      <c r="P12" s="643"/>
      <c r="Q12" s="643"/>
      <c r="R12" s="658"/>
      <c r="S12" s="593">
        <f t="shared" si="0"/>
        <v>10</v>
      </c>
      <c r="T12" s="593" t="str">
        <f t="shared" si="1"/>
        <v>mês</v>
      </c>
      <c r="U12" s="593"/>
    </row>
    <row r="13" spans="1:28" s="282" customFormat="1" x14ac:dyDescent="0.2">
      <c r="A13" s="287"/>
      <c r="B13" s="892"/>
      <c r="C13" s="336"/>
      <c r="D13" s="385"/>
      <c r="E13" s="639"/>
      <c r="F13" s="386"/>
      <c r="G13" s="385"/>
      <c r="H13" s="639"/>
      <c r="I13" s="386"/>
      <c r="J13" s="337"/>
      <c r="K13" s="338"/>
      <c r="L13" s="291">
        <v>1</v>
      </c>
      <c r="M13" s="292">
        <v>10</v>
      </c>
      <c r="N13" s="641">
        <f>M13*L13</f>
        <v>10</v>
      </c>
      <c r="O13" s="339"/>
      <c r="P13" s="643"/>
      <c r="Q13" s="643"/>
      <c r="R13" s="654"/>
      <c r="S13" s="593">
        <f t="shared" si="0"/>
        <v>10</v>
      </c>
      <c r="T13" s="593" t="str">
        <f t="shared" si="1"/>
        <v>mês</v>
      </c>
      <c r="U13" s="593"/>
      <c r="W13" s="582"/>
      <c r="X13" s="582"/>
      <c r="Y13" s="582"/>
      <c r="Z13" s="582"/>
      <c r="AA13" s="582"/>
      <c r="AB13" s="582"/>
    </row>
    <row r="14" spans="1:28" x14ac:dyDescent="0.2">
      <c r="A14" s="655"/>
      <c r="B14" s="751"/>
      <c r="C14" s="342" t="s">
        <v>2</v>
      </c>
      <c r="D14" s="343"/>
      <c r="E14" s="340"/>
      <c r="F14" s="344"/>
      <c r="G14" s="343"/>
      <c r="H14" s="344"/>
      <c r="I14" s="344"/>
      <c r="J14" s="341"/>
      <c r="K14" s="345"/>
      <c r="L14" s="346"/>
      <c r="M14" s="347"/>
      <c r="N14" s="348">
        <v>10</v>
      </c>
      <c r="O14" s="349" t="str">
        <f>IF(MID(B12,1,2)="PR",VLOOKUP(B12,Composições!J:M,4,FALSE),IF(MID(B12,1,1)="6",VLOOKUP(B12,transp.!$A$6:$K$35,3,FALSE),VLOOKUP(B12,'DER 11-20'!$A$1:$I$1981,3,FALSE)))</f>
        <v>mês</v>
      </c>
      <c r="P14" s="350"/>
      <c r="Q14" s="350"/>
      <c r="R14" s="656"/>
      <c r="S14" s="593">
        <f t="shared" si="0"/>
        <v>10</v>
      </c>
      <c r="T14" s="593" t="str">
        <f t="shared" si="1"/>
        <v>mês</v>
      </c>
      <c r="U14" s="593"/>
    </row>
    <row r="15" spans="1:28" x14ac:dyDescent="0.2">
      <c r="A15" s="287"/>
      <c r="B15" s="890"/>
      <c r="C15" s="331"/>
      <c r="H15" s="285"/>
      <c r="N15" s="306"/>
      <c r="O15" s="332"/>
      <c r="P15" s="307"/>
      <c r="Q15" s="307"/>
      <c r="R15" s="659"/>
      <c r="S15" s="593">
        <f t="shared" si="0"/>
        <v>10</v>
      </c>
      <c r="T15" s="593" t="str">
        <f t="shared" si="1"/>
        <v>mês</v>
      </c>
      <c r="U15" s="593"/>
    </row>
    <row r="16" spans="1:28" x14ac:dyDescent="0.2">
      <c r="A16" s="652" t="s">
        <v>443</v>
      </c>
      <c r="B16" s="891" t="s">
        <v>661</v>
      </c>
      <c r="C16" s="335" t="str">
        <f>IF(MID(B16,1,2)="PR",VLOOKUP(B16,Composições!J:M,3,FALSE),IF(MID(B16,1,1)="6",VLOOKUP(B16,transp.!$A$4:$K$19,11,FALSE)&amp;" -  XP="&amp;TEXT(T745,"0.000")&amp;" / XR="&amp;TEXT(V745,"0.000"),VLOOKUP(B16,'DER 11-20'!$A$1:$I$1981,2,FALSE)))</f>
        <v>Equipe de Laboratório</v>
      </c>
      <c r="D16" s="934"/>
      <c r="E16" s="935"/>
      <c r="F16" s="936"/>
      <c r="G16" s="638"/>
      <c r="H16" s="639"/>
      <c r="I16" s="386"/>
      <c r="J16" s="337"/>
      <c r="K16" s="644"/>
      <c r="L16" s="641" t="s">
        <v>273</v>
      </c>
      <c r="M16" s="645" t="s">
        <v>140</v>
      </c>
      <c r="N16" s="641" t="str">
        <f>CONCATENATE("Total (",IF(MID(B16,1,2)="PR",VLOOKUP(B16,Composições!J:M,4,FALSE),IF(MID(B16,1,1)="6","t",VLOOKUP(B16,'DER 11-20'!$A$1:$I$1981,3,FALSE))),")")</f>
        <v>Total (mês)</v>
      </c>
      <c r="O16" s="339"/>
      <c r="P16" s="643"/>
      <c r="Q16" s="643"/>
      <c r="R16" s="658"/>
      <c r="S16" s="593">
        <f t="shared" si="0"/>
        <v>10</v>
      </c>
      <c r="T16" s="593" t="str">
        <f t="shared" si="1"/>
        <v>mês</v>
      </c>
      <c r="U16" s="593"/>
    </row>
    <row r="17" spans="1:28" s="282" customFormat="1" x14ac:dyDescent="0.2">
      <c r="A17" s="287"/>
      <c r="B17" s="890"/>
      <c r="C17" s="336"/>
      <c r="D17" s="385"/>
      <c r="E17" s="639"/>
      <c r="F17" s="386"/>
      <c r="G17" s="385"/>
      <c r="H17" s="639"/>
      <c r="I17" s="386"/>
      <c r="J17" s="337"/>
      <c r="K17" s="338"/>
      <c r="L17" s="291">
        <v>1</v>
      </c>
      <c r="M17" s="292">
        <v>10</v>
      </c>
      <c r="N17" s="641">
        <f>M17*L17</f>
        <v>10</v>
      </c>
      <c r="O17" s="339"/>
      <c r="P17" s="643"/>
      <c r="Q17" s="643"/>
      <c r="R17" s="654"/>
      <c r="S17" s="593">
        <f t="shared" si="0"/>
        <v>10</v>
      </c>
      <c r="T17" s="593" t="str">
        <f t="shared" si="1"/>
        <v>mês</v>
      </c>
      <c r="U17" s="593"/>
      <c r="W17" s="582"/>
      <c r="X17" s="582"/>
      <c r="Y17" s="582"/>
      <c r="Z17" s="582"/>
      <c r="AA17" s="582"/>
      <c r="AB17" s="582"/>
    </row>
    <row r="18" spans="1:28" x14ac:dyDescent="0.2">
      <c r="A18" s="655"/>
      <c r="B18" s="751"/>
      <c r="C18" s="342" t="s">
        <v>2</v>
      </c>
      <c r="D18" s="343"/>
      <c r="E18" s="340"/>
      <c r="F18" s="344"/>
      <c r="G18" s="343"/>
      <c r="H18" s="344"/>
      <c r="I18" s="344"/>
      <c r="J18" s="341"/>
      <c r="K18" s="345"/>
      <c r="L18" s="346"/>
      <c r="M18" s="347"/>
      <c r="N18" s="348">
        <v>10</v>
      </c>
      <c r="O18" s="349" t="str">
        <f>IF(MID(B16,1,2)="PR",VLOOKUP(B16,Composições!J:M,4,FALSE),IF(MID(B16,1,1)="6",VLOOKUP(B16,transp.!$A$6:$K$35,3,FALSE),VLOOKUP(B16,'DER 11-20'!$A$1:$I$1981,3,FALSE)))</f>
        <v>mês</v>
      </c>
      <c r="P18" s="350"/>
      <c r="Q18" s="350"/>
      <c r="R18" s="656"/>
      <c r="S18" s="593"/>
      <c r="T18" s="593"/>
      <c r="U18" s="593"/>
    </row>
    <row r="19" spans="1:28" x14ac:dyDescent="0.2">
      <c r="A19" s="287"/>
      <c r="B19" s="890"/>
      <c r="N19" s="641"/>
      <c r="R19" s="667"/>
      <c r="S19" s="593">
        <f>VLOOKUP("Total",C20:O2204,12,FALSE)</f>
        <v>1000</v>
      </c>
      <c r="T19" s="593" t="str">
        <f>VLOOKUP("Total",C20:O2204,13,FALSE)</f>
        <v>M2</v>
      </c>
      <c r="U19" s="598"/>
      <c r="V19" s="580"/>
      <c r="W19" s="281"/>
      <c r="X19" s="281"/>
      <c r="Y19" s="281"/>
      <c r="Z19" s="281"/>
      <c r="AA19" s="281"/>
      <c r="AB19" s="281"/>
    </row>
    <row r="20" spans="1:28" x14ac:dyDescent="0.2">
      <c r="A20" s="661">
        <v>2</v>
      </c>
      <c r="B20" s="752"/>
      <c r="C20" s="375" t="s">
        <v>657</v>
      </c>
      <c r="D20" s="376"/>
      <c r="E20" s="377"/>
      <c r="F20" s="378"/>
      <c r="G20" s="376"/>
      <c r="H20" s="377"/>
      <c r="I20" s="378"/>
      <c r="J20" s="379"/>
      <c r="K20" s="380"/>
      <c r="L20" s="381"/>
      <c r="M20" s="382"/>
      <c r="N20" s="381"/>
      <c r="O20" s="379"/>
      <c r="P20" s="383"/>
      <c r="Q20" s="383"/>
      <c r="R20" s="662"/>
      <c r="S20" s="593">
        <f>VLOOKUP("Total",C21:O2205,12,FALSE)</f>
        <v>1000</v>
      </c>
      <c r="T20" s="593" t="str">
        <f>VLOOKUP("Total",C21:O2205,13,FALSE)</f>
        <v>M2</v>
      </c>
      <c r="U20" s="593"/>
      <c r="W20" s="281"/>
      <c r="X20" s="281"/>
      <c r="Y20" s="281"/>
      <c r="Z20" s="281"/>
      <c r="AA20" s="281"/>
      <c r="AB20" s="281"/>
    </row>
    <row r="21" spans="1:28" x14ac:dyDescent="0.2">
      <c r="A21" s="287"/>
      <c r="B21" s="890"/>
      <c r="C21" s="331"/>
      <c r="H21" s="285"/>
      <c r="N21" s="306"/>
      <c r="O21" s="332"/>
      <c r="P21" s="307"/>
      <c r="Q21" s="307"/>
      <c r="R21" s="659"/>
      <c r="S21" s="593">
        <f>VLOOKUP("Total",C22:O2207,12,FALSE)</f>
        <v>1000</v>
      </c>
      <c r="T21" s="593" t="str">
        <f>VLOOKUP("Total",C22:O2207,13,FALSE)</f>
        <v>M2</v>
      </c>
      <c r="U21" s="593"/>
      <c r="W21" s="281"/>
      <c r="X21" s="281"/>
      <c r="Y21" s="281"/>
      <c r="Z21" s="281"/>
      <c r="AA21" s="281"/>
      <c r="AB21" s="281"/>
    </row>
    <row r="22" spans="1:28" x14ac:dyDescent="0.2">
      <c r="A22" s="652" t="s">
        <v>124</v>
      </c>
      <c r="B22" s="891">
        <v>40077</v>
      </c>
      <c r="C22" s="335" t="str">
        <f>IF(MID(B22,1,2)="LG",VLOOKUP(B22,Composições!J:M,3,FALSE),IF(MID(B22,1,1)="6",VLOOKUP(B22,transp.!$A$4:$K$19,11,FALSE)&amp;" -  XP="&amp;TEXT(#REF!,"0.000")&amp;" / XR="&amp;TEXT(#REF!,"0.000"),VLOOKUP(B22,'DER 11-20'!$A$1:$I$1981,2,FALSE)))</f>
        <v>Roçada mecanizada</v>
      </c>
      <c r="D22" s="934" t="s">
        <v>7</v>
      </c>
      <c r="E22" s="935"/>
      <c r="F22" s="936"/>
      <c r="G22" s="638"/>
      <c r="H22" s="639"/>
      <c r="I22" s="386"/>
      <c r="J22" s="337" t="s">
        <v>266</v>
      </c>
      <c r="K22" s="644"/>
      <c r="L22" s="641"/>
      <c r="M22" s="645"/>
      <c r="N22" s="641" t="str">
        <f>CONCATENATE("Total (",IF(MID(B22,1,2)="LG",VLOOKUP(B22,Composições!J:M,4,FALSE),IF(MID(B22,1,1)="6","t",VLOOKUP(B22,'DER 11-20'!$A$1:$I$1981,3,FALSE))),")")</f>
        <v>Total (M2)</v>
      </c>
      <c r="O22" s="339"/>
      <c r="P22" s="643"/>
      <c r="Q22" s="643"/>
      <c r="R22" s="658"/>
      <c r="S22" s="593">
        <f>VLOOKUP("Total",C23:O2208,12,FALSE)</f>
        <v>1000</v>
      </c>
      <c r="T22" s="593" t="str">
        <f>VLOOKUP("Total",C23:O2208,13,FALSE)</f>
        <v>M2</v>
      </c>
      <c r="U22" s="593"/>
      <c r="W22" s="281"/>
      <c r="X22" s="281"/>
      <c r="Y22" s="281"/>
      <c r="Z22" s="281"/>
      <c r="AA22" s="281"/>
      <c r="AB22" s="281"/>
    </row>
    <row r="23" spans="1:28" x14ac:dyDescent="0.2">
      <c r="A23" s="655"/>
      <c r="B23" s="751"/>
      <c r="C23" s="342" t="s">
        <v>2</v>
      </c>
      <c r="D23" s="343"/>
      <c r="E23" s="340"/>
      <c r="F23" s="344"/>
      <c r="G23" s="343"/>
      <c r="H23" s="344"/>
      <c r="I23" s="344"/>
      <c r="J23" s="341"/>
      <c r="K23" s="345"/>
      <c r="L23" s="346"/>
      <c r="M23" s="347"/>
      <c r="N23" s="348">
        <v>1000</v>
      </c>
      <c r="O23" s="349" t="str">
        <f>IF(MID(B22,1,2)="LG",VLOOKUP(B22,Composições!J:M,4,FALSE),IF(MID(B22,1,1)="6",VLOOKUP(B22,transp.!$A$6:$K$35,3,FALSE),VLOOKUP(B22,'DER 11-20'!$A$1:$I$1981,3,FALSE)))</f>
        <v>M2</v>
      </c>
      <c r="P23" s="350"/>
      <c r="Q23" s="350"/>
      <c r="R23" s="656"/>
      <c r="S23" s="593">
        <f>VLOOKUP("Total",C24:O2210,12,FALSE)</f>
        <v>70</v>
      </c>
      <c r="T23" s="593" t="str">
        <f>VLOOKUP("Total",C24:O2210,13,FALSE)</f>
        <v>M3</v>
      </c>
      <c r="U23" s="593"/>
      <c r="W23" s="281"/>
      <c r="X23" s="281"/>
      <c r="Y23" s="281"/>
      <c r="Z23" s="281"/>
      <c r="AA23" s="281"/>
      <c r="AB23" s="281"/>
    </row>
    <row r="24" spans="1:28" x14ac:dyDescent="0.2">
      <c r="A24" s="287"/>
      <c r="B24" s="890"/>
      <c r="C24" s="331"/>
      <c r="H24" s="285"/>
      <c r="N24" s="306"/>
      <c r="O24" s="332"/>
      <c r="P24" s="307"/>
      <c r="Q24" s="307"/>
      <c r="R24" s="659"/>
      <c r="S24" s="593">
        <f>VLOOKUP("Total",C25:O2211,12,FALSE)</f>
        <v>70</v>
      </c>
      <c r="T24" s="593" t="str">
        <f>VLOOKUP("Total",C25:O2211,13,FALSE)</f>
        <v>M3</v>
      </c>
      <c r="U24" s="593"/>
      <c r="W24" s="281"/>
      <c r="X24" s="281"/>
      <c r="Y24" s="281"/>
      <c r="Z24" s="281"/>
      <c r="AA24" s="281"/>
      <c r="AB24" s="281"/>
    </row>
    <row r="25" spans="1:28" x14ac:dyDescent="0.2">
      <c r="A25" s="652" t="s">
        <v>125</v>
      </c>
      <c r="B25" s="891" t="s">
        <v>662</v>
      </c>
      <c r="C25" s="335" t="s">
        <v>444</v>
      </c>
      <c r="D25" s="934" t="s">
        <v>7</v>
      </c>
      <c r="E25" s="935"/>
      <c r="F25" s="936"/>
      <c r="G25" s="638"/>
      <c r="H25" s="639"/>
      <c r="I25" s="386"/>
      <c r="J25" s="337" t="s">
        <v>266</v>
      </c>
      <c r="K25" s="644"/>
      <c r="L25" s="641"/>
      <c r="M25" s="645"/>
      <c r="N25" s="641" t="s">
        <v>438</v>
      </c>
      <c r="O25" s="339"/>
      <c r="P25" s="643"/>
      <c r="Q25" s="643"/>
      <c r="R25" s="658"/>
      <c r="S25" s="593">
        <f>VLOOKUP("Total",C26:O2212,12,FALSE)</f>
        <v>70</v>
      </c>
      <c r="T25" s="593" t="str">
        <f>VLOOKUP("Total",C26:O2212,13,FALSE)</f>
        <v>M3</v>
      </c>
      <c r="U25" s="593"/>
      <c r="W25" s="281"/>
      <c r="X25" s="281"/>
      <c r="Y25" s="281"/>
      <c r="Z25" s="281"/>
      <c r="AA25" s="281"/>
      <c r="AB25" s="281"/>
    </row>
    <row r="26" spans="1:28" x14ac:dyDescent="0.2">
      <c r="A26" s="655"/>
      <c r="B26" s="751"/>
      <c r="C26" s="342" t="s">
        <v>2</v>
      </c>
      <c r="D26" s="343"/>
      <c r="E26" s="340"/>
      <c r="F26" s="344"/>
      <c r="G26" s="343"/>
      <c r="H26" s="344"/>
      <c r="I26" s="344"/>
      <c r="J26" s="341"/>
      <c r="K26" s="345"/>
      <c r="L26" s="346"/>
      <c r="M26" s="347"/>
      <c r="N26" s="348">
        <v>70</v>
      </c>
      <c r="O26" s="349" t="s">
        <v>395</v>
      </c>
      <c r="P26" s="350"/>
      <c r="Q26" s="350"/>
      <c r="R26" s="656"/>
      <c r="S26" s="593">
        <f>VLOOKUP("Total",C27:O2214,12,FALSE)</f>
        <v>50</v>
      </c>
      <c r="T26" s="593" t="str">
        <f>VLOOKUP("Total",C27:O2214,13,FALSE)</f>
        <v>M</v>
      </c>
      <c r="U26" s="593"/>
      <c r="W26" s="281"/>
      <c r="X26" s="281"/>
      <c r="Y26" s="281"/>
      <c r="Z26" s="281"/>
      <c r="AA26" s="281"/>
      <c r="AB26" s="281"/>
    </row>
    <row r="27" spans="1:28" x14ac:dyDescent="0.2">
      <c r="A27" s="287"/>
      <c r="B27" s="890"/>
      <c r="C27" s="331"/>
      <c r="H27" s="285"/>
      <c r="N27" s="306"/>
      <c r="O27" s="332"/>
      <c r="P27" s="307"/>
      <c r="Q27" s="307"/>
      <c r="R27" s="659"/>
      <c r="S27" s="593">
        <f>VLOOKUP("Total",C28:O2215,12,FALSE)</f>
        <v>50</v>
      </c>
      <c r="T27" s="593" t="str">
        <f>VLOOKUP("Total",C28:O2215,13,FALSE)</f>
        <v>M</v>
      </c>
      <c r="U27" s="593"/>
      <c r="W27" s="281"/>
      <c r="X27" s="281"/>
      <c r="Y27" s="281"/>
      <c r="Z27" s="281"/>
      <c r="AA27" s="281"/>
      <c r="AB27" s="281"/>
    </row>
    <row r="28" spans="1:28" ht="37.9" customHeight="1" x14ac:dyDescent="0.2">
      <c r="A28" s="652" t="s">
        <v>224</v>
      </c>
      <c r="B28" s="891">
        <v>100882</v>
      </c>
      <c r="C28" s="335" t="str">
        <f>IF(MID(B28,1,2)="LG",VLOOKUP(B28,Composições!J:M,3,FALSE),IF(MID(B28,1,1)="6",VLOOKUP(B28,transp.!$A$4:$K$19,11,FALSE)&amp;" -  XP="&amp;TEXT(#REF!,"0.000")&amp;" / XR="&amp;TEXT(#REF!,"0.000"),VLOOKUP(B28,'DER 11-20'!$A$1:$I$1981,2,FALSE)))</f>
        <v>Tapume Telha Metálica Ondulada 0,50mm Branca h=2,20m, incl. montagem estr. mad. 8"x8", incl. faixas pint. esmalte sintético c/ h=40cm (Reaproveitamento 2x)</v>
      </c>
      <c r="D28" s="934" t="s">
        <v>7</v>
      </c>
      <c r="E28" s="935"/>
      <c r="F28" s="936"/>
      <c r="G28" s="638"/>
      <c r="H28" s="639"/>
      <c r="I28" s="386"/>
      <c r="J28" s="337" t="s">
        <v>266</v>
      </c>
      <c r="K28" s="644"/>
      <c r="L28" s="641"/>
      <c r="M28" s="645"/>
      <c r="N28" s="641" t="str">
        <f>CONCATENATE("Total (",IF(MID(B28,1,2)="LG",VLOOKUP(B28,Composições!J:M,4,FALSE),IF(MID(B28,1,1)="6","t",VLOOKUP(B28,'DER 11-20'!$A$1:$I$1981,3,FALSE))),")")</f>
        <v>Total (M)</v>
      </c>
      <c r="O28" s="339"/>
      <c r="P28" s="643"/>
      <c r="Q28" s="643"/>
      <c r="R28" s="658"/>
      <c r="S28" s="593">
        <f>VLOOKUP("Total",C29:O2216,12,FALSE)</f>
        <v>50</v>
      </c>
      <c r="T28" s="593" t="str">
        <f>VLOOKUP("Total",C29:O2216,13,FALSE)</f>
        <v>M</v>
      </c>
      <c r="U28" s="593"/>
    </row>
    <row r="29" spans="1:28" x14ac:dyDescent="0.2">
      <c r="A29" s="655"/>
      <c r="B29" s="751"/>
      <c r="C29" s="342" t="s">
        <v>2</v>
      </c>
      <c r="D29" s="343"/>
      <c r="E29" s="340"/>
      <c r="F29" s="344"/>
      <c r="G29" s="343"/>
      <c r="H29" s="344"/>
      <c r="I29" s="344"/>
      <c r="J29" s="341"/>
      <c r="K29" s="345"/>
      <c r="L29" s="346"/>
      <c r="M29" s="347"/>
      <c r="N29" s="348">
        <v>50</v>
      </c>
      <c r="O29" s="349" t="str">
        <f>IF(MID(B28,1,2)="LG",VLOOKUP(B28,Composições!J:M,4,FALSE),IF(MID(B28,1,1)="6",VLOOKUP(B28,transp.!$A$6:$K$35,3,FALSE),VLOOKUP(B28,'DER 11-20'!$A$1:$I$1981,3,FALSE)))</f>
        <v>M</v>
      </c>
      <c r="P29" s="350"/>
      <c r="Q29" s="350"/>
      <c r="R29" s="656"/>
      <c r="S29" s="593">
        <f>VLOOKUP("Total",C30:O2218,12,FALSE)</f>
        <v>65</v>
      </c>
      <c r="T29" s="593" t="str">
        <f>VLOOKUP("Total",C30:O2218,13,FALSE)</f>
        <v>M</v>
      </c>
      <c r="U29" s="593"/>
    </row>
    <row r="30" spans="1:28" x14ac:dyDescent="0.2">
      <c r="A30" s="287"/>
      <c r="B30" s="890"/>
      <c r="C30" s="331"/>
      <c r="H30" s="285"/>
      <c r="N30" s="306"/>
      <c r="O30" s="332"/>
      <c r="P30" s="307"/>
      <c r="Q30" s="307"/>
      <c r="R30" s="659"/>
      <c r="S30" s="593">
        <f>VLOOKUP("Total",C31:O2219,12,FALSE)</f>
        <v>65</v>
      </c>
      <c r="T30" s="593" t="str">
        <f>VLOOKUP("Total",C31:O2219,13,FALSE)</f>
        <v>M</v>
      </c>
      <c r="U30" s="593"/>
    </row>
    <row r="31" spans="1:28" ht="40.15" customHeight="1" x14ac:dyDescent="0.2">
      <c r="A31" s="652" t="s">
        <v>225</v>
      </c>
      <c r="B31" s="891">
        <v>40901</v>
      </c>
      <c r="C31" s="335" t="str">
        <f>IF(MID(B31,1,2)="LG",VLOOKUP(B31,Composições!J:M,3,FALSE),IF(MID(B31,1,1)="6",VLOOKUP(B31,transp.!$A$4:$K$19,11,FALSE)&amp;" -  XP="&amp;TEXT(#REF!,"0.000")&amp;" / XR="&amp;TEXT(#REF!,"0.000"),VLOOKUP(B31,'DER 11-20'!$A$1:$I$1981,2,FALSE)))</f>
        <v>Cerca de arame liso 4 fios com mourões cada 2,0 m, esticadores de madeira, a cada 20,0 m, inclusive transporte de mourão e arame liso</v>
      </c>
      <c r="D31" s="934" t="s">
        <v>7</v>
      </c>
      <c r="E31" s="935"/>
      <c r="F31" s="936"/>
      <c r="G31" s="638"/>
      <c r="H31" s="639"/>
      <c r="I31" s="386"/>
      <c r="J31" s="337" t="s">
        <v>266</v>
      </c>
      <c r="K31" s="644"/>
      <c r="L31" s="641"/>
      <c r="M31" s="645"/>
      <c r="N31" s="641" t="str">
        <f>CONCATENATE("Total (",IF(MID(B31,1,2)="LG",VLOOKUP(B31,Composições!J:M,4,FALSE),IF(MID(B31,1,1)="6","t",VLOOKUP(B31,'DER 11-20'!$A$1:$I$1981,3,FALSE))),")")</f>
        <v>Total (M)</v>
      </c>
      <c r="O31" s="339"/>
      <c r="P31" s="643"/>
      <c r="Q31" s="643"/>
      <c r="R31" s="658"/>
      <c r="S31" s="593">
        <f>VLOOKUP("Total",C32:O2220,12,FALSE)</f>
        <v>65</v>
      </c>
      <c r="T31" s="593" t="str">
        <f>VLOOKUP("Total",C32:O2220,13,FALSE)</f>
        <v>M</v>
      </c>
      <c r="U31" s="593"/>
    </row>
    <row r="32" spans="1:28" x14ac:dyDescent="0.2">
      <c r="A32" s="655"/>
      <c r="B32" s="751"/>
      <c r="C32" s="342" t="s">
        <v>2</v>
      </c>
      <c r="D32" s="343"/>
      <c r="E32" s="340"/>
      <c r="F32" s="344"/>
      <c r="G32" s="343"/>
      <c r="H32" s="344"/>
      <c r="I32" s="344"/>
      <c r="J32" s="341"/>
      <c r="K32" s="345"/>
      <c r="L32" s="346"/>
      <c r="M32" s="347"/>
      <c r="N32" s="348">
        <v>65</v>
      </c>
      <c r="O32" s="349" t="str">
        <f>IF(MID(B31,1,2)="LG",VLOOKUP(B31,Composições!J:M,4,FALSE),IF(MID(B31,1,1)="6",VLOOKUP(B31,transp.!$A$6:$K$35,3,FALSE),VLOOKUP(B31,'DER 11-20'!$A$1:$I$1981,3,FALSE)))</f>
        <v>M</v>
      </c>
      <c r="P32" s="350"/>
      <c r="Q32" s="350"/>
      <c r="R32" s="656"/>
      <c r="S32" s="593">
        <f>VLOOKUP("Total",C33:O2222,12,FALSE)</f>
        <v>36</v>
      </c>
      <c r="T32" s="593" t="str">
        <f>VLOOKUP("Total",C33:O2222,13,FALSE)</f>
        <v>M2</v>
      </c>
      <c r="U32" s="593"/>
    </row>
    <row r="33" spans="1:28" x14ac:dyDescent="0.2">
      <c r="A33" s="287"/>
      <c r="B33" s="891"/>
      <c r="C33" s="331"/>
      <c r="H33" s="285"/>
      <c r="N33" s="306"/>
      <c r="O33" s="332"/>
      <c r="P33" s="307"/>
      <c r="Q33" s="307"/>
      <c r="R33" s="659"/>
      <c r="S33" s="593">
        <f>VLOOKUP("Total",C34:O2223,12,FALSE)</f>
        <v>36</v>
      </c>
      <c r="T33" s="593" t="str">
        <f>VLOOKUP("Total",C34:O2223,13,FALSE)</f>
        <v>M2</v>
      </c>
      <c r="U33" s="593"/>
    </row>
    <row r="34" spans="1:28" s="282" customFormat="1" x14ac:dyDescent="0.2">
      <c r="A34" s="652" t="s">
        <v>226</v>
      </c>
      <c r="B34" s="891">
        <v>41500</v>
      </c>
      <c r="C34" s="335" t="str">
        <f>IF(MID(B34,1,2)="LG",VLOOKUP(B34,Composições!J:M,3,FALSE),IF(MID(B34,1,1)="6",VLOOKUP(B34,transp.!$A$4:$K$19,11,FALSE)&amp;" -  XP="&amp;TEXT(T617,"0.000")&amp;" / XR="&amp;TEXT(V617,"0.000"),VLOOKUP(B34,'DER 11-20'!$A$1:$I$1981,2,FALSE)))</f>
        <v>Placa de obra nas dimensões de 3,0 x 6,0 m, padrão DER-ES</v>
      </c>
      <c r="D34" s="934"/>
      <c r="E34" s="935"/>
      <c r="F34" s="936"/>
      <c r="G34" s="638"/>
      <c r="H34" s="639"/>
      <c r="I34" s="386"/>
      <c r="J34" s="337" t="s">
        <v>266</v>
      </c>
      <c r="K34" s="644" t="s">
        <v>271</v>
      </c>
      <c r="L34" s="291" t="s">
        <v>272</v>
      </c>
      <c r="M34" s="292" t="s">
        <v>273</v>
      </c>
      <c r="N34" s="641" t="str">
        <f>CONCATENATE("Total (",IF(MID(B34,1,2)="LG",VLOOKUP(B34,Composições!J:M,4,FALSE),IF(MID(B34,1,1)="6","t",VLOOKUP(B34,'DER 11-20'!$A$1:$I$1981,3,FALSE))),")")</f>
        <v>Total (M2)</v>
      </c>
      <c r="O34" s="339"/>
      <c r="P34" s="643"/>
      <c r="Q34" s="643"/>
      <c r="R34" s="658"/>
      <c r="S34" s="593">
        <f>VLOOKUP("Total",C35:O2224,12,FALSE)</f>
        <v>36</v>
      </c>
      <c r="T34" s="593" t="str">
        <f>VLOOKUP("Total",C35:O2224,13,FALSE)</f>
        <v>M2</v>
      </c>
      <c r="U34" s="593"/>
      <c r="W34" s="582"/>
      <c r="X34" s="582"/>
      <c r="Y34" s="582"/>
      <c r="Z34" s="582"/>
      <c r="AA34" s="582"/>
      <c r="AB34" s="582"/>
    </row>
    <row r="35" spans="1:28" x14ac:dyDescent="0.2">
      <c r="A35" s="655"/>
      <c r="B35" s="751"/>
      <c r="C35" s="342" t="s">
        <v>2</v>
      </c>
      <c r="D35" s="343"/>
      <c r="E35" s="340"/>
      <c r="F35" s="344"/>
      <c r="G35" s="343"/>
      <c r="H35" s="344"/>
      <c r="I35" s="344"/>
      <c r="J35" s="341"/>
      <c r="K35" s="345"/>
      <c r="L35" s="346"/>
      <c r="M35" s="347"/>
      <c r="N35" s="348">
        <v>36</v>
      </c>
      <c r="O35" s="349" t="str">
        <f>IF(MID(B34,1,2)="LG",VLOOKUP(B34,Composições!J:M,4,FALSE),IF(MID(B34,1,1)="6",VLOOKUP(B34,transp.!$A$6:$K$35,3,FALSE),VLOOKUP(B34,'DER 11-20'!$A$1:$I$1981,3,FALSE)))</f>
        <v>M2</v>
      </c>
      <c r="P35" s="350"/>
      <c r="Q35" s="350"/>
      <c r="R35" s="656"/>
      <c r="S35" s="593">
        <f>VLOOKUP("Total",C36:O2229,12,FALSE)</f>
        <v>6</v>
      </c>
      <c r="T35" s="593" t="str">
        <f>VLOOKUP("Total",C36:O2229,13,FALSE)</f>
        <v>M2</v>
      </c>
      <c r="U35" s="593"/>
    </row>
    <row r="36" spans="1:28" x14ac:dyDescent="0.2">
      <c r="A36" s="287"/>
      <c r="B36" s="890"/>
      <c r="C36" s="331"/>
      <c r="H36" s="285"/>
      <c r="N36" s="306"/>
      <c r="O36" s="332"/>
      <c r="P36" s="307"/>
      <c r="Q36" s="307"/>
      <c r="R36" s="659"/>
      <c r="S36" s="593">
        <f>VLOOKUP("Total",C37:O2230,12,FALSE)</f>
        <v>6</v>
      </c>
      <c r="T36" s="593" t="str">
        <f>VLOOKUP("Total",C37:O2230,13,FALSE)</f>
        <v>M2</v>
      </c>
      <c r="U36" s="593"/>
    </row>
    <row r="37" spans="1:28" ht="40.15" customHeight="1" x14ac:dyDescent="0.2">
      <c r="A37" s="652" t="s">
        <v>227</v>
      </c>
      <c r="B37" s="891">
        <v>41498</v>
      </c>
      <c r="C37" s="335" t="str">
        <f>IF(MID(B37,1,2)="LG",VLOOKUP(B37,Composições!J:M,3,FALSE),IF(MID(B37,1,1)="6",VLOOKUP(B37,transp.!$A$4:$K$19,11,FALSE)&amp;" -  XP="&amp;TEXT(T621,"0.000")&amp;" / XR="&amp;TEXT(V621,"0.000"),VLOOKUP(B37,'DER 11-20'!$A$1:$I$1981,2,FALSE)))&amp;" - "&amp;TEXT(C38,"0.000")</f>
        <v>Barracão com sanitário, em chapa compensada 12 mm e pont. 8x8cm, piso cimentado e cobertura em telha de fibroc. 6mm, incl. ponto de luz e cx. inspeção - (Guarita)</v>
      </c>
      <c r="D37" s="934" t="s">
        <v>7</v>
      </c>
      <c r="E37" s="935"/>
      <c r="F37" s="936"/>
      <c r="G37" s="638"/>
      <c r="H37" s="639"/>
      <c r="I37" s="386"/>
      <c r="J37" s="337" t="s">
        <v>266</v>
      </c>
      <c r="K37" s="644"/>
      <c r="N37" s="641" t="str">
        <f>CONCATENATE("Total (",IF(MID(B37,1,2)="LG",VLOOKUP(B37,Composições!J:M,4,FALSE),IF(MID(B37,1,1)="6","t",VLOOKUP(B37,'DER 11-20'!$A$1:$I$1981,3,FALSE))),")")</f>
        <v>Total (M2)</v>
      </c>
      <c r="O37" s="339"/>
      <c r="P37" s="643"/>
      <c r="Q37" s="643"/>
      <c r="R37" s="658"/>
      <c r="S37" s="593">
        <f>VLOOKUP("Total",C39:O2231,12,FALSE)</f>
        <v>6</v>
      </c>
      <c r="T37" s="593" t="str">
        <f>VLOOKUP("Total",C39:O2231,13,FALSE)</f>
        <v>M2</v>
      </c>
      <c r="U37" s="593"/>
    </row>
    <row r="38" spans="1:28" ht="18.600000000000001" customHeight="1" x14ac:dyDescent="0.2">
      <c r="A38" s="652"/>
      <c r="B38" s="891"/>
      <c r="C38" s="335" t="s">
        <v>445</v>
      </c>
      <c r="D38" s="753"/>
      <c r="E38" s="754"/>
      <c r="F38" s="754"/>
      <c r="G38" s="753"/>
      <c r="H38" s="754"/>
      <c r="I38" s="386"/>
      <c r="J38" s="337"/>
      <c r="K38" s="725"/>
      <c r="N38" s="728"/>
      <c r="O38" s="339"/>
      <c r="P38" s="755"/>
      <c r="Q38" s="755"/>
      <c r="R38" s="658"/>
      <c r="S38" s="593"/>
      <c r="T38" s="593"/>
      <c r="U38" s="593"/>
    </row>
    <row r="39" spans="1:28" x14ac:dyDescent="0.2">
      <c r="A39" s="655"/>
      <c r="B39" s="751"/>
      <c r="C39" s="342" t="s">
        <v>2</v>
      </c>
      <c r="D39" s="343"/>
      <c r="E39" s="340"/>
      <c r="F39" s="344"/>
      <c r="G39" s="343"/>
      <c r="H39" s="344"/>
      <c r="I39" s="344"/>
      <c r="J39" s="341"/>
      <c r="K39" s="345"/>
      <c r="L39" s="346"/>
      <c r="M39" s="347"/>
      <c r="N39" s="348">
        <v>6</v>
      </c>
      <c r="O39" s="349" t="str">
        <f>IF(MID(B37,1,2)="LG",VLOOKUP(B37,Composições!J:M,4,FALSE),IF(MID(B37,1,1)="6",VLOOKUP(B37,transp.!$A$6:$K$35,3,FALSE),VLOOKUP(B37,'DER 11-20'!$A$1:$I$1981,3,FALSE)))</f>
        <v>M2</v>
      </c>
      <c r="P39" s="350"/>
      <c r="Q39" s="350"/>
      <c r="R39" s="656"/>
      <c r="S39" s="593">
        <f>VLOOKUP("Total",C40:O2233,12,FALSE)</f>
        <v>8</v>
      </c>
      <c r="T39" s="593" t="str">
        <f>VLOOKUP("Total",C40:O2233,13,FALSE)</f>
        <v>M2</v>
      </c>
      <c r="U39" s="593"/>
    </row>
    <row r="40" spans="1:28" x14ac:dyDescent="0.2">
      <c r="A40" s="287"/>
      <c r="B40" s="890"/>
      <c r="C40" s="331"/>
      <c r="H40" s="285"/>
      <c r="N40" s="306"/>
      <c r="O40" s="332"/>
      <c r="P40" s="307"/>
      <c r="Q40" s="307"/>
      <c r="R40" s="659"/>
      <c r="S40" s="593">
        <f>VLOOKUP("Total",C41:O2234,12,FALSE)</f>
        <v>8</v>
      </c>
      <c r="T40" s="593" t="str">
        <f>VLOOKUP("Total",C41:O2234,13,FALSE)</f>
        <v>M2</v>
      </c>
      <c r="U40" s="593"/>
    </row>
    <row r="41" spans="1:28" ht="43.15" customHeight="1" x14ac:dyDescent="0.2">
      <c r="A41" s="652" t="s">
        <v>228</v>
      </c>
      <c r="B41" s="891">
        <v>41498</v>
      </c>
      <c r="C41" s="335" t="str">
        <f>IF(MID(B41,1,2)="LG",VLOOKUP(B41,Composições!J:M,3,FALSE),IF(MID(B41,1,1)="6",VLOOKUP(B41,transp.!$A$4:$K$19,11,FALSE)&amp;" -  XP="&amp;TEXT(T625,"0.000")&amp;" / XR="&amp;TEXT(V625,"0.000"),VLOOKUP(B41,'DER 11-20'!$A$1:$I$1981,2,FALSE)))&amp;" - "&amp;TEXT(C42,"0.000")</f>
        <v>Barracão com sanitário, em chapa compensada 12 mm e pont. 8x8cm, piso cimentado e cobertura em telha de fibroc. 6mm, incl. ponto de luz e cx. inspeção - (Segurança do Trabalho)</v>
      </c>
      <c r="D41" s="934" t="s">
        <v>7</v>
      </c>
      <c r="E41" s="935"/>
      <c r="F41" s="936"/>
      <c r="G41" s="638"/>
      <c r="H41" s="639"/>
      <c r="I41" s="386"/>
      <c r="J41" s="337" t="s">
        <v>266</v>
      </c>
      <c r="K41" s="644"/>
      <c r="N41" s="641" t="str">
        <f>CONCATENATE("Total (",IF(MID(B41,1,2)="LG",VLOOKUP(B41,Composições!J:M,4,FALSE),IF(MID(B41,1,1)="6","t",VLOOKUP(B41,'DER 11-20'!$A$1:$I$1981,3,FALSE))),")")</f>
        <v>Total (M2)</v>
      </c>
      <c r="O41" s="339"/>
      <c r="P41" s="643"/>
      <c r="Q41" s="643"/>
      <c r="R41" s="658"/>
      <c r="S41" s="593">
        <f>VLOOKUP("Total",C43:O2235,12,FALSE)</f>
        <v>8</v>
      </c>
      <c r="T41" s="593" t="str">
        <f>VLOOKUP("Total",C43:O2235,13,FALSE)</f>
        <v>M2</v>
      </c>
      <c r="U41" s="593"/>
    </row>
    <row r="42" spans="1:28" x14ac:dyDescent="0.2">
      <c r="A42" s="652"/>
      <c r="B42" s="891"/>
      <c r="C42" s="335" t="s">
        <v>446</v>
      </c>
      <c r="D42" s="753"/>
      <c r="E42" s="754"/>
      <c r="F42" s="754"/>
      <c r="G42" s="753"/>
      <c r="H42" s="754"/>
      <c r="I42" s="386"/>
      <c r="J42" s="337"/>
      <c r="K42" s="725"/>
      <c r="N42" s="728"/>
      <c r="O42" s="339"/>
      <c r="P42" s="755"/>
      <c r="Q42" s="755"/>
      <c r="R42" s="658"/>
      <c r="S42" s="593"/>
      <c r="T42" s="593"/>
      <c r="U42" s="593"/>
    </row>
    <row r="43" spans="1:28" x14ac:dyDescent="0.2">
      <c r="A43" s="655"/>
      <c r="B43" s="751"/>
      <c r="C43" s="342" t="s">
        <v>2</v>
      </c>
      <c r="D43" s="343"/>
      <c r="E43" s="340"/>
      <c r="F43" s="344"/>
      <c r="G43" s="343"/>
      <c r="H43" s="344"/>
      <c r="I43" s="344"/>
      <c r="J43" s="341"/>
      <c r="K43" s="345"/>
      <c r="L43" s="346"/>
      <c r="M43" s="347"/>
      <c r="N43" s="348">
        <v>8</v>
      </c>
      <c r="O43" s="349" t="str">
        <f>IF(MID(B41,1,2)="LG",VLOOKUP(B41,Composições!J:M,4,FALSE),IF(MID(B41,1,1)="6",VLOOKUP(B41,transp.!$A$6:$K$35,3,FALSE),VLOOKUP(B41,'DER 11-20'!$A$1:$I$1981,3,FALSE)))</f>
        <v>M2</v>
      </c>
      <c r="P43" s="350"/>
      <c r="Q43" s="350"/>
      <c r="R43" s="656"/>
      <c r="S43" s="593">
        <f>VLOOKUP("Total",C44:O2237,12,FALSE)</f>
        <v>16</v>
      </c>
      <c r="T43" s="593" t="str">
        <f>VLOOKUP("Total",C44:O2237,13,FALSE)</f>
        <v>M2</v>
      </c>
      <c r="U43" s="593"/>
    </row>
    <row r="44" spans="1:28" x14ac:dyDescent="0.2">
      <c r="A44" s="287"/>
      <c r="B44" s="890"/>
      <c r="C44" s="331"/>
      <c r="H44" s="285"/>
      <c r="N44" s="306"/>
      <c r="O44" s="332"/>
      <c r="P44" s="307"/>
      <c r="Q44" s="307"/>
      <c r="R44" s="659"/>
      <c r="S44" s="593">
        <f>VLOOKUP("Total",C45:O2238,12,FALSE)</f>
        <v>16</v>
      </c>
      <c r="T44" s="593" t="str">
        <f>VLOOKUP("Total",C45:O2238,13,FALSE)</f>
        <v>M2</v>
      </c>
      <c r="U44" s="593"/>
    </row>
    <row r="45" spans="1:28" ht="38.25" x14ac:dyDescent="0.2">
      <c r="A45" s="652" t="s">
        <v>229</v>
      </c>
      <c r="B45" s="891">
        <v>41498</v>
      </c>
      <c r="C45" s="335" t="str">
        <f>IF(MID(B45,1,2)="LG",VLOOKUP(B45,Composições!J:M,3,FALSE),IF(MID(B45,1,1)="6",VLOOKUP(B45,transp.!$A$4:$K$19,11,FALSE)&amp;" -  XP="&amp;TEXT(T629,"0.000")&amp;" / XR="&amp;TEXT(V629,"0.000"),VLOOKUP(B45,'DER 11-20'!$A$1:$I$1981,2,FALSE)))&amp;" - "&amp;TEXT(C46,"0.000")</f>
        <v>Barracão com sanitário, em chapa compensada 12 mm e pont. 8x8cm, piso cimentado e cobertura em telha de fibroc. 6mm, incl. ponto de luz e cx. inspeção - (Administração)</v>
      </c>
      <c r="D45" s="934" t="s">
        <v>7</v>
      </c>
      <c r="E45" s="935"/>
      <c r="F45" s="936"/>
      <c r="G45" s="638"/>
      <c r="H45" s="639"/>
      <c r="I45" s="386"/>
      <c r="J45" s="337" t="s">
        <v>266</v>
      </c>
      <c r="K45" s="644"/>
      <c r="N45" s="641" t="str">
        <f>CONCATENATE("Total (",IF(MID(B45,1,2)="LG",VLOOKUP(B45,Composições!J:M,4,FALSE),IF(MID(B45,1,1)="6","t",VLOOKUP(B45,'DER 11-20'!$A$1:$I$1981,3,FALSE))),")")</f>
        <v>Total (M2)</v>
      </c>
      <c r="O45" s="339"/>
      <c r="P45" s="643"/>
      <c r="Q45" s="643"/>
      <c r="R45" s="658"/>
      <c r="S45" s="593">
        <f>VLOOKUP("Total",C47:O2239,12,FALSE)</f>
        <v>16</v>
      </c>
      <c r="T45" s="593" t="str">
        <f>VLOOKUP("Total",C47:O2239,13,FALSE)</f>
        <v>M2</v>
      </c>
      <c r="U45" s="593"/>
    </row>
    <row r="46" spans="1:28" x14ac:dyDescent="0.2">
      <c r="A46" s="652"/>
      <c r="B46" s="891"/>
      <c r="C46" s="335" t="s">
        <v>447</v>
      </c>
      <c r="D46" s="753"/>
      <c r="E46" s="754"/>
      <c r="F46" s="754"/>
      <c r="G46" s="753"/>
      <c r="H46" s="754"/>
      <c r="I46" s="386"/>
      <c r="J46" s="337"/>
      <c r="K46" s="725"/>
      <c r="N46" s="728"/>
      <c r="O46" s="339"/>
      <c r="P46" s="755"/>
      <c r="Q46" s="755"/>
      <c r="R46" s="658"/>
      <c r="S46" s="593"/>
      <c r="T46" s="593"/>
      <c r="U46" s="593"/>
    </row>
    <row r="47" spans="1:28" s="282" customFormat="1" x14ac:dyDescent="0.2">
      <c r="A47" s="655"/>
      <c r="B47" s="751"/>
      <c r="C47" s="342" t="s">
        <v>2</v>
      </c>
      <c r="D47" s="343"/>
      <c r="E47" s="340"/>
      <c r="F47" s="344"/>
      <c r="G47" s="343"/>
      <c r="H47" s="344"/>
      <c r="I47" s="344"/>
      <c r="J47" s="341"/>
      <c r="K47" s="345"/>
      <c r="L47" s="346"/>
      <c r="M47" s="347"/>
      <c r="N47" s="348">
        <v>16</v>
      </c>
      <c r="O47" s="349" t="str">
        <f>IF(MID(B45,1,2)="LG",VLOOKUP(B45,Composições!J:M,4,FALSE),IF(MID(B45,1,1)="6",VLOOKUP(B45,transp.!$A$6:$K$35,3,FALSE),VLOOKUP(B45,'DER 11-20'!$A$1:$I$1981,3,FALSE)))</f>
        <v>M2</v>
      </c>
      <c r="P47" s="350"/>
      <c r="Q47" s="350"/>
      <c r="R47" s="656"/>
      <c r="S47" s="593">
        <f>VLOOKUP("Total",C48:O2241,12,FALSE)</f>
        <v>16</v>
      </c>
      <c r="T47" s="593" t="str">
        <f>VLOOKUP("Total",C48:O2241,13,FALSE)</f>
        <v>M2</v>
      </c>
      <c r="U47" s="593"/>
      <c r="W47" s="582"/>
      <c r="X47" s="582"/>
      <c r="Y47" s="582"/>
      <c r="Z47" s="582"/>
      <c r="AA47" s="582"/>
      <c r="AB47" s="582"/>
    </row>
    <row r="48" spans="1:28" x14ac:dyDescent="0.2">
      <c r="A48" s="287"/>
      <c r="B48" s="890"/>
      <c r="C48" s="331"/>
      <c r="H48" s="285"/>
      <c r="N48" s="306"/>
      <c r="O48" s="332"/>
      <c r="P48" s="307"/>
      <c r="Q48" s="307"/>
      <c r="R48" s="659"/>
      <c r="S48" s="593">
        <f>VLOOKUP("Total",C49:O2242,12,FALSE)</f>
        <v>16</v>
      </c>
      <c r="T48" s="593" t="str">
        <f>VLOOKUP("Total",C49:O2242,13,FALSE)</f>
        <v>M2</v>
      </c>
      <c r="U48" s="593"/>
    </row>
    <row r="49" spans="1:28" ht="40.15" customHeight="1" x14ac:dyDescent="0.2">
      <c r="A49" s="652" t="s">
        <v>230</v>
      </c>
      <c r="B49" s="891">
        <v>41498</v>
      </c>
      <c r="C49" s="335" t="str">
        <f>IF(MID(B49,1,2)="LG",VLOOKUP(B49,Composições!J:M,3,FALSE),IF(MID(B49,1,1)="6",VLOOKUP(B49,transp.!$A$4:$K$19,11,FALSE)&amp;" -  XP="&amp;TEXT(T633,"0.000")&amp;" / XR="&amp;TEXT(V633,"0.000"),VLOOKUP(B49,'DER 11-20'!$A$1:$I$1981,2,FALSE)))&amp;" - "&amp;TEXT(C50,"0.000")</f>
        <v>Barracão com sanitário, em chapa compensada 12 mm e pont. 8x8cm, piso cimentado e cobertura em telha de fibroc. 6mm, incl. ponto de luz e cx. inspeção - (Almoxarifado)</v>
      </c>
      <c r="D49" s="934" t="s">
        <v>7</v>
      </c>
      <c r="E49" s="935"/>
      <c r="F49" s="936"/>
      <c r="G49" s="638"/>
      <c r="H49" s="639"/>
      <c r="I49" s="386"/>
      <c r="J49" s="337" t="s">
        <v>266</v>
      </c>
      <c r="K49" s="644"/>
      <c r="N49" s="641" t="str">
        <f>CONCATENATE("Total (",IF(MID(B49,1,2)="LG",VLOOKUP(B49,Composições!J:M,4,FALSE),IF(MID(B49,1,1)="6","t",VLOOKUP(B49,'DER 11-20'!$A$1:$I$1981,3,FALSE))),")")</f>
        <v>Total (M2)</v>
      </c>
      <c r="O49" s="339"/>
      <c r="P49" s="643"/>
      <c r="Q49" s="643"/>
      <c r="R49" s="658"/>
      <c r="S49" s="593">
        <f>VLOOKUP("Total",C51:O2243,12,FALSE)</f>
        <v>16</v>
      </c>
      <c r="T49" s="593" t="str">
        <f>VLOOKUP("Total",C51:O2243,13,FALSE)</f>
        <v>M2</v>
      </c>
      <c r="U49" s="593"/>
    </row>
    <row r="50" spans="1:28" x14ac:dyDescent="0.2">
      <c r="A50" s="652"/>
      <c r="B50" s="891"/>
      <c r="C50" s="335" t="s">
        <v>448</v>
      </c>
      <c r="D50" s="753"/>
      <c r="E50" s="754"/>
      <c r="F50" s="754"/>
      <c r="G50" s="753"/>
      <c r="H50" s="754"/>
      <c r="I50" s="386"/>
      <c r="J50" s="337"/>
      <c r="K50" s="725"/>
      <c r="N50" s="728"/>
      <c r="O50" s="339"/>
      <c r="P50" s="755"/>
      <c r="Q50" s="755"/>
      <c r="R50" s="658"/>
      <c r="S50" s="593"/>
      <c r="T50" s="593"/>
      <c r="U50" s="593"/>
    </row>
    <row r="51" spans="1:28" s="282" customFormat="1" x14ac:dyDescent="0.2">
      <c r="A51" s="655"/>
      <c r="B51" s="751"/>
      <c r="C51" s="342" t="s">
        <v>2</v>
      </c>
      <c r="D51" s="343"/>
      <c r="E51" s="340"/>
      <c r="F51" s="344"/>
      <c r="G51" s="343"/>
      <c r="H51" s="344"/>
      <c r="I51" s="344"/>
      <c r="J51" s="341"/>
      <c r="K51" s="345"/>
      <c r="L51" s="346"/>
      <c r="M51" s="347"/>
      <c r="N51" s="348">
        <v>16</v>
      </c>
      <c r="O51" s="349" t="str">
        <f>IF(MID(B49,1,2)="LG",VLOOKUP(B49,Composições!J:M,4,FALSE),IF(MID(B49,1,1)="6",VLOOKUP(B49,transp.!$A$6:$K$35,3,FALSE),VLOOKUP(B49,'DER 11-20'!$A$1:$I$1981,3,FALSE)))</f>
        <v>M2</v>
      </c>
      <c r="P51" s="350"/>
      <c r="Q51" s="350"/>
      <c r="R51" s="656"/>
      <c r="S51" s="593">
        <f>VLOOKUP("Total",C52:O2245,12,FALSE)</f>
        <v>12</v>
      </c>
      <c r="T51" s="593" t="str">
        <f>VLOOKUP("Total",C52:O2245,13,FALSE)</f>
        <v>M2</v>
      </c>
      <c r="U51" s="593"/>
      <c r="W51" s="582"/>
      <c r="X51" s="582"/>
      <c r="Y51" s="582"/>
      <c r="Z51" s="582"/>
      <c r="AA51" s="582"/>
      <c r="AB51" s="582"/>
    </row>
    <row r="52" spans="1:28" x14ac:dyDescent="0.2">
      <c r="A52" s="287"/>
      <c r="B52" s="890"/>
      <c r="C52" s="331"/>
      <c r="H52" s="285"/>
      <c r="N52" s="306"/>
      <c r="O52" s="332"/>
      <c r="P52" s="307"/>
      <c r="Q52" s="307"/>
      <c r="R52" s="659"/>
      <c r="S52" s="593">
        <f>VLOOKUP("Total",C53:O2255,12,FALSE)</f>
        <v>12</v>
      </c>
      <c r="T52" s="593" t="str">
        <f>VLOOKUP("Total",C53:O2255,13,FALSE)</f>
        <v>M2</v>
      </c>
      <c r="U52" s="593"/>
    </row>
    <row r="53" spans="1:28" ht="38.25" x14ac:dyDescent="0.2">
      <c r="A53" s="652" t="s">
        <v>231</v>
      </c>
      <c r="B53" s="891">
        <v>41498</v>
      </c>
      <c r="C53" s="335" t="str">
        <f>IF(MID(B53,1,2)="LG",VLOOKUP(B53,Composições!J:M,3,FALSE),IF(MID(B53,1,1)="6",VLOOKUP(B53,transp.!$A$4:$K$19,11,FALSE)&amp;" -  XP="&amp;TEXT(T646,"0.000")&amp;" / XR="&amp;TEXT(V646,"0.000"),VLOOKUP(B53,'DER 11-20'!$A$1:$I$1981,2,FALSE)))&amp;" - "&amp;TEXT(C54,"0.000")</f>
        <v>Barracão com sanitário, em chapa compensada 12 mm e pont. 8x8cm, piso cimentado e cobertura em telha de fibroc. 6mm, incl. ponto de luz e cx. inspeção - (Sala Técnica)</v>
      </c>
      <c r="D53" s="934" t="s">
        <v>7</v>
      </c>
      <c r="E53" s="935"/>
      <c r="F53" s="936"/>
      <c r="G53" s="638"/>
      <c r="H53" s="639"/>
      <c r="I53" s="386"/>
      <c r="J53" s="337" t="s">
        <v>266</v>
      </c>
      <c r="K53" s="644"/>
      <c r="L53" s="641" t="s">
        <v>301</v>
      </c>
      <c r="M53" s="645"/>
      <c r="N53" s="641" t="str">
        <f>CONCATENATE("Total (",IF(MID(B53,1,2)="LG",VLOOKUP(B53,Composições!J:M,4,FALSE),IF(MID(B53,1,1)="6","t",VLOOKUP(B53,'DER 11-20'!$A$1:$I$1981,3,FALSE))),")")</f>
        <v>Total (M2)</v>
      </c>
      <c r="O53" s="339"/>
      <c r="P53" s="643"/>
      <c r="Q53" s="643"/>
      <c r="R53" s="658"/>
      <c r="S53" s="593">
        <f>VLOOKUP("Total",C55:O2256,12,FALSE)</f>
        <v>12</v>
      </c>
      <c r="T53" s="593" t="str">
        <f>VLOOKUP("Total",C55:O2256,13,FALSE)</f>
        <v>M2</v>
      </c>
      <c r="U53" s="593"/>
    </row>
    <row r="54" spans="1:28" x14ac:dyDescent="0.2">
      <c r="A54" s="652"/>
      <c r="B54" s="891"/>
      <c r="C54" s="335" t="s">
        <v>449</v>
      </c>
      <c r="D54" s="753"/>
      <c r="E54" s="754"/>
      <c r="F54" s="754"/>
      <c r="G54" s="753"/>
      <c r="H54" s="754"/>
      <c r="I54" s="386"/>
      <c r="J54" s="337"/>
      <c r="K54" s="725"/>
      <c r="L54" s="728"/>
      <c r="M54" s="756"/>
      <c r="N54" s="728"/>
      <c r="O54" s="339"/>
      <c r="P54" s="755"/>
      <c r="Q54" s="755"/>
      <c r="R54" s="658"/>
      <c r="S54" s="593"/>
      <c r="T54" s="593"/>
      <c r="U54" s="593"/>
    </row>
    <row r="55" spans="1:28" s="282" customFormat="1" x14ac:dyDescent="0.2">
      <c r="A55" s="655"/>
      <c r="B55" s="751"/>
      <c r="C55" s="342" t="s">
        <v>2</v>
      </c>
      <c r="D55" s="343"/>
      <c r="E55" s="340"/>
      <c r="F55" s="344"/>
      <c r="G55" s="343"/>
      <c r="H55" s="344"/>
      <c r="I55" s="344"/>
      <c r="J55" s="341"/>
      <c r="K55" s="345"/>
      <c r="L55" s="346"/>
      <c r="M55" s="347"/>
      <c r="N55" s="348">
        <v>12</v>
      </c>
      <c r="O55" s="349" t="str">
        <f>IF(MID(B53,1,2)="LG",VLOOKUP(B53,Composições!J:M,4,FALSE),IF(MID(B53,1,1)="6",VLOOKUP(B53,transp.!$A$6:$K$35,3,FALSE),VLOOKUP(B53,'DER 11-20'!$A$1:$I$1981,3,FALSE)))</f>
        <v>M2</v>
      </c>
      <c r="P55" s="350"/>
      <c r="Q55" s="350"/>
      <c r="R55" s="656"/>
      <c r="S55" s="593">
        <f>VLOOKUP("Total",C56:O2258,12,FALSE)</f>
        <v>12</v>
      </c>
      <c r="T55" s="593" t="str">
        <f>VLOOKUP("Total",C56:O2258,13,FALSE)</f>
        <v>M2</v>
      </c>
      <c r="U55" s="593"/>
      <c r="W55" s="582"/>
      <c r="X55" s="582"/>
      <c r="Y55" s="582"/>
      <c r="Z55" s="582"/>
      <c r="AA55" s="582"/>
      <c r="AB55" s="582"/>
    </row>
    <row r="56" spans="1:28" x14ac:dyDescent="0.2">
      <c r="A56" s="287"/>
      <c r="B56" s="890"/>
      <c r="C56" s="331"/>
      <c r="H56" s="285"/>
      <c r="N56" s="306"/>
      <c r="O56" s="332"/>
      <c r="P56" s="307"/>
      <c r="Q56" s="307"/>
      <c r="R56" s="659"/>
      <c r="S56" s="593">
        <f>VLOOKUP("Total",C57:O2260,12,FALSE)</f>
        <v>12</v>
      </c>
      <c r="T56" s="593" t="str">
        <f>VLOOKUP("Total",C57:O2260,13,FALSE)</f>
        <v>M2</v>
      </c>
      <c r="U56" s="593"/>
    </row>
    <row r="57" spans="1:28" ht="38.25" x14ac:dyDescent="0.2">
      <c r="A57" s="652" t="s">
        <v>232</v>
      </c>
      <c r="B57" s="891">
        <v>41498</v>
      </c>
      <c r="C57" s="335" t="str">
        <f>IF(MID(B57,1,2)="LG",VLOOKUP(B57,Composições!J:M,3,FALSE),IF(MID(B57,1,1)="6",VLOOKUP(B57,transp.!$A$4:$K$19,11,FALSE)&amp;" -  XP="&amp;TEXT(T651,"0.000")&amp;" / XR="&amp;TEXT(V651,"0.000"),VLOOKUP(B57,'DER 11-20'!$A$1:$I$1981,2,FALSE)))&amp;" - "&amp;TEXT(C58,"0.000")</f>
        <v>Barracão com sanitário, em chapa compensada 12 mm e pont. 8x8cm, piso cimentado e cobertura em telha de fibroc. 6mm, incl. ponto de luz e cx. inspeção - (Laboratório)</v>
      </c>
      <c r="D57" s="934" t="s">
        <v>7</v>
      </c>
      <c r="E57" s="935"/>
      <c r="F57" s="936"/>
      <c r="G57" s="638"/>
      <c r="H57" s="639"/>
      <c r="I57" s="386"/>
      <c r="J57" s="337" t="s">
        <v>266</v>
      </c>
      <c r="K57" s="644"/>
      <c r="L57" s="641" t="s">
        <v>302</v>
      </c>
      <c r="M57" s="645"/>
      <c r="N57" s="641" t="str">
        <f>CONCATENATE("Total (",IF(MID(B57,1,2)="LG",VLOOKUP(B57,Composições!J:M,4,FALSE),IF(MID(B57,1,1)="6","t",VLOOKUP(B57,'DER 11-20'!$A$1:$I$1981,3,FALSE))),")")</f>
        <v>Total (M2)</v>
      </c>
      <c r="O57" s="339"/>
      <c r="P57" s="643"/>
      <c r="Q57" s="643"/>
      <c r="R57" s="658"/>
      <c r="S57" s="593">
        <f>VLOOKUP("Total",C59:O2261,12,FALSE)</f>
        <v>12</v>
      </c>
      <c r="T57" s="593" t="str">
        <f>VLOOKUP("Total",C59:O2261,13,FALSE)</f>
        <v>M2</v>
      </c>
      <c r="U57" s="593"/>
    </row>
    <row r="58" spans="1:28" x14ac:dyDescent="0.2">
      <c r="A58" s="652"/>
      <c r="B58" s="891"/>
      <c r="C58" s="335" t="s">
        <v>450</v>
      </c>
      <c r="D58" s="753"/>
      <c r="E58" s="754"/>
      <c r="F58" s="754"/>
      <c r="G58" s="753"/>
      <c r="H58" s="754"/>
      <c r="I58" s="386"/>
      <c r="J58" s="337"/>
      <c r="K58" s="725"/>
      <c r="L58" s="728"/>
      <c r="M58" s="756"/>
      <c r="N58" s="728"/>
      <c r="O58" s="339"/>
      <c r="P58" s="755"/>
      <c r="Q58" s="755"/>
      <c r="R58" s="658"/>
      <c r="S58" s="593"/>
      <c r="T58" s="593"/>
      <c r="U58" s="593"/>
    </row>
    <row r="59" spans="1:28" s="282" customFormat="1" x14ac:dyDescent="0.2">
      <c r="A59" s="655"/>
      <c r="B59" s="751"/>
      <c r="C59" s="342" t="s">
        <v>2</v>
      </c>
      <c r="D59" s="343"/>
      <c r="E59" s="340"/>
      <c r="F59" s="344"/>
      <c r="G59" s="343"/>
      <c r="H59" s="344"/>
      <c r="I59" s="344"/>
      <c r="J59" s="341"/>
      <c r="K59" s="345"/>
      <c r="L59" s="346"/>
      <c r="M59" s="347"/>
      <c r="N59" s="348">
        <v>12</v>
      </c>
      <c r="O59" s="349" t="str">
        <f>IF(MID(B57,1,2)="LG",VLOOKUP(B57,Composições!J:M,4,FALSE),IF(MID(B57,1,1)="6",VLOOKUP(B57,transp.!$A$6:$K$35,3,FALSE),VLOOKUP(B57,'DER 11-20'!$A$1:$I$1981,3,FALSE)))</f>
        <v>M2</v>
      </c>
      <c r="P59" s="350"/>
      <c r="Q59" s="350"/>
      <c r="R59" s="656"/>
      <c r="S59" s="593">
        <f>VLOOKUP("Total",C112:O2263,12,FALSE)</f>
        <v>133518.18</v>
      </c>
      <c r="T59" s="593" t="str">
        <f>VLOOKUP("Total",C112:O2263,13,FALSE)</f>
        <v>M2</v>
      </c>
      <c r="U59" s="593"/>
      <c r="W59" s="582"/>
      <c r="X59" s="582"/>
      <c r="Y59" s="582"/>
      <c r="Z59" s="582"/>
      <c r="AA59" s="582"/>
      <c r="AB59" s="582"/>
    </row>
    <row r="60" spans="1:28" x14ac:dyDescent="0.2">
      <c r="A60" s="287"/>
      <c r="B60" s="890"/>
      <c r="C60" s="331"/>
      <c r="H60" s="285"/>
      <c r="N60" s="306"/>
      <c r="O60" s="332"/>
      <c r="P60" s="307"/>
      <c r="Q60" s="307"/>
      <c r="R60" s="659"/>
      <c r="S60" s="593">
        <f>VLOOKUP("Total",C61:O2263,12,FALSE)</f>
        <v>16</v>
      </c>
      <c r="T60" s="593" t="str">
        <f>VLOOKUP("Total",C61:O2263,13,FALSE)</f>
        <v>M2</v>
      </c>
      <c r="U60" s="593"/>
    </row>
    <row r="61" spans="1:28" ht="49.15" customHeight="1" x14ac:dyDescent="0.2">
      <c r="A61" s="652" t="s">
        <v>233</v>
      </c>
      <c r="B61" s="891">
        <v>41530</v>
      </c>
      <c r="C61" s="335" t="str">
        <f>IF(MID(B61,1,2)="LG",VLOOKUP(B61,Composições!J:M,3,FALSE),IF(MID(B61,1,1)="6",VLOOKUP(B61,transp.!$A$4:$K$19,11,FALSE)&amp;" -  XP="&amp;TEXT(T655,"0.000")&amp;" / XR="&amp;TEXT(V655,"0.000"),VLOOKUP(B61,'DER 11-20'!$A$1:$I$1981,2,FALSE)))</f>
        <v>Refeitório c/ paredes chapa de comp. 12mm e pont. 8x8cm, piso ciment. e cob. telhas fibroc. 6mm, incl. ponto de luz e cx. de insp. (1,21m²/func/turno)</v>
      </c>
      <c r="D61" s="934"/>
      <c r="E61" s="935"/>
      <c r="F61" s="936"/>
      <c r="G61" s="722"/>
      <c r="H61" s="723"/>
      <c r="I61" s="386"/>
      <c r="J61" s="337"/>
      <c r="K61" s="725"/>
      <c r="L61" s="728"/>
      <c r="M61" s="726"/>
      <c r="N61" s="728" t="s">
        <v>437</v>
      </c>
      <c r="O61" s="339"/>
      <c r="P61" s="724"/>
      <c r="Q61" s="724"/>
      <c r="R61" s="658"/>
      <c r="S61" s="593">
        <f>VLOOKUP("Total",C62:O2264,12,FALSE)</f>
        <v>16</v>
      </c>
      <c r="T61" s="593" t="str">
        <f>VLOOKUP("Total",C62:O2264,13,FALSE)</f>
        <v>M2</v>
      </c>
      <c r="U61" s="593"/>
    </row>
    <row r="62" spans="1:28" s="282" customFormat="1" x14ac:dyDescent="0.2">
      <c r="A62" s="655"/>
      <c r="B62" s="751"/>
      <c r="C62" s="342" t="s">
        <v>2</v>
      </c>
      <c r="D62" s="343"/>
      <c r="E62" s="340"/>
      <c r="F62" s="344"/>
      <c r="G62" s="343"/>
      <c r="H62" s="344"/>
      <c r="I62" s="344"/>
      <c r="J62" s="341"/>
      <c r="K62" s="345"/>
      <c r="L62" s="346"/>
      <c r="M62" s="347"/>
      <c r="N62" s="348">
        <v>16</v>
      </c>
      <c r="O62" s="349" t="s">
        <v>394</v>
      </c>
      <c r="P62" s="350"/>
      <c r="Q62" s="350"/>
      <c r="R62" s="656"/>
      <c r="S62" s="593">
        <f>VLOOKUP("Total",C112:O2266,12,FALSE)</f>
        <v>133518.18</v>
      </c>
      <c r="T62" s="593" t="str">
        <f>VLOOKUP("Total",C112:O2266,13,FALSE)</f>
        <v>M2</v>
      </c>
      <c r="U62" s="593"/>
      <c r="W62" s="582"/>
      <c r="X62" s="582"/>
      <c r="Y62" s="582"/>
      <c r="Z62" s="582"/>
      <c r="AA62" s="582"/>
      <c r="AB62" s="582"/>
    </row>
    <row r="63" spans="1:28" x14ac:dyDescent="0.2">
      <c r="A63" s="287"/>
      <c r="B63" s="890"/>
      <c r="C63" s="331"/>
      <c r="H63" s="285"/>
      <c r="N63" s="306"/>
      <c r="O63" s="332"/>
      <c r="P63" s="307"/>
      <c r="Q63" s="307"/>
      <c r="R63" s="659"/>
      <c r="S63" s="593">
        <f>VLOOKUP("Total",C64:O2266,12,FALSE)</f>
        <v>100</v>
      </c>
      <c r="T63" s="593" t="str">
        <f>VLOOKUP("Total",C64:O2266,13,FALSE)</f>
        <v>M</v>
      </c>
      <c r="U63" s="593"/>
    </row>
    <row r="64" spans="1:28" ht="39.6" customHeight="1" x14ac:dyDescent="0.2">
      <c r="A64" s="652" t="s">
        <v>234</v>
      </c>
      <c r="B64" s="891">
        <v>41501</v>
      </c>
      <c r="C64" s="335" t="str">
        <f>IF(MID(B64,1,2)="LG",VLOOKUP(B64,Composições!J:M,3,FALSE),IF(MID(B64,1,1)="6",VLOOKUP(B64,transp.!$A$4:$K$19,11,FALSE)&amp;" -  XP="&amp;TEXT(T657,"0.000")&amp;" / XR="&amp;TEXT(V657,"0.000"),VLOOKUP(B64,'DER 11-20'!$A$1:$I$1981,2,FALSE)))</f>
        <v>Rede de água c/ padrão de entrada d'água diâm. 3/4" conf. CESAN, incl. tubos e conexões p/ aliment., distrib., extravas. e limp., cons. o padrão a 25m</v>
      </c>
      <c r="D64" s="934" t="s">
        <v>7</v>
      </c>
      <c r="E64" s="935"/>
      <c r="F64" s="936"/>
      <c r="G64" s="753"/>
      <c r="H64" s="754"/>
      <c r="I64" s="386"/>
      <c r="J64" s="337" t="s">
        <v>266</v>
      </c>
      <c r="K64" s="725"/>
      <c r="L64" s="728" t="s">
        <v>267</v>
      </c>
      <c r="M64" s="756" t="s">
        <v>268</v>
      </c>
      <c r="N64" s="728" t="str">
        <f>CONCATENATE("Total (",IF(MID(B64,1,2)="LG",VLOOKUP(B64,Composições!J:M,4,FALSE),IF(MID(B64,1,1)="6","t",VLOOKUP(B64,'DER 11-20'!$A$1:$I$1981,3,FALSE))),")")</f>
        <v>Total (M)</v>
      </c>
      <c r="O64" s="339"/>
      <c r="P64" s="755"/>
      <c r="Q64" s="755"/>
      <c r="R64" s="658"/>
      <c r="S64" s="593">
        <f>VLOOKUP("Total",C66:O2267,12,FALSE)</f>
        <v>100</v>
      </c>
      <c r="T64" s="593" t="str">
        <f>VLOOKUP("Total",C66:O2267,13,FALSE)</f>
        <v>M</v>
      </c>
      <c r="U64" s="593"/>
    </row>
    <row r="65" spans="1:28" x14ac:dyDescent="0.2">
      <c r="A65" s="652"/>
      <c r="B65" s="891"/>
      <c r="C65" s="335"/>
      <c r="D65" s="753"/>
      <c r="E65" s="754"/>
      <c r="F65" s="754"/>
      <c r="G65" s="753"/>
      <c r="H65" s="754"/>
      <c r="I65" s="386"/>
      <c r="J65" s="337"/>
      <c r="K65" s="725"/>
      <c r="L65" s="728"/>
      <c r="M65" s="756"/>
      <c r="N65" s="728"/>
      <c r="O65" s="339"/>
      <c r="P65" s="755"/>
      <c r="Q65" s="755"/>
      <c r="R65" s="658"/>
      <c r="S65" s="593"/>
      <c r="T65" s="593"/>
      <c r="U65" s="593"/>
    </row>
    <row r="66" spans="1:28" s="282" customFormat="1" x14ac:dyDescent="0.2">
      <c r="A66" s="655"/>
      <c r="B66" s="751"/>
      <c r="C66" s="342" t="s">
        <v>2</v>
      </c>
      <c r="D66" s="343"/>
      <c r="E66" s="340"/>
      <c r="F66" s="344"/>
      <c r="G66" s="343"/>
      <c r="H66" s="344"/>
      <c r="I66" s="344"/>
      <c r="J66" s="341"/>
      <c r="K66" s="345"/>
      <c r="L66" s="346"/>
      <c r="M66" s="347"/>
      <c r="N66" s="348">
        <v>100</v>
      </c>
      <c r="O66" s="349" t="str">
        <f>IF(MID(B64,1,2)="LG",VLOOKUP(B64,Composições!J:M,4,FALSE),IF(MID(B64,1,1)="6",VLOOKUP(B64,transp.!$A$6:$K$35,3,FALSE),VLOOKUP(B64,'DER 11-20'!$A$1:$I$1981,3,FALSE)))</f>
        <v>M</v>
      </c>
      <c r="P66" s="350"/>
      <c r="Q66" s="350"/>
      <c r="R66" s="656"/>
      <c r="S66" s="593">
        <f>VLOOKUP("Total",C67:O2269,12,FALSE)</f>
        <v>30</v>
      </c>
      <c r="T66" s="593" t="str">
        <f>VLOOKUP("Total",C67:O2269,13,FALSE)</f>
        <v>M</v>
      </c>
      <c r="U66" s="593"/>
      <c r="W66" s="582"/>
      <c r="X66" s="582"/>
      <c r="Y66" s="582"/>
      <c r="Z66" s="582"/>
      <c r="AA66" s="582"/>
      <c r="AB66" s="582"/>
    </row>
    <row r="67" spans="1:28" x14ac:dyDescent="0.2">
      <c r="A67" s="287"/>
      <c r="B67" s="890"/>
      <c r="C67" s="331"/>
      <c r="H67" s="285"/>
      <c r="N67" s="306"/>
      <c r="O67" s="332"/>
      <c r="P67" s="307"/>
      <c r="Q67" s="307"/>
      <c r="R67" s="659"/>
      <c r="S67" s="593">
        <f>VLOOKUP("Total",C68:O2270,12,FALSE)</f>
        <v>30</v>
      </c>
      <c r="T67" s="593" t="str">
        <f>VLOOKUP("Total",C68:O2270,13,FALSE)</f>
        <v>M</v>
      </c>
      <c r="U67" s="593"/>
    </row>
    <row r="68" spans="1:28" ht="25.5" x14ac:dyDescent="0.2">
      <c r="A68" s="652" t="s">
        <v>235</v>
      </c>
      <c r="B68" s="891">
        <v>41499</v>
      </c>
      <c r="C68" s="335" t="str">
        <f>IF(MID(B68,1,2)="LG",VLOOKUP(B68,Composições!J:M,3,FALSE),IF(MID(B68,1,1)="6",VLOOKUP(B68,transp.!$A$4:$K$19,11,FALSE)&amp;" -  XP="&amp;TEXT(T661,"0.000")&amp;" / XR="&amp;TEXT(V661,"0.000"),VLOOKUP(B68,'DER 11-20'!$A$1:$I$1981,2,FALSE)))</f>
        <v>Rede de esgoto, contendo fossa e filtro, incl. tubos e conexões de ligação entre caixas, considerando distância de 25m</v>
      </c>
      <c r="D68" s="934" t="s">
        <v>7</v>
      </c>
      <c r="E68" s="935"/>
      <c r="F68" s="936"/>
      <c r="G68" s="753"/>
      <c r="H68" s="754"/>
      <c r="I68" s="386"/>
      <c r="J68" s="337" t="s">
        <v>266</v>
      </c>
      <c r="K68" s="725"/>
      <c r="L68" s="728" t="s">
        <v>267</v>
      </c>
      <c r="M68" s="756"/>
      <c r="N68" s="728" t="str">
        <f>CONCATENATE("Total (",IF(MID(B68,1,2)="LG",VLOOKUP(B68,Composições!J:M,4,FALSE),IF(MID(B68,1,1)="6","t",VLOOKUP(B68,'DER 11-20'!$A$1:$I$1981,3,FALSE))),")")</f>
        <v>Total (M)</v>
      </c>
      <c r="O68" s="339"/>
      <c r="P68" s="755"/>
      <c r="Q68" s="755"/>
      <c r="R68" s="658"/>
      <c r="S68" s="593">
        <f>VLOOKUP("Total",C69:O2271,12,FALSE)</f>
        <v>30</v>
      </c>
      <c r="T68" s="593" t="str">
        <f>VLOOKUP("Total",C69:O2271,13,FALSE)</f>
        <v>M</v>
      </c>
      <c r="U68" s="593"/>
    </row>
    <row r="69" spans="1:28" s="282" customFormat="1" x14ac:dyDescent="0.2">
      <c r="A69" s="655"/>
      <c r="B69" s="751"/>
      <c r="C69" s="342" t="s">
        <v>2</v>
      </c>
      <c r="D69" s="343"/>
      <c r="E69" s="340"/>
      <c r="F69" s="344"/>
      <c r="G69" s="343"/>
      <c r="H69" s="344"/>
      <c r="I69" s="344"/>
      <c r="J69" s="341"/>
      <c r="K69" s="345"/>
      <c r="L69" s="346"/>
      <c r="M69" s="347"/>
      <c r="N69" s="348">
        <v>30</v>
      </c>
      <c r="O69" s="349" t="str">
        <f>IF(MID(B68,1,2)="LG",VLOOKUP(B68,Composições!J:M,4,FALSE),IF(MID(B68,1,1)="6",VLOOKUP(B68,transp.!$A$6:$K$35,3,FALSE),VLOOKUP(B68,'DER 11-20'!$A$1:$I$1981,3,FALSE)))</f>
        <v>M</v>
      </c>
      <c r="P69" s="350"/>
      <c r="Q69" s="350"/>
      <c r="R69" s="656"/>
      <c r="S69" s="593">
        <f>VLOOKUP("Total",C70:O2273,12,FALSE)</f>
        <v>40</v>
      </c>
      <c r="T69" s="593" t="str">
        <f>VLOOKUP("Total",C70:O2273,13,FALSE)</f>
        <v>M</v>
      </c>
      <c r="U69" s="593"/>
      <c r="W69" s="582"/>
      <c r="X69" s="582"/>
      <c r="Y69" s="582"/>
      <c r="Z69" s="582"/>
      <c r="AA69" s="582"/>
      <c r="AB69" s="582"/>
    </row>
    <row r="70" spans="1:28" x14ac:dyDescent="0.2">
      <c r="A70" s="287"/>
      <c r="B70" s="890"/>
      <c r="C70" s="331"/>
      <c r="H70" s="285"/>
      <c r="N70" s="306"/>
      <c r="O70" s="332"/>
      <c r="P70" s="307"/>
      <c r="Q70" s="307"/>
      <c r="R70" s="659"/>
      <c r="S70" s="593">
        <f>VLOOKUP("Total",C71:O2275,12,FALSE)</f>
        <v>40</v>
      </c>
      <c r="T70" s="593" t="str">
        <f>VLOOKUP("Total",C71:O2275,13,FALSE)</f>
        <v>M</v>
      </c>
      <c r="U70" s="593"/>
    </row>
    <row r="71" spans="1:28" ht="38.25" x14ac:dyDescent="0.2">
      <c r="A71" s="652" t="s">
        <v>236</v>
      </c>
      <c r="B71" s="891">
        <v>41503</v>
      </c>
      <c r="C71" s="335" t="str">
        <f>IF(MID(B71,1,2)="LG",VLOOKUP(B71,Composições!J:M,3,FALSE),IF(MID(B71,1,1)="6",VLOOKUP(B71,transp.!$A$4:$K$19,11,FALSE)&amp;" -  XP="&amp;TEXT(T666,"0.000")&amp;" / XR="&amp;TEXT(V666,"0.000"),VLOOKUP(B71,'DER 11-20'!$A$1:$I$1981,2,FALSE)))</f>
        <v>Rede de luz, incl. padrão entr. energia trifás. cabo ligação até barracões, quadro distrib., disj. e chave de força, cons. 20m entre padrão entr.e QDG</v>
      </c>
      <c r="D71" s="934" t="s">
        <v>7</v>
      </c>
      <c r="E71" s="935"/>
      <c r="F71" s="936"/>
      <c r="G71" s="753"/>
      <c r="H71" s="754"/>
      <c r="I71" s="386"/>
      <c r="J71" s="337" t="s">
        <v>266</v>
      </c>
      <c r="K71" s="725"/>
      <c r="L71" s="728" t="s">
        <v>301</v>
      </c>
      <c r="M71" s="756"/>
      <c r="N71" s="728" t="str">
        <f>CONCATENATE("Total (",IF(MID(B71,1,2)="LG",VLOOKUP(B71,Composições!J:M,4,FALSE),IF(MID(B71,1,1)="6","t",VLOOKUP(B71,'DER 11-20'!$A$1:$I$1981,3,FALSE))),")")</f>
        <v>Total (M)</v>
      </c>
      <c r="O71" s="339"/>
      <c r="P71" s="755"/>
      <c r="Q71" s="755"/>
      <c r="R71" s="658"/>
      <c r="S71" s="593">
        <f>VLOOKUP("Total",C72:O2276,12,FALSE)</f>
        <v>40</v>
      </c>
      <c r="T71" s="593" t="str">
        <f>VLOOKUP("Total",C72:O2276,13,FALSE)</f>
        <v>M</v>
      </c>
      <c r="U71" s="593"/>
    </row>
    <row r="72" spans="1:28" s="282" customFormat="1" x14ac:dyDescent="0.2">
      <c r="A72" s="655"/>
      <c r="B72" s="751"/>
      <c r="C72" s="342" t="s">
        <v>2</v>
      </c>
      <c r="D72" s="343"/>
      <c r="E72" s="340"/>
      <c r="F72" s="344"/>
      <c r="G72" s="343"/>
      <c r="H72" s="344"/>
      <c r="I72" s="344"/>
      <c r="J72" s="341"/>
      <c r="K72" s="345"/>
      <c r="L72" s="346"/>
      <c r="M72" s="347"/>
      <c r="N72" s="348">
        <v>40</v>
      </c>
      <c r="O72" s="349" t="str">
        <f>IF(MID(B71,1,2)="LG",VLOOKUP(B71,Composições!J:M,4,FALSE),IF(MID(B71,1,1)="6",VLOOKUP(B71,transp.!$A$6:$K$35,3,FALSE),VLOOKUP(B71,'DER 11-20'!$A$1:$I$1981,3,FALSE)))</f>
        <v>M</v>
      </c>
      <c r="P72" s="350"/>
      <c r="Q72" s="350"/>
      <c r="R72" s="656"/>
      <c r="S72" s="593">
        <f>VLOOKUP("Total",C73:O2278,12,FALSE)</f>
        <v>1</v>
      </c>
      <c r="T72" s="593" t="str">
        <f>VLOOKUP("Total",C73:O2278,13,FALSE)</f>
        <v>Ud</v>
      </c>
      <c r="U72" s="593"/>
      <c r="W72" s="582"/>
      <c r="X72" s="582"/>
      <c r="Y72" s="582"/>
      <c r="Z72" s="582"/>
      <c r="AA72" s="582"/>
      <c r="AB72" s="582"/>
    </row>
    <row r="73" spans="1:28" x14ac:dyDescent="0.2">
      <c r="A73" s="287"/>
      <c r="B73" s="890"/>
      <c r="C73" s="331"/>
      <c r="H73" s="285"/>
      <c r="N73" s="306"/>
      <c r="O73" s="332"/>
      <c r="P73" s="307"/>
      <c r="Q73" s="307"/>
      <c r="R73" s="659"/>
      <c r="S73" s="593">
        <f>VLOOKUP("Total",C74:O2280,12,FALSE)</f>
        <v>1</v>
      </c>
      <c r="T73" s="593" t="str">
        <f>VLOOKUP("Total",C74:O2280,13,FALSE)</f>
        <v>Ud</v>
      </c>
      <c r="U73" s="593"/>
    </row>
    <row r="74" spans="1:28" ht="25.5" x14ac:dyDescent="0.2">
      <c r="A74" s="652" t="s">
        <v>237</v>
      </c>
      <c r="B74" s="891">
        <v>41527</v>
      </c>
      <c r="C74" s="335" t="str">
        <f>IF(MID(B74,1,2)="LG",VLOOKUP(B74,Composições!J:M,3,FALSE),IF(MID(B74,1,1)="6",VLOOKUP(B74,transp.!$A$4:$K$19,11,FALSE)&amp;" -  XP="&amp;TEXT(T671,"0.000")&amp;" / XR="&amp;TEXT(V671,"0.000"),VLOOKUP(B74,'DER 11-20'!$A$1:$I$1981,2,FALSE)))</f>
        <v>Reservatório de fibra de vidro de 1000 L, incl. suporte em madeira de 7x12cm, elevado de 4m</v>
      </c>
      <c r="D74" s="934" t="s">
        <v>7</v>
      </c>
      <c r="E74" s="935"/>
      <c r="F74" s="936"/>
      <c r="G74" s="753"/>
      <c r="H74" s="754"/>
      <c r="I74" s="386"/>
      <c r="J74" s="337" t="s">
        <v>266</v>
      </c>
      <c r="K74" s="725"/>
      <c r="L74" s="728" t="s">
        <v>302</v>
      </c>
      <c r="M74" s="756"/>
      <c r="N74" s="728" t="str">
        <f>CONCATENATE("Total (",IF(MID(B74,1,2)="LG",VLOOKUP(B74,Composições!J:M,4,FALSE),IF(MID(B74,1,1)="6","t",VLOOKUP(B74,'DER 11-20'!$A$1:$I$1981,3,FALSE))),")")</f>
        <v>Total (Ud)</v>
      </c>
      <c r="O74" s="339"/>
      <c r="P74" s="755"/>
      <c r="Q74" s="755"/>
      <c r="R74" s="658"/>
      <c r="S74" s="593">
        <f>VLOOKUP("Total",C75:O2281,12,FALSE)</f>
        <v>1</v>
      </c>
      <c r="T74" s="593" t="str">
        <f>VLOOKUP("Total",C75:O2281,13,FALSE)</f>
        <v>Ud</v>
      </c>
      <c r="U74" s="593"/>
    </row>
    <row r="75" spans="1:28" s="282" customFormat="1" x14ac:dyDescent="0.2">
      <c r="A75" s="655"/>
      <c r="B75" s="751"/>
      <c r="C75" s="342" t="s">
        <v>2</v>
      </c>
      <c r="D75" s="343"/>
      <c r="E75" s="340"/>
      <c r="F75" s="344"/>
      <c r="G75" s="343"/>
      <c r="H75" s="344"/>
      <c r="I75" s="344"/>
      <c r="J75" s="341"/>
      <c r="K75" s="345"/>
      <c r="L75" s="346"/>
      <c r="M75" s="347"/>
      <c r="N75" s="348">
        <v>1</v>
      </c>
      <c r="O75" s="349" t="str">
        <f>IF(MID(B74,1,2)="LG",VLOOKUP(B74,Composições!J:M,4,FALSE),IF(MID(B74,1,1)="6",VLOOKUP(B74,transp.!$A$6:$K$35,3,FALSE),VLOOKUP(B74,'DER 11-20'!$A$1:$I$1981,3,FALSE)))</f>
        <v>Ud</v>
      </c>
      <c r="P75" s="350"/>
      <c r="Q75" s="350"/>
      <c r="R75" s="656"/>
      <c r="S75" s="593">
        <f>VLOOKUP("Total",C112:O2283,12,FALSE)</f>
        <v>133518.18</v>
      </c>
      <c r="T75" s="593" t="str">
        <f>VLOOKUP("Total",C112:O2283,13,FALSE)</f>
        <v>M2</v>
      </c>
      <c r="U75" s="593"/>
      <c r="W75" s="582"/>
      <c r="X75" s="582"/>
      <c r="Y75" s="582"/>
      <c r="Z75" s="582"/>
      <c r="AA75" s="582"/>
      <c r="AB75" s="582"/>
    </row>
    <row r="76" spans="1:28" x14ac:dyDescent="0.2">
      <c r="A76" s="287"/>
      <c r="B76" s="890"/>
      <c r="C76" s="331"/>
      <c r="H76" s="285"/>
      <c r="N76" s="306"/>
      <c r="O76" s="332"/>
      <c r="P76" s="307"/>
      <c r="Q76" s="307"/>
      <c r="R76" s="659"/>
      <c r="S76" s="593">
        <f>VLOOKUP("Total",C77:O2284,12,FALSE)</f>
        <v>40</v>
      </c>
      <c r="T76" s="593" t="str">
        <f>VLOOKUP("Total",C77:O2284,13,FALSE)</f>
        <v>M2</v>
      </c>
      <c r="U76" s="593"/>
    </row>
    <row r="77" spans="1:28" ht="38.25" x14ac:dyDescent="0.2">
      <c r="A77" s="652" t="s">
        <v>238</v>
      </c>
      <c r="B77" s="891">
        <v>41528</v>
      </c>
      <c r="C77" s="335" t="str">
        <f>IF(MID(B77,1,2)="LG",VLOOKUP(B77,Composições!J:M,3,FALSE),IF(MID(B77,1,1)="6",VLOOKUP(B77,transp.!$A$4:$K$19,11,FALSE)&amp;" -  XP="&amp;TEXT(T675,"0.000")&amp;" / XR="&amp;TEXT(V675,"0.000"),VLOOKUP(B77,'DER 11-20'!$A$1:$I$1981,2,FALSE)))&amp;" - "&amp;TEXT(C78,"0.000")</f>
        <v>Galpão em peças de madeira 8x8cm e contravent. de 5x7cm, cobertura de telhas de fibroc. de 6mm, incl. ponto e cabo de alimentação da máquina - (Oficina Mecânica)</v>
      </c>
      <c r="D77" s="934" t="s">
        <v>7</v>
      </c>
      <c r="E77" s="935"/>
      <c r="F77" s="936"/>
      <c r="G77" s="753"/>
      <c r="H77" s="754"/>
      <c r="I77" s="386"/>
      <c r="J77" s="337" t="s">
        <v>266</v>
      </c>
      <c r="K77" s="725"/>
      <c r="L77" s="728" t="s">
        <v>301</v>
      </c>
      <c r="M77" s="756"/>
      <c r="N77" s="728" t="str">
        <f>CONCATENATE("Total (",IF(MID(B77,1,2)="LG",VLOOKUP(B77,Composições!J:M,4,FALSE),IF(MID(B77,1,1)="6","t",VLOOKUP(B77,'DER 11-20'!$A$1:$I$1981,3,FALSE))),")")</f>
        <v>Total (M2)</v>
      </c>
      <c r="O77" s="339"/>
      <c r="P77" s="755"/>
      <c r="Q77" s="755"/>
      <c r="R77" s="658"/>
      <c r="S77" s="593">
        <f>VLOOKUP("Total",C79:O2285,12,FALSE)</f>
        <v>40</v>
      </c>
      <c r="T77" s="593" t="str">
        <f>VLOOKUP("Total",C79:O2285,13,FALSE)</f>
        <v>M2</v>
      </c>
      <c r="U77" s="593"/>
    </row>
    <row r="78" spans="1:28" x14ac:dyDescent="0.2">
      <c r="A78" s="652"/>
      <c r="B78" s="891"/>
      <c r="C78" s="335" t="s">
        <v>451</v>
      </c>
      <c r="D78" s="753"/>
      <c r="E78" s="754"/>
      <c r="F78" s="754"/>
      <c r="G78" s="753"/>
      <c r="H78" s="754"/>
      <c r="I78" s="386"/>
      <c r="J78" s="337"/>
      <c r="K78" s="725"/>
      <c r="L78" s="728"/>
      <c r="M78" s="756"/>
      <c r="N78" s="728"/>
      <c r="O78" s="339"/>
      <c r="P78" s="755"/>
      <c r="Q78" s="755"/>
      <c r="R78" s="658"/>
      <c r="S78" s="593"/>
      <c r="T78" s="593"/>
      <c r="U78" s="593"/>
    </row>
    <row r="79" spans="1:28" s="282" customFormat="1" x14ac:dyDescent="0.2">
      <c r="A79" s="655"/>
      <c r="B79" s="751"/>
      <c r="C79" s="342" t="s">
        <v>2</v>
      </c>
      <c r="D79" s="343"/>
      <c r="E79" s="340"/>
      <c r="F79" s="344"/>
      <c r="G79" s="343"/>
      <c r="H79" s="344"/>
      <c r="I79" s="344"/>
      <c r="J79" s="341"/>
      <c r="K79" s="345"/>
      <c r="L79" s="346"/>
      <c r="M79" s="347"/>
      <c r="N79" s="348">
        <v>40</v>
      </c>
      <c r="O79" s="349" t="str">
        <f>IF(MID(B77,1,2)="LG",VLOOKUP(B77,Composições!J:M,4,FALSE),IF(MID(B77,1,1)="6",VLOOKUP(B77,transp.!$A$6:$K$35,3,FALSE),VLOOKUP(B77,'DER 11-20'!$A$1:$I$1981,3,FALSE)))</f>
        <v>M2</v>
      </c>
      <c r="P79" s="350"/>
      <c r="Q79" s="350"/>
      <c r="R79" s="656"/>
      <c r="S79" s="593">
        <f>VLOOKUP("Total",C80:O2287,12,FALSE)</f>
        <v>50</v>
      </c>
      <c r="T79" s="593" t="str">
        <f>VLOOKUP("Total",C80:O2287,13,FALSE)</f>
        <v>M2</v>
      </c>
      <c r="U79" s="593"/>
      <c r="W79" s="582"/>
      <c r="X79" s="582"/>
      <c r="Y79" s="582"/>
      <c r="Z79" s="582"/>
      <c r="AA79" s="582"/>
      <c r="AB79" s="582"/>
    </row>
    <row r="80" spans="1:28" x14ac:dyDescent="0.2">
      <c r="A80" s="287"/>
      <c r="B80" s="890"/>
      <c r="C80" s="331"/>
      <c r="H80" s="285"/>
      <c r="N80" s="306"/>
      <c r="O80" s="332"/>
      <c r="P80" s="307"/>
      <c r="Q80" s="307"/>
      <c r="R80" s="659"/>
      <c r="S80" s="593">
        <f>VLOOKUP("Total",C81:O2292,12,FALSE)</f>
        <v>50</v>
      </c>
      <c r="T80" s="593" t="str">
        <f>VLOOKUP("Total",C81:O2292,13,FALSE)</f>
        <v>M2</v>
      </c>
      <c r="U80" s="593"/>
    </row>
    <row r="81" spans="1:28" x14ac:dyDescent="0.2">
      <c r="A81" s="652" t="s">
        <v>239</v>
      </c>
      <c r="B81" s="891">
        <v>40911</v>
      </c>
      <c r="C81" s="335" t="str">
        <f>IF(MID(B81,1,2)="LG",VLOOKUP(B81,Composições!J:M,3,FALSE),IF(MID(B81,1,1)="6",VLOOKUP(B81,transp.!$A$4:$K$19,11,FALSE)&amp;" -  XP="&amp;TEXT(T683,"0.000")&amp;" / XR="&amp;TEXT(V683,"0.000"),VLOOKUP(B81,'DER 11-20'!$A$1:$I$1981,2,FALSE)))</f>
        <v>Calçada de concreto</v>
      </c>
      <c r="D81" s="934" t="s">
        <v>7</v>
      </c>
      <c r="E81" s="935"/>
      <c r="F81" s="936"/>
      <c r="G81" s="753"/>
      <c r="H81" s="754"/>
      <c r="I81" s="386"/>
      <c r="J81" s="337" t="s">
        <v>266</v>
      </c>
      <c r="K81" s="725"/>
      <c r="L81" s="728" t="s">
        <v>301</v>
      </c>
      <c r="M81" s="756"/>
      <c r="N81" s="728" t="str">
        <f>CONCATENATE("Total (",IF(MID(B81,1,2)="LG",VLOOKUP(B81,Composições!J:M,4,FALSE),IF(MID(B81,1,1)="6","t",VLOOKUP(B81,'DER 11-20'!$A$1:$I$1981,3,FALSE))),")")</f>
        <v>Total (M2)</v>
      </c>
      <c r="O81" s="339"/>
      <c r="P81" s="755"/>
      <c r="Q81" s="755"/>
      <c r="R81" s="658"/>
      <c r="S81" s="593">
        <f>VLOOKUP("Total",C82:O2293,12,FALSE)</f>
        <v>50</v>
      </c>
      <c r="T81" s="593" t="str">
        <f>VLOOKUP("Total",C82:O2293,13,FALSE)</f>
        <v>M2</v>
      </c>
      <c r="U81" s="593"/>
    </row>
    <row r="82" spans="1:28" s="282" customFormat="1" x14ac:dyDescent="0.2">
      <c r="A82" s="655"/>
      <c r="B82" s="751"/>
      <c r="C82" s="342" t="s">
        <v>2</v>
      </c>
      <c r="D82" s="343"/>
      <c r="E82" s="340"/>
      <c r="F82" s="344"/>
      <c r="G82" s="343"/>
      <c r="H82" s="344"/>
      <c r="I82" s="344"/>
      <c r="J82" s="341"/>
      <c r="K82" s="345"/>
      <c r="L82" s="346"/>
      <c r="M82" s="347"/>
      <c r="N82" s="348">
        <v>50</v>
      </c>
      <c r="O82" s="349" t="str">
        <f>IF(MID(B81,1,2)="LG",VLOOKUP(B81,Composições!J:M,4,FALSE),IF(MID(B81,1,1)="6",VLOOKUP(B81,transp.!$A$6:$K$35,3,FALSE),VLOOKUP(B81,'DER 11-20'!$A$1:$I$1981,3,FALSE)))</f>
        <v>M2</v>
      </c>
      <c r="P82" s="350"/>
      <c r="Q82" s="350"/>
      <c r="R82" s="656"/>
      <c r="S82" s="593">
        <f>VLOOKUP("Total",C83:O2295,12,FALSE)</f>
        <v>1</v>
      </c>
      <c r="T82" s="593" t="str">
        <f>VLOOKUP("Total",C83:O2295,13,FALSE)</f>
        <v>Ud</v>
      </c>
      <c r="U82" s="593"/>
      <c r="W82" s="582"/>
      <c r="X82" s="582"/>
      <c r="Y82" s="582"/>
      <c r="Z82" s="582"/>
      <c r="AA82" s="582"/>
      <c r="AB82" s="582"/>
    </row>
    <row r="83" spans="1:28" x14ac:dyDescent="0.2">
      <c r="A83" s="287"/>
      <c r="B83" s="890"/>
      <c r="C83" s="331"/>
      <c r="H83" s="285"/>
      <c r="N83" s="306"/>
      <c r="O83" s="332"/>
      <c r="P83" s="307"/>
      <c r="Q83" s="307"/>
      <c r="R83" s="659"/>
      <c r="S83" s="593">
        <f>VLOOKUP("Total",C84:O2297,12,FALSE)</f>
        <v>1</v>
      </c>
      <c r="T83" s="593" t="str">
        <f>VLOOKUP("Total",C84:O2297,13,FALSE)</f>
        <v>Ud</v>
      </c>
      <c r="U83" s="593"/>
    </row>
    <row r="84" spans="1:28" x14ac:dyDescent="0.2">
      <c r="A84" s="652" t="s">
        <v>240</v>
      </c>
      <c r="B84" s="891">
        <v>41555</v>
      </c>
      <c r="C84" s="335" t="str">
        <f>IF(MID(B84,1,2)="LG",VLOOKUP(B84,Composições!J:M,3,FALSE),IF(MID(B84,1,1)="6",VLOOKUP(B84,transp.!$A$4:$K$19,11,FALSE)&amp;" -  XP="&amp;TEXT(T688,"0.000")&amp;" / XR="&amp;TEXT(V688,"0.000"),VLOOKUP(B84,'DER 11-20'!$A$1:$I$1981,2,FALSE)))</f>
        <v>Sistema separador de água e óleo</v>
      </c>
      <c r="D84" s="934" t="s">
        <v>7</v>
      </c>
      <c r="E84" s="935"/>
      <c r="F84" s="936"/>
      <c r="G84" s="753"/>
      <c r="H84" s="754"/>
      <c r="I84" s="386"/>
      <c r="J84" s="337" t="s">
        <v>266</v>
      </c>
      <c r="K84" s="725"/>
      <c r="L84" s="728" t="s">
        <v>302</v>
      </c>
      <c r="M84" s="756"/>
      <c r="N84" s="728" t="str">
        <f>CONCATENATE("Total (",IF(MID(B84,1,2)="LG",VLOOKUP(B84,Composições!J:M,4,FALSE),IF(MID(B84,1,1)="6","t",VLOOKUP(B84,'DER 11-20'!$A$1:$I$1981,3,FALSE))),")")</f>
        <v>Total (Ud)</v>
      </c>
      <c r="O84" s="339"/>
      <c r="P84" s="755"/>
      <c r="Q84" s="755"/>
      <c r="R84" s="658"/>
      <c r="S84" s="593">
        <f>VLOOKUP("Total",C85:O2298,12,FALSE)</f>
        <v>1</v>
      </c>
      <c r="T84" s="593" t="str">
        <f>VLOOKUP("Total",C85:O2298,13,FALSE)</f>
        <v>Ud</v>
      </c>
      <c r="U84" s="593"/>
    </row>
    <row r="85" spans="1:28" s="282" customFormat="1" x14ac:dyDescent="0.2">
      <c r="A85" s="655"/>
      <c r="B85" s="751"/>
      <c r="C85" s="342" t="s">
        <v>2</v>
      </c>
      <c r="D85" s="343"/>
      <c r="E85" s="340"/>
      <c r="F85" s="344"/>
      <c r="G85" s="343"/>
      <c r="H85" s="344"/>
      <c r="I85" s="344"/>
      <c r="J85" s="341"/>
      <c r="K85" s="345"/>
      <c r="L85" s="346"/>
      <c r="M85" s="347"/>
      <c r="N85" s="348">
        <v>1</v>
      </c>
      <c r="O85" s="349" t="str">
        <f>IF(MID(B84,1,2)="LG",VLOOKUP(B84,Composições!J:M,4,FALSE),IF(MID(B84,1,1)="6",VLOOKUP(B84,transp.!$A$6:$K$35,3,FALSE),VLOOKUP(B84,'DER 11-20'!$A$1:$I$1981,3,FALSE)))</f>
        <v>Ud</v>
      </c>
      <c r="P85" s="350"/>
      <c r="Q85" s="350"/>
      <c r="R85" s="656"/>
      <c r="S85" s="593">
        <f>VLOOKUP("Total",C118:O2300,12,FALSE)</f>
        <v>6719</v>
      </c>
      <c r="T85" s="593" t="str">
        <f>VLOOKUP("Total",C118:O2300,13,FALSE)</f>
        <v>M3</v>
      </c>
      <c r="U85" s="593"/>
      <c r="W85" s="582"/>
      <c r="X85" s="582"/>
      <c r="Y85" s="582"/>
      <c r="Z85" s="582"/>
      <c r="AA85" s="582"/>
      <c r="AB85" s="582"/>
    </row>
    <row r="86" spans="1:28" x14ac:dyDescent="0.2">
      <c r="A86" s="287"/>
      <c r="B86" s="890"/>
      <c r="C86" s="331"/>
      <c r="H86" s="285"/>
      <c r="N86" s="306"/>
      <c r="O86" s="332"/>
      <c r="P86" s="307"/>
      <c r="Q86" s="307"/>
      <c r="R86" s="659"/>
      <c r="S86" s="593">
        <f>VLOOKUP("Total",C87:O2296,12,FALSE)</f>
        <v>10</v>
      </c>
      <c r="T86" s="593" t="str">
        <f>VLOOKUP("Total",C87:O2296,13,FALSE)</f>
        <v>M</v>
      </c>
      <c r="U86" s="593"/>
    </row>
    <row r="87" spans="1:28" x14ac:dyDescent="0.2">
      <c r="A87" s="652" t="s">
        <v>241</v>
      </c>
      <c r="B87" s="891">
        <v>41557</v>
      </c>
      <c r="C87" s="335" t="str">
        <f>IF(MID(B87,1,2)="LG",VLOOKUP(B87,Composições!J:M,3,FALSE),IF(MID(B87,1,1)="6",VLOOKUP(B87,transp.!$A$4:$K$19,11,FALSE)&amp;" -  XP="&amp;TEXT(T687,"0.000")&amp;" / XR="&amp;TEXT(V687,"0.000"),VLOOKUP(B87,'DER 11-20'!$A$1:$I$1981,2,FALSE)))</f>
        <v>Canaleta de concreto retangular com grelha em barra de aço</v>
      </c>
      <c r="D87" s="934" t="s">
        <v>7</v>
      </c>
      <c r="E87" s="935"/>
      <c r="F87" s="936"/>
      <c r="G87" s="753"/>
      <c r="H87" s="754"/>
      <c r="I87" s="386"/>
      <c r="J87" s="337" t="s">
        <v>266</v>
      </c>
      <c r="K87" s="725"/>
      <c r="L87" s="728" t="s">
        <v>267</v>
      </c>
      <c r="M87" s="756"/>
      <c r="N87" s="728" t="str">
        <f>CONCATENATE("Total (",IF(MID(B87,1,2)="LG",VLOOKUP(B87,Composições!J:M,4,FALSE),IF(MID(B87,1,1)="6","t",VLOOKUP(B87,'DER 11-20'!$A$1:$I$1981,3,FALSE))),")")</f>
        <v>Total (M)</v>
      </c>
      <c r="O87" s="339"/>
      <c r="P87" s="755"/>
      <c r="Q87" s="755"/>
      <c r="R87" s="658"/>
      <c r="S87" s="593">
        <f>VLOOKUP("Total",C88:O2297,12,FALSE)</f>
        <v>10</v>
      </c>
      <c r="T87" s="593" t="str">
        <f>VLOOKUP("Total",C88:O2297,13,FALSE)</f>
        <v>M</v>
      </c>
      <c r="U87" s="593"/>
    </row>
    <row r="88" spans="1:28" s="282" customFormat="1" x14ac:dyDescent="0.2">
      <c r="A88" s="655"/>
      <c r="B88" s="751"/>
      <c r="C88" s="342" t="s">
        <v>2</v>
      </c>
      <c r="D88" s="343"/>
      <c r="E88" s="340"/>
      <c r="F88" s="344"/>
      <c r="G88" s="343"/>
      <c r="H88" s="344"/>
      <c r="I88" s="344"/>
      <c r="J88" s="341"/>
      <c r="K88" s="345"/>
      <c r="L88" s="346"/>
      <c r="M88" s="347"/>
      <c r="N88" s="348">
        <v>10</v>
      </c>
      <c r="O88" s="349" t="str">
        <f>IF(MID(B87,1,2)="LG",VLOOKUP(B87,Composições!J:M,4,FALSE),IF(MID(B87,1,1)="6",VLOOKUP(B87,transp.!$A$6:$K$35,3,FALSE),VLOOKUP(B87,'DER 11-20'!$A$1:$I$1981,3,FALSE)))</f>
        <v>M</v>
      </c>
      <c r="P88" s="350"/>
      <c r="Q88" s="350"/>
      <c r="R88" s="656"/>
      <c r="S88" s="593">
        <f>VLOOKUP("Total",C112:O2299,12,FALSE)</f>
        <v>133518.18</v>
      </c>
      <c r="T88" s="593" t="str">
        <f>VLOOKUP("Total",C112:O2299,13,FALSE)</f>
        <v>M2</v>
      </c>
      <c r="U88" s="593"/>
      <c r="W88" s="582"/>
      <c r="X88" s="582"/>
      <c r="Y88" s="582"/>
      <c r="Z88" s="582"/>
      <c r="AA88" s="582"/>
      <c r="AB88" s="582"/>
    </row>
    <row r="89" spans="1:28" s="282" customFormat="1" x14ac:dyDescent="0.2">
      <c r="A89" s="287"/>
      <c r="B89" s="890"/>
      <c r="C89" s="763" t="s">
        <v>454</v>
      </c>
      <c r="D89" s="283"/>
      <c r="E89" s="284"/>
      <c r="F89" s="285"/>
      <c r="G89" s="283"/>
      <c r="H89" s="285"/>
      <c r="I89" s="285"/>
      <c r="J89" s="286"/>
      <c r="K89" s="290"/>
      <c r="L89" s="291"/>
      <c r="M89" s="292"/>
      <c r="N89" s="306"/>
      <c r="O89" s="332"/>
      <c r="P89" s="307"/>
      <c r="Q89" s="307"/>
      <c r="R89" s="659"/>
      <c r="S89" s="593"/>
      <c r="T89" s="593"/>
      <c r="U89" s="593"/>
      <c r="W89" s="582"/>
      <c r="X89" s="582"/>
      <c r="Y89" s="582"/>
      <c r="Z89" s="582"/>
      <c r="AA89" s="582"/>
      <c r="AB89" s="582"/>
    </row>
    <row r="90" spans="1:28" x14ac:dyDescent="0.2">
      <c r="A90" s="287"/>
      <c r="B90" s="890"/>
      <c r="C90" s="331"/>
      <c r="H90" s="285"/>
      <c r="N90" s="306"/>
      <c r="O90" s="332"/>
      <c r="P90" s="307"/>
      <c r="Q90" s="307"/>
      <c r="R90" s="659"/>
      <c r="S90" s="593">
        <f>VLOOKUP("Total",C91:O2301,12,FALSE)</f>
        <v>20</v>
      </c>
      <c r="T90" s="593" t="str">
        <f>VLOOKUP("Total",C91:O2301,13,FALSE)</f>
        <v>M3</v>
      </c>
      <c r="U90" s="593"/>
    </row>
    <row r="91" spans="1:28" x14ac:dyDescent="0.2">
      <c r="A91" s="652" t="s">
        <v>242</v>
      </c>
      <c r="B91" s="891">
        <v>40360</v>
      </c>
      <c r="C91" s="335" t="str">
        <f>IF(MID(B91,1,2)="LG",VLOOKUP(B91,Composições!J:M,3,FALSE),IF(MID(B91,1,1)="6",VLOOKUP(B91,transp.!$A$4:$K$19,11,FALSE)&amp;" -  XP="&amp;TEXT(T692,"0.000")&amp;" / XR="&amp;TEXT(V692,"0.000"),VLOOKUP(B91,'DER 11-20'!$A$1:$I$1981,2,FALSE)))</f>
        <v>Concreto estrutural fck = 20,0 MPa, tudo incluído</v>
      </c>
      <c r="D91" s="934" t="s">
        <v>7</v>
      </c>
      <c r="E91" s="935"/>
      <c r="F91" s="936"/>
      <c r="G91" s="757"/>
      <c r="H91" s="758"/>
      <c r="I91" s="386"/>
      <c r="J91" s="337" t="s">
        <v>266</v>
      </c>
      <c r="K91" s="725"/>
      <c r="L91" s="728" t="s">
        <v>301</v>
      </c>
      <c r="M91" s="760"/>
      <c r="N91" s="728" t="str">
        <f>CONCATENATE("Total (",IF(MID(B91,1,2)="LG",VLOOKUP(B91,Composições!J:M,4,FALSE),IF(MID(B91,1,1)="6","t",VLOOKUP(B91,'DER 11-20'!$A$1:$I$1981,3,FALSE))),")")</f>
        <v>Total (M3)</v>
      </c>
      <c r="O91" s="339"/>
      <c r="P91" s="759"/>
      <c r="Q91" s="759"/>
      <c r="R91" s="658"/>
      <c r="S91" s="593">
        <f>VLOOKUP("Total",C92:O2302,12,FALSE)</f>
        <v>20</v>
      </c>
      <c r="T91" s="593" t="str">
        <f>VLOOKUP("Total",C92:O2302,13,FALSE)</f>
        <v>M3</v>
      </c>
      <c r="U91" s="593"/>
    </row>
    <row r="92" spans="1:28" s="282" customFormat="1" x14ac:dyDescent="0.2">
      <c r="A92" s="655"/>
      <c r="B92" s="751"/>
      <c r="C92" s="342" t="s">
        <v>2</v>
      </c>
      <c r="D92" s="343"/>
      <c r="E92" s="340"/>
      <c r="F92" s="344"/>
      <c r="G92" s="343"/>
      <c r="H92" s="344"/>
      <c r="I92" s="344"/>
      <c r="J92" s="341"/>
      <c r="K92" s="345"/>
      <c r="L92" s="346"/>
      <c r="M92" s="347"/>
      <c r="N92" s="348">
        <v>20</v>
      </c>
      <c r="O92" s="349" t="str">
        <f>IF(MID(B91,1,2)="LG",VLOOKUP(B91,Composições!J:M,4,FALSE),IF(MID(B91,1,1)="6",VLOOKUP(B91,transp.!$A$6:$K$35,3,FALSE),VLOOKUP(B91,'DER 11-20'!$A$1:$I$1981,3,FALSE)))</f>
        <v>M3</v>
      </c>
      <c r="P92" s="350"/>
      <c r="Q92" s="350"/>
      <c r="R92" s="656"/>
      <c r="S92" s="593">
        <f>VLOOKUP("Total",C93:O2304,12,FALSE)</f>
        <v>107.28</v>
      </c>
      <c r="T92" s="593" t="str">
        <f>VLOOKUP("Total",C93:O2304,13,FALSE)</f>
        <v>M2</v>
      </c>
      <c r="U92" s="593"/>
      <c r="W92" s="582"/>
      <c r="X92" s="582"/>
      <c r="Y92" s="582"/>
      <c r="Z92" s="582"/>
      <c r="AA92" s="582"/>
      <c r="AB92" s="582"/>
    </row>
    <row r="93" spans="1:28" x14ac:dyDescent="0.2">
      <c r="A93" s="287"/>
      <c r="B93" s="890"/>
      <c r="C93" s="331"/>
      <c r="H93" s="285"/>
      <c r="N93" s="306"/>
      <c r="O93" s="332"/>
      <c r="P93" s="307"/>
      <c r="Q93" s="307"/>
      <c r="R93" s="659"/>
      <c r="S93" s="593">
        <f>VLOOKUP("Total",C94:O2306,12,FALSE)</f>
        <v>107.28</v>
      </c>
      <c r="T93" s="593" t="str">
        <f>VLOOKUP("Total",C94:O2306,13,FALSE)</f>
        <v>M2</v>
      </c>
      <c r="U93" s="593"/>
    </row>
    <row r="94" spans="1:28" ht="29.45" customHeight="1" x14ac:dyDescent="0.2">
      <c r="A94" s="652" t="s">
        <v>243</v>
      </c>
      <c r="B94" s="891">
        <v>40313</v>
      </c>
      <c r="C94" s="335" t="str">
        <f>IF(MID(B94,1,2)="LG",VLOOKUP(B94,Composições!J:M,3,FALSE),IF(MID(B94,1,1)="6",VLOOKUP(B94,transp.!$A$4:$K$19,11,FALSE)&amp;" -  XP="&amp;TEXT(T697,"0.000")&amp;" / XR="&amp;TEXT(V697,"0.000"),VLOOKUP(B94,'DER 11-20'!$A$1:$I$1981,2,FALSE)))</f>
        <v>Formas planas de madeira com 04 (quatro) reaproveitamentos, inclusive fornecimento e transporte das madeiras</v>
      </c>
      <c r="D94" s="934" t="s">
        <v>7</v>
      </c>
      <c r="E94" s="935"/>
      <c r="F94" s="936"/>
      <c r="G94" s="757"/>
      <c r="H94" s="758"/>
      <c r="I94" s="386"/>
      <c r="J94" s="337" t="s">
        <v>266</v>
      </c>
      <c r="K94" s="725"/>
      <c r="L94" s="728" t="s">
        <v>302</v>
      </c>
      <c r="M94" s="760"/>
      <c r="N94" s="728" t="str">
        <f>CONCATENATE("Total (",IF(MID(B94,1,2)="LG",VLOOKUP(B94,Composições!J:M,4,FALSE),IF(MID(B94,1,1)="6","t",VLOOKUP(B94,'DER 11-20'!$A$1:$I$1981,3,FALSE))),")")</f>
        <v>Total (M2)</v>
      </c>
      <c r="O94" s="339"/>
      <c r="P94" s="759"/>
      <c r="Q94" s="759"/>
      <c r="R94" s="658"/>
      <c r="S94" s="593">
        <f>VLOOKUP("Total",C95:O2307,12,FALSE)</f>
        <v>107.28</v>
      </c>
      <c r="T94" s="593" t="str">
        <f>VLOOKUP("Total",C95:O2307,13,FALSE)</f>
        <v>M2</v>
      </c>
      <c r="U94" s="593"/>
    </row>
    <row r="95" spans="1:28" s="282" customFormat="1" x14ac:dyDescent="0.2">
      <c r="A95" s="655"/>
      <c r="B95" s="751"/>
      <c r="C95" s="342" t="s">
        <v>2</v>
      </c>
      <c r="D95" s="343"/>
      <c r="E95" s="340"/>
      <c r="F95" s="344"/>
      <c r="G95" s="343"/>
      <c r="H95" s="344"/>
      <c r="I95" s="344"/>
      <c r="J95" s="341"/>
      <c r="K95" s="345"/>
      <c r="L95" s="346"/>
      <c r="M95" s="347"/>
      <c r="N95" s="348">
        <v>107.28</v>
      </c>
      <c r="O95" s="349" t="str">
        <f>IF(MID(B94,1,2)="LG",VLOOKUP(B94,Composições!J:M,4,FALSE),IF(MID(B94,1,1)="6",VLOOKUP(B94,transp.!$A$6:$K$35,3,FALSE),VLOOKUP(B94,'DER 11-20'!$A$1:$I$1981,3,FALSE)))</f>
        <v>M2</v>
      </c>
      <c r="P95" s="350"/>
      <c r="Q95" s="350"/>
      <c r="R95" s="656"/>
      <c r="S95" s="593">
        <f>VLOOKUP("Total",C127:O2309,12,FALSE)</f>
        <v>12610.6</v>
      </c>
      <c r="T95" s="593" t="str">
        <f>VLOOKUP("Total",C127:O2309,13,FALSE)</f>
        <v>T</v>
      </c>
      <c r="U95" s="593"/>
      <c r="W95" s="582"/>
      <c r="X95" s="582"/>
      <c r="Y95" s="582"/>
      <c r="Z95" s="582"/>
      <c r="AA95" s="582"/>
      <c r="AB95" s="582"/>
    </row>
    <row r="96" spans="1:28" x14ac:dyDescent="0.2">
      <c r="A96" s="287"/>
      <c r="B96" s="890"/>
      <c r="C96" s="331"/>
      <c r="H96" s="285"/>
      <c r="N96" s="306"/>
      <c r="O96" s="332"/>
      <c r="P96" s="307"/>
      <c r="Q96" s="307"/>
      <c r="R96" s="659"/>
      <c r="S96" s="593">
        <f>VLOOKUP("Total",C97:O2305,12,FALSE)</f>
        <v>2700</v>
      </c>
      <c r="T96" s="593" t="str">
        <f>VLOOKUP("Total",C97:O2305,13,FALSE)</f>
        <v>kg</v>
      </c>
      <c r="U96" s="593"/>
    </row>
    <row r="97" spans="1:28" ht="25.5" x14ac:dyDescent="0.2">
      <c r="A97" s="652" t="s">
        <v>244</v>
      </c>
      <c r="B97" s="891">
        <v>40376</v>
      </c>
      <c r="C97" s="335" t="str">
        <f>IF(MID(B97,1,2)="LG",VLOOKUP(B97,Composições!J:M,3,FALSE),IF(MID(B97,1,1)="6",VLOOKUP(B97,transp.!$A$4:$K$19,11,FALSE)&amp;" -  XP="&amp;TEXT(T696,"0.000")&amp;" / XR="&amp;TEXT(V696,"0.000"),VLOOKUP(B97,'DER 11-20'!$A$1:$I$1981,2,FALSE)))</f>
        <v>Aço CA-50, fornecimento, dobragem e colocação nas formas (preço médio das bitolas)</v>
      </c>
      <c r="D97" s="934" t="s">
        <v>7</v>
      </c>
      <c r="E97" s="935"/>
      <c r="F97" s="936"/>
      <c r="G97" s="757"/>
      <c r="H97" s="758"/>
      <c r="I97" s="386"/>
      <c r="J97" s="337" t="s">
        <v>266</v>
      </c>
      <c r="K97" s="725"/>
      <c r="L97" s="728" t="s">
        <v>267</v>
      </c>
      <c r="M97" s="760"/>
      <c r="N97" s="728" t="str">
        <f>CONCATENATE("Total (",IF(MID(B97,1,2)="LG",VLOOKUP(B97,Composições!J:M,4,FALSE),IF(MID(B97,1,1)="6","t",VLOOKUP(B97,'DER 11-20'!$A$1:$I$1981,3,FALSE))),")")</f>
        <v>Total (kg)</v>
      </c>
      <c r="O97" s="339"/>
      <c r="P97" s="759"/>
      <c r="Q97" s="759"/>
      <c r="R97" s="658"/>
      <c r="S97" s="593">
        <f>VLOOKUP("Total",C98:O2306,12,FALSE)</f>
        <v>2700</v>
      </c>
      <c r="T97" s="593" t="str">
        <f>VLOOKUP("Total",C98:O2306,13,FALSE)</f>
        <v>kg</v>
      </c>
      <c r="U97" s="593"/>
    </row>
    <row r="98" spans="1:28" s="282" customFormat="1" x14ac:dyDescent="0.2">
      <c r="A98" s="655"/>
      <c r="B98" s="751"/>
      <c r="C98" s="342" t="s">
        <v>2</v>
      </c>
      <c r="D98" s="343"/>
      <c r="E98" s="340"/>
      <c r="F98" s="344"/>
      <c r="G98" s="343"/>
      <c r="H98" s="344"/>
      <c r="I98" s="344"/>
      <c r="J98" s="341"/>
      <c r="K98" s="345"/>
      <c r="L98" s="346"/>
      <c r="M98" s="347"/>
      <c r="N98" s="348">
        <v>2700</v>
      </c>
      <c r="O98" s="349" t="str">
        <f>IF(MID(B97,1,2)="LG",VLOOKUP(B97,Composições!J:M,4,FALSE),IF(MID(B97,1,1)="6",VLOOKUP(B97,transp.!$A$6:$K$35,3,FALSE),VLOOKUP(B97,'DER 11-20'!$A$1:$I$1981,3,FALSE)))</f>
        <v>kg</v>
      </c>
      <c r="P98" s="350"/>
      <c r="Q98" s="350"/>
      <c r="R98" s="656"/>
      <c r="S98" s="593">
        <f>VLOOKUP("Total",C112:O2308,12,FALSE)</f>
        <v>133518.18</v>
      </c>
      <c r="T98" s="593" t="str">
        <f>VLOOKUP("Total",C112:O2308,13,FALSE)</f>
        <v>M2</v>
      </c>
      <c r="U98" s="593"/>
      <c r="W98" s="582"/>
      <c r="X98" s="582"/>
      <c r="Y98" s="582"/>
      <c r="Z98" s="582"/>
      <c r="AA98" s="582"/>
      <c r="AB98" s="582"/>
    </row>
    <row r="99" spans="1:28" s="282" customFormat="1" x14ac:dyDescent="0.2">
      <c r="A99" s="287"/>
      <c r="B99" s="890"/>
      <c r="C99" s="763" t="s">
        <v>455</v>
      </c>
      <c r="D99" s="283"/>
      <c r="E99" s="284"/>
      <c r="F99" s="285"/>
      <c r="G99" s="283"/>
      <c r="H99" s="285"/>
      <c r="I99" s="285"/>
      <c r="J99" s="286"/>
      <c r="K99" s="290"/>
      <c r="L99" s="291"/>
      <c r="M99" s="292"/>
      <c r="N99" s="306"/>
      <c r="O99" s="332"/>
      <c r="P99" s="307"/>
      <c r="Q99" s="307"/>
      <c r="R99" s="659"/>
      <c r="S99" s="593"/>
      <c r="T99" s="593"/>
      <c r="U99" s="593"/>
      <c r="W99" s="582"/>
      <c r="X99" s="582"/>
      <c r="Y99" s="582"/>
      <c r="Z99" s="582"/>
      <c r="AA99" s="582"/>
      <c r="AB99" s="582"/>
    </row>
    <row r="100" spans="1:28" x14ac:dyDescent="0.2">
      <c r="A100" s="287"/>
      <c r="B100" s="890"/>
      <c r="C100" s="331"/>
      <c r="H100" s="285"/>
      <c r="N100" s="306"/>
      <c r="O100" s="332"/>
      <c r="P100" s="307"/>
      <c r="Q100" s="307"/>
      <c r="R100" s="659"/>
      <c r="S100" s="593">
        <f>VLOOKUP("Total",C101:O2308,12,FALSE)</f>
        <v>100</v>
      </c>
      <c r="T100" s="593" t="str">
        <f>VLOOKUP("Total",C101:O2308,13,FALSE)</f>
        <v>h</v>
      </c>
      <c r="U100" s="593"/>
    </row>
    <row r="101" spans="1:28" ht="25.5" x14ac:dyDescent="0.2">
      <c r="A101" s="652" t="s">
        <v>245</v>
      </c>
      <c r="B101" s="891">
        <v>41544</v>
      </c>
      <c r="C101" s="335" t="str">
        <f>IF(MID(B101,1,2)="LG",VLOOKUP(B101,Composições!J:M,3,FALSE),IF(MID(B101,1,1)="6",VLOOKUP(B101,transp.!$A$4:$K$19,11,FALSE)&amp;" -  XP="&amp;TEXT(T699,"0.000")&amp;" / XR="&amp;TEXT(V699,"0.000"),VLOOKUP(B101,'DER 11-20'!$A$1:$I$1981,2,FALSE)))</f>
        <v>Mobilização e desmobilização de equipamentos com carreta prancha (máximo)</v>
      </c>
      <c r="D101" s="934" t="s">
        <v>7</v>
      </c>
      <c r="E101" s="935"/>
      <c r="F101" s="936"/>
      <c r="G101" s="757"/>
      <c r="H101" s="758"/>
      <c r="I101" s="386"/>
      <c r="J101" s="337" t="s">
        <v>266</v>
      </c>
      <c r="K101" s="725"/>
      <c r="L101" s="728" t="s">
        <v>267</v>
      </c>
      <c r="M101" s="760"/>
      <c r="N101" s="728" t="str">
        <f>CONCATENATE("Total (",IF(MID(B101,1,2)="LG",VLOOKUP(B101,Composições!J:M,4,FALSE),IF(MID(B101,1,1)="6","t",VLOOKUP(B101,'DER 11-20'!$A$1:$I$1981,3,FALSE))),")")</f>
        <v>Total (h)</v>
      </c>
      <c r="O101" s="339"/>
      <c r="P101" s="759"/>
      <c r="Q101" s="759"/>
      <c r="R101" s="658"/>
      <c r="S101" s="593">
        <f>VLOOKUP("Total",C102:O2309,12,FALSE)</f>
        <v>100</v>
      </c>
      <c r="T101" s="593" t="str">
        <f>VLOOKUP("Total",C102:O2309,13,FALSE)</f>
        <v>h</v>
      </c>
      <c r="U101" s="593"/>
    </row>
    <row r="102" spans="1:28" s="282" customFormat="1" x14ac:dyDescent="0.2">
      <c r="A102" s="655"/>
      <c r="B102" s="751"/>
      <c r="C102" s="342" t="s">
        <v>2</v>
      </c>
      <c r="D102" s="343"/>
      <c r="E102" s="340"/>
      <c r="F102" s="344"/>
      <c r="G102" s="343"/>
      <c r="H102" s="344"/>
      <c r="I102" s="344"/>
      <c r="J102" s="341"/>
      <c r="K102" s="345"/>
      <c r="L102" s="346"/>
      <c r="M102" s="347"/>
      <c r="N102" s="348">
        <v>100</v>
      </c>
      <c r="O102" s="349" t="str">
        <f>IF(MID(B101,1,2)="LG",VLOOKUP(B101,Composições!J:M,4,FALSE),IF(MID(B101,1,1)="6",VLOOKUP(B101,transp.!$A$6:$K$35,3,FALSE),VLOOKUP(B101,'DER 11-20'!$A$1:$I$1981,3,FALSE)))</f>
        <v>h</v>
      </c>
      <c r="P102" s="350"/>
      <c r="Q102" s="350"/>
      <c r="R102" s="656"/>
      <c r="S102" s="593">
        <f>VLOOKUP("Total",C112:O2311,12,FALSE)</f>
        <v>133518.18</v>
      </c>
      <c r="T102" s="593" t="str">
        <f>VLOOKUP("Total",C112:O2311,13,FALSE)</f>
        <v>M2</v>
      </c>
      <c r="U102" s="593"/>
      <c r="W102" s="582"/>
      <c r="X102" s="582"/>
      <c r="Y102" s="582"/>
      <c r="Z102" s="582"/>
      <c r="AA102" s="582"/>
      <c r="AB102" s="582"/>
    </row>
    <row r="103" spans="1:28" x14ac:dyDescent="0.2">
      <c r="A103" s="287"/>
      <c r="B103" s="890"/>
      <c r="C103" s="331"/>
      <c r="H103" s="285"/>
      <c r="N103" s="306"/>
      <c r="O103" s="332"/>
      <c r="P103" s="307"/>
      <c r="Q103" s="307"/>
      <c r="R103" s="659"/>
      <c r="S103" s="593">
        <f>VLOOKUP("Total",C104:O2313,12,FALSE)</f>
        <v>16</v>
      </c>
      <c r="T103" s="593" t="str">
        <f>VLOOKUP("Total",C104:O2313,13,FALSE)</f>
        <v>h</v>
      </c>
      <c r="U103" s="593"/>
    </row>
    <row r="104" spans="1:28" ht="16.899999999999999" customHeight="1" x14ac:dyDescent="0.2">
      <c r="A104" s="652" t="s">
        <v>309</v>
      </c>
      <c r="B104" s="891">
        <v>41545</v>
      </c>
      <c r="C104" s="335" t="str">
        <f>IF(MID(B104,1,2)="LG",VLOOKUP(B104,Composições!J:M,3,FALSE),IF(MID(B104,1,1)="6",VLOOKUP(B104,transp.!$A$4:$K$19,11,FALSE)&amp;" -  XP="&amp;TEXT(T704,"0.000")&amp;" / XR="&amp;TEXT(V704,"0.000"),VLOOKUP(B104,'DER 11-20'!$A$1:$I$1981,2,FALSE)))</f>
        <v>Mobilização e desmobilização de caminhão carroceria (máximo)</v>
      </c>
      <c r="D104" s="934" t="s">
        <v>7</v>
      </c>
      <c r="E104" s="935"/>
      <c r="F104" s="936"/>
      <c r="G104" s="757"/>
      <c r="H104" s="758"/>
      <c r="I104" s="386"/>
      <c r="J104" s="337" t="s">
        <v>266</v>
      </c>
      <c r="K104" s="725"/>
      <c r="L104" s="728" t="s">
        <v>301</v>
      </c>
      <c r="M104" s="760"/>
      <c r="N104" s="728" t="str">
        <f>CONCATENATE("Total (",IF(MID(B104,1,2)="LG",VLOOKUP(B104,Composições!J:M,4,FALSE),IF(MID(B104,1,1)="6","t",VLOOKUP(B104,'DER 11-20'!$A$1:$I$1981,3,FALSE))),")")</f>
        <v>Total (h)</v>
      </c>
      <c r="O104" s="339"/>
      <c r="P104" s="759"/>
      <c r="Q104" s="759"/>
      <c r="R104" s="658"/>
      <c r="S104" s="593">
        <f>VLOOKUP("Total",C105:O2314,12,FALSE)</f>
        <v>16</v>
      </c>
      <c r="T104" s="593" t="str">
        <f>VLOOKUP("Total",C105:O2314,13,FALSE)</f>
        <v>h</v>
      </c>
      <c r="U104" s="593"/>
    </row>
    <row r="105" spans="1:28" s="282" customFormat="1" x14ac:dyDescent="0.2">
      <c r="A105" s="655"/>
      <c r="B105" s="751"/>
      <c r="C105" s="342" t="s">
        <v>2</v>
      </c>
      <c r="D105" s="343"/>
      <c r="E105" s="340"/>
      <c r="F105" s="344"/>
      <c r="G105" s="343"/>
      <c r="H105" s="344"/>
      <c r="I105" s="344"/>
      <c r="J105" s="341"/>
      <c r="K105" s="345"/>
      <c r="L105" s="346"/>
      <c r="M105" s="347"/>
      <c r="N105" s="348">
        <v>16</v>
      </c>
      <c r="O105" s="349" t="str">
        <f>IF(MID(B104,1,2)="LG",VLOOKUP(B104,Composições!J:M,4,FALSE),IF(MID(B104,1,1)="6",VLOOKUP(B104,transp.!$A$6:$K$35,3,FALSE),VLOOKUP(B104,'DER 11-20'!$A$1:$I$1981,3,FALSE)))</f>
        <v>h</v>
      </c>
      <c r="P105" s="350"/>
      <c r="Q105" s="350"/>
      <c r="R105" s="656"/>
      <c r="S105" s="593">
        <f>VLOOKUP("Total",C106:O2316,12,FALSE)</f>
        <v>30</v>
      </c>
      <c r="T105" s="593" t="str">
        <f>VLOOKUP("Total",C106:O2316,13,FALSE)</f>
        <v>h</v>
      </c>
      <c r="U105" s="593"/>
      <c r="W105" s="582"/>
      <c r="X105" s="582"/>
      <c r="Y105" s="582"/>
      <c r="Z105" s="582"/>
      <c r="AA105" s="582"/>
      <c r="AB105" s="582"/>
    </row>
    <row r="106" spans="1:28" x14ac:dyDescent="0.2">
      <c r="A106" s="287"/>
      <c r="B106" s="890"/>
      <c r="C106" s="331"/>
      <c r="H106" s="285"/>
      <c r="N106" s="306"/>
      <c r="O106" s="332"/>
      <c r="P106" s="307"/>
      <c r="Q106" s="307"/>
      <c r="R106" s="659"/>
      <c r="S106" s="593">
        <f>VLOOKUP("Total",C107:O2318,12,FALSE)</f>
        <v>30</v>
      </c>
      <c r="T106" s="593" t="str">
        <f>VLOOKUP("Total",C107:O2318,13,FALSE)</f>
        <v>h</v>
      </c>
      <c r="U106" s="593"/>
    </row>
    <row r="107" spans="1:28" ht="29.45" customHeight="1" x14ac:dyDescent="0.2">
      <c r="A107" s="652" t="s">
        <v>452</v>
      </c>
      <c r="B107" s="891">
        <v>41546</v>
      </c>
      <c r="C107" s="335" t="str">
        <f>IF(MID(B107,1,2)="LG",VLOOKUP(B107,Composições!J:M,3,FALSE),IF(MID(B107,1,1)="6",VLOOKUP(B107,transp.!$A$4:$K$19,11,FALSE)&amp;" -  XP="&amp;TEXT(T709,"0.000")&amp;" / XR="&amp;TEXT(V709,"0.000"),VLOOKUP(B107,'DER 11-20'!$A$1:$I$1981,2,FALSE)))</f>
        <v>Mobilização e desmobilização de caminhão basculante (máximo)</v>
      </c>
      <c r="D107" s="934" t="s">
        <v>7</v>
      </c>
      <c r="E107" s="935"/>
      <c r="F107" s="936"/>
      <c r="G107" s="757"/>
      <c r="H107" s="758"/>
      <c r="I107" s="386"/>
      <c r="J107" s="337" t="s">
        <v>266</v>
      </c>
      <c r="K107" s="725"/>
      <c r="L107" s="728" t="s">
        <v>302</v>
      </c>
      <c r="M107" s="760"/>
      <c r="N107" s="728" t="str">
        <f>CONCATENATE("Total (",IF(MID(B107,1,2)="LG",VLOOKUP(B107,Composições!J:M,4,FALSE),IF(MID(B107,1,1)="6","t",VLOOKUP(B107,'DER 11-20'!$A$1:$I$1981,3,FALSE))),")")</f>
        <v>Total (h)</v>
      </c>
      <c r="O107" s="339"/>
      <c r="P107" s="759"/>
      <c r="Q107" s="759"/>
      <c r="R107" s="658"/>
      <c r="S107" s="593">
        <f>VLOOKUP("Total",C108:O2319,12,FALSE)</f>
        <v>30</v>
      </c>
      <c r="T107" s="593" t="str">
        <f>VLOOKUP("Total",C108:O2319,13,FALSE)</f>
        <v>h</v>
      </c>
      <c r="U107" s="593"/>
    </row>
    <row r="108" spans="1:28" s="282" customFormat="1" x14ac:dyDescent="0.2">
      <c r="A108" s="655"/>
      <c r="B108" s="751"/>
      <c r="C108" s="342" t="s">
        <v>2</v>
      </c>
      <c r="D108" s="343"/>
      <c r="E108" s="340"/>
      <c r="F108" s="344"/>
      <c r="G108" s="343"/>
      <c r="H108" s="344"/>
      <c r="I108" s="344"/>
      <c r="J108" s="341"/>
      <c r="K108" s="345"/>
      <c r="L108" s="346"/>
      <c r="M108" s="347"/>
      <c r="N108" s="348">
        <v>30</v>
      </c>
      <c r="O108" s="349" t="str">
        <f>IF(MID(B107,1,2)="LG",VLOOKUP(B107,Composições!J:M,4,FALSE),IF(MID(B107,1,1)="6",VLOOKUP(B107,transp.!$A$6:$K$35,3,FALSE),VLOOKUP(B107,'DER 11-20'!$A$1:$I$1981,3,FALSE)))</f>
        <v>h</v>
      </c>
      <c r="P108" s="350"/>
      <c r="Q108" s="350"/>
      <c r="R108" s="656"/>
      <c r="S108" s="593">
        <f>VLOOKUP("Total",C139:O2321,12,FALSE)</f>
        <v>19522.8</v>
      </c>
      <c r="T108" s="593" t="str">
        <f>VLOOKUP("Total",C139:O2321,13,FALSE)</f>
        <v>T</v>
      </c>
      <c r="U108" s="593"/>
      <c r="W108" s="582"/>
      <c r="X108" s="582"/>
      <c r="Y108" s="582"/>
      <c r="Z108" s="582"/>
      <c r="AA108" s="582"/>
      <c r="AB108" s="582"/>
    </row>
    <row r="109" spans="1:28" x14ac:dyDescent="0.2">
      <c r="A109" s="287"/>
      <c r="B109" s="890"/>
      <c r="C109" s="331"/>
      <c r="H109" s="285"/>
      <c r="N109" s="306"/>
      <c r="O109" s="332"/>
      <c r="P109" s="307"/>
      <c r="Q109" s="307"/>
      <c r="R109" s="659"/>
      <c r="S109" s="593">
        <f>VLOOKUP("Total",C110:O2317,12,FALSE)</f>
        <v>16</v>
      </c>
      <c r="T109" s="593" t="str">
        <f>VLOOKUP("Total",C110:O2317,13,FALSE)</f>
        <v>h</v>
      </c>
      <c r="U109" s="593"/>
    </row>
    <row r="110" spans="1:28" ht="25.5" x14ac:dyDescent="0.2">
      <c r="A110" s="652" t="s">
        <v>453</v>
      </c>
      <c r="B110" s="891">
        <v>41547</v>
      </c>
      <c r="C110" s="335" t="str">
        <f>IF(MID(B110,1,2)="LG",VLOOKUP(B110,Composições!J:M,3,FALSE),IF(MID(B110,1,1)="6",VLOOKUP(B110,transp.!$A$4:$K$19,11,FALSE)&amp;" -  XP="&amp;TEXT(T708,"0.000")&amp;" / XR="&amp;TEXT(V708,"0.000"),VLOOKUP(B110,'DER 11-20'!$A$1:$I$1981,2,FALSE)))</f>
        <v>Mobilização e desmobilização de caminhão tanque (6.000 L) (máximo)</v>
      </c>
      <c r="D110" s="934" t="s">
        <v>7</v>
      </c>
      <c r="E110" s="935"/>
      <c r="F110" s="936"/>
      <c r="G110" s="757"/>
      <c r="H110" s="758"/>
      <c r="I110" s="386"/>
      <c r="J110" s="337" t="s">
        <v>266</v>
      </c>
      <c r="K110" s="725"/>
      <c r="L110" s="728" t="s">
        <v>267</v>
      </c>
      <c r="M110" s="760"/>
      <c r="N110" s="728" t="str">
        <f>CONCATENATE("Total (",IF(MID(B110,1,2)="LG",VLOOKUP(B110,Composições!J:M,4,FALSE),IF(MID(B110,1,1)="6","t",VLOOKUP(B110,'DER 11-20'!$A$1:$I$1981,3,FALSE))),")")</f>
        <v>Total (h)</v>
      </c>
      <c r="O110" s="339"/>
      <c r="P110" s="759"/>
      <c r="Q110" s="759"/>
      <c r="R110" s="658"/>
      <c r="S110" s="593">
        <f>VLOOKUP("Total",C111:O2318,12,FALSE)</f>
        <v>16</v>
      </c>
      <c r="T110" s="593" t="str">
        <f>VLOOKUP("Total",C111:O2318,13,FALSE)</f>
        <v>h</v>
      </c>
      <c r="U110" s="593"/>
    </row>
    <row r="111" spans="1:28" s="282" customFormat="1" x14ac:dyDescent="0.2">
      <c r="A111" s="655"/>
      <c r="B111" s="751"/>
      <c r="C111" s="342" t="s">
        <v>2</v>
      </c>
      <c r="D111" s="343"/>
      <c r="E111" s="340"/>
      <c r="F111" s="344"/>
      <c r="G111" s="343"/>
      <c r="H111" s="344"/>
      <c r="I111" s="344"/>
      <c r="J111" s="341"/>
      <c r="K111" s="345"/>
      <c r="L111" s="346"/>
      <c r="M111" s="347"/>
      <c r="N111" s="348">
        <v>16</v>
      </c>
      <c r="O111" s="349" t="str">
        <f>IF(MID(B110,1,2)="LG",VLOOKUP(B110,Composições!J:M,4,FALSE),IF(MID(B110,1,1)="6",VLOOKUP(B110,transp.!$A$6:$K$35,3,FALSE),VLOOKUP(B110,'DER 11-20'!$A$1:$I$1981,3,FALSE)))</f>
        <v>h</v>
      </c>
      <c r="P111" s="350"/>
      <c r="Q111" s="350"/>
      <c r="R111" s="656"/>
      <c r="S111" s="593">
        <f>VLOOKUP("Total",C112:O2320,12,FALSE)</f>
        <v>133518.18</v>
      </c>
      <c r="T111" s="593" t="str">
        <f>VLOOKUP("Total",C112:O2320,13,FALSE)</f>
        <v>M2</v>
      </c>
      <c r="U111" s="593"/>
      <c r="W111" s="582"/>
      <c r="X111" s="582"/>
      <c r="Y111" s="582"/>
      <c r="Z111" s="582"/>
      <c r="AA111" s="582"/>
      <c r="AB111" s="582"/>
    </row>
    <row r="112" spans="1:28" s="330" customFormat="1" x14ac:dyDescent="0.2">
      <c r="A112" s="650">
        <v>3</v>
      </c>
      <c r="B112" s="893"/>
      <c r="C112" s="322" t="s">
        <v>285</v>
      </c>
      <c r="D112" s="323"/>
      <c r="E112" s="324"/>
      <c r="F112" s="325"/>
      <c r="G112" s="323"/>
      <c r="H112" s="324"/>
      <c r="I112" s="325"/>
      <c r="J112" s="326"/>
      <c r="K112" s="327"/>
      <c r="L112" s="328"/>
      <c r="M112" s="329"/>
      <c r="N112" s="328"/>
      <c r="O112" s="326"/>
      <c r="P112" s="958"/>
      <c r="Q112" s="959"/>
      <c r="R112" s="960"/>
      <c r="S112" s="593">
        <f>VLOOKUP("Total",C113:O534,12,FALSE)</f>
        <v>133518.18</v>
      </c>
      <c r="T112" s="593" t="str">
        <f>VLOOKUP("Total",C113:O534,13,FALSE)</f>
        <v>M2</v>
      </c>
      <c r="U112" s="593"/>
      <c r="V112" s="593"/>
      <c r="W112" s="581"/>
      <c r="X112" s="581"/>
      <c r="Y112" s="581"/>
      <c r="Z112" s="581"/>
      <c r="AA112" s="581"/>
      <c r="AB112" s="581"/>
    </row>
    <row r="113" spans="1:28" s="282" customFormat="1" ht="25.5" x14ac:dyDescent="0.2">
      <c r="A113" s="652" t="s">
        <v>246</v>
      </c>
      <c r="B113" s="891">
        <v>40167</v>
      </c>
      <c r="C113" s="335" t="str">
        <f>IF(MID(B113,1,2)="LG",VLOOKUP(B113,Composições!J:M,3,FALSE),IF(MID(B113,1,1)="6",VLOOKUP(B113,transp.!$A$4:$K$19,11,FALSE)&amp;" -  XP="&amp;TEXT(T113,"0.000")&amp;" / XR="&amp;TEXT(V113,"0.000"),VLOOKUP(B113,'DER 11-20'!$A$1:$I$1981,2,FALSE)))</f>
        <v>Limpeza, desmatamento e destocamento de árvores com diâmetro até 15 cm, com trator de esteira</v>
      </c>
      <c r="D113" s="934" t="s">
        <v>275</v>
      </c>
      <c r="E113" s="935"/>
      <c r="F113" s="936"/>
      <c r="G113" s="934" t="s">
        <v>276</v>
      </c>
      <c r="H113" s="935"/>
      <c r="I113" s="936"/>
      <c r="J113" s="337" t="s">
        <v>266</v>
      </c>
      <c r="K113" s="644" t="s">
        <v>274</v>
      </c>
      <c r="L113" s="641" t="s">
        <v>271</v>
      </c>
      <c r="M113" s="645"/>
      <c r="N113" s="641" t="str">
        <f>CONCATENATE("Total (",IF(MID(B113,1,2)="LG",VLOOKUP(B113,Composições!J:M,4,FALSE),IF(MID(B113,1,1)="6","t",VLOOKUP(B113,'DER 11-20'!$A$1:$I$1981,3,FALSE))),")")</f>
        <v>Total (M2)</v>
      </c>
      <c r="O113" s="305"/>
      <c r="P113" s="937" t="s">
        <v>277</v>
      </c>
      <c r="Q113" s="938"/>
      <c r="R113" s="961"/>
      <c r="S113" s="593">
        <f>VLOOKUP("Total",C114:O534,12,FALSE)</f>
        <v>133518.18</v>
      </c>
      <c r="T113" s="593" t="str">
        <f>VLOOKUP("Total",C114:O534,13,FALSE)</f>
        <v>M2</v>
      </c>
      <c r="U113" s="593"/>
      <c r="V113" s="593"/>
      <c r="W113" s="582"/>
      <c r="X113" s="582"/>
      <c r="Y113" s="582"/>
      <c r="Z113" s="582"/>
      <c r="AA113" s="582"/>
      <c r="AB113" s="582"/>
    </row>
    <row r="114" spans="1:28" x14ac:dyDescent="0.2">
      <c r="A114" s="655"/>
      <c r="B114" s="751"/>
      <c r="C114" s="342" t="s">
        <v>2</v>
      </c>
      <c r="D114" s="343"/>
      <c r="E114" s="340"/>
      <c r="F114" s="344"/>
      <c r="G114" s="343"/>
      <c r="H114" s="344"/>
      <c r="I114" s="344"/>
      <c r="J114" s="341"/>
      <c r="K114" s="345"/>
      <c r="L114" s="346"/>
      <c r="M114" s="347"/>
      <c r="N114" s="348">
        <v>133518.18</v>
      </c>
      <c r="O114" s="349" t="str">
        <f>IF(MID(B113,1,2)="LG",VLOOKUP(B113,Composições!J:M,4,FALSE),IF(MID(B113,1,1)="6",VLOOKUP(B113,transp.!$A$6:$K$35,3,FALSE),VLOOKUP(B113,'DER 11-20'!$A$1:$I$1981,3,FALSE)))</f>
        <v>M2</v>
      </c>
      <c r="P114" s="350"/>
      <c r="Q114" s="350"/>
      <c r="R114" s="656"/>
      <c r="S114" s="593">
        <f>VLOOKUP("Total",C115:O534,12,FALSE)</f>
        <v>7810</v>
      </c>
      <c r="T114" s="593" t="str">
        <f>VLOOKUP("Total",C115:O534,13,FALSE)</f>
        <v>M3</v>
      </c>
      <c r="U114" s="593"/>
      <c r="V114" s="593"/>
    </row>
    <row r="115" spans="1:28" x14ac:dyDescent="0.2">
      <c r="A115" s="657"/>
      <c r="B115" s="894"/>
      <c r="C115" s="370"/>
      <c r="D115" s="371"/>
      <c r="E115" s="333"/>
      <c r="F115" s="372"/>
      <c r="G115" s="371"/>
      <c r="H115" s="333"/>
      <c r="I115" s="372"/>
      <c r="J115" s="334"/>
      <c r="K115" s="373"/>
      <c r="L115" s="306"/>
      <c r="M115" s="374"/>
      <c r="N115" s="306"/>
      <c r="O115" s="334"/>
      <c r="P115" s="351"/>
      <c r="Q115" s="351"/>
      <c r="R115" s="658"/>
      <c r="S115" s="593">
        <f>VLOOKUP("Total",C116:O534,12,FALSE)</f>
        <v>7810</v>
      </c>
      <c r="T115" s="593" t="str">
        <f>VLOOKUP("Total",C116:O534,13,FALSE)</f>
        <v>M3</v>
      </c>
      <c r="U115" s="593"/>
      <c r="V115" s="593"/>
    </row>
    <row r="116" spans="1:28" s="282" customFormat="1" ht="25.5" x14ac:dyDescent="0.2">
      <c r="A116" s="652" t="s">
        <v>247</v>
      </c>
      <c r="B116" s="891">
        <v>40221</v>
      </c>
      <c r="C116" s="335" t="str">
        <f>IF(MID(B116,1,2)="LG",VLOOKUP(B116,Composições!J:M,3,FALSE),IF(MID(B116,1,1)="6",VLOOKUP(B116,transp.!$A$4:$K$19,11,FALSE)&amp;" -  XP="&amp;TEXT(T116,"0.000")&amp;" / XR="&amp;TEXT(V116,"0.000"),VLOOKUP(B116,'DER 11-20'!$A$1:$I$1981,2,FALSE)))</f>
        <v>Escavação e carga de material de 1ª categoria, com trator de esteira e pá carregadeira</v>
      </c>
      <c r="D116" s="934" t="s">
        <v>275</v>
      </c>
      <c r="E116" s="935"/>
      <c r="F116" s="936"/>
      <c r="G116" s="934" t="s">
        <v>276</v>
      </c>
      <c r="H116" s="935"/>
      <c r="I116" s="936"/>
      <c r="J116" s="337" t="s">
        <v>266</v>
      </c>
      <c r="K116" s="644" t="s">
        <v>274</v>
      </c>
      <c r="L116" s="641" t="s">
        <v>271</v>
      </c>
      <c r="M116" s="645"/>
      <c r="N116" s="641" t="str">
        <f>CONCATENATE("Total (",IF(MID(B116,1,2)="LG",VLOOKUP(B116,Composições!J:M,4,FALSE),IF(MID(B116,1,1)="6","t",VLOOKUP(B116,'DER 11-20'!$A$1:$I$1981,3,FALSE))),")")</f>
        <v>Total (M3)</v>
      </c>
      <c r="O116" s="305"/>
      <c r="P116" s="351"/>
      <c r="Q116" s="351"/>
      <c r="R116" s="658"/>
      <c r="S116" s="593">
        <f>VLOOKUP("Total",C117:O534,12,FALSE)</f>
        <v>7810</v>
      </c>
      <c r="T116" s="593" t="str">
        <f>VLOOKUP("Total",C117:O534,13,FALSE)</f>
        <v>M3</v>
      </c>
      <c r="U116" s="593"/>
      <c r="V116" s="593"/>
      <c r="W116" s="582"/>
      <c r="X116" s="582"/>
      <c r="Y116" s="582"/>
      <c r="Z116" s="582"/>
      <c r="AA116" s="582"/>
      <c r="AB116" s="582"/>
    </row>
    <row r="117" spans="1:28" x14ac:dyDescent="0.2">
      <c r="A117" s="655"/>
      <c r="B117" s="751"/>
      <c r="C117" s="342" t="s">
        <v>2</v>
      </c>
      <c r="D117" s="343"/>
      <c r="E117" s="340"/>
      <c r="F117" s="344"/>
      <c r="G117" s="343"/>
      <c r="H117" s="344"/>
      <c r="I117" s="344"/>
      <c r="J117" s="341"/>
      <c r="K117" s="345"/>
      <c r="L117" s="346"/>
      <c r="M117" s="347"/>
      <c r="N117" s="348">
        <v>7810</v>
      </c>
      <c r="O117" s="349" t="str">
        <f>IF(MID(B116,1,2)="LG",VLOOKUP(B116,Composições!J:M,4,FALSE),IF(MID(B116,1,1)="6",VLOOKUP(B116,transp.!$A$6:$K$35,3,FALSE),VLOOKUP(B116,'DER 11-20'!$A$1:$I$1981,3,FALSE)))</f>
        <v>M3</v>
      </c>
      <c r="P117" s="350"/>
      <c r="Q117" s="350"/>
      <c r="R117" s="656"/>
      <c r="S117" s="593">
        <f>VLOOKUP("Total",C118:O534,12,FALSE)</f>
        <v>6719</v>
      </c>
      <c r="T117" s="593" t="str">
        <f>VLOOKUP("Total",C118:O534,13,FALSE)</f>
        <v>M3</v>
      </c>
      <c r="U117" s="593"/>
      <c r="V117" s="593"/>
    </row>
    <row r="118" spans="1:28" x14ac:dyDescent="0.2">
      <c r="A118" s="657"/>
      <c r="B118" s="894"/>
      <c r="C118" s="370"/>
      <c r="D118" s="371"/>
      <c r="E118" s="333"/>
      <c r="F118" s="372"/>
      <c r="G118" s="371"/>
      <c r="H118" s="333"/>
      <c r="I118" s="372"/>
      <c r="J118" s="334"/>
      <c r="K118" s="373"/>
      <c r="L118" s="306"/>
      <c r="M118" s="374"/>
      <c r="N118" s="306"/>
      <c r="O118" s="334"/>
      <c r="P118" s="351"/>
      <c r="Q118" s="351"/>
      <c r="R118" s="658"/>
      <c r="S118" s="593">
        <f>VLOOKUP("Total",C119:O534,12,FALSE)</f>
        <v>6719</v>
      </c>
      <c r="T118" s="593" t="str">
        <f>VLOOKUP("Total",C119:O534,13,FALSE)</f>
        <v>M3</v>
      </c>
      <c r="U118" s="593"/>
      <c r="V118" s="593"/>
    </row>
    <row r="119" spans="1:28" s="282" customFormat="1" ht="15.6" customHeight="1" x14ac:dyDescent="0.2">
      <c r="A119" s="652" t="s">
        <v>248</v>
      </c>
      <c r="B119" s="891">
        <v>40230</v>
      </c>
      <c r="C119" s="335" t="str">
        <f>IF(MID(B119,1,2)="LG",VLOOKUP(B119,Composições!J:M,3,FALSE),IF(MID(B119,1,1)="6",VLOOKUP(B119,transp.!$A$4:$K$19,11,FALSE)&amp;" -  XP="&amp;TEXT(T119,"0.000")&amp;" / XR="&amp;TEXT(V119,"0.000"),VLOOKUP(B119,'DER 11-20'!$A$1:$I$1981,2,FALSE)))</f>
        <v>Escavação e carga de material de 1ª categoria com escavadeira</v>
      </c>
      <c r="D119" s="934" t="s">
        <v>275</v>
      </c>
      <c r="E119" s="935"/>
      <c r="F119" s="936"/>
      <c r="G119" s="934" t="s">
        <v>276</v>
      </c>
      <c r="H119" s="935"/>
      <c r="I119" s="936"/>
      <c r="J119" s="337" t="s">
        <v>266</v>
      </c>
      <c r="K119" s="644" t="s">
        <v>274</v>
      </c>
      <c r="L119" s="641" t="s">
        <v>271</v>
      </c>
      <c r="M119" s="645"/>
      <c r="N119" s="641" t="str">
        <f>CONCATENATE("Total (",IF(MID(B119,1,2)="LG",VLOOKUP(B119,Composições!J:M,4,FALSE),IF(MID(B119,1,1)="6","t",VLOOKUP(B119,'DER 11-20'!$A$1:$I$1981,3,FALSE))),")")</f>
        <v>Total (M3)</v>
      </c>
      <c r="O119" s="305"/>
      <c r="P119" s="937" t="s">
        <v>277</v>
      </c>
      <c r="Q119" s="938"/>
      <c r="R119" s="658"/>
      <c r="S119" s="593">
        <f>VLOOKUP("Total",C120:O534,12,FALSE)</f>
        <v>6719</v>
      </c>
      <c r="T119" s="593" t="str">
        <f>VLOOKUP("Total",C120:O534,13,FALSE)</f>
        <v>M3</v>
      </c>
      <c r="U119" s="593"/>
      <c r="V119" s="593"/>
      <c r="W119" s="582"/>
      <c r="X119" s="582"/>
      <c r="Y119" s="582"/>
      <c r="Z119" s="582"/>
      <c r="AA119" s="582"/>
      <c r="AB119" s="582"/>
    </row>
    <row r="120" spans="1:28" x14ac:dyDescent="0.2">
      <c r="A120" s="655"/>
      <c r="B120" s="751"/>
      <c r="C120" s="342" t="s">
        <v>2</v>
      </c>
      <c r="D120" s="343"/>
      <c r="E120" s="340"/>
      <c r="F120" s="344"/>
      <c r="G120" s="343"/>
      <c r="H120" s="344"/>
      <c r="I120" s="344"/>
      <c r="J120" s="341"/>
      <c r="K120" s="345"/>
      <c r="L120" s="346"/>
      <c r="M120" s="347"/>
      <c r="N120" s="348">
        <v>6719</v>
      </c>
      <c r="O120" s="349" t="str">
        <f>IF(MID(B119,1,2)="LG",VLOOKUP(B119,Composições!J:M,4,FALSE),IF(MID(B119,1,1)="6",VLOOKUP(B119,transp.!$A$6:$K$35,3,FALSE),VLOOKUP(B119,'DER 11-20'!$A$1:$I$1981,3,FALSE)))</f>
        <v>M3</v>
      </c>
      <c r="P120" s="350"/>
      <c r="Q120" s="350"/>
      <c r="R120" s="656"/>
      <c r="S120" s="593">
        <f>VLOOKUP("Total",C121:O534,12,FALSE)</f>
        <v>11442.3</v>
      </c>
      <c r="T120" s="593" t="str">
        <f>VLOOKUP("Total",C121:O534,13,FALSE)</f>
        <v>T</v>
      </c>
      <c r="U120" s="593"/>
      <c r="V120" s="593"/>
    </row>
    <row r="121" spans="1:28" x14ac:dyDescent="0.2">
      <c r="A121" s="287"/>
      <c r="B121" s="890"/>
      <c r="C121" s="331"/>
      <c r="H121" s="285"/>
      <c r="N121" s="306"/>
      <c r="O121" s="332"/>
      <c r="P121" s="307"/>
      <c r="Q121" s="307"/>
      <c r="R121" s="659"/>
      <c r="S121" s="593">
        <f>VLOOKUP("Total",C122:O534,12,FALSE)</f>
        <v>11442.3</v>
      </c>
      <c r="T121" s="593" t="str">
        <f>VLOOKUP("Total",C122:O534,13,FALSE)</f>
        <v>T</v>
      </c>
      <c r="U121" s="593"/>
      <c r="V121" s="593"/>
    </row>
    <row r="122" spans="1:28" s="282" customFormat="1" ht="37.9" customHeight="1" x14ac:dyDescent="0.2">
      <c r="A122" s="652" t="s">
        <v>249</v>
      </c>
      <c r="B122" s="891">
        <v>60019</v>
      </c>
      <c r="C122" s="806" t="str">
        <f>IF(MID(B122,1,2)="LG",VLOOKUP(B122,Composições!J:M,3,FALSE),IF(MID(B122,1,1)="6",VLOOKUP(B122,transp.!$A$4:$K$19,11,FALSE)&amp;" -  XP="&amp;TEXT(Z122,"0,00")&amp;" / XR="&amp;TEXT(U122,"0,00"),VLOOKUP(B122,'DER 11-20'!$A$1:$I$1981,2,FALSE)))</f>
        <v>LOCAL COM DMT ATÉ 3,0 KM (Caminhão basculante)1,144XP+1,265XR+2,007 (Incluindo BDI= 23,32%) -  XP=0,00 / XR=0,09</v>
      </c>
      <c r="D122" s="934" t="s">
        <v>275</v>
      </c>
      <c r="E122" s="935"/>
      <c r="F122" s="936"/>
      <c r="G122" s="934" t="s">
        <v>276</v>
      </c>
      <c r="H122" s="935"/>
      <c r="I122" s="936"/>
      <c r="J122" s="337" t="s">
        <v>266</v>
      </c>
      <c r="K122" s="644" t="s">
        <v>274</v>
      </c>
      <c r="L122" s="641" t="s">
        <v>271</v>
      </c>
      <c r="M122" s="645" t="s">
        <v>272</v>
      </c>
      <c r="N122" s="641" t="str">
        <f>CONCATENATE("Total (",IF(MID(B122,1,2)="LG",VLOOKUP(B122,Composições!J:M,4,FALSE),IF(MID(B122,1,1)="6","t",VLOOKUP(B122,'DER 11-20'!$A$1:$I$1981,3,FALSE))),")")</f>
        <v>Total (t)</v>
      </c>
      <c r="O122" s="305"/>
      <c r="P122" s="351"/>
      <c r="Q122" s="351"/>
      <c r="R122" s="658"/>
      <c r="S122" s="593">
        <f>VLOOKUP("Total",C123:O534,12,FALSE)</f>
        <v>11442.3</v>
      </c>
      <c r="T122" s="593" t="str">
        <f>VLOOKUP("Total",C123:O534,13,FALSE)</f>
        <v>T</v>
      </c>
      <c r="U122" s="593">
        <f>AB122/1000</f>
        <v>0.09</v>
      </c>
      <c r="V122" s="596">
        <f>W122*AA122+X122*U122+Y122</f>
        <v>2.12</v>
      </c>
      <c r="W122" s="597">
        <f>VLOOKUP(B122,transp.!A:J,8,FALSE)</f>
        <v>1.1439999999999999</v>
      </c>
      <c r="X122" s="597">
        <f>VLOOKUP(B122,transp.!A:J,9,FALSE)</f>
        <v>1.2649999999999999</v>
      </c>
      <c r="Y122" s="597">
        <f>VLOOKUP(B122,transp.!A:J,10,FALSE)</f>
        <v>2.0070000000000001</v>
      </c>
      <c r="Z122" s="597"/>
      <c r="AA122" s="582"/>
      <c r="AB122" s="805">
        <v>90</v>
      </c>
    </row>
    <row r="123" spans="1:28" x14ac:dyDescent="0.2">
      <c r="A123" s="655"/>
      <c r="B123" s="751"/>
      <c r="C123" s="342" t="s">
        <v>2</v>
      </c>
      <c r="D123" s="343"/>
      <c r="E123" s="340"/>
      <c r="F123" s="344"/>
      <c r="G123" s="343"/>
      <c r="H123" s="344"/>
      <c r="I123" s="344"/>
      <c r="J123" s="341"/>
      <c r="K123" s="345"/>
      <c r="L123" s="346"/>
      <c r="M123" s="347"/>
      <c r="N123" s="348">
        <v>11442.3</v>
      </c>
      <c r="O123" s="349" t="str">
        <f>IF(MID(B122,1,2)="LG",VLOOKUP(B122,Composições!J:M,4,FALSE),IF(MID(B122,1,1)="6",VLOOKUP(B122,transp.!$A$6:$K$35,3,FALSE),VLOOKUP(B122,'DER 11-20'!$A$1:$I$1981,3,FALSE)))</f>
        <v>T</v>
      </c>
      <c r="P123" s="350"/>
      <c r="Q123" s="350"/>
      <c r="R123" s="656"/>
      <c r="S123" s="593">
        <f>VLOOKUP("Total",C124:O534,12,FALSE)</f>
        <v>7418</v>
      </c>
      <c r="T123" s="593" t="str">
        <f>VLOOKUP("Total",C124:O534,13,FALSE)</f>
        <v>M3</v>
      </c>
      <c r="U123" s="593"/>
      <c r="V123" s="596"/>
      <c r="W123" s="597"/>
      <c r="X123" s="597"/>
      <c r="Y123" s="597"/>
      <c r="Z123" s="597"/>
    </row>
    <row r="124" spans="1:28" x14ac:dyDescent="0.2">
      <c r="A124" s="287"/>
      <c r="B124" s="890"/>
      <c r="C124" s="331"/>
      <c r="H124" s="285"/>
      <c r="N124" s="306"/>
      <c r="O124" s="332"/>
      <c r="P124" s="307"/>
      <c r="Q124" s="307"/>
      <c r="R124" s="659"/>
      <c r="S124" s="593">
        <f>VLOOKUP("Total",C125:O534,12,FALSE)</f>
        <v>7418</v>
      </c>
      <c r="T124" s="593" t="str">
        <f>VLOOKUP("Total",C125:O534,13,FALSE)</f>
        <v>M3</v>
      </c>
      <c r="U124" s="593"/>
      <c r="V124" s="596"/>
      <c r="W124" s="597"/>
      <c r="X124" s="597"/>
      <c r="Y124" s="597"/>
      <c r="Z124" s="597"/>
    </row>
    <row r="125" spans="1:28" s="282" customFormat="1" ht="15.6" customHeight="1" x14ac:dyDescent="0.2">
      <c r="A125" s="652" t="s">
        <v>250</v>
      </c>
      <c r="B125" s="891">
        <v>40230</v>
      </c>
      <c r="C125" s="335" t="str">
        <f>IF(MID(B125,1,2)="LG",VLOOKUP(B125,Composições!J:M,3,FALSE),IF(MID(B125,1,1)="6",VLOOKUP(B125,transp.!$A$4:$K$19,11,FALSE)&amp;" -  XP="&amp;TEXT(AA125,"0.000")&amp;" / XR="&amp;TEXT(AB125,"0.000"),VLOOKUP(B125,'DER 11-20'!$A$1:$I$1981,2,FALSE)))&amp;""</f>
        <v>Escavação e carga de material de 1ª categoria com escavadeira</v>
      </c>
      <c r="D125" s="934" t="s">
        <v>275</v>
      </c>
      <c r="E125" s="935"/>
      <c r="F125" s="936"/>
      <c r="G125" s="934" t="s">
        <v>276</v>
      </c>
      <c r="H125" s="935"/>
      <c r="I125" s="936"/>
      <c r="J125" s="337" t="s">
        <v>266</v>
      </c>
      <c r="K125" s="644"/>
      <c r="L125" s="641" t="s">
        <v>278</v>
      </c>
      <c r="M125" s="641"/>
      <c r="N125" s="641" t="str">
        <f>CONCATENATE("Total (",IF(MID(B125,1,2)="LG",VLOOKUP(B125,Composições!J:M,4,FALSE),IF(MID(B125,1,1)="6","t",VLOOKUP(B125,'DER 11-20'!$A$1:$I$1981,3,FALSE))),")")</f>
        <v>Total (M3)</v>
      </c>
      <c r="O125" s="305"/>
      <c r="P125" s="351"/>
      <c r="Q125" s="351"/>
      <c r="R125" s="658"/>
      <c r="S125" s="593">
        <f>VLOOKUP("Total",C126:O534,12,FALSE)</f>
        <v>7418</v>
      </c>
      <c r="T125" s="593" t="str">
        <f>VLOOKUP("Total",C126:O534,13,FALSE)</f>
        <v>M3</v>
      </c>
      <c r="U125" s="593"/>
      <c r="V125" s="596"/>
      <c r="W125" s="597"/>
      <c r="X125" s="597"/>
      <c r="Y125" s="597"/>
      <c r="Z125" s="597"/>
      <c r="AA125" s="582"/>
      <c r="AB125" s="598"/>
    </row>
    <row r="126" spans="1:28" x14ac:dyDescent="0.2">
      <c r="A126" s="655"/>
      <c r="B126" s="751"/>
      <c r="C126" s="342" t="s">
        <v>2</v>
      </c>
      <c r="D126" s="343"/>
      <c r="E126" s="340"/>
      <c r="F126" s="344"/>
      <c r="G126" s="343"/>
      <c r="H126" s="344"/>
      <c r="I126" s="344"/>
      <c r="J126" s="341"/>
      <c r="K126" s="345"/>
      <c r="L126" s="348"/>
      <c r="M126" s="347"/>
      <c r="N126" s="348">
        <v>7418</v>
      </c>
      <c r="O126" s="349" t="str">
        <f>IF(MID(B125,1,2)="LG",VLOOKUP(B125,Composições!J:M,4,FALSE),IF(MID(B125,1,1)="6",VLOOKUP(B125,transp.!$A$6:$K$35,3,FALSE),VLOOKUP(B125,'DER 11-20'!$A$1:$I$1981,3,FALSE)))</f>
        <v>M3</v>
      </c>
      <c r="P126" s="350"/>
      <c r="Q126" s="350"/>
      <c r="R126" s="656"/>
      <c r="S126" s="593">
        <f>VLOOKUP("Total",C127:O534,12,FALSE)</f>
        <v>12610.6</v>
      </c>
      <c r="T126" s="593" t="str">
        <f>VLOOKUP("Total",C127:O534,13,FALSE)</f>
        <v>T</v>
      </c>
      <c r="U126" s="593"/>
      <c r="V126" s="596"/>
      <c r="W126" s="597"/>
      <c r="X126" s="597"/>
      <c r="Y126" s="597"/>
      <c r="Z126" s="597"/>
      <c r="AB126" s="598"/>
    </row>
    <row r="127" spans="1:28" x14ac:dyDescent="0.2">
      <c r="A127" s="287"/>
      <c r="B127" s="890"/>
      <c r="C127" s="331"/>
      <c r="H127" s="285"/>
      <c r="N127" s="306"/>
      <c r="O127" s="332"/>
      <c r="P127" s="307"/>
      <c r="Q127" s="307"/>
      <c r="R127" s="659"/>
      <c r="S127" s="593">
        <f>VLOOKUP("Total",C128:O534,12,FALSE)</f>
        <v>12610.6</v>
      </c>
      <c r="T127" s="593" t="str">
        <f>VLOOKUP("Total",C128:O534,13,FALSE)</f>
        <v>T</v>
      </c>
      <c r="U127" s="593"/>
      <c r="V127" s="596"/>
      <c r="W127" s="597"/>
      <c r="X127" s="597"/>
      <c r="Y127" s="597"/>
      <c r="Z127" s="597"/>
      <c r="AB127" s="598"/>
    </row>
    <row r="128" spans="1:28" ht="38.25" x14ac:dyDescent="0.2">
      <c r="A128" s="652" t="s">
        <v>251</v>
      </c>
      <c r="B128" s="891">
        <v>60019</v>
      </c>
      <c r="C128" s="335" t="str">
        <f>IF(MID(B128,1,2)="LG",VLOOKUP(B128,Composições!J:M,3,FALSE),IF(MID(B128,1,1)="6",VLOOKUP(B128,transp.!$A$4:$K$19,11,FALSE)&amp;" -  XP="&amp;TEXT(Z128,"0,00")&amp;" / XR="&amp;TEXT(U128,"0,00"),VLOOKUP(B128,'DER 11-20'!$A$1:$I$1981,2,FALSE)))&amp;" "</f>
        <v xml:space="preserve">LOCAL COM DMT ATÉ 3,0 KM (Caminhão basculante)1,144XP+1,265XR+2,007 (Incluindo BDI= 23,32%) -  XP=0,00 / XR=0,14 </v>
      </c>
      <c r="D128" s="934" t="s">
        <v>275</v>
      </c>
      <c r="E128" s="935"/>
      <c r="F128" s="936"/>
      <c r="G128" s="934" t="s">
        <v>276</v>
      </c>
      <c r="H128" s="935"/>
      <c r="I128" s="936"/>
      <c r="J128" s="337" t="s">
        <v>266</v>
      </c>
      <c r="K128" s="644"/>
      <c r="L128" s="641" t="s">
        <v>278</v>
      </c>
      <c r="M128" s="641" t="s">
        <v>298</v>
      </c>
      <c r="N128" s="641" t="str">
        <f>CONCATENATE("Total (",IF(MID(B128,1,2)="LG",VLOOKUP(B128,Composições!J:M,4,FALSE),IF(MID(B128,1,1)="6","t",VLOOKUP(B128,'DER 11-20'!$A$1:$I$1981,3,FALSE))),")")</f>
        <v>Total (t)</v>
      </c>
      <c r="O128" s="339"/>
      <c r="P128" s="351"/>
      <c r="Q128" s="351"/>
      <c r="R128" s="658"/>
      <c r="S128" s="593">
        <f>VLOOKUP("Total",C129:O534,12,FALSE)</f>
        <v>12610.6</v>
      </c>
      <c r="T128" s="593" t="str">
        <f>VLOOKUP("Total",C129:O534,13,FALSE)</f>
        <v>T</v>
      </c>
      <c r="U128" s="593">
        <f>+AB128/1000</f>
        <v>0.14000000000000001</v>
      </c>
      <c r="V128" s="596">
        <f>W128*AA128+X128*U128+Y128</f>
        <v>2.1800000000000002</v>
      </c>
      <c r="W128" s="597">
        <f>VLOOKUP(B128,transp.!A:J,8,FALSE)</f>
        <v>1.1439999999999999</v>
      </c>
      <c r="X128" s="597">
        <f>VLOOKUP(B128,transp.!A:J,9,FALSE)</f>
        <v>1.2649999999999999</v>
      </c>
      <c r="Y128" s="597">
        <f>VLOOKUP(B128,transp.!A:J,10,FALSE)</f>
        <v>2.0070000000000001</v>
      </c>
      <c r="Z128" s="597"/>
      <c r="AA128" s="600"/>
      <c r="AB128" s="598">
        <v>140</v>
      </c>
    </row>
    <row r="129" spans="1:28" x14ac:dyDescent="0.2">
      <c r="A129" s="660"/>
      <c r="B129" s="895"/>
      <c r="C129" s="342" t="s">
        <v>2</v>
      </c>
      <c r="D129" s="354"/>
      <c r="E129" s="352"/>
      <c r="F129" s="355"/>
      <c r="G129" s="354"/>
      <c r="H129" s="355"/>
      <c r="I129" s="355"/>
      <c r="J129" s="353"/>
      <c r="K129" s="356"/>
      <c r="L129" s="348"/>
      <c r="M129" s="358"/>
      <c r="N129" s="348">
        <v>12610.6</v>
      </c>
      <c r="O129" s="349" t="str">
        <f>IF(MID(B128,1,2)="LG",VLOOKUP(B128,Composições!J:M,4,FALSE),IF(MID(B128,1,1)="6",VLOOKUP(B128,transp.!$A$6:$K$35,3,FALSE),VLOOKUP(B128,'DER 11-20'!$A$1:$I$1981,3,FALSE)))</f>
        <v>T</v>
      </c>
      <c r="P129" s="350"/>
      <c r="Q129" s="350"/>
      <c r="R129" s="656"/>
      <c r="S129" s="593">
        <f>VLOOKUP("Total",C130:O534,12,FALSE)</f>
        <v>27622</v>
      </c>
      <c r="T129" s="593" t="str">
        <f>VLOOKUP("Total",C130:O534,13,FALSE)</f>
        <v>M3</v>
      </c>
      <c r="U129" s="593"/>
      <c r="V129" s="593"/>
      <c r="AB129" s="598"/>
    </row>
    <row r="130" spans="1:28" x14ac:dyDescent="0.2">
      <c r="A130" s="287"/>
      <c r="B130" s="890"/>
      <c r="C130" s="331"/>
      <c r="H130" s="285"/>
      <c r="N130" s="306"/>
      <c r="O130" s="332"/>
      <c r="P130" s="307"/>
      <c r="Q130" s="307"/>
      <c r="R130" s="659"/>
      <c r="S130" s="593">
        <f>VLOOKUP("Total",C131:O534,12,FALSE)</f>
        <v>27622</v>
      </c>
      <c r="T130" s="593" t="str">
        <f>VLOOKUP("Total",C131:O534,13,FALSE)</f>
        <v>M3</v>
      </c>
      <c r="U130" s="593"/>
      <c r="V130" s="593"/>
    </row>
    <row r="131" spans="1:28" s="282" customFormat="1" ht="25.5" x14ac:dyDescent="0.2">
      <c r="A131" s="652" t="s">
        <v>252</v>
      </c>
      <c r="B131" s="891">
        <v>40230</v>
      </c>
      <c r="C131" s="335" t="str">
        <f>IF(MID(B131,1,2)="LG",VLOOKUP(B131,Composições!J:M,3,FALSE),IF(MID(B131,1,1)="6",VLOOKUP(B131,transp.!$A$4:$K$19,11,FALSE)&amp;" -  XP="&amp;TEXT(AA131,"0.000")&amp;" / XR="&amp;TEXT(AB131,"0.000"),VLOOKUP(B131,'DER 11-20'!$A$1:$I$1981,2,FALSE)))&amp;""</f>
        <v>Escavação e carga de material de 1ª categoria com escavadeira</v>
      </c>
      <c r="D131" s="934" t="s">
        <v>275</v>
      </c>
      <c r="E131" s="935"/>
      <c r="F131" s="936"/>
      <c r="G131" s="934" t="s">
        <v>276</v>
      </c>
      <c r="H131" s="935"/>
      <c r="I131" s="936"/>
      <c r="J131" s="337" t="s">
        <v>266</v>
      </c>
      <c r="K131" s="644"/>
      <c r="L131" s="641" t="s">
        <v>278</v>
      </c>
      <c r="M131" s="641" t="s">
        <v>298</v>
      </c>
      <c r="N131" s="641" t="str">
        <f>CONCATENATE("Total (",IF(MID(B131,1,2)="LG",VLOOKUP(B131,Composições!J:M,4,FALSE),IF(MID(B131,1,1)="6","t",VLOOKUP(B131,'DER 11-20'!$A$1:$I$1981,3,FALSE))),")")</f>
        <v>Total (M3)</v>
      </c>
      <c r="O131" s="305"/>
      <c r="P131" s="351"/>
      <c r="Q131" s="351"/>
      <c r="R131" s="658"/>
      <c r="S131" s="593">
        <f>VLOOKUP("Total",C132:O534,12,FALSE)</f>
        <v>27622</v>
      </c>
      <c r="T131" s="593" t="str">
        <f>VLOOKUP("Total",C132:O534,13,FALSE)</f>
        <v>M3</v>
      </c>
      <c r="U131" s="593"/>
      <c r="V131" s="596"/>
      <c r="W131" s="597"/>
      <c r="X131" s="597"/>
      <c r="Y131" s="597"/>
      <c r="Z131" s="597"/>
      <c r="AA131" s="582"/>
      <c r="AB131" s="598"/>
    </row>
    <row r="132" spans="1:28" x14ac:dyDescent="0.2">
      <c r="A132" s="655"/>
      <c r="B132" s="751"/>
      <c r="C132" s="342" t="s">
        <v>2</v>
      </c>
      <c r="D132" s="343"/>
      <c r="E132" s="340"/>
      <c r="F132" s="344"/>
      <c r="G132" s="343"/>
      <c r="H132" s="344"/>
      <c r="I132" s="344"/>
      <c r="J132" s="341"/>
      <c r="K132" s="345"/>
      <c r="L132" s="346"/>
      <c r="M132" s="347"/>
      <c r="N132" s="348">
        <v>27622</v>
      </c>
      <c r="O132" s="349" t="str">
        <f>IF(MID(B131,1,2)="LG",VLOOKUP(B131,Composições!J:M,4,FALSE),IF(MID(B131,1,1)="6",VLOOKUP(B131,transp.!$A$6:$K$35,3,FALSE),VLOOKUP(B131,'DER 11-20'!$A$1:$I$1981,3,FALSE)))</f>
        <v>M3</v>
      </c>
      <c r="P132" s="350"/>
      <c r="Q132" s="350"/>
      <c r="R132" s="656"/>
      <c r="S132" s="593">
        <f>VLOOKUP("Total",C133:O534,12,FALSE)</f>
        <v>46957.4</v>
      </c>
      <c r="T132" s="593" t="str">
        <f>VLOOKUP("Total",C133:O534,13,FALSE)</f>
        <v>T</v>
      </c>
      <c r="U132" s="593"/>
      <c r="V132" s="593"/>
      <c r="AB132" s="598"/>
    </row>
    <row r="133" spans="1:28" x14ac:dyDescent="0.2">
      <c r="A133" s="287"/>
      <c r="B133" s="890"/>
      <c r="C133" s="331"/>
      <c r="H133" s="285"/>
      <c r="N133" s="306"/>
      <c r="O133" s="332"/>
      <c r="P133" s="307"/>
      <c r="Q133" s="307"/>
      <c r="R133" s="659"/>
      <c r="S133" s="593">
        <f>VLOOKUP("Total",C134:O534,12,FALSE)</f>
        <v>46957.4</v>
      </c>
      <c r="T133" s="593" t="str">
        <f>VLOOKUP("Total",C134:O534,13,FALSE)</f>
        <v>T</v>
      </c>
      <c r="U133" s="593"/>
      <c r="V133" s="593"/>
      <c r="AB133" s="598"/>
    </row>
    <row r="134" spans="1:28" ht="38.25" x14ac:dyDescent="0.2">
      <c r="A134" s="652" t="s">
        <v>366</v>
      </c>
      <c r="B134" s="891">
        <v>60019</v>
      </c>
      <c r="C134" s="335" t="str">
        <f>IF(MID(B134,1,2)="LG",VLOOKUP(B134,Composições!J:M,3,FALSE),IF(MID(B134,1,1)="6",VLOOKUP(B134,transp.!$A$4:$K$19,11,FALSE)&amp;" -  XP="&amp;TEXT(Z134,"0,00")&amp;" / XR="&amp;TEXT(U134,"0,00"),VLOOKUP(B134,'DER 11-20'!$A$1:$I$1981,2,FALSE)))&amp;" "</f>
        <v xml:space="preserve">LOCAL COM DMT ATÉ 3,0 KM (Caminhão basculante)1,144XP+1,265XR+2,007 (Incluindo BDI= 23,32%) -  XP=0,00 / XR=0,28 </v>
      </c>
      <c r="D134" s="934" t="s">
        <v>275</v>
      </c>
      <c r="E134" s="935"/>
      <c r="F134" s="936"/>
      <c r="G134" s="934" t="s">
        <v>276</v>
      </c>
      <c r="H134" s="935"/>
      <c r="I134" s="936"/>
      <c r="J134" s="337" t="s">
        <v>266</v>
      </c>
      <c r="K134" s="644"/>
      <c r="L134" s="641" t="s">
        <v>278</v>
      </c>
      <c r="M134" s="641" t="s">
        <v>298</v>
      </c>
      <c r="N134" s="641" t="str">
        <f>CONCATENATE("Total (",IF(MID(B134,1,2)="LG",VLOOKUP(B134,Composições!J:M,4,FALSE),IF(MID(B134,1,1)="6","t",VLOOKUP(B134,'DER 11-20'!$A$1:$I$1981,3,FALSE))),")")</f>
        <v>Total (t)</v>
      </c>
      <c r="O134" s="339"/>
      <c r="P134" s="351"/>
      <c r="Q134" s="351"/>
      <c r="R134" s="658"/>
      <c r="S134" s="593">
        <f>VLOOKUP("Total",C135:O534,12,FALSE)</f>
        <v>46957.4</v>
      </c>
      <c r="T134" s="593" t="str">
        <f>VLOOKUP("Total",C135:O534,13,FALSE)</f>
        <v>T</v>
      </c>
      <c r="U134" s="593">
        <f>+AB134/1000</f>
        <v>0.28000000000000003</v>
      </c>
      <c r="V134" s="596">
        <f>W134*AA134+X134*U134+Y134</f>
        <v>2.36</v>
      </c>
      <c r="W134" s="597">
        <f>VLOOKUP(B134,transp.!A:J,8,FALSE)</f>
        <v>1.1439999999999999</v>
      </c>
      <c r="X134" s="597">
        <f>VLOOKUP(B134,transp.!A:J,9,FALSE)</f>
        <v>1.2649999999999999</v>
      </c>
      <c r="Y134" s="597">
        <f>VLOOKUP(B134,transp.!A:J,10,FALSE)</f>
        <v>2.0070000000000001</v>
      </c>
      <c r="Z134" s="597"/>
      <c r="AA134" s="600"/>
      <c r="AB134" s="598">
        <v>280</v>
      </c>
    </row>
    <row r="135" spans="1:28" x14ac:dyDescent="0.2">
      <c r="A135" s="660"/>
      <c r="B135" s="895"/>
      <c r="C135" s="342" t="s">
        <v>2</v>
      </c>
      <c r="D135" s="354"/>
      <c r="E135" s="352"/>
      <c r="F135" s="355"/>
      <c r="G135" s="354"/>
      <c r="H135" s="355"/>
      <c r="I135" s="355"/>
      <c r="J135" s="353"/>
      <c r="K135" s="356"/>
      <c r="L135" s="357"/>
      <c r="M135" s="358"/>
      <c r="N135" s="348">
        <v>46957.4</v>
      </c>
      <c r="O135" s="349" t="str">
        <f>IF(MID(B134,1,2)="LG",VLOOKUP(B134,Composições!J:M,4,FALSE),IF(MID(B134,1,1)="6",VLOOKUP(B134,transp.!$A$6:$K$35,3,FALSE),VLOOKUP(B134,'DER 11-20'!$A$1:$I$1981,3,FALSE)))</f>
        <v>T</v>
      </c>
      <c r="P135" s="350"/>
      <c r="Q135" s="350"/>
      <c r="R135" s="656"/>
      <c r="S135" s="593">
        <f>VLOOKUP("Total",C136:O534,12,FALSE)</f>
        <v>11484</v>
      </c>
      <c r="T135" s="593" t="str">
        <f>VLOOKUP("Total",C136:O534,13,FALSE)</f>
        <v>M3</v>
      </c>
      <c r="U135" s="593"/>
      <c r="V135" s="593"/>
      <c r="AB135" s="598"/>
    </row>
    <row r="136" spans="1:28" x14ac:dyDescent="0.2">
      <c r="A136" s="287"/>
      <c r="B136" s="890"/>
      <c r="C136" s="331"/>
      <c r="H136" s="285"/>
      <c r="N136" s="306"/>
      <c r="O136" s="332"/>
      <c r="P136" s="307"/>
      <c r="Q136" s="307"/>
      <c r="R136" s="659"/>
      <c r="S136" s="593">
        <f>VLOOKUP("Total",C137:O534,12,FALSE)</f>
        <v>11484</v>
      </c>
      <c r="T136" s="593" t="str">
        <f>VLOOKUP("Total",C137:O534,13,FALSE)</f>
        <v>M3</v>
      </c>
      <c r="U136" s="593"/>
      <c r="V136" s="593"/>
    </row>
    <row r="137" spans="1:28" s="282" customFormat="1" ht="18.600000000000001" customHeight="1" x14ac:dyDescent="0.2">
      <c r="A137" s="652" t="s">
        <v>370</v>
      </c>
      <c r="B137" s="891">
        <v>40230</v>
      </c>
      <c r="C137" s="335" t="str">
        <f>IF(MID(B137,1,2)="LG",VLOOKUP(B137,Composições!J:M,3,FALSE),IF(MID(B137,1,1)="6",VLOOKUP(B137,transp.!$A$4:$K$19,11,FALSE)&amp;" -  XP="&amp;TEXT(AA137,"0.000")&amp;" / XR="&amp;TEXT(AB137,"0.000"),VLOOKUP(B137,'DER 11-20'!$A$1:$I$1981,2,FALSE)))&amp;" "</f>
        <v xml:space="preserve">Escavação e carga de material de 1ª categoria com escavadeira </v>
      </c>
      <c r="D137" s="934" t="s">
        <v>275</v>
      </c>
      <c r="E137" s="935"/>
      <c r="F137" s="936"/>
      <c r="G137" s="934" t="s">
        <v>276</v>
      </c>
      <c r="H137" s="935"/>
      <c r="I137" s="936"/>
      <c r="J137" s="337" t="s">
        <v>266</v>
      </c>
      <c r="K137" s="644"/>
      <c r="L137" s="641" t="s">
        <v>278</v>
      </c>
      <c r="M137" s="641" t="s">
        <v>298</v>
      </c>
      <c r="N137" s="641" t="str">
        <f>CONCATENATE("Total (",IF(MID(B137,1,2)="LG",VLOOKUP(B137,Composições!J:M,4,FALSE),IF(MID(B137,1,1)="6","t",VLOOKUP(B137,'DER 11-20'!$A$1:$I$1981,3,FALSE))),")")</f>
        <v>Total (M3)</v>
      </c>
      <c r="O137" s="305"/>
      <c r="P137" s="351"/>
      <c r="Q137" s="351"/>
      <c r="R137" s="658"/>
      <c r="S137" s="593">
        <f>VLOOKUP("Total",C138:O534,12,FALSE)</f>
        <v>11484</v>
      </c>
      <c r="T137" s="593" t="str">
        <f>VLOOKUP("Total",C138:O534,13,FALSE)</f>
        <v>M3</v>
      </c>
      <c r="U137" s="593"/>
      <c r="V137" s="596"/>
      <c r="W137" s="597"/>
      <c r="X137" s="597"/>
      <c r="Y137" s="597"/>
      <c r="Z137" s="597"/>
      <c r="AA137" s="582"/>
      <c r="AB137" s="598"/>
    </row>
    <row r="138" spans="1:28" x14ac:dyDescent="0.2">
      <c r="A138" s="655"/>
      <c r="B138" s="751"/>
      <c r="C138" s="342" t="s">
        <v>2</v>
      </c>
      <c r="D138" s="343"/>
      <c r="E138" s="340"/>
      <c r="F138" s="344"/>
      <c r="G138" s="343"/>
      <c r="H138" s="344"/>
      <c r="I138" s="344"/>
      <c r="J138" s="341"/>
      <c r="K138" s="345"/>
      <c r="L138" s="346"/>
      <c r="M138" s="347"/>
      <c r="N138" s="348">
        <v>11484</v>
      </c>
      <c r="O138" s="349" t="str">
        <f>IF(MID(B137,1,2)="LG",VLOOKUP(B137,Composições!J:M,4,FALSE),IF(MID(B137,1,1)="6",VLOOKUP(B137,transp.!$A$6:$K$35,3,FALSE),VLOOKUP(B137,'DER 11-20'!$A$1:$I$1981,3,FALSE)))</f>
        <v>M3</v>
      </c>
      <c r="P138" s="350"/>
      <c r="Q138" s="350"/>
      <c r="R138" s="656"/>
      <c r="S138" s="593">
        <f>VLOOKUP("Total",C278:O534,12,FALSE)</f>
        <v>1035.8599999999999</v>
      </c>
      <c r="T138" s="593" t="str">
        <f>VLOOKUP("Total",C278:O534,13,FALSE)</f>
        <v>M3</v>
      </c>
      <c r="U138" s="593"/>
      <c r="V138" s="593"/>
      <c r="AB138" s="598"/>
    </row>
    <row r="139" spans="1:28" x14ac:dyDescent="0.2">
      <c r="A139" s="287"/>
      <c r="B139" s="890"/>
      <c r="C139" s="331"/>
      <c r="H139" s="285"/>
      <c r="N139" s="306"/>
      <c r="O139" s="332"/>
      <c r="P139" s="307"/>
      <c r="Q139" s="307"/>
      <c r="R139" s="659"/>
      <c r="S139" s="593">
        <f>VLOOKUP("Total",C140:O606,12,FALSE)</f>
        <v>19522.8</v>
      </c>
      <c r="T139" s="593" t="str">
        <f>VLOOKUP("Total",C140:O606,13,FALSE)</f>
        <v>T</v>
      </c>
      <c r="U139" s="593"/>
      <c r="V139" s="593"/>
      <c r="AB139" s="598"/>
    </row>
    <row r="140" spans="1:28" ht="38.25" x14ac:dyDescent="0.2">
      <c r="A140" s="652" t="s">
        <v>371</v>
      </c>
      <c r="B140" s="891">
        <v>60019</v>
      </c>
      <c r="C140" s="335" t="str">
        <f>IF(MID(B140,1,2)="LG",VLOOKUP(B140,Composições!J:M,3,FALSE),IF(MID(B140,1,1)="6",VLOOKUP(B140,transp.!$A$4:$K$19,11,FALSE)&amp;" -  XP="&amp;TEXT(Z140,"0,00")&amp;" / XR="&amp;TEXT(U140,"0,00"),VLOOKUP(B140,'DER 11-20'!$A$1:$I$1981,2,FALSE)))&amp;" "</f>
        <v xml:space="preserve">LOCAL COM DMT ATÉ 3,0 KM (Caminhão basculante)1,144XP+1,265XR+2,007 (Incluindo BDI= 23,32%) -  XP=0,00 / XR=0,45 </v>
      </c>
      <c r="D140" s="934" t="s">
        <v>275</v>
      </c>
      <c r="E140" s="935"/>
      <c r="F140" s="936"/>
      <c r="G140" s="934" t="s">
        <v>276</v>
      </c>
      <c r="H140" s="935"/>
      <c r="I140" s="936"/>
      <c r="J140" s="337" t="s">
        <v>266</v>
      </c>
      <c r="K140" s="725"/>
      <c r="L140" s="728" t="s">
        <v>278</v>
      </c>
      <c r="M140" s="728" t="s">
        <v>298</v>
      </c>
      <c r="N140" s="728" t="str">
        <f>CONCATENATE("Total (",IF(MID(B140,1,2)="LG",VLOOKUP(B140,Composições!J:M,4,FALSE),IF(MID(B140,1,1)="6","t",VLOOKUP(B140,'DER 11-20'!$A$1:$I$1981,3,FALSE))),")")</f>
        <v>Total (t)</v>
      </c>
      <c r="O140" s="339"/>
      <c r="P140" s="351"/>
      <c r="Q140" s="351"/>
      <c r="R140" s="658"/>
      <c r="S140" s="593">
        <f>VLOOKUP("Total",C141:O606,12,FALSE)</f>
        <v>19522.8</v>
      </c>
      <c r="T140" s="593" t="str">
        <f>VLOOKUP("Total",C141:O606,13,FALSE)</f>
        <v>T</v>
      </c>
      <c r="U140" s="593">
        <f>+AB140/1000</f>
        <v>0.45</v>
      </c>
      <c r="V140" s="596">
        <f>W140*AA140+X140*U140+Y140</f>
        <v>2.58</v>
      </c>
      <c r="W140" s="597">
        <f>VLOOKUP(B140,transp.!A:J,8,FALSE)</f>
        <v>1.1439999999999999</v>
      </c>
      <c r="X140" s="597">
        <f>VLOOKUP(B140,transp.!A:J,9,FALSE)</f>
        <v>1.2649999999999999</v>
      </c>
      <c r="Y140" s="597">
        <f>VLOOKUP(B140,transp.!A:J,10,FALSE)</f>
        <v>2.0070000000000001</v>
      </c>
      <c r="Z140" s="597"/>
      <c r="AA140" s="600"/>
      <c r="AB140" s="598">
        <v>450</v>
      </c>
    </row>
    <row r="141" spans="1:28" x14ac:dyDescent="0.2">
      <c r="A141" s="660"/>
      <c r="B141" s="895"/>
      <c r="C141" s="342" t="s">
        <v>2</v>
      </c>
      <c r="D141" s="354"/>
      <c r="E141" s="352"/>
      <c r="F141" s="355"/>
      <c r="G141" s="354"/>
      <c r="H141" s="355"/>
      <c r="I141" s="355"/>
      <c r="J141" s="353"/>
      <c r="K141" s="356"/>
      <c r="L141" s="348"/>
      <c r="M141" s="358"/>
      <c r="N141" s="348">
        <v>19522.8</v>
      </c>
      <c r="O141" s="349" t="str">
        <f>IF(MID(B140,1,2)="LG",VLOOKUP(B140,Composições!J:M,4,FALSE),IF(MID(B140,1,1)="6",VLOOKUP(B140,transp.!$A$6:$K$35,3,FALSE),VLOOKUP(B140,'DER 11-20'!$A$1:$I$1981,3,FALSE)))</f>
        <v>T</v>
      </c>
      <c r="P141" s="350"/>
      <c r="Q141" s="350"/>
      <c r="R141" s="656"/>
      <c r="S141" s="593">
        <f>VLOOKUP("Total",C142:O606,12,FALSE)</f>
        <v>19149</v>
      </c>
      <c r="T141" s="593" t="str">
        <f>VLOOKUP("Total",C142:O606,13,FALSE)</f>
        <v>M3</v>
      </c>
      <c r="U141" s="593"/>
      <c r="V141" s="593"/>
      <c r="AB141" s="598"/>
    </row>
    <row r="142" spans="1:28" x14ac:dyDescent="0.2">
      <c r="A142" s="287"/>
      <c r="B142" s="890"/>
      <c r="C142" s="331"/>
      <c r="H142" s="285"/>
      <c r="N142" s="306"/>
      <c r="O142" s="332"/>
      <c r="P142" s="307"/>
      <c r="Q142" s="307"/>
      <c r="R142" s="659"/>
      <c r="S142" s="593">
        <f>VLOOKUP("Total",C143:O606,12,FALSE)</f>
        <v>19149</v>
      </c>
      <c r="T142" s="593" t="str">
        <f>VLOOKUP("Total",C143:O606,13,FALSE)</f>
        <v>M3</v>
      </c>
      <c r="U142" s="593"/>
      <c r="V142" s="593"/>
    </row>
    <row r="143" spans="1:28" s="282" customFormat="1" ht="16.899999999999999" customHeight="1" x14ac:dyDescent="0.2">
      <c r="A143" s="652" t="s">
        <v>456</v>
      </c>
      <c r="B143" s="891">
        <v>40230</v>
      </c>
      <c r="C143" s="335" t="str">
        <f>IF(MID(B143,1,2)="LG",VLOOKUP(B143,Composições!J:M,3,FALSE),IF(MID(B143,1,1)="6",VLOOKUP(B143,transp.!$A$4:$K$19,11,FALSE)&amp;" -  XP="&amp;TEXT(AA143,"0.000")&amp;" / XR="&amp;TEXT(AB143,"0.000"),VLOOKUP(B143,'DER 11-20'!$A$1:$I$1981,2,FALSE)))&amp;""</f>
        <v>Escavação e carga de material de 1ª categoria com escavadeira</v>
      </c>
      <c r="D143" s="934" t="s">
        <v>275</v>
      </c>
      <c r="E143" s="935"/>
      <c r="F143" s="936"/>
      <c r="G143" s="934" t="s">
        <v>276</v>
      </c>
      <c r="H143" s="935"/>
      <c r="I143" s="936"/>
      <c r="J143" s="337" t="s">
        <v>266</v>
      </c>
      <c r="K143" s="725"/>
      <c r="L143" s="728" t="s">
        <v>278</v>
      </c>
      <c r="M143" s="728" t="s">
        <v>298</v>
      </c>
      <c r="N143" s="728" t="str">
        <f>CONCATENATE("Total (",IF(MID(B143,1,2)="LG",VLOOKUP(B143,Composições!J:M,4,FALSE),IF(MID(B143,1,1)="6","t",VLOOKUP(B143,'DER 11-20'!$A$1:$I$1981,3,FALSE))),")")</f>
        <v>Total (M3)</v>
      </c>
      <c r="O143" s="305"/>
      <c r="P143" s="351"/>
      <c r="Q143" s="351"/>
      <c r="R143" s="658"/>
      <c r="S143" s="593">
        <f>VLOOKUP("Total",C144:O606,12,FALSE)</f>
        <v>19149</v>
      </c>
      <c r="T143" s="593" t="str">
        <f>VLOOKUP("Total",C144:O606,13,FALSE)</f>
        <v>M3</v>
      </c>
      <c r="U143" s="593"/>
      <c r="V143" s="596"/>
      <c r="W143" s="597"/>
      <c r="X143" s="597"/>
      <c r="Y143" s="597"/>
      <c r="Z143" s="597"/>
      <c r="AA143" s="582"/>
      <c r="AB143" s="598"/>
    </row>
    <row r="144" spans="1:28" x14ac:dyDescent="0.2">
      <c r="A144" s="655"/>
      <c r="B144" s="751"/>
      <c r="C144" s="342" t="s">
        <v>2</v>
      </c>
      <c r="D144" s="343"/>
      <c r="E144" s="340"/>
      <c r="F144" s="344"/>
      <c r="G144" s="343"/>
      <c r="H144" s="344"/>
      <c r="I144" s="344"/>
      <c r="J144" s="341"/>
      <c r="K144" s="345"/>
      <c r="L144" s="346"/>
      <c r="M144" s="347"/>
      <c r="N144" s="348">
        <v>19149</v>
      </c>
      <c r="O144" s="349" t="str">
        <f>IF(MID(B143,1,2)="LG",VLOOKUP(B143,Composições!J:M,4,FALSE),IF(MID(B143,1,1)="6",VLOOKUP(B143,transp.!$A$6:$K$35,3,FALSE),VLOOKUP(B143,'DER 11-20'!$A$1:$I$1981,3,FALSE)))</f>
        <v>M3</v>
      </c>
      <c r="P144" s="350"/>
      <c r="Q144" s="350"/>
      <c r="R144" s="656"/>
      <c r="S144" s="593">
        <f>VLOOKUP("Total",C145:O606,12,FALSE)</f>
        <v>32553.3</v>
      </c>
      <c r="T144" s="593" t="str">
        <f>VLOOKUP("Total",C145:O606,13,FALSE)</f>
        <v>T</v>
      </c>
      <c r="U144" s="593"/>
      <c r="V144" s="593"/>
      <c r="AB144" s="598"/>
    </row>
    <row r="145" spans="1:28" x14ac:dyDescent="0.2">
      <c r="A145" s="287"/>
      <c r="B145" s="890"/>
      <c r="C145" s="331"/>
      <c r="H145" s="285"/>
      <c r="N145" s="306"/>
      <c r="O145" s="332"/>
      <c r="P145" s="307"/>
      <c r="Q145" s="307"/>
      <c r="R145" s="659"/>
      <c r="S145" s="593">
        <f>VLOOKUP("Total",C146:O606,12,FALSE)</f>
        <v>32553.3</v>
      </c>
      <c r="T145" s="593" t="str">
        <f>VLOOKUP("Total",C146:O606,13,FALSE)</f>
        <v>T</v>
      </c>
      <c r="U145" s="593"/>
      <c r="V145" s="593"/>
      <c r="AB145" s="598"/>
    </row>
    <row r="146" spans="1:28" ht="38.25" x14ac:dyDescent="0.2">
      <c r="A146" s="652" t="s">
        <v>457</v>
      </c>
      <c r="B146" s="891">
        <v>60019</v>
      </c>
      <c r="C146" s="335" t="str">
        <f>IF(MID(B146,1,2)="LG",VLOOKUP(B146,Composições!J:M,3,FALSE),IF(MID(B146,1,1)="6",VLOOKUP(B146,transp.!$A$4:$K$19,11,FALSE)&amp;" -  XP="&amp;TEXT(Z146,"0,00")&amp;" / XR="&amp;TEXT(U146,"0,00"),VLOOKUP(B146,'DER 11-20'!$A$1:$I$1981,2,FALSE)))&amp;" "</f>
        <v xml:space="preserve">LOCAL COM DMT ATÉ 3,0 KM (Caminhão basculante)1,144XP+1,265XR+2,007 (Incluindo BDI= 23,32%) -  XP=0,00 / XR=0,78 </v>
      </c>
      <c r="D146" s="934" t="s">
        <v>275</v>
      </c>
      <c r="E146" s="935"/>
      <c r="F146" s="936"/>
      <c r="G146" s="934" t="s">
        <v>276</v>
      </c>
      <c r="H146" s="935"/>
      <c r="I146" s="936"/>
      <c r="J146" s="337" t="s">
        <v>266</v>
      </c>
      <c r="K146" s="725"/>
      <c r="L146" s="728" t="s">
        <v>278</v>
      </c>
      <c r="M146" s="728" t="s">
        <v>298</v>
      </c>
      <c r="N146" s="728" t="str">
        <f>CONCATENATE("Total (",IF(MID(B146,1,2)="LG",VLOOKUP(B146,Composições!J:M,4,FALSE),IF(MID(B146,1,1)="6","t",VLOOKUP(B146,'DER 11-20'!$A$1:$I$1981,3,FALSE))),")")</f>
        <v>Total (t)</v>
      </c>
      <c r="O146" s="339"/>
      <c r="P146" s="351"/>
      <c r="Q146" s="351"/>
      <c r="R146" s="658"/>
      <c r="S146" s="593">
        <f>VLOOKUP("Total",C147:O606,12,FALSE)</f>
        <v>32553.3</v>
      </c>
      <c r="T146" s="593" t="str">
        <f>VLOOKUP("Total",C147:O606,13,FALSE)</f>
        <v>T</v>
      </c>
      <c r="U146" s="593">
        <f>+AB146/1000</f>
        <v>0.78</v>
      </c>
      <c r="V146" s="596">
        <f>W146*AA146+X146*U146+Y146</f>
        <v>2.99</v>
      </c>
      <c r="W146" s="597">
        <f>VLOOKUP(B146,transp.!A:J,8,FALSE)</f>
        <v>1.1439999999999999</v>
      </c>
      <c r="X146" s="597">
        <f>VLOOKUP(B146,transp.!A:J,9,FALSE)</f>
        <v>1.2649999999999999</v>
      </c>
      <c r="Y146" s="597">
        <f>VLOOKUP(B146,transp.!A:J,10,FALSE)</f>
        <v>2.0070000000000001</v>
      </c>
      <c r="Z146" s="597"/>
      <c r="AA146" s="600"/>
      <c r="AB146" s="598">
        <v>780</v>
      </c>
    </row>
    <row r="147" spans="1:28" x14ac:dyDescent="0.2">
      <c r="A147" s="660"/>
      <c r="B147" s="895"/>
      <c r="C147" s="342" t="s">
        <v>2</v>
      </c>
      <c r="D147" s="354"/>
      <c r="E147" s="352"/>
      <c r="F147" s="355"/>
      <c r="G147" s="354"/>
      <c r="H147" s="355"/>
      <c r="I147" s="355"/>
      <c r="J147" s="353"/>
      <c r="K147" s="356"/>
      <c r="L147" s="357"/>
      <c r="M147" s="358"/>
      <c r="N147" s="348">
        <v>32553.3</v>
      </c>
      <c r="O147" s="349" t="str">
        <f>IF(MID(B146,1,2)="LG",VLOOKUP(B146,Composições!J:M,4,FALSE),IF(MID(B146,1,1)="6",VLOOKUP(B146,transp.!$A$6:$K$35,3,FALSE),VLOOKUP(B146,'DER 11-20'!$A$1:$I$1981,3,FALSE)))</f>
        <v>T</v>
      </c>
      <c r="P147" s="350"/>
      <c r="Q147" s="350"/>
      <c r="R147" s="656"/>
      <c r="S147" s="593">
        <f>VLOOKUP("Total",C148:O606,12,FALSE)</f>
        <v>35540</v>
      </c>
      <c r="T147" s="593" t="str">
        <f>VLOOKUP("Total",C148:O606,13,FALSE)</f>
        <v>M3</v>
      </c>
      <c r="U147" s="593"/>
      <c r="V147" s="593"/>
      <c r="AB147" s="598"/>
    </row>
    <row r="148" spans="1:28" x14ac:dyDescent="0.2">
      <c r="A148" s="287"/>
      <c r="B148" s="890"/>
      <c r="C148" s="331"/>
      <c r="H148" s="285"/>
      <c r="N148" s="306"/>
      <c r="O148" s="332"/>
      <c r="P148" s="307"/>
      <c r="Q148" s="307"/>
      <c r="R148" s="659"/>
      <c r="S148" s="593">
        <f>VLOOKUP("Total",C149:O606,12,FALSE)</f>
        <v>35540</v>
      </c>
      <c r="T148" s="593" t="str">
        <f>VLOOKUP("Total",C149:O606,13,FALSE)</f>
        <v>M3</v>
      </c>
      <c r="U148" s="593"/>
      <c r="V148" s="593"/>
    </row>
    <row r="149" spans="1:28" s="282" customFormat="1" ht="18.600000000000001" customHeight="1" x14ac:dyDescent="0.2">
      <c r="A149" s="652" t="s">
        <v>458</v>
      </c>
      <c r="B149" s="891">
        <v>40230</v>
      </c>
      <c r="C149" s="335" t="str">
        <f>IF(MID(B149,1,2)="LG",VLOOKUP(B149,Composições!J:M,3,FALSE),IF(MID(B149,1,1)="6",VLOOKUP(B149,transp.!$A$4:$K$19,11,FALSE)&amp;" -  XP="&amp;TEXT(AA149,"0.000")&amp;" / XR="&amp;TEXT(AB149,"0.000"),VLOOKUP(B149,'DER 11-20'!$A$1:$I$1981,2,FALSE)))&amp;" "</f>
        <v xml:space="preserve">Escavação e carga de material de 1ª categoria com escavadeira </v>
      </c>
      <c r="D149" s="934" t="s">
        <v>275</v>
      </c>
      <c r="E149" s="935"/>
      <c r="F149" s="936"/>
      <c r="G149" s="934" t="s">
        <v>276</v>
      </c>
      <c r="H149" s="935"/>
      <c r="I149" s="936"/>
      <c r="J149" s="337" t="s">
        <v>266</v>
      </c>
      <c r="K149" s="725"/>
      <c r="L149" s="728" t="s">
        <v>278</v>
      </c>
      <c r="M149" s="728" t="s">
        <v>298</v>
      </c>
      <c r="N149" s="728" t="str">
        <f>CONCATENATE("Total (",IF(MID(B149,1,2)="LG",VLOOKUP(B149,Composições!J:M,4,FALSE),IF(MID(B149,1,1)="6","t",VLOOKUP(B149,'DER 11-20'!$A$1:$I$1981,3,FALSE))),")")</f>
        <v>Total (M3)</v>
      </c>
      <c r="O149" s="305"/>
      <c r="P149" s="351"/>
      <c r="Q149" s="351"/>
      <c r="R149" s="658"/>
      <c r="S149" s="593">
        <f>VLOOKUP("Total",C150:O606,12,FALSE)</f>
        <v>35540</v>
      </c>
      <c r="T149" s="593" t="str">
        <f>VLOOKUP("Total",C150:O606,13,FALSE)</f>
        <v>M3</v>
      </c>
      <c r="U149" s="593"/>
      <c r="V149" s="596"/>
      <c r="W149" s="597"/>
      <c r="X149" s="597"/>
      <c r="Y149" s="597"/>
      <c r="Z149" s="597"/>
      <c r="AA149" s="582"/>
      <c r="AB149" s="598"/>
    </row>
    <row r="150" spans="1:28" x14ac:dyDescent="0.2">
      <c r="A150" s="655"/>
      <c r="B150" s="751"/>
      <c r="C150" s="342" t="s">
        <v>2</v>
      </c>
      <c r="D150" s="343"/>
      <c r="E150" s="340"/>
      <c r="F150" s="344"/>
      <c r="G150" s="343"/>
      <c r="H150" s="344"/>
      <c r="I150" s="344"/>
      <c r="J150" s="341"/>
      <c r="K150" s="345"/>
      <c r="L150" s="346"/>
      <c r="M150" s="347"/>
      <c r="N150" s="348">
        <v>35540</v>
      </c>
      <c r="O150" s="349" t="str">
        <f>IF(MID(B149,1,2)="LG",VLOOKUP(B149,Composições!J:M,4,FALSE),IF(MID(B149,1,1)="6",VLOOKUP(B149,transp.!$A$6:$K$35,3,FALSE),VLOOKUP(B149,'DER 11-20'!$A$1:$I$1981,3,FALSE)))</f>
        <v>M3</v>
      </c>
      <c r="P150" s="350"/>
      <c r="Q150" s="350"/>
      <c r="R150" s="656"/>
      <c r="S150" s="593">
        <f>VLOOKUP("Total",C294:O606,12,FALSE)</f>
        <v>278.11</v>
      </c>
      <c r="T150" s="593" t="str">
        <f>VLOOKUP("Total",C294:O606,13,FALSE)</f>
        <v>T</v>
      </c>
      <c r="U150" s="593"/>
      <c r="V150" s="593"/>
      <c r="AB150" s="598"/>
    </row>
    <row r="151" spans="1:28" x14ac:dyDescent="0.2">
      <c r="A151" s="287"/>
      <c r="B151" s="890"/>
      <c r="C151" s="331"/>
      <c r="H151" s="285"/>
      <c r="N151" s="306"/>
      <c r="O151" s="332"/>
      <c r="P151" s="307"/>
      <c r="Q151" s="307"/>
      <c r="R151" s="659"/>
      <c r="S151" s="593">
        <f>VLOOKUP("Total",C152:O613,12,FALSE)</f>
        <v>60418</v>
      </c>
      <c r="T151" s="593" t="str">
        <f>VLOOKUP("Total",C152:O613,13,FALSE)</f>
        <v>T</v>
      </c>
      <c r="U151" s="593"/>
      <c r="V151" s="593"/>
      <c r="AB151" s="598"/>
    </row>
    <row r="152" spans="1:28" ht="38.25" x14ac:dyDescent="0.2">
      <c r="A152" s="652" t="s">
        <v>459</v>
      </c>
      <c r="B152" s="891">
        <v>60019</v>
      </c>
      <c r="C152" s="335" t="str">
        <f>IF(MID(B152,1,2)="LG",VLOOKUP(B152,Composições!J:M,3,FALSE),IF(MID(B152,1,1)="6",VLOOKUP(B152,transp.!$A$4:$K$19,11,FALSE)&amp;" -  XP="&amp;TEXT(Z152,"0,00")&amp;" / XR="&amp;TEXT(U152,"0,000"),VLOOKUP(B152,'DER 11-20'!$A$1:$I$1981,2,FALSE)))&amp;" "</f>
        <v xml:space="preserve">LOCAL COM DMT ATÉ 3,0 KM (Caminhão basculante)1,144XP+1,265XR+2,007 (Incluindo BDI= 23,32%) -  XP=0,00 / XR=0,001 </v>
      </c>
      <c r="D152" s="934" t="s">
        <v>275</v>
      </c>
      <c r="E152" s="935"/>
      <c r="F152" s="936"/>
      <c r="G152" s="934" t="s">
        <v>276</v>
      </c>
      <c r="H152" s="935"/>
      <c r="I152" s="936"/>
      <c r="J152" s="337" t="s">
        <v>266</v>
      </c>
      <c r="K152" s="725"/>
      <c r="L152" s="728" t="s">
        <v>278</v>
      </c>
      <c r="M152" s="728" t="s">
        <v>298</v>
      </c>
      <c r="N152" s="728" t="str">
        <f>CONCATENATE("Total (",IF(MID(B152,1,2)="LG",VLOOKUP(B152,Composições!J:M,4,FALSE),IF(MID(B152,1,1)="6","t",VLOOKUP(B152,'DER 11-20'!$A$1:$I$1981,3,FALSE))),")")</f>
        <v>Total (t)</v>
      </c>
      <c r="O152" s="339"/>
      <c r="P152" s="351"/>
      <c r="Q152" s="351"/>
      <c r="R152" s="658"/>
      <c r="S152" s="593">
        <f>VLOOKUP("Total",C153:O613,12,FALSE)</f>
        <v>60418</v>
      </c>
      <c r="T152" s="593" t="str">
        <f>VLOOKUP("Total",C153:O613,13,FALSE)</f>
        <v>T</v>
      </c>
      <c r="U152" s="807">
        <f>+AB152/1000</f>
        <v>1E-3</v>
      </c>
      <c r="V152" s="596">
        <f>W152*AA152+X152*U152+Y152</f>
        <v>2.0099999999999998</v>
      </c>
      <c r="W152" s="597">
        <f>VLOOKUP(B152,transp.!A:J,8,FALSE)</f>
        <v>1.1439999999999999</v>
      </c>
      <c r="X152" s="597">
        <f>VLOOKUP(B152,transp.!A:J,9,FALSE)</f>
        <v>1.2649999999999999</v>
      </c>
      <c r="Y152" s="597">
        <f>VLOOKUP(B152,transp.!A:J,10,FALSE)</f>
        <v>2.0070000000000001</v>
      </c>
      <c r="Z152" s="597"/>
      <c r="AA152" s="600"/>
      <c r="AB152" s="598">
        <v>1</v>
      </c>
    </row>
    <row r="153" spans="1:28" x14ac:dyDescent="0.2">
      <c r="A153" s="660"/>
      <c r="B153" s="895"/>
      <c r="C153" s="342" t="s">
        <v>2</v>
      </c>
      <c r="D153" s="354"/>
      <c r="E153" s="352"/>
      <c r="F153" s="355"/>
      <c r="G153" s="354"/>
      <c r="H153" s="355"/>
      <c r="I153" s="355"/>
      <c r="J153" s="353"/>
      <c r="K153" s="356"/>
      <c r="L153" s="348"/>
      <c r="M153" s="358"/>
      <c r="N153" s="348">
        <v>60418</v>
      </c>
      <c r="O153" s="349" t="str">
        <f>IF(MID(B152,1,2)="LG",VLOOKUP(B152,Composições!J:M,4,FALSE),IF(MID(B152,1,1)="6",VLOOKUP(B152,transp.!$A$6:$K$35,3,FALSE),VLOOKUP(B152,'DER 11-20'!$A$1:$I$1981,3,FALSE)))</f>
        <v>T</v>
      </c>
      <c r="P153" s="350"/>
      <c r="Q153" s="350"/>
      <c r="R153" s="656"/>
      <c r="S153" s="593">
        <f>VLOOKUP("Total",C154:O613,12,FALSE)</f>
        <v>7234</v>
      </c>
      <c r="T153" s="593" t="str">
        <f>VLOOKUP("Total",C154:O613,13,FALSE)</f>
        <v>M3</v>
      </c>
      <c r="U153" s="593"/>
      <c r="V153" s="593"/>
      <c r="AB153" s="598"/>
    </row>
    <row r="154" spans="1:28" x14ac:dyDescent="0.2">
      <c r="A154" s="287"/>
      <c r="B154" s="890"/>
      <c r="C154" s="331"/>
      <c r="H154" s="285"/>
      <c r="N154" s="306"/>
      <c r="O154" s="332"/>
      <c r="P154" s="307"/>
      <c r="Q154" s="307"/>
      <c r="R154" s="659"/>
      <c r="S154" s="593">
        <f>VLOOKUP("Total",C155:O613,12,FALSE)</f>
        <v>7234</v>
      </c>
      <c r="T154" s="593" t="str">
        <f>VLOOKUP("Total",C155:O613,13,FALSE)</f>
        <v>M3</v>
      </c>
      <c r="U154" s="593"/>
      <c r="V154" s="593"/>
    </row>
    <row r="155" spans="1:28" s="282" customFormat="1" ht="16.899999999999999" customHeight="1" x14ac:dyDescent="0.2">
      <c r="A155" s="652" t="s">
        <v>460</v>
      </c>
      <c r="B155" s="891">
        <v>40230</v>
      </c>
      <c r="C155" s="335" t="str">
        <f>IF(MID(B155,1,2)="LG",VLOOKUP(B155,Composições!J:M,3,FALSE),IF(MID(B155,1,1)="6",VLOOKUP(B155,transp.!$A$4:$K$19,11,FALSE)&amp;" -  XP="&amp;TEXT(AA155,"0.000")&amp;" / XR="&amp;TEXT(AB155,"0.000"),VLOOKUP(B155,'DER 11-20'!$A$1:$I$1981,2,FALSE)))&amp;""</f>
        <v>Escavação e carga de material de 1ª categoria com escavadeira</v>
      </c>
      <c r="D155" s="934" t="s">
        <v>275</v>
      </c>
      <c r="E155" s="935"/>
      <c r="F155" s="936"/>
      <c r="G155" s="934" t="s">
        <v>276</v>
      </c>
      <c r="H155" s="935"/>
      <c r="I155" s="936"/>
      <c r="J155" s="337" t="s">
        <v>266</v>
      </c>
      <c r="K155" s="725"/>
      <c r="L155" s="728" t="s">
        <v>278</v>
      </c>
      <c r="M155" s="728" t="s">
        <v>298</v>
      </c>
      <c r="N155" s="728" t="str">
        <f>CONCATENATE("Total (",IF(MID(B155,1,2)="LG",VLOOKUP(B155,Composições!J:M,4,FALSE),IF(MID(B155,1,1)="6","t",VLOOKUP(B155,'DER 11-20'!$A$1:$I$1981,3,FALSE))),")")</f>
        <v>Total (M3)</v>
      </c>
      <c r="O155" s="305"/>
      <c r="P155" s="351"/>
      <c r="Q155" s="351"/>
      <c r="R155" s="658"/>
      <c r="S155" s="593">
        <f>VLOOKUP("Total",C156:O613,12,FALSE)</f>
        <v>7234</v>
      </c>
      <c r="T155" s="593" t="str">
        <f>VLOOKUP("Total",C156:O613,13,FALSE)</f>
        <v>M3</v>
      </c>
      <c r="U155" s="593"/>
      <c r="V155" s="596"/>
      <c r="W155" s="597"/>
      <c r="X155" s="597"/>
      <c r="Y155" s="597"/>
      <c r="Z155" s="597"/>
      <c r="AA155" s="582"/>
      <c r="AB155" s="598"/>
    </row>
    <row r="156" spans="1:28" x14ac:dyDescent="0.2">
      <c r="A156" s="655"/>
      <c r="B156" s="751"/>
      <c r="C156" s="342" t="s">
        <v>2</v>
      </c>
      <c r="D156" s="343"/>
      <c r="E156" s="340"/>
      <c r="F156" s="344"/>
      <c r="G156" s="343"/>
      <c r="H156" s="344"/>
      <c r="I156" s="344"/>
      <c r="J156" s="341"/>
      <c r="K156" s="345"/>
      <c r="L156" s="346"/>
      <c r="M156" s="347"/>
      <c r="N156" s="348">
        <v>7234</v>
      </c>
      <c r="O156" s="349" t="str">
        <f>IF(MID(B155,1,2)="LG",VLOOKUP(B155,Composições!J:M,4,FALSE),IF(MID(B155,1,1)="6",VLOOKUP(B155,transp.!$A$6:$K$35,3,FALSE),VLOOKUP(B155,'DER 11-20'!$A$1:$I$1981,3,FALSE)))</f>
        <v>M3</v>
      </c>
      <c r="P156" s="350"/>
      <c r="Q156" s="350"/>
      <c r="R156" s="656"/>
      <c r="S156" s="593">
        <f>VLOOKUP("Total",C278:O613,12,FALSE)</f>
        <v>1035.8599999999999</v>
      </c>
      <c r="T156" s="593" t="str">
        <f>VLOOKUP("Total",C278:O613,13,FALSE)</f>
        <v>M3</v>
      </c>
      <c r="U156" s="593"/>
      <c r="V156" s="593"/>
      <c r="AB156" s="598"/>
    </row>
    <row r="157" spans="1:28" x14ac:dyDescent="0.2">
      <c r="A157" s="287"/>
      <c r="B157" s="890"/>
      <c r="C157" s="331"/>
      <c r="H157" s="285"/>
      <c r="N157" s="306"/>
      <c r="O157" s="332"/>
      <c r="P157" s="307"/>
      <c r="Q157" s="307"/>
      <c r="R157" s="659"/>
      <c r="S157" s="593">
        <f>VLOOKUP("Total",C158:O613,12,FALSE)</f>
        <v>12297.8</v>
      </c>
      <c r="T157" s="593" t="str">
        <f>VLOOKUP("Total",C158:O613,13,FALSE)</f>
        <v>T</v>
      </c>
      <c r="U157" s="593"/>
      <c r="V157" s="593"/>
      <c r="AB157" s="598"/>
    </row>
    <row r="158" spans="1:28" ht="38.25" x14ac:dyDescent="0.2">
      <c r="A158" s="652" t="s">
        <v>461</v>
      </c>
      <c r="B158" s="891">
        <v>60019</v>
      </c>
      <c r="C158" s="335" t="str">
        <f>IF(MID(B158,1,2)="LG",VLOOKUP(B158,Composições!J:M,3,FALSE),IF(MID(B158,1,1)="6",VLOOKUP(B158,transp.!$A$4:$K$19,11,FALSE)&amp;" -  XP="&amp;TEXT(Z158,"0,000")&amp;" / XR="&amp;TEXT(U158,"0,000"),VLOOKUP(B158,'DER 11-20'!$A$1:$I$1981,2,FALSE)))&amp;" "</f>
        <v xml:space="preserve">LOCAL COM DMT ATÉ 3,0 KM (Caminhão basculante)1,144XP+1,265XR+2,007 (Incluindo BDI= 23,32%) -  XP=0,000 / XR=2,720 </v>
      </c>
      <c r="D158" s="934" t="s">
        <v>275</v>
      </c>
      <c r="E158" s="935"/>
      <c r="F158" s="936"/>
      <c r="G158" s="934" t="s">
        <v>276</v>
      </c>
      <c r="H158" s="935"/>
      <c r="I158" s="936"/>
      <c r="J158" s="337" t="s">
        <v>266</v>
      </c>
      <c r="K158" s="725"/>
      <c r="L158" s="728" t="s">
        <v>278</v>
      </c>
      <c r="M158" s="728" t="s">
        <v>298</v>
      </c>
      <c r="N158" s="728" t="str">
        <f>CONCATENATE("Total (",IF(MID(B158,1,2)="LG",VLOOKUP(B158,Composições!J:M,4,FALSE),IF(MID(B158,1,1)="6","t",VLOOKUP(B158,'DER 11-20'!$A$1:$I$1981,3,FALSE))),")")</f>
        <v>Total (t)</v>
      </c>
      <c r="O158" s="339"/>
      <c r="P158" s="351"/>
      <c r="Q158" s="351"/>
      <c r="R158" s="658"/>
      <c r="S158" s="593">
        <f>VLOOKUP("Total",C159:O613,12,FALSE)</f>
        <v>12297.8</v>
      </c>
      <c r="T158" s="593" t="str">
        <f>VLOOKUP("Total",C159:O613,13,FALSE)</f>
        <v>T</v>
      </c>
      <c r="U158" s="593">
        <f>+AB158/1000</f>
        <v>2.72</v>
      </c>
      <c r="V158" s="596">
        <f>W158*AA158+X158*U158+Y158</f>
        <v>5.45</v>
      </c>
      <c r="W158" s="597">
        <f>VLOOKUP(B158,transp.!A:J,8,FALSE)</f>
        <v>1.1439999999999999</v>
      </c>
      <c r="X158" s="597">
        <f>VLOOKUP(B158,transp.!A:J,9,FALSE)</f>
        <v>1.2649999999999999</v>
      </c>
      <c r="Y158" s="597">
        <f>VLOOKUP(B158,transp.!A:J,10,FALSE)</f>
        <v>2.0070000000000001</v>
      </c>
      <c r="Z158" s="597"/>
      <c r="AA158" s="600"/>
      <c r="AB158" s="598">
        <v>2720</v>
      </c>
    </row>
    <row r="159" spans="1:28" x14ac:dyDescent="0.2">
      <c r="A159" s="660"/>
      <c r="B159" s="895"/>
      <c r="C159" s="342" t="s">
        <v>2</v>
      </c>
      <c r="D159" s="354"/>
      <c r="E159" s="352"/>
      <c r="F159" s="355"/>
      <c r="G159" s="354"/>
      <c r="H159" s="355"/>
      <c r="I159" s="355"/>
      <c r="J159" s="353"/>
      <c r="K159" s="356"/>
      <c r="L159" s="357"/>
      <c r="M159" s="358"/>
      <c r="N159" s="348">
        <v>12297.8</v>
      </c>
      <c r="O159" s="349" t="str">
        <f>IF(MID(B158,1,2)="LG",VLOOKUP(B158,Composições!J:M,4,FALSE),IF(MID(B158,1,1)="6",VLOOKUP(B158,transp.!$A$6:$K$35,3,FALSE),VLOOKUP(B158,'DER 11-20'!$A$1:$I$1981,3,FALSE)))</f>
        <v>T</v>
      </c>
      <c r="P159" s="350"/>
      <c r="Q159" s="350"/>
      <c r="R159" s="656"/>
      <c r="S159" s="593">
        <f>VLOOKUP("Total",C160:O613,12,FALSE)</f>
        <v>5968</v>
      </c>
      <c r="T159" s="593" t="str">
        <f>VLOOKUP("Total",C160:O613,13,FALSE)</f>
        <v>M3</v>
      </c>
      <c r="U159" s="593"/>
      <c r="V159" s="593"/>
      <c r="AB159" s="598"/>
    </row>
    <row r="160" spans="1:28" x14ac:dyDescent="0.2">
      <c r="A160" s="287"/>
      <c r="B160" s="890"/>
      <c r="C160" s="331"/>
      <c r="H160" s="285"/>
      <c r="N160" s="306"/>
      <c r="O160" s="332"/>
      <c r="P160" s="307"/>
      <c r="Q160" s="307"/>
      <c r="R160" s="659"/>
      <c r="S160" s="593">
        <f>VLOOKUP("Total",C161:O613,12,FALSE)</f>
        <v>5968</v>
      </c>
      <c r="T160" s="593" t="str">
        <f>VLOOKUP("Total",C161:O613,13,FALSE)</f>
        <v>M3</v>
      </c>
      <c r="U160" s="593"/>
      <c r="V160" s="593"/>
    </row>
    <row r="161" spans="1:28" s="282" customFormat="1" ht="18.600000000000001" customHeight="1" x14ac:dyDescent="0.2">
      <c r="A161" s="652" t="s">
        <v>462</v>
      </c>
      <c r="B161" s="891">
        <v>40230</v>
      </c>
      <c r="C161" s="335" t="str">
        <f>IF(MID(B161,1,2)="LG",VLOOKUP(B161,Composições!J:M,3,FALSE),IF(MID(B161,1,1)="6",VLOOKUP(B161,transp.!$A$4:$K$19,11,FALSE)&amp;" -  XP="&amp;TEXT(AA161,"0.000")&amp;" / XR="&amp;TEXT(AB161,"0.000"),VLOOKUP(B161,'DER 11-20'!$A$1:$I$1981,2,FALSE)))&amp;" "</f>
        <v xml:space="preserve">Escavação e carga de material de 1ª categoria com escavadeira </v>
      </c>
      <c r="D161" s="934" t="s">
        <v>275</v>
      </c>
      <c r="E161" s="935"/>
      <c r="F161" s="936"/>
      <c r="G161" s="934" t="s">
        <v>276</v>
      </c>
      <c r="H161" s="935"/>
      <c r="I161" s="936"/>
      <c r="J161" s="337" t="s">
        <v>266</v>
      </c>
      <c r="K161" s="725"/>
      <c r="L161" s="728" t="s">
        <v>278</v>
      </c>
      <c r="M161" s="728" t="s">
        <v>298</v>
      </c>
      <c r="N161" s="728" t="str">
        <f>CONCATENATE("Total (",IF(MID(B161,1,2)="LG",VLOOKUP(B161,Composições!J:M,4,FALSE),IF(MID(B161,1,1)="6","t",VLOOKUP(B161,'DER 11-20'!$A$1:$I$1981,3,FALSE))),")")</f>
        <v>Total (M3)</v>
      </c>
      <c r="O161" s="305"/>
      <c r="P161" s="351"/>
      <c r="Q161" s="351"/>
      <c r="R161" s="658"/>
      <c r="S161" s="593">
        <f>VLOOKUP("Total",C162:O613,12,FALSE)</f>
        <v>5968</v>
      </c>
      <c r="T161" s="593" t="str">
        <f>VLOOKUP("Total",C162:O613,13,FALSE)</f>
        <v>M3</v>
      </c>
      <c r="U161" s="593"/>
      <c r="V161" s="596"/>
      <c r="W161" s="597"/>
      <c r="X161" s="597"/>
      <c r="Y161" s="597"/>
      <c r="Z161" s="597"/>
      <c r="AA161" s="582"/>
      <c r="AB161" s="598"/>
    </row>
    <row r="162" spans="1:28" x14ac:dyDescent="0.2">
      <c r="A162" s="655"/>
      <c r="B162" s="751"/>
      <c r="C162" s="342" t="s">
        <v>2</v>
      </c>
      <c r="D162" s="343"/>
      <c r="E162" s="340"/>
      <c r="F162" s="344"/>
      <c r="G162" s="343"/>
      <c r="H162" s="344"/>
      <c r="I162" s="344"/>
      <c r="J162" s="341"/>
      <c r="K162" s="345"/>
      <c r="L162" s="346"/>
      <c r="M162" s="347"/>
      <c r="N162" s="348">
        <v>5968</v>
      </c>
      <c r="O162" s="349" t="str">
        <f>IF(MID(B161,1,2)="LG",VLOOKUP(B161,Composições!J:M,4,FALSE),IF(MID(B161,1,1)="6",VLOOKUP(B161,transp.!$A$6:$K$35,3,FALSE),VLOOKUP(B161,'DER 11-20'!$A$1:$I$1981,3,FALSE)))</f>
        <v>M3</v>
      </c>
      <c r="P162" s="350"/>
      <c r="Q162" s="350"/>
      <c r="R162" s="656"/>
      <c r="S162" s="593">
        <f>VLOOKUP("Total",C309:O613,12,FALSE)</f>
        <v>54.62</v>
      </c>
      <c r="T162" s="593" t="str">
        <f>VLOOKUP("Total",C309:O613,13,FALSE)</f>
        <v>T</v>
      </c>
      <c r="U162" s="593"/>
      <c r="V162" s="593"/>
      <c r="AB162" s="598"/>
    </row>
    <row r="163" spans="1:28" x14ac:dyDescent="0.2">
      <c r="A163" s="287"/>
      <c r="B163" s="890"/>
      <c r="C163" s="331"/>
      <c r="H163" s="285"/>
      <c r="N163" s="306"/>
      <c r="O163" s="332"/>
      <c r="P163" s="307"/>
      <c r="Q163" s="307"/>
      <c r="R163" s="659"/>
      <c r="S163" s="593">
        <f>VLOOKUP("Total",C164:O613,12,FALSE)</f>
        <v>10145.6</v>
      </c>
      <c r="T163" s="593" t="str">
        <f>VLOOKUP("Total",C164:O613,13,FALSE)</f>
        <v>T</v>
      </c>
      <c r="U163" s="593"/>
      <c r="V163" s="593"/>
      <c r="AB163" s="598"/>
    </row>
    <row r="164" spans="1:28" ht="38.25" x14ac:dyDescent="0.2">
      <c r="A164" s="652" t="s">
        <v>463</v>
      </c>
      <c r="B164" s="891">
        <v>60019</v>
      </c>
      <c r="C164" s="335" t="str">
        <f>IF(MID(B164,1,2)="LG",VLOOKUP(B164,Composições!J:M,3,FALSE),IF(MID(B164,1,1)="6",VLOOKUP(B164,transp.!$A$4:$K$19,11,FALSE)&amp;" -  XP="&amp;TEXT(Z164,"0,00")&amp;" / XR="&amp;TEXT(U164,"0,00"),VLOOKUP(B164,'DER 11-20'!$A$1:$I$1981,2,FALSE)))&amp;" "</f>
        <v xml:space="preserve">LOCAL COM DMT ATÉ 3,0 KM (Caminhão basculante)1,144XP+1,265XR+2,007 (Incluindo BDI= 23,32%) -  XP=0,00 / XR=3,88 </v>
      </c>
      <c r="D164" s="934" t="s">
        <v>275</v>
      </c>
      <c r="E164" s="935"/>
      <c r="F164" s="936"/>
      <c r="G164" s="934" t="s">
        <v>276</v>
      </c>
      <c r="H164" s="935"/>
      <c r="I164" s="936"/>
      <c r="J164" s="337" t="s">
        <v>266</v>
      </c>
      <c r="K164" s="725"/>
      <c r="L164" s="728" t="s">
        <v>278</v>
      </c>
      <c r="M164" s="728" t="s">
        <v>298</v>
      </c>
      <c r="N164" s="728" t="str">
        <f>CONCATENATE("Total (",IF(MID(B164,1,2)="LG",VLOOKUP(B164,Composições!J:M,4,FALSE),IF(MID(B164,1,1)="6","t",VLOOKUP(B164,'DER 11-20'!$A$1:$I$1981,3,FALSE))),")")</f>
        <v>Total (t)</v>
      </c>
      <c r="O164" s="339"/>
      <c r="P164" s="351"/>
      <c r="Q164" s="351"/>
      <c r="R164" s="658"/>
      <c r="S164" s="593">
        <f>VLOOKUP("Total",C165:O613,12,FALSE)</f>
        <v>10145.6</v>
      </c>
      <c r="T164" s="593" t="str">
        <f>VLOOKUP("Total",C165:O613,13,FALSE)</f>
        <v>T</v>
      </c>
      <c r="U164" s="593">
        <f>+AB164/1000</f>
        <v>3.88</v>
      </c>
      <c r="V164" s="596">
        <f>W164*AA164+X164*U164+Y164</f>
        <v>6.92</v>
      </c>
      <c r="W164" s="597">
        <f>VLOOKUP(B164,transp.!A:J,8,FALSE)</f>
        <v>1.1439999999999999</v>
      </c>
      <c r="X164" s="597">
        <f>VLOOKUP(B164,transp.!A:J,9,FALSE)</f>
        <v>1.2649999999999999</v>
      </c>
      <c r="Y164" s="597">
        <f>VLOOKUP(B164,transp.!A:J,10,FALSE)</f>
        <v>2.0070000000000001</v>
      </c>
      <c r="Z164" s="597"/>
      <c r="AA164" s="600"/>
      <c r="AB164" s="598">
        <v>3880</v>
      </c>
    </row>
    <row r="165" spans="1:28" x14ac:dyDescent="0.2">
      <c r="A165" s="660"/>
      <c r="B165" s="895"/>
      <c r="C165" s="342" t="s">
        <v>2</v>
      </c>
      <c r="D165" s="354"/>
      <c r="E165" s="352"/>
      <c r="F165" s="355"/>
      <c r="G165" s="354"/>
      <c r="H165" s="355"/>
      <c r="I165" s="355"/>
      <c r="J165" s="353"/>
      <c r="K165" s="356"/>
      <c r="L165" s="348"/>
      <c r="M165" s="358"/>
      <c r="N165" s="348">
        <v>10145.6</v>
      </c>
      <c r="O165" s="349" t="str">
        <f>IF(MID(B164,1,2)="LG",VLOOKUP(B164,Composições!J:M,4,FALSE),IF(MID(B164,1,1)="6",VLOOKUP(B164,transp.!$A$6:$K$35,3,FALSE),VLOOKUP(B164,'DER 11-20'!$A$1:$I$1981,3,FALSE)))</f>
        <v>T</v>
      </c>
      <c r="P165" s="350"/>
      <c r="Q165" s="350"/>
      <c r="R165" s="656"/>
      <c r="S165" s="593">
        <f>VLOOKUP("Total",C166:O613,12,FALSE)</f>
        <v>15595</v>
      </c>
      <c r="T165" s="593" t="str">
        <f>VLOOKUP("Total",C166:O613,13,FALSE)</f>
        <v>M3</v>
      </c>
      <c r="U165" s="593"/>
      <c r="V165" s="593"/>
      <c r="AB165" s="598"/>
    </row>
    <row r="166" spans="1:28" x14ac:dyDescent="0.2">
      <c r="A166" s="287"/>
      <c r="B166" s="890"/>
      <c r="C166" s="331"/>
      <c r="H166" s="285"/>
      <c r="N166" s="306"/>
      <c r="O166" s="332"/>
      <c r="P166" s="307"/>
      <c r="Q166" s="307"/>
      <c r="R166" s="659"/>
      <c r="S166" s="593">
        <f>VLOOKUP("Total",C167:O613,12,FALSE)</f>
        <v>15595</v>
      </c>
      <c r="T166" s="593" t="str">
        <f>VLOOKUP("Total",C167:O613,13,FALSE)</f>
        <v>M3</v>
      </c>
      <c r="U166" s="593"/>
      <c r="V166" s="593"/>
    </row>
    <row r="167" spans="1:28" s="282" customFormat="1" ht="16.899999999999999" customHeight="1" x14ac:dyDescent="0.2">
      <c r="A167" s="652" t="s">
        <v>464</v>
      </c>
      <c r="B167" s="891">
        <v>40230</v>
      </c>
      <c r="C167" s="335" t="str">
        <f>IF(MID(B167,1,2)="LG",VLOOKUP(B167,Composições!J:M,3,FALSE),IF(MID(B167,1,1)="6",VLOOKUP(B167,transp.!$A$4:$K$19,11,FALSE)&amp;" -  XP="&amp;TEXT(AA167,"0.000")&amp;" / XR="&amp;TEXT(AB167,"0.000"),VLOOKUP(B167,'DER 11-20'!$A$1:$I$1981,2,FALSE)))&amp;""</f>
        <v>Escavação e carga de material de 1ª categoria com escavadeira</v>
      </c>
      <c r="D167" s="934" t="s">
        <v>275</v>
      </c>
      <c r="E167" s="935"/>
      <c r="F167" s="936"/>
      <c r="G167" s="934" t="s">
        <v>276</v>
      </c>
      <c r="H167" s="935"/>
      <c r="I167" s="936"/>
      <c r="J167" s="337" t="s">
        <v>266</v>
      </c>
      <c r="K167" s="725"/>
      <c r="L167" s="728" t="s">
        <v>278</v>
      </c>
      <c r="M167" s="728" t="s">
        <v>298</v>
      </c>
      <c r="N167" s="728" t="str">
        <f>CONCATENATE("Total (",IF(MID(B167,1,2)="LG",VLOOKUP(B167,Composições!J:M,4,FALSE),IF(MID(B167,1,1)="6","t",VLOOKUP(B167,'DER 11-20'!$A$1:$I$1981,3,FALSE))),")")</f>
        <v>Total (M3)</v>
      </c>
      <c r="O167" s="305"/>
      <c r="P167" s="351"/>
      <c r="Q167" s="351"/>
      <c r="R167" s="658"/>
      <c r="S167" s="593">
        <f>VLOOKUP("Total",C168:O613,12,FALSE)</f>
        <v>15595</v>
      </c>
      <c r="T167" s="593" t="str">
        <f>VLOOKUP("Total",C168:O613,13,FALSE)</f>
        <v>M3</v>
      </c>
      <c r="U167" s="593"/>
      <c r="V167" s="596"/>
      <c r="W167" s="597"/>
      <c r="X167" s="597"/>
      <c r="Y167" s="597"/>
      <c r="Z167" s="597"/>
      <c r="AA167" s="582"/>
      <c r="AB167" s="598"/>
    </row>
    <row r="168" spans="1:28" x14ac:dyDescent="0.2">
      <c r="A168" s="655"/>
      <c r="B168" s="751"/>
      <c r="C168" s="342" t="s">
        <v>2</v>
      </c>
      <c r="D168" s="343"/>
      <c r="E168" s="340"/>
      <c r="F168" s="344"/>
      <c r="G168" s="343"/>
      <c r="H168" s="344"/>
      <c r="I168" s="344"/>
      <c r="J168" s="341"/>
      <c r="K168" s="345"/>
      <c r="L168" s="346"/>
      <c r="M168" s="347"/>
      <c r="N168" s="348">
        <v>15595</v>
      </c>
      <c r="O168" s="349" t="str">
        <f>IF(MID(B167,1,2)="LG",VLOOKUP(B167,Composições!J:M,4,FALSE),IF(MID(B167,1,1)="6",VLOOKUP(B167,transp.!$A$6:$K$35,3,FALSE),VLOOKUP(B167,'DER 11-20'!$A$1:$I$1981,3,FALSE)))</f>
        <v>M3</v>
      </c>
      <c r="P168" s="350"/>
      <c r="Q168" s="350"/>
      <c r="R168" s="656"/>
      <c r="S168" s="593">
        <f>VLOOKUP("Total",C294:O613,12,FALSE)</f>
        <v>278.11</v>
      </c>
      <c r="T168" s="593" t="str">
        <f>VLOOKUP("Total",C294:O613,13,FALSE)</f>
        <v>T</v>
      </c>
      <c r="U168" s="593"/>
      <c r="V168" s="593"/>
      <c r="AB168" s="598"/>
    </row>
    <row r="169" spans="1:28" x14ac:dyDescent="0.2">
      <c r="A169" s="287"/>
      <c r="B169" s="890"/>
      <c r="C169" s="331"/>
      <c r="H169" s="285"/>
      <c r="N169" s="306"/>
      <c r="O169" s="332"/>
      <c r="P169" s="307"/>
      <c r="Q169" s="307"/>
      <c r="R169" s="659"/>
      <c r="S169" s="593">
        <f>VLOOKUP("Total",C170:O613,12,FALSE)</f>
        <v>26511.5</v>
      </c>
      <c r="T169" s="593" t="str">
        <f>VLOOKUP("Total",C170:O613,13,FALSE)</f>
        <v>T</v>
      </c>
      <c r="U169" s="593"/>
      <c r="V169" s="593"/>
      <c r="AB169" s="598"/>
    </row>
    <row r="170" spans="1:28" ht="38.25" x14ac:dyDescent="0.2">
      <c r="A170" s="652" t="s">
        <v>465</v>
      </c>
      <c r="B170" s="891">
        <v>60024</v>
      </c>
      <c r="C170" s="335" t="str">
        <f>IF(MID(B170,1,2)="LG",VLOOKUP(B170,Composições!J:M,3,FALSE),IF(MID(B170,1,1)="6",VLOOKUP(B170,transp.!$A$4:$K$19,11,FALSE)&amp;" -  XP="&amp;TEXT(Z170,"0,000")&amp;" / XR="&amp;TEXT(U170,"0,000"),VLOOKUP(B170,'DER 11-20'!$A$1:$I$1981,2,FALSE)))&amp;" "</f>
        <v xml:space="preserve">Transporte de materiais para DMT acima de 15 KM (Caminhão basculante)0,304XP+0,323XR+11,678 (Incluindo BDI= 23,32%) -  XP=17,600 / XR=1,300 </v>
      </c>
      <c r="D170" s="934" t="s">
        <v>275</v>
      </c>
      <c r="E170" s="935"/>
      <c r="F170" s="936"/>
      <c r="G170" s="934" t="s">
        <v>276</v>
      </c>
      <c r="H170" s="935"/>
      <c r="I170" s="936"/>
      <c r="J170" s="337" t="s">
        <v>266</v>
      </c>
      <c r="K170" s="725"/>
      <c r="L170" s="728" t="s">
        <v>278</v>
      </c>
      <c r="M170" s="728" t="s">
        <v>298</v>
      </c>
      <c r="N170" s="728" t="str">
        <f>CONCATENATE("Total (",IF(MID(B170,1,2)="LG",VLOOKUP(B170,Composições!J:M,4,FALSE),IF(MID(B170,1,1)="6","t",VLOOKUP(B170,'DER 11-20'!$A$1:$I$1981,3,FALSE))),")")</f>
        <v>Total (t)</v>
      </c>
      <c r="O170" s="339"/>
      <c r="P170" s="351"/>
      <c r="Q170" s="351"/>
      <c r="R170" s="658"/>
      <c r="S170" s="593">
        <f>VLOOKUP("Total",C171:O613,12,FALSE)</f>
        <v>26511.5</v>
      </c>
      <c r="T170" s="593" t="str">
        <f>VLOOKUP("Total",C171:O613,13,FALSE)</f>
        <v>T</v>
      </c>
      <c r="U170" s="593">
        <f>+AB170/1000</f>
        <v>1.3</v>
      </c>
      <c r="V170" s="596">
        <f>W170*Z170+X170*U170+Y170</f>
        <v>17.45</v>
      </c>
      <c r="W170" s="597">
        <f>VLOOKUP(B170,transp.!A:J,8,FALSE)</f>
        <v>0.30399999999999999</v>
      </c>
      <c r="X170" s="597">
        <f>VLOOKUP(B170,transp.!A:J,9,FALSE)</f>
        <v>0.32300000000000001</v>
      </c>
      <c r="Y170" s="597">
        <f>VLOOKUP(B170,transp.!A:J,10,FALSE)</f>
        <v>11.678000000000001</v>
      </c>
      <c r="Z170" s="597">
        <f>AA170/1000</f>
        <v>17.600000000000001</v>
      </c>
      <c r="AA170" s="600">
        <v>17600</v>
      </c>
      <c r="AB170" s="598">
        <v>1300</v>
      </c>
    </row>
    <row r="171" spans="1:28" x14ac:dyDescent="0.2">
      <c r="A171" s="660"/>
      <c r="B171" s="895"/>
      <c r="C171" s="342" t="s">
        <v>2</v>
      </c>
      <c r="D171" s="354"/>
      <c r="E171" s="352"/>
      <c r="F171" s="355"/>
      <c r="G171" s="354"/>
      <c r="H171" s="355"/>
      <c r="I171" s="355"/>
      <c r="J171" s="353"/>
      <c r="K171" s="356"/>
      <c r="L171" s="357"/>
      <c r="M171" s="358"/>
      <c r="N171" s="348">
        <v>26511.5</v>
      </c>
      <c r="O171" s="349" t="str">
        <f>IF(MID(B170,1,2)="LG",VLOOKUP(B170,Composições!J:M,4,FALSE),IF(MID(B170,1,1)="6",VLOOKUP(B170,transp.!$A$6:$K$35,3,FALSE),VLOOKUP(B170,'DER 11-20'!$A$1:$I$1981,3,FALSE)))</f>
        <v>T</v>
      </c>
      <c r="P171" s="350"/>
      <c r="Q171" s="350"/>
      <c r="R171" s="656"/>
      <c r="S171" s="593">
        <f>VLOOKUP("Total",C172:O613,12,FALSE)</f>
        <v>15595</v>
      </c>
      <c r="T171" s="593" t="str">
        <f>VLOOKUP("Total",C172:O613,13,FALSE)</f>
        <v>M3</v>
      </c>
      <c r="U171" s="593"/>
      <c r="V171" s="593"/>
      <c r="AB171" s="598"/>
    </row>
    <row r="172" spans="1:28" x14ac:dyDescent="0.2">
      <c r="A172" s="287"/>
      <c r="B172" s="890"/>
      <c r="C172" s="331"/>
      <c r="H172" s="285"/>
      <c r="N172" s="306"/>
      <c r="O172" s="332"/>
      <c r="P172" s="307"/>
      <c r="Q172" s="307"/>
      <c r="R172" s="659"/>
      <c r="S172" s="593">
        <f>VLOOKUP("Total",C173:O613,12,FALSE)</f>
        <v>15595</v>
      </c>
      <c r="T172" s="593" t="str">
        <f>VLOOKUP("Total",C173:O613,13,FALSE)</f>
        <v>M3</v>
      </c>
      <c r="U172" s="593"/>
      <c r="V172" s="593"/>
    </row>
    <row r="173" spans="1:28" s="282" customFormat="1" ht="25.5" x14ac:dyDescent="0.2">
      <c r="A173" s="652" t="s">
        <v>466</v>
      </c>
      <c r="B173" s="891">
        <v>42547</v>
      </c>
      <c r="C173" s="335" t="str">
        <f>IF(MID(B173,1,2)="LG",VLOOKUP(B173,Composições!J:M,3,FALSE),IF(MID(B173,1,1)="6",VLOOKUP(B173,transp.!$A$4:$K$19,11,FALSE)&amp;" -  XP="&amp;TEXT(AA173,"0.000")&amp;" / XR="&amp;TEXT(AB173,"0.000"),VLOOKUP(B173,'DER 11-20'!$A$1:$I$1981,2,FALSE)))&amp;" - "&amp;TEXT(C174,"0.000")</f>
        <v>Espalhamento de material de 1ª categoria com motoniveladora - (Material de 1ª cat. - Bota-fora)</v>
      </c>
      <c r="D173" s="934" t="s">
        <v>275</v>
      </c>
      <c r="E173" s="935"/>
      <c r="F173" s="936"/>
      <c r="G173" s="934" t="s">
        <v>276</v>
      </c>
      <c r="H173" s="935"/>
      <c r="I173" s="936"/>
      <c r="J173" s="337" t="s">
        <v>266</v>
      </c>
      <c r="K173" s="725"/>
      <c r="L173" s="728" t="s">
        <v>278</v>
      </c>
      <c r="M173" s="728" t="s">
        <v>298</v>
      </c>
      <c r="N173" s="728" t="str">
        <f>CONCATENATE("Total (",IF(MID(B173,1,2)="LG",VLOOKUP(B173,Composições!J:M,4,FALSE),IF(MID(B173,1,1)="6","t",VLOOKUP(B173,'DER 11-20'!$A$1:$I$1981,3,FALSE))),")")</f>
        <v>Total (M3)</v>
      </c>
      <c r="O173" s="305"/>
      <c r="P173" s="351"/>
      <c r="Q173" s="351"/>
      <c r="R173" s="658"/>
      <c r="S173" s="593">
        <f>VLOOKUP("Total",C175:O613,12,FALSE)</f>
        <v>15595</v>
      </c>
      <c r="T173" s="593" t="str">
        <f>VLOOKUP("Total",C175:O613,13,FALSE)</f>
        <v>M3</v>
      </c>
      <c r="U173" s="593"/>
      <c r="V173" s="596"/>
      <c r="W173" s="597"/>
      <c r="X173" s="597"/>
      <c r="Y173" s="597"/>
      <c r="Z173" s="597"/>
      <c r="AA173" s="582"/>
      <c r="AB173" s="598"/>
    </row>
    <row r="174" spans="1:28" s="282" customFormat="1" x14ac:dyDescent="0.2">
      <c r="A174" s="652"/>
      <c r="B174" s="891"/>
      <c r="C174" s="335" t="s">
        <v>632</v>
      </c>
      <c r="D174" s="792"/>
      <c r="E174" s="793"/>
      <c r="F174" s="793"/>
      <c r="G174" s="792"/>
      <c r="H174" s="793"/>
      <c r="I174" s="793"/>
      <c r="J174" s="337"/>
      <c r="K174" s="725"/>
      <c r="L174" s="728"/>
      <c r="M174" s="794"/>
      <c r="N174" s="728"/>
      <c r="O174" s="305"/>
      <c r="P174" s="351"/>
      <c r="Q174" s="351"/>
      <c r="R174" s="658"/>
      <c r="S174" s="593"/>
      <c r="T174" s="593"/>
      <c r="U174" s="593"/>
      <c r="V174" s="596"/>
      <c r="W174" s="597"/>
      <c r="X174" s="597"/>
      <c r="Y174" s="597"/>
      <c r="Z174" s="597"/>
      <c r="AA174" s="582"/>
      <c r="AB174" s="598"/>
    </row>
    <row r="175" spans="1:28" x14ac:dyDescent="0.2">
      <c r="A175" s="655"/>
      <c r="B175" s="751"/>
      <c r="C175" s="342" t="s">
        <v>2</v>
      </c>
      <c r="D175" s="343"/>
      <c r="E175" s="340"/>
      <c r="F175" s="344"/>
      <c r="G175" s="343"/>
      <c r="H175" s="344"/>
      <c r="I175" s="344"/>
      <c r="J175" s="341"/>
      <c r="K175" s="345"/>
      <c r="L175" s="346"/>
      <c r="M175" s="347"/>
      <c r="N175" s="348">
        <v>15595</v>
      </c>
      <c r="O175" s="349" t="str">
        <f>IF(MID(B173,1,2)="LG",VLOOKUP(B173,Composições!J:M,4,FALSE),IF(MID(B173,1,1)="6",VLOOKUP(B173,transp.!$A$6:$K$35,3,FALSE),VLOOKUP(B173,'DER 11-20'!$A$1:$I$1981,3,FALSE)))</f>
        <v>M3</v>
      </c>
      <c r="P175" s="350"/>
      <c r="Q175" s="350"/>
      <c r="R175" s="656"/>
      <c r="S175" s="593">
        <f>VLOOKUP("Total",C324:O613,12,FALSE)</f>
        <v>74.5</v>
      </c>
      <c r="T175" s="593" t="str">
        <f>VLOOKUP("Total",C324:O613,13,FALSE)</f>
        <v>M</v>
      </c>
      <c r="U175" s="593"/>
      <c r="V175" s="593"/>
      <c r="AB175" s="598"/>
    </row>
    <row r="176" spans="1:28" x14ac:dyDescent="0.2">
      <c r="A176" s="287"/>
      <c r="B176" s="890"/>
      <c r="C176" s="331"/>
      <c r="H176" s="285"/>
      <c r="N176" s="306"/>
      <c r="O176" s="332"/>
      <c r="P176" s="307"/>
      <c r="Q176" s="307"/>
      <c r="R176" s="659"/>
      <c r="S176" s="593">
        <f>VLOOKUP("Total",C177:O613,12,FALSE)</f>
        <v>22563.200000000001</v>
      </c>
      <c r="T176" s="593" t="str">
        <f>VLOOKUP("Total",C177:O613,13,FALSE)</f>
        <v>M3</v>
      </c>
      <c r="U176" s="593"/>
      <c r="V176" s="593"/>
      <c r="AB176" s="598"/>
    </row>
    <row r="177" spans="1:28" ht="16.899999999999999" customHeight="1" x14ac:dyDescent="0.2">
      <c r="A177" s="652" t="s">
        <v>467</v>
      </c>
      <c r="B177" s="891">
        <v>43340</v>
      </c>
      <c r="C177" s="335" t="str">
        <f>IF(MID(B177,1,2)="LG",VLOOKUP(B177,Composições!J:M,3,FALSE),IF(MID(B177,1,1)="6",VLOOKUP(B177,transp.!$A$4:$K$19,11,FALSE)&amp;" -  XP="&amp;TEXT(AA177,"0.000")&amp;" / XR="&amp;TEXT(AB177,"0.000"),VLOOKUP(B177,'DER 11-20'!$A$1:$I$1981,2,FALSE)))&amp;" "</f>
        <v xml:space="preserve">Compactação de aterros 100% P.I. </v>
      </c>
      <c r="D177" s="934" t="s">
        <v>275</v>
      </c>
      <c r="E177" s="935"/>
      <c r="F177" s="936"/>
      <c r="G177" s="934" t="s">
        <v>276</v>
      </c>
      <c r="H177" s="935"/>
      <c r="I177" s="936"/>
      <c r="J177" s="337" t="s">
        <v>266</v>
      </c>
      <c r="K177" s="725"/>
      <c r="L177" s="728" t="s">
        <v>278</v>
      </c>
      <c r="M177" s="728" t="s">
        <v>298</v>
      </c>
      <c r="N177" s="728" t="str">
        <f>CONCATENATE("Total (",IF(MID(B177,1,2)="LG",VLOOKUP(B177,Composições!J:M,4,FALSE),IF(MID(B177,1,1)="6","t",VLOOKUP(B177,'DER 11-20'!$A$1:$I$1981,3,FALSE))),")")</f>
        <v>Total (M3)</v>
      </c>
      <c r="O177" s="339"/>
      <c r="P177" s="351"/>
      <c r="Q177" s="351"/>
      <c r="R177" s="658"/>
      <c r="S177" s="593">
        <f>VLOOKUP("Total",C178:O613,12,FALSE)</f>
        <v>22563.200000000001</v>
      </c>
      <c r="T177" s="593" t="str">
        <f>VLOOKUP("Total",C178:O613,13,FALSE)</f>
        <v>M3</v>
      </c>
      <c r="U177" s="593"/>
      <c r="V177" s="596"/>
      <c r="W177" s="597"/>
      <c r="X177" s="597"/>
      <c r="Y177" s="597"/>
      <c r="Z177" s="597"/>
      <c r="AA177" s="600"/>
      <c r="AB177" s="598"/>
    </row>
    <row r="178" spans="1:28" x14ac:dyDescent="0.2">
      <c r="A178" s="660"/>
      <c r="B178" s="895"/>
      <c r="C178" s="342" t="s">
        <v>2</v>
      </c>
      <c r="D178" s="354"/>
      <c r="E178" s="352"/>
      <c r="F178" s="355"/>
      <c r="G178" s="354"/>
      <c r="H178" s="355"/>
      <c r="I178" s="355"/>
      <c r="J178" s="353"/>
      <c r="K178" s="356"/>
      <c r="L178" s="348"/>
      <c r="M178" s="358"/>
      <c r="N178" s="348">
        <v>22563.200000000001</v>
      </c>
      <c r="O178" s="349" t="str">
        <f>IF(MID(B177,1,2)="LG",VLOOKUP(B177,Composições!J:M,4,FALSE),IF(MID(B177,1,1)="6",VLOOKUP(B177,transp.!$A$6:$K$35,3,FALSE),VLOOKUP(B177,'DER 11-20'!$A$1:$I$1981,3,FALSE)))</f>
        <v>M3</v>
      </c>
      <c r="P178" s="350"/>
      <c r="Q178" s="350"/>
      <c r="R178" s="656"/>
      <c r="S178" s="593">
        <f>VLOOKUP("Total",C179:O613,12,FALSE)</f>
        <v>78967.5</v>
      </c>
      <c r="T178" s="593" t="str">
        <f>VLOOKUP("Total",C179:O613,13,FALSE)</f>
        <v>M3</v>
      </c>
      <c r="U178" s="593"/>
      <c r="V178" s="593"/>
      <c r="AB178" s="598"/>
    </row>
    <row r="179" spans="1:28" x14ac:dyDescent="0.2">
      <c r="A179" s="287"/>
      <c r="B179" s="890"/>
      <c r="C179" s="331"/>
      <c r="H179" s="285"/>
      <c r="N179" s="306"/>
      <c r="O179" s="332"/>
      <c r="P179" s="307"/>
      <c r="Q179" s="307"/>
      <c r="R179" s="659"/>
      <c r="S179" s="593">
        <f>VLOOKUP("Total",C180:O613,12,FALSE)</f>
        <v>78967.5</v>
      </c>
      <c r="T179" s="593" t="str">
        <f>VLOOKUP("Total",C180:O613,13,FALSE)</f>
        <v>M3</v>
      </c>
      <c r="U179" s="593"/>
      <c r="V179" s="593"/>
    </row>
    <row r="180" spans="1:28" s="282" customFormat="1" ht="16.899999999999999" customHeight="1" x14ac:dyDescent="0.2">
      <c r="A180" s="652" t="s">
        <v>468</v>
      </c>
      <c r="B180" s="891">
        <v>40228</v>
      </c>
      <c r="C180" s="335" t="str">
        <f>IF(MID(B180,1,2)="LG",VLOOKUP(B180,Composições!J:M,3,FALSE),IF(MID(B180,1,1)="6",VLOOKUP(B180,transp.!$A$4:$K$19,11,FALSE)&amp;" -  XP="&amp;TEXT(AA180,"0.000")&amp;" / XR="&amp;TEXT(AB180,"0.000"),VLOOKUP(B180,'DER 11-20'!$A$1:$I$1981,2,FALSE)))&amp;""</f>
        <v>Compactação de aterros 100% PN</v>
      </c>
      <c r="D180" s="934" t="s">
        <v>275</v>
      </c>
      <c r="E180" s="935"/>
      <c r="F180" s="936"/>
      <c r="G180" s="934" t="s">
        <v>276</v>
      </c>
      <c r="H180" s="935"/>
      <c r="I180" s="936"/>
      <c r="J180" s="337" t="s">
        <v>266</v>
      </c>
      <c r="K180" s="725"/>
      <c r="L180" s="728" t="s">
        <v>278</v>
      </c>
      <c r="M180" s="728" t="s">
        <v>298</v>
      </c>
      <c r="N180" s="728" t="str">
        <f>CONCATENATE("Total (",IF(MID(B180,1,2)="LG",VLOOKUP(B180,Composições!J:M,4,FALSE),IF(MID(B180,1,1)="6","t",VLOOKUP(B180,'DER 11-20'!$A$1:$I$1981,3,FALSE))),")")</f>
        <v>Total (M3)</v>
      </c>
      <c r="O180" s="305"/>
      <c r="P180" s="351"/>
      <c r="Q180" s="351"/>
      <c r="R180" s="658"/>
      <c r="S180" s="593">
        <f>VLOOKUP("Total",C181:O613,12,FALSE)</f>
        <v>78967.5</v>
      </c>
      <c r="T180" s="593" t="str">
        <f>VLOOKUP("Total",C181:O613,13,FALSE)</f>
        <v>M3</v>
      </c>
      <c r="U180" s="593"/>
      <c r="V180" s="596"/>
      <c r="W180" s="597"/>
      <c r="X180" s="597"/>
      <c r="Y180" s="597"/>
      <c r="Z180" s="597"/>
      <c r="AA180" s="582"/>
      <c r="AB180" s="598"/>
    </row>
    <row r="181" spans="1:28" x14ac:dyDescent="0.2">
      <c r="A181" s="655"/>
      <c r="B181" s="751"/>
      <c r="C181" s="342" t="s">
        <v>2</v>
      </c>
      <c r="D181" s="343"/>
      <c r="E181" s="340"/>
      <c r="F181" s="344"/>
      <c r="G181" s="343"/>
      <c r="H181" s="344"/>
      <c r="I181" s="344"/>
      <c r="J181" s="341"/>
      <c r="K181" s="345"/>
      <c r="L181" s="346"/>
      <c r="M181" s="347"/>
      <c r="N181" s="348">
        <v>78967.5</v>
      </c>
      <c r="O181" s="349" t="str">
        <f>IF(MID(B180,1,2)="LG",VLOOKUP(B180,Composições!J:M,4,FALSE),IF(MID(B180,1,1)="6",VLOOKUP(B180,transp.!$A$6:$K$35,3,FALSE),VLOOKUP(B180,'DER 11-20'!$A$1:$I$1981,3,FALSE)))</f>
        <v>M3</v>
      </c>
      <c r="P181" s="350"/>
      <c r="Q181" s="350"/>
      <c r="R181" s="656"/>
      <c r="S181" s="593">
        <f>VLOOKUP("Total",C309:O613,12,FALSE)</f>
        <v>54.62</v>
      </c>
      <c r="T181" s="593" t="str">
        <f>VLOOKUP("Total",C309:O613,13,FALSE)</f>
        <v>T</v>
      </c>
      <c r="U181" s="593"/>
      <c r="V181" s="593"/>
      <c r="AB181" s="598"/>
    </row>
    <row r="182" spans="1:28" x14ac:dyDescent="0.2">
      <c r="A182" s="287"/>
      <c r="B182" s="890"/>
      <c r="C182" s="331"/>
      <c r="H182" s="285"/>
      <c r="N182" s="306"/>
      <c r="O182" s="332"/>
      <c r="P182" s="307"/>
      <c r="Q182" s="307"/>
      <c r="R182" s="659"/>
      <c r="S182" s="593">
        <f>VLOOKUP("Total",C183:O613,12,FALSE)</f>
        <v>23888.13</v>
      </c>
      <c r="T182" s="593" t="str">
        <f>VLOOKUP("Total",C183:O613,13,FALSE)</f>
        <v>M3</v>
      </c>
      <c r="U182" s="593"/>
      <c r="V182" s="593"/>
    </row>
    <row r="183" spans="1:28" s="282" customFormat="1" ht="25.5" x14ac:dyDescent="0.2">
      <c r="A183" s="652" t="s">
        <v>469</v>
      </c>
      <c r="B183" s="891">
        <v>41095</v>
      </c>
      <c r="C183" s="335" t="str">
        <f>IF(MID(B183,1,2)="LG",VLOOKUP(B183,Composições!J:M,3,FALSE),IF(MID(B183,1,1)="6",VLOOKUP(B183,transp.!$A$4:$K$19,11,FALSE)&amp;" -  XP="&amp;TEXT(AA183,"0.000")&amp;" / XR="&amp;TEXT(AB183,"0.000"),VLOOKUP(B183,'DER 11-20'!$A$1:$I$1981,2,FALSE)))&amp;""</f>
        <v>Remoção de solos moles, incluindo carregamento mecânico com escavadeira hidráulica</v>
      </c>
      <c r="D183" s="934" t="s">
        <v>275</v>
      </c>
      <c r="E183" s="935"/>
      <c r="F183" s="936"/>
      <c r="G183" s="934" t="s">
        <v>276</v>
      </c>
      <c r="H183" s="935"/>
      <c r="I183" s="936"/>
      <c r="J183" s="337" t="s">
        <v>266</v>
      </c>
      <c r="K183" s="725"/>
      <c r="L183" s="728" t="s">
        <v>278</v>
      </c>
      <c r="M183" s="728" t="s">
        <v>298</v>
      </c>
      <c r="N183" s="728" t="str">
        <f>CONCATENATE("Total (",IF(MID(B183,1,2)="LG",VLOOKUP(B183,Composições!J:M,4,FALSE),IF(MID(B183,1,1)="6","t",VLOOKUP(B183,'DER 11-20'!$A$1:$I$1981,3,FALSE))),")")</f>
        <v>Total (M3)</v>
      </c>
      <c r="O183" s="305"/>
      <c r="P183" s="351"/>
      <c r="Q183" s="351"/>
      <c r="R183" s="658"/>
      <c r="S183" s="593">
        <f>VLOOKUP("Total",C184:O613,12,FALSE)</f>
        <v>23888.13</v>
      </c>
      <c r="T183" s="593" t="str">
        <f>VLOOKUP("Total",C184:O613,13,FALSE)</f>
        <v>M3</v>
      </c>
      <c r="U183" s="593"/>
      <c r="V183" s="596"/>
      <c r="W183" s="597"/>
      <c r="X183" s="597"/>
      <c r="Y183" s="597"/>
      <c r="Z183" s="597"/>
      <c r="AA183" s="582"/>
      <c r="AB183" s="598"/>
    </row>
    <row r="184" spans="1:28" x14ac:dyDescent="0.2">
      <c r="A184" s="655"/>
      <c r="B184" s="751"/>
      <c r="C184" s="342" t="s">
        <v>2</v>
      </c>
      <c r="D184" s="343"/>
      <c r="E184" s="340"/>
      <c r="F184" s="344"/>
      <c r="G184" s="343"/>
      <c r="H184" s="344"/>
      <c r="I184" s="344"/>
      <c r="J184" s="341"/>
      <c r="K184" s="345"/>
      <c r="L184" s="346"/>
      <c r="M184" s="347"/>
      <c r="N184" s="348">
        <v>23888.13</v>
      </c>
      <c r="O184" s="349" t="str">
        <f>IF(MID(B183,1,2)="LG",VLOOKUP(B183,Composições!J:M,4,FALSE),IF(MID(B183,1,1)="6",VLOOKUP(B183,transp.!$A$6:$K$35,3,FALSE),VLOOKUP(B183,'DER 11-20'!$A$1:$I$1981,3,FALSE)))</f>
        <v>M3</v>
      </c>
      <c r="P184" s="350"/>
      <c r="Q184" s="350"/>
      <c r="R184" s="656"/>
      <c r="S184" s="593">
        <f>VLOOKUP("Total",C313:O613,12,FALSE)</f>
        <v>56.17</v>
      </c>
      <c r="T184" s="593" t="str">
        <f>VLOOKUP("Total",C313:O613,13,FALSE)</f>
        <v>M3</v>
      </c>
      <c r="U184" s="593"/>
      <c r="V184" s="593"/>
      <c r="AB184" s="598"/>
    </row>
    <row r="185" spans="1:28" x14ac:dyDescent="0.2">
      <c r="A185" s="287"/>
      <c r="B185" s="890"/>
      <c r="C185" s="331"/>
      <c r="H185" s="285"/>
      <c r="N185" s="306"/>
      <c r="O185" s="332"/>
      <c r="P185" s="307"/>
      <c r="Q185" s="307"/>
      <c r="R185" s="659"/>
      <c r="S185" s="593">
        <f>VLOOKUP("Total",C186:O613,12,FALSE)</f>
        <v>40609.81</v>
      </c>
      <c r="T185" s="593" t="str">
        <f>VLOOKUP("Total",C186:O613,13,FALSE)</f>
        <v>T</v>
      </c>
      <c r="U185" s="593"/>
      <c r="V185" s="593"/>
      <c r="AB185" s="598"/>
    </row>
    <row r="186" spans="1:28" ht="38.25" x14ac:dyDescent="0.2">
      <c r="A186" s="652" t="s">
        <v>470</v>
      </c>
      <c r="B186" s="891">
        <v>60024</v>
      </c>
      <c r="C186" s="335" t="str">
        <f>IF(MID(B186,1,2)="LG",VLOOKUP(B186,Composições!J:M,3,FALSE),IF(MID(B186,1,1)="6",VLOOKUP(B186,transp.!$A$4:$K$19,11,FALSE)&amp;" -  XP="&amp;TEXT(Z186,"0,000")&amp;" / XR="&amp;TEXT(U186,"0,000"),VLOOKUP(B186,'DER 11-20'!$A$1:$I$1981,2,FALSE)))&amp;" "</f>
        <v xml:space="preserve">Transporte de materiais para DMT acima de 15 KM (Caminhão basculante)0,304XP+0,323XR+11,678 (Incluindo BDI= 23,32%) -  XP=17,600 / XR=2,770 </v>
      </c>
      <c r="D186" s="934" t="s">
        <v>275</v>
      </c>
      <c r="E186" s="935"/>
      <c r="F186" s="936"/>
      <c r="G186" s="934" t="s">
        <v>276</v>
      </c>
      <c r="H186" s="935"/>
      <c r="I186" s="936"/>
      <c r="J186" s="337" t="s">
        <v>266</v>
      </c>
      <c r="K186" s="725"/>
      <c r="L186" s="728" t="s">
        <v>278</v>
      </c>
      <c r="M186" s="728" t="s">
        <v>298</v>
      </c>
      <c r="N186" s="728" t="str">
        <f>CONCATENATE("Total (",IF(MID(B186,1,2)="LG",VLOOKUP(B186,Composições!J:M,4,FALSE),IF(MID(B186,1,1)="6","t",VLOOKUP(B186,'DER 11-20'!$A$1:$I$1981,3,FALSE))),")")</f>
        <v>Total (t)</v>
      </c>
      <c r="O186" s="339"/>
      <c r="P186" s="351"/>
      <c r="Q186" s="351"/>
      <c r="R186" s="658"/>
      <c r="S186" s="593">
        <f>VLOOKUP("Total",C187:O613,12,FALSE)</f>
        <v>40609.81</v>
      </c>
      <c r="T186" s="593" t="str">
        <f>VLOOKUP("Total",C187:O613,13,FALSE)</f>
        <v>T</v>
      </c>
      <c r="U186" s="593">
        <f>+AB186/1000</f>
        <v>2.77</v>
      </c>
      <c r="V186" s="596">
        <f>W186*Z186+X186*U186+Y186</f>
        <v>17.920000000000002</v>
      </c>
      <c r="W186" s="597">
        <f>VLOOKUP(B186,transp.!A:J,8,FALSE)</f>
        <v>0.30399999999999999</v>
      </c>
      <c r="X186" s="597">
        <f>VLOOKUP(B186,transp.!A:J,9,FALSE)</f>
        <v>0.32300000000000001</v>
      </c>
      <c r="Y186" s="597">
        <f>VLOOKUP(B186,transp.!A:J,10,FALSE)</f>
        <v>11.678000000000001</v>
      </c>
      <c r="Z186" s="597">
        <f>AA186/1000</f>
        <v>17.600000000000001</v>
      </c>
      <c r="AA186" s="600">
        <v>17600</v>
      </c>
      <c r="AB186" s="598">
        <v>2770</v>
      </c>
    </row>
    <row r="187" spans="1:28" x14ac:dyDescent="0.2">
      <c r="A187" s="660"/>
      <c r="B187" s="895"/>
      <c r="C187" s="342" t="s">
        <v>2</v>
      </c>
      <c r="D187" s="354"/>
      <c r="E187" s="352"/>
      <c r="F187" s="355"/>
      <c r="G187" s="354"/>
      <c r="H187" s="355"/>
      <c r="I187" s="355"/>
      <c r="J187" s="353"/>
      <c r="K187" s="356"/>
      <c r="L187" s="357"/>
      <c r="M187" s="358"/>
      <c r="N187" s="348">
        <v>40609.81</v>
      </c>
      <c r="O187" s="349" t="str">
        <f>IF(MID(B186,1,2)="LG",VLOOKUP(B186,Composições!J:M,4,FALSE),IF(MID(B186,1,1)="6",VLOOKUP(B186,transp.!$A$6:$K$35,3,FALSE),VLOOKUP(B186,'DER 11-20'!$A$1:$I$1981,3,FALSE)))</f>
        <v>T</v>
      </c>
      <c r="P187" s="350"/>
      <c r="Q187" s="350"/>
      <c r="R187" s="656"/>
      <c r="S187" s="593">
        <f>VLOOKUP("Total",C188:O613,12,FALSE)</f>
        <v>31054.560000000001</v>
      </c>
      <c r="T187" s="593" t="str">
        <f>VLOOKUP("Total",C188:O613,13,FALSE)</f>
        <v>M3</v>
      </c>
      <c r="U187" s="593"/>
      <c r="V187" s="596"/>
      <c r="W187" s="597"/>
      <c r="X187" s="597"/>
      <c r="Y187" s="597"/>
      <c r="Z187" s="597"/>
      <c r="AA187" s="600"/>
      <c r="AB187" s="598"/>
    </row>
    <row r="188" spans="1:28" x14ac:dyDescent="0.2">
      <c r="A188" s="287"/>
      <c r="B188" s="890"/>
      <c r="C188" s="331"/>
      <c r="H188" s="285"/>
      <c r="N188" s="306"/>
      <c r="O188" s="332"/>
      <c r="P188" s="307"/>
      <c r="Q188" s="307"/>
      <c r="R188" s="659"/>
      <c r="S188" s="593">
        <f>VLOOKUP("Total",C189:O613,12,FALSE)</f>
        <v>31054.560000000001</v>
      </c>
      <c r="T188" s="593" t="str">
        <f>VLOOKUP("Total",C189:O613,13,FALSE)</f>
        <v>M3</v>
      </c>
      <c r="U188" s="593"/>
      <c r="V188" s="596"/>
      <c r="W188" s="597"/>
      <c r="X188" s="597"/>
      <c r="Y188" s="597"/>
      <c r="Z188" s="597"/>
      <c r="AA188" s="600"/>
      <c r="AB188" s="598"/>
    </row>
    <row r="189" spans="1:28" s="282" customFormat="1" ht="18.600000000000001" customHeight="1" x14ac:dyDescent="0.2">
      <c r="A189" s="652" t="s">
        <v>471</v>
      </c>
      <c r="B189" s="891">
        <v>42547</v>
      </c>
      <c r="C189" s="335" t="str">
        <f>IF(MID(B189,1,2)="LG",VLOOKUP(B189,Composições!J:M,3,FALSE),IF(MID(B189,1,1)="6",VLOOKUP(B189,transp.!$A$4:$K$19,11,FALSE)&amp;" -  XP="&amp;TEXT(AA189,"0.000")&amp;" / XR="&amp;TEXT(AB189,"0.000"),VLOOKUP(B189,'DER 11-20'!$A$1:$I$1981,2,FALSE)))&amp;" "</f>
        <v xml:space="preserve">Espalhamento de material de 1ª categoria com motoniveladora </v>
      </c>
      <c r="D189" s="934" t="s">
        <v>275</v>
      </c>
      <c r="E189" s="935"/>
      <c r="F189" s="936"/>
      <c r="G189" s="934" t="s">
        <v>276</v>
      </c>
      <c r="H189" s="935"/>
      <c r="I189" s="936"/>
      <c r="J189" s="337" t="s">
        <v>266</v>
      </c>
      <c r="K189" s="725"/>
      <c r="L189" s="728" t="s">
        <v>278</v>
      </c>
      <c r="M189" s="728" t="s">
        <v>298</v>
      </c>
      <c r="N189" s="728" t="str">
        <f>CONCATENATE("Total (",IF(MID(B189,1,2)="LG",VLOOKUP(B189,Composições!J:M,4,FALSE),IF(MID(B189,1,1)="6","t",VLOOKUP(B189,'DER 11-20'!$A$1:$I$1981,3,FALSE))),")")</f>
        <v>Total (M3)</v>
      </c>
      <c r="O189" s="305"/>
      <c r="P189" s="351"/>
      <c r="Q189" s="351"/>
      <c r="R189" s="658"/>
      <c r="S189" s="593">
        <f>VLOOKUP("Total",C190:O613,12,FALSE)</f>
        <v>31054.560000000001</v>
      </c>
      <c r="T189" s="593" t="str">
        <f>VLOOKUP("Total",C190:O613,13,FALSE)</f>
        <v>M3</v>
      </c>
      <c r="U189" s="593"/>
      <c r="V189" s="596"/>
      <c r="W189" s="597"/>
      <c r="X189" s="597"/>
      <c r="Y189" s="597"/>
      <c r="Z189" s="597"/>
      <c r="AA189" s="600"/>
      <c r="AB189" s="598"/>
    </row>
    <row r="190" spans="1:28" x14ac:dyDescent="0.2">
      <c r="A190" s="655"/>
      <c r="B190" s="751"/>
      <c r="C190" s="342" t="s">
        <v>2</v>
      </c>
      <c r="D190" s="343"/>
      <c r="E190" s="340"/>
      <c r="F190" s="344"/>
      <c r="G190" s="343"/>
      <c r="H190" s="344"/>
      <c r="I190" s="344"/>
      <c r="J190" s="341"/>
      <c r="K190" s="345"/>
      <c r="L190" s="346"/>
      <c r="M190" s="347"/>
      <c r="N190" s="348">
        <v>31054.560000000001</v>
      </c>
      <c r="O190" s="349" t="str">
        <f>IF(MID(B189,1,2)="LG",VLOOKUP(B189,Composições!J:M,4,FALSE),IF(MID(B189,1,1)="6",VLOOKUP(B189,transp.!$A$6:$K$35,3,FALSE),VLOOKUP(B189,'DER 11-20'!$A$1:$I$1981,3,FALSE)))</f>
        <v>M3</v>
      </c>
      <c r="P190" s="350"/>
      <c r="Q190" s="350"/>
      <c r="R190" s="656"/>
      <c r="S190" s="593">
        <f>VLOOKUP("Total",C339:O613,12,FALSE)</f>
        <v>52</v>
      </c>
      <c r="T190" s="593" t="str">
        <f>VLOOKUP("Total",C339:O613,13,FALSE)</f>
        <v>M</v>
      </c>
      <c r="U190" s="593"/>
      <c r="V190" s="596"/>
      <c r="W190" s="597"/>
      <c r="X190" s="597"/>
      <c r="Y190" s="597"/>
      <c r="Z190" s="597"/>
      <c r="AA190" s="600"/>
      <c r="AB190" s="598"/>
    </row>
    <row r="191" spans="1:28" x14ac:dyDescent="0.2">
      <c r="A191" s="287"/>
      <c r="B191" s="890"/>
      <c r="C191" s="331"/>
      <c r="H191" s="285"/>
      <c r="N191" s="306"/>
      <c r="O191" s="332"/>
      <c r="P191" s="307"/>
      <c r="Q191" s="307"/>
      <c r="R191" s="659"/>
      <c r="S191" s="593">
        <f>VLOOKUP("Total",C192:O613,12,FALSE)</f>
        <v>15152.75</v>
      </c>
      <c r="T191" s="593" t="str">
        <f>VLOOKUP("Total",C192:O613,13,FALSE)</f>
        <v>M3</v>
      </c>
      <c r="U191" s="593"/>
      <c r="V191" s="596"/>
      <c r="W191" s="597"/>
      <c r="X191" s="597"/>
      <c r="Y191" s="597"/>
      <c r="Z191" s="597"/>
      <c r="AA191" s="600"/>
      <c r="AB191" s="598"/>
    </row>
    <row r="192" spans="1:28" ht="25.5" x14ac:dyDescent="0.2">
      <c r="A192" s="652" t="s">
        <v>472</v>
      </c>
      <c r="B192" s="891" t="s">
        <v>663</v>
      </c>
      <c r="C192" s="335" t="s">
        <v>439</v>
      </c>
      <c r="D192" s="934" t="s">
        <v>275</v>
      </c>
      <c r="E192" s="935"/>
      <c r="F192" s="936"/>
      <c r="G192" s="934" t="s">
        <v>276</v>
      </c>
      <c r="H192" s="935"/>
      <c r="I192" s="936"/>
      <c r="J192" s="337" t="s">
        <v>266</v>
      </c>
      <c r="K192" s="725"/>
      <c r="L192" s="728" t="s">
        <v>278</v>
      </c>
      <c r="M192" s="728" t="s">
        <v>298</v>
      </c>
      <c r="N192" s="728" t="s">
        <v>438</v>
      </c>
      <c r="O192" s="339"/>
      <c r="P192" s="351"/>
      <c r="Q192" s="351"/>
      <c r="R192" s="658"/>
      <c r="S192" s="593">
        <f>VLOOKUP("Total",C193:O613,12,FALSE)</f>
        <v>15152.75</v>
      </c>
      <c r="T192" s="593" t="str">
        <f>VLOOKUP("Total",C193:O613,13,FALSE)</f>
        <v>M3</v>
      </c>
      <c r="U192" s="593"/>
      <c r="V192" s="596"/>
      <c r="W192" s="597"/>
      <c r="X192" s="597"/>
      <c r="Y192" s="597"/>
      <c r="Z192" s="597"/>
      <c r="AA192" s="600"/>
      <c r="AB192" s="598"/>
    </row>
    <row r="193" spans="1:28" x14ac:dyDescent="0.2">
      <c r="A193" s="660"/>
      <c r="B193" s="895"/>
      <c r="C193" s="342" t="s">
        <v>2</v>
      </c>
      <c r="D193" s="354"/>
      <c r="E193" s="352"/>
      <c r="F193" s="355"/>
      <c r="G193" s="354"/>
      <c r="H193" s="355"/>
      <c r="I193" s="355"/>
      <c r="J193" s="353"/>
      <c r="K193" s="356"/>
      <c r="L193" s="348"/>
      <c r="M193" s="358"/>
      <c r="N193" s="348">
        <v>15152.75</v>
      </c>
      <c r="O193" s="349" t="s">
        <v>395</v>
      </c>
      <c r="P193" s="350"/>
      <c r="Q193" s="350"/>
      <c r="R193" s="656"/>
      <c r="S193" s="593">
        <f>VLOOKUP("Total",C194:O613,12,FALSE)</f>
        <v>15152.75</v>
      </c>
      <c r="T193" s="593" t="str">
        <f>VLOOKUP("Total",C194:O613,13,FALSE)</f>
        <v>M3</v>
      </c>
      <c r="U193" s="593"/>
      <c r="V193" s="596"/>
      <c r="W193" s="597"/>
      <c r="X193" s="597"/>
      <c r="Y193" s="597"/>
      <c r="Z193" s="597"/>
      <c r="AA193" s="600"/>
      <c r="AB193" s="598"/>
    </row>
    <row r="194" spans="1:28" x14ac:dyDescent="0.2">
      <c r="A194" s="287"/>
      <c r="B194" s="890"/>
      <c r="C194" s="331"/>
      <c r="H194" s="285"/>
      <c r="N194" s="306"/>
      <c r="O194" s="332"/>
      <c r="P194" s="307"/>
      <c r="Q194" s="307"/>
      <c r="R194" s="659"/>
      <c r="S194" s="593">
        <f>VLOOKUP("Total",C195:O613,12,FALSE)</f>
        <v>15152.75</v>
      </c>
      <c r="T194" s="593" t="str">
        <f>VLOOKUP("Total",C195:O613,13,FALSE)</f>
        <v>M3</v>
      </c>
      <c r="U194" s="593"/>
      <c r="V194" s="596"/>
      <c r="W194" s="597"/>
      <c r="X194" s="597"/>
      <c r="Y194" s="597"/>
      <c r="Z194" s="597"/>
      <c r="AA194" s="600"/>
      <c r="AB194" s="598"/>
    </row>
    <row r="195" spans="1:28" s="282" customFormat="1" ht="27" customHeight="1" x14ac:dyDescent="0.2">
      <c r="A195" s="652" t="s">
        <v>473</v>
      </c>
      <c r="B195" s="891">
        <v>40177</v>
      </c>
      <c r="C195" s="335" t="str">
        <f>IF(MID(B195,1,2)="LG",VLOOKUP(B195,Composições!J:M,3,FALSE),IF(MID(B195,1,1)="6",VLOOKUP(B195,transp.!$A$4:$K$19,11,FALSE)&amp;" -  XP="&amp;TEXT(AA195,"0.000")&amp;" / XR="&amp;TEXT(AB195,"0.000"),VLOOKUP(B195,'DER 11-20'!$A$1:$I$1981,2,FALSE)))&amp;" - "&amp;TEXT(C196,"0.000")</f>
        <v>Espalhamento de material de 1ª categoria com trator de esteiras - Bica corrida</v>
      </c>
      <c r="D195" s="934" t="s">
        <v>275</v>
      </c>
      <c r="E195" s="935"/>
      <c r="F195" s="936"/>
      <c r="G195" s="934" t="s">
        <v>276</v>
      </c>
      <c r="H195" s="935"/>
      <c r="I195" s="936"/>
      <c r="J195" s="337" t="s">
        <v>266</v>
      </c>
      <c r="K195" s="725"/>
      <c r="L195" s="728" t="s">
        <v>278</v>
      </c>
      <c r="M195" s="728" t="s">
        <v>298</v>
      </c>
      <c r="N195" s="728" t="str">
        <f>CONCATENATE("Total (",IF(MID(B195,1,2)="LG",VLOOKUP(B195,Composições!J:M,4,FALSE),IF(MID(B195,1,1)="6","t",VLOOKUP(B195,'DER 11-20'!$A$1:$I$1981,3,FALSE))),")")</f>
        <v>Total (M3)</v>
      </c>
      <c r="O195" s="305"/>
      <c r="P195" s="351"/>
      <c r="Q195" s="351"/>
      <c r="R195" s="658"/>
      <c r="S195" s="593">
        <f>VLOOKUP("Total",C197:O613,12,FALSE)</f>
        <v>15152.75</v>
      </c>
      <c r="T195" s="593" t="str">
        <f>VLOOKUP("Total",C197:O613,13,FALSE)</f>
        <v>M3</v>
      </c>
      <c r="U195" s="593"/>
      <c r="V195" s="596"/>
      <c r="W195" s="597"/>
      <c r="X195" s="597"/>
      <c r="Y195" s="597"/>
      <c r="Z195" s="597"/>
      <c r="AA195" s="600"/>
      <c r="AB195" s="598"/>
    </row>
    <row r="196" spans="1:28" s="282" customFormat="1" x14ac:dyDescent="0.2">
      <c r="A196" s="652"/>
      <c r="B196" s="891"/>
      <c r="C196" s="335" t="s">
        <v>633</v>
      </c>
      <c r="D196" s="798"/>
      <c r="E196" s="799"/>
      <c r="F196" s="799"/>
      <c r="G196" s="798"/>
      <c r="H196" s="799"/>
      <c r="I196" s="799"/>
      <c r="J196" s="337"/>
      <c r="K196" s="725"/>
      <c r="L196" s="728"/>
      <c r="M196" s="800"/>
      <c r="N196" s="728"/>
      <c r="O196" s="305"/>
      <c r="P196" s="351"/>
      <c r="Q196" s="351"/>
      <c r="R196" s="658"/>
      <c r="S196" s="593"/>
      <c r="T196" s="593"/>
      <c r="U196" s="593"/>
      <c r="V196" s="596"/>
      <c r="W196" s="597"/>
      <c r="X196" s="597"/>
      <c r="Y196" s="597"/>
      <c r="Z196" s="597"/>
      <c r="AA196" s="600"/>
      <c r="AB196" s="598"/>
    </row>
    <row r="197" spans="1:28" x14ac:dyDescent="0.2">
      <c r="A197" s="655"/>
      <c r="B197" s="751"/>
      <c r="C197" s="342" t="s">
        <v>2</v>
      </c>
      <c r="D197" s="343"/>
      <c r="E197" s="340"/>
      <c r="F197" s="344"/>
      <c r="G197" s="343"/>
      <c r="H197" s="344"/>
      <c r="I197" s="344"/>
      <c r="J197" s="341"/>
      <c r="K197" s="345"/>
      <c r="L197" s="346"/>
      <c r="M197" s="347"/>
      <c r="N197" s="348">
        <v>15152.75</v>
      </c>
      <c r="O197" s="349" t="str">
        <f>IF(MID(B195,1,2)="LG",VLOOKUP(B195,Composições!J:M,4,FALSE),IF(MID(B195,1,1)="6",VLOOKUP(B195,transp.!$A$6:$K$35,3,FALSE),VLOOKUP(B195,'DER 11-20'!$A$1:$I$1981,3,FALSE)))</f>
        <v>M3</v>
      </c>
      <c r="P197" s="350"/>
      <c r="Q197" s="350"/>
      <c r="R197" s="656"/>
      <c r="S197" s="593">
        <f>VLOOKUP("Total",C327:O613,12,FALSE)</f>
        <v>16</v>
      </c>
      <c r="T197" s="593" t="str">
        <f>VLOOKUP("Total",C327:O613,13,FALSE)</f>
        <v>M</v>
      </c>
      <c r="U197" s="593"/>
      <c r="V197" s="596"/>
      <c r="W197" s="597"/>
      <c r="X197" s="597"/>
      <c r="Y197" s="597"/>
      <c r="Z197" s="597"/>
      <c r="AA197" s="600"/>
      <c r="AB197" s="598"/>
    </row>
    <row r="198" spans="1:28" x14ac:dyDescent="0.2">
      <c r="A198" s="287"/>
      <c r="B198" s="890"/>
      <c r="C198" s="331"/>
      <c r="H198" s="285"/>
      <c r="N198" s="306"/>
      <c r="O198" s="332"/>
      <c r="P198" s="307"/>
      <c r="Q198" s="307"/>
      <c r="R198" s="659"/>
      <c r="S198" s="593">
        <f>VLOOKUP("Total",C199:O613,12,FALSE)</f>
        <v>8735.3799999999992</v>
      </c>
      <c r="T198" s="593" t="str">
        <f>VLOOKUP("Total",C199:O613,13,FALSE)</f>
        <v>M3</v>
      </c>
      <c r="U198" s="593"/>
      <c r="V198" s="596"/>
      <c r="W198" s="597"/>
      <c r="X198" s="597"/>
      <c r="Y198" s="597"/>
      <c r="Z198" s="597"/>
      <c r="AA198" s="600"/>
      <c r="AB198" s="598"/>
    </row>
    <row r="199" spans="1:28" s="282" customFormat="1" ht="28.9" customHeight="1" x14ac:dyDescent="0.2">
      <c r="A199" s="652" t="s">
        <v>474</v>
      </c>
      <c r="B199" s="891" t="s">
        <v>664</v>
      </c>
      <c r="C199" s="335" t="s">
        <v>440</v>
      </c>
      <c r="D199" s="934" t="s">
        <v>275</v>
      </c>
      <c r="E199" s="935"/>
      <c r="F199" s="936"/>
      <c r="G199" s="934" t="s">
        <v>276</v>
      </c>
      <c r="H199" s="935"/>
      <c r="I199" s="936"/>
      <c r="J199" s="337" t="s">
        <v>266</v>
      </c>
      <c r="K199" s="725"/>
      <c r="L199" s="728" t="s">
        <v>278</v>
      </c>
      <c r="M199" s="728" t="s">
        <v>298</v>
      </c>
      <c r="N199" s="728" t="s">
        <v>438</v>
      </c>
      <c r="O199" s="305"/>
      <c r="P199" s="351"/>
      <c r="Q199" s="351"/>
      <c r="R199" s="658"/>
      <c r="S199" s="593">
        <f>VLOOKUP("Total",C200:O613,12,FALSE)</f>
        <v>8735.3799999999992</v>
      </c>
      <c r="T199" s="593" t="str">
        <f>VLOOKUP("Total",C200:O613,13,FALSE)</f>
        <v>M3</v>
      </c>
      <c r="U199" s="593"/>
      <c r="V199" s="596"/>
      <c r="W199" s="597"/>
      <c r="X199" s="597"/>
      <c r="Y199" s="597"/>
      <c r="Z199" s="597"/>
      <c r="AA199" s="600"/>
      <c r="AB199" s="598"/>
    </row>
    <row r="200" spans="1:28" x14ac:dyDescent="0.2">
      <c r="A200" s="655"/>
      <c r="B200" s="751"/>
      <c r="C200" s="342" t="s">
        <v>2</v>
      </c>
      <c r="D200" s="343"/>
      <c r="E200" s="340"/>
      <c r="F200" s="344"/>
      <c r="G200" s="343"/>
      <c r="H200" s="344"/>
      <c r="I200" s="344"/>
      <c r="J200" s="341"/>
      <c r="K200" s="345"/>
      <c r="L200" s="346"/>
      <c r="M200" s="347"/>
      <c r="N200" s="348">
        <v>8735.3799999999992</v>
      </c>
      <c r="O200" s="349" t="s">
        <v>395</v>
      </c>
      <c r="P200" s="350"/>
      <c r="Q200" s="350"/>
      <c r="R200" s="656"/>
      <c r="S200" s="593">
        <f>VLOOKUP("Total",C348:O613,12,FALSE)</f>
        <v>36</v>
      </c>
      <c r="T200" s="593" t="str">
        <f>VLOOKUP("Total",C348:O613,13,FALSE)</f>
        <v>M</v>
      </c>
      <c r="U200" s="593"/>
      <c r="V200" s="596"/>
      <c r="W200" s="597"/>
      <c r="X200" s="597"/>
      <c r="Y200" s="597"/>
      <c r="Z200" s="597"/>
      <c r="AA200" s="600"/>
      <c r="AB200" s="598"/>
    </row>
    <row r="201" spans="1:28" x14ac:dyDescent="0.2">
      <c r="A201" s="287"/>
      <c r="B201" s="890"/>
      <c r="C201" s="331"/>
      <c r="H201" s="285"/>
      <c r="N201" s="306"/>
      <c r="O201" s="332"/>
      <c r="P201" s="307"/>
      <c r="Q201" s="307"/>
      <c r="R201" s="659"/>
      <c r="S201" s="593">
        <f>VLOOKUP("Total",C202:O613,12,FALSE)</f>
        <v>8735.3799999999992</v>
      </c>
      <c r="T201" s="593" t="str">
        <f>VLOOKUP("Total",C202:O613,13,FALSE)</f>
        <v>M3</v>
      </c>
      <c r="U201" s="593"/>
      <c r="V201" s="596"/>
      <c r="W201" s="597"/>
      <c r="X201" s="597"/>
      <c r="Y201" s="597"/>
      <c r="Z201" s="597"/>
      <c r="AA201" s="600"/>
      <c r="AB201" s="598"/>
    </row>
    <row r="202" spans="1:28" ht="25.5" x14ac:dyDescent="0.2">
      <c r="A202" s="652" t="s">
        <v>475</v>
      </c>
      <c r="B202" s="891">
        <v>40177</v>
      </c>
      <c r="C202" s="335" t="str">
        <f>IF(MID(B202,1,2)="LG",VLOOKUP(B202,Composições!J:M,3,FALSE),IF(MID(B202,1,1)="6",VLOOKUP(B202,transp.!$A$4:$K$19,11,FALSE)&amp;" -  XP="&amp;TEXT(AA202,"0.000")&amp;" / XR="&amp;TEXT(AB202,"0.000"),VLOOKUP(B202,'DER 11-20'!$A$1:$I$1981,2,FALSE)))&amp;" - "&amp;TEXT(C203,"0.000")</f>
        <v>Espalhamento de material de 1ª categoria com trator de esteiras - Pedra de mão</v>
      </c>
      <c r="D202" s="934" t="s">
        <v>275</v>
      </c>
      <c r="E202" s="935"/>
      <c r="F202" s="936"/>
      <c r="G202" s="934" t="s">
        <v>276</v>
      </c>
      <c r="H202" s="935"/>
      <c r="I202" s="936"/>
      <c r="J202" s="337" t="s">
        <v>266</v>
      </c>
      <c r="K202" s="725"/>
      <c r="L202" s="728" t="s">
        <v>278</v>
      </c>
      <c r="M202" s="728" t="s">
        <v>298</v>
      </c>
      <c r="N202" s="728" t="str">
        <f>CONCATENATE("Total (",IF(MID(B202,1,2)="LG",VLOOKUP(B202,Composições!J:M,4,FALSE),IF(MID(B202,1,1)="6","t",VLOOKUP(B202,'DER 11-20'!$A$1:$I$1981,3,FALSE))),")")</f>
        <v>Total (M3)</v>
      </c>
      <c r="O202" s="339"/>
      <c r="P202" s="351"/>
      <c r="Q202" s="351"/>
      <c r="R202" s="658"/>
      <c r="S202" s="593">
        <f>VLOOKUP("Total",C204:O613,12,FALSE)</f>
        <v>8735.3799999999992</v>
      </c>
      <c r="T202" s="593" t="str">
        <f>VLOOKUP("Total",C204:O613,13,FALSE)</f>
        <v>M3</v>
      </c>
      <c r="U202" s="593"/>
      <c r="V202" s="596"/>
      <c r="W202" s="597"/>
      <c r="X202" s="597"/>
      <c r="Y202" s="597"/>
      <c r="Z202" s="597"/>
      <c r="AA202" s="600"/>
      <c r="AB202" s="598"/>
    </row>
    <row r="203" spans="1:28" ht="13.15" customHeight="1" x14ac:dyDescent="0.2">
      <c r="A203" s="652"/>
      <c r="B203" s="891"/>
      <c r="C203" s="335" t="s">
        <v>635</v>
      </c>
      <c r="D203" s="798"/>
      <c r="E203" s="799"/>
      <c r="F203" s="799"/>
      <c r="G203" s="798"/>
      <c r="H203" s="799"/>
      <c r="I203" s="799"/>
      <c r="J203" s="337"/>
      <c r="K203" s="725"/>
      <c r="L203" s="728"/>
      <c r="M203" s="800"/>
      <c r="N203" s="728"/>
      <c r="O203" s="339"/>
      <c r="P203" s="351"/>
      <c r="Q203" s="351"/>
      <c r="R203" s="658"/>
      <c r="S203" s="593"/>
      <c r="T203" s="593"/>
      <c r="U203" s="593"/>
      <c r="V203" s="596"/>
      <c r="W203" s="597"/>
      <c r="X203" s="597"/>
      <c r="Y203" s="597"/>
      <c r="Z203" s="597"/>
      <c r="AA203" s="600"/>
      <c r="AB203" s="598"/>
    </row>
    <row r="204" spans="1:28" x14ac:dyDescent="0.2">
      <c r="A204" s="660"/>
      <c r="B204" s="895"/>
      <c r="C204" s="342" t="s">
        <v>2</v>
      </c>
      <c r="D204" s="354"/>
      <c r="E204" s="352"/>
      <c r="F204" s="355"/>
      <c r="G204" s="354"/>
      <c r="H204" s="355"/>
      <c r="I204" s="355"/>
      <c r="J204" s="353"/>
      <c r="K204" s="356"/>
      <c r="L204" s="348"/>
      <c r="M204" s="358"/>
      <c r="N204" s="348">
        <v>8735.3799999999992</v>
      </c>
      <c r="O204" s="349" t="str">
        <f>IF(MID(B202,1,2)="LG",VLOOKUP(B202,Composições!J:M,4,FALSE),IF(MID(B202,1,1)="6",VLOOKUP(B202,transp.!$A$6:$K$35,3,FALSE),VLOOKUP(B202,'DER 11-20'!$A$1:$I$1981,3,FALSE)))</f>
        <v>M3</v>
      </c>
      <c r="P204" s="350"/>
      <c r="Q204" s="350"/>
      <c r="R204" s="656"/>
      <c r="S204" s="593">
        <f>VLOOKUP("Total",C205:O613,12,FALSE)</f>
        <v>1747.08</v>
      </c>
      <c r="T204" s="593" t="str">
        <f>VLOOKUP("Total",C205:O613,13,FALSE)</f>
        <v>M3</v>
      </c>
      <c r="U204" s="593"/>
      <c r="V204" s="596"/>
      <c r="W204" s="597"/>
      <c r="X204" s="597"/>
      <c r="Y204" s="597"/>
      <c r="Z204" s="597"/>
      <c r="AA204" s="600"/>
      <c r="AB204" s="598"/>
    </row>
    <row r="205" spans="1:28" x14ac:dyDescent="0.2">
      <c r="A205" s="287"/>
      <c r="B205" s="890"/>
      <c r="C205" s="331"/>
      <c r="H205" s="285"/>
      <c r="N205" s="306"/>
      <c r="O205" s="332"/>
      <c r="P205" s="307"/>
      <c r="Q205" s="307"/>
      <c r="R205" s="659"/>
      <c r="S205" s="593">
        <f>VLOOKUP("Total",C206:O613,12,FALSE)</f>
        <v>1747.08</v>
      </c>
      <c r="T205" s="593" t="str">
        <f>VLOOKUP("Total",C206:O613,13,FALSE)</f>
        <v>M3</v>
      </c>
      <c r="U205" s="593"/>
      <c r="V205" s="596"/>
      <c r="W205" s="597"/>
      <c r="X205" s="597"/>
      <c r="Y205" s="597"/>
      <c r="Z205" s="597"/>
      <c r="AA205" s="600"/>
      <c r="AB205" s="598"/>
    </row>
    <row r="206" spans="1:28" s="282" customFormat="1" ht="25.5" x14ac:dyDescent="0.2">
      <c r="A206" s="652" t="s">
        <v>476</v>
      </c>
      <c r="B206" s="891">
        <v>40229</v>
      </c>
      <c r="C206" s="335" t="str">
        <f>IF(MID(B206,1,2)="LG",VLOOKUP(B206,Composições!J:M,3,FALSE),IF(MID(B206,1,1)="6",VLOOKUP(B206,transp.!$A$4:$K$19,11,FALSE)&amp;" -  XP="&amp;TEXT(AA206,"0.000")&amp;" / XR="&amp;TEXT(AB206,"0.000"),VLOOKUP(B206,'DER 11-20'!$A$1:$I$1981,2,FALSE)))&amp;""</f>
        <v>Compactação de aterros em rocha</v>
      </c>
      <c r="D206" s="934" t="s">
        <v>275</v>
      </c>
      <c r="E206" s="935"/>
      <c r="F206" s="936"/>
      <c r="G206" s="934" t="s">
        <v>276</v>
      </c>
      <c r="H206" s="935"/>
      <c r="I206" s="936"/>
      <c r="J206" s="337" t="s">
        <v>266</v>
      </c>
      <c r="K206" s="725"/>
      <c r="L206" s="728" t="s">
        <v>278</v>
      </c>
      <c r="M206" s="728" t="s">
        <v>298</v>
      </c>
      <c r="N206" s="728" t="str">
        <f>CONCATENATE("Total (",IF(MID(B206,1,2)="LG",VLOOKUP(B206,Composições!J:M,4,FALSE),IF(MID(B206,1,1)="6","t",VLOOKUP(B206,'DER 11-20'!$A$1:$I$1981,3,FALSE))),")")</f>
        <v>Total (M3)</v>
      </c>
      <c r="O206" s="305"/>
      <c r="P206" s="351"/>
      <c r="Q206" s="351"/>
      <c r="R206" s="658"/>
      <c r="S206" s="593">
        <f>VLOOKUP("Total",C207:O613,12,FALSE)</f>
        <v>1747.08</v>
      </c>
      <c r="T206" s="593" t="str">
        <f>VLOOKUP("Total",C207:O613,13,FALSE)</f>
        <v>M3</v>
      </c>
      <c r="U206" s="593"/>
      <c r="V206" s="596"/>
      <c r="W206" s="597"/>
      <c r="X206" s="597"/>
      <c r="Y206" s="597"/>
      <c r="Z206" s="597"/>
      <c r="AA206" s="600"/>
      <c r="AB206" s="598"/>
    </row>
    <row r="207" spans="1:28" x14ac:dyDescent="0.2">
      <c r="A207" s="655"/>
      <c r="B207" s="751"/>
      <c r="C207" s="342" t="s">
        <v>2</v>
      </c>
      <c r="D207" s="343"/>
      <c r="E207" s="340"/>
      <c r="F207" s="344"/>
      <c r="G207" s="343"/>
      <c r="H207" s="344"/>
      <c r="I207" s="344"/>
      <c r="J207" s="341"/>
      <c r="K207" s="345"/>
      <c r="L207" s="346"/>
      <c r="M207" s="347"/>
      <c r="N207" s="348">
        <v>1747.08</v>
      </c>
      <c r="O207" s="349" t="str">
        <f>IF(MID(B206,1,2)="LG",VLOOKUP(B206,Composições!J:M,4,FALSE),IF(MID(B206,1,1)="6",VLOOKUP(B206,transp.!$A$6:$K$35,3,FALSE),VLOOKUP(B206,'DER 11-20'!$A$1:$I$1981,3,FALSE)))</f>
        <v>M3</v>
      </c>
      <c r="P207" s="350"/>
      <c r="Q207" s="350"/>
      <c r="R207" s="656"/>
      <c r="S207" s="593">
        <f>VLOOKUP("Total",C336:O613,12,FALSE)</f>
        <v>62</v>
      </c>
      <c r="T207" s="593" t="str">
        <f>VLOOKUP("Total",C336:O613,13,FALSE)</f>
        <v>M</v>
      </c>
      <c r="U207" s="593"/>
      <c r="V207" s="596"/>
      <c r="W207" s="597"/>
      <c r="X207" s="597"/>
      <c r="Y207" s="597"/>
      <c r="Z207" s="597"/>
      <c r="AA207" s="600"/>
      <c r="AB207" s="598"/>
    </row>
    <row r="208" spans="1:28" s="549" customFormat="1" x14ac:dyDescent="0.2">
      <c r="A208" s="665"/>
      <c r="B208" s="896"/>
      <c r="C208" s="554"/>
      <c r="D208" s="555"/>
      <c r="E208" s="552"/>
      <c r="F208" s="561"/>
      <c r="G208" s="562"/>
      <c r="H208" s="550"/>
      <c r="I208" s="550"/>
      <c r="J208" s="553"/>
      <c r="K208" s="556"/>
      <c r="L208" s="551"/>
      <c r="M208" s="557"/>
      <c r="N208" s="546"/>
      <c r="O208" s="558"/>
      <c r="P208" s="559"/>
      <c r="Q208" s="559"/>
      <c r="R208" s="666"/>
      <c r="S208" s="593">
        <f>VLOOKUP("Total",C209:O774,12,FALSE)</f>
        <v>54736.51</v>
      </c>
      <c r="T208" s="593" t="str">
        <f>VLOOKUP("Total",C209:O774,13,FALSE)</f>
        <v>M2</v>
      </c>
      <c r="U208" s="593"/>
      <c r="V208" s="596"/>
      <c r="W208" s="597"/>
      <c r="X208" s="597"/>
      <c r="Y208" s="597"/>
      <c r="Z208" s="597"/>
      <c r="AA208" s="600"/>
      <c r="AB208" s="598"/>
    </row>
    <row r="209" spans="1:28" s="560" customFormat="1" x14ac:dyDescent="0.2">
      <c r="A209" s="661">
        <v>4</v>
      </c>
      <c r="B209" s="897"/>
      <c r="C209" s="563" t="s">
        <v>284</v>
      </c>
      <c r="D209" s="496"/>
      <c r="E209" s="542"/>
      <c r="F209" s="570"/>
      <c r="G209" s="542"/>
      <c r="H209" s="542"/>
      <c r="I209" s="543"/>
      <c r="J209" s="544"/>
      <c r="K209" s="545"/>
      <c r="L209" s="546"/>
      <c r="M209" s="547"/>
      <c r="N209" s="546"/>
      <c r="O209" s="544"/>
      <c r="P209" s="548"/>
      <c r="Q209" s="548"/>
      <c r="R209" s="669"/>
      <c r="S209" s="593">
        <f>VLOOKUP("Total",C210:O775,12,FALSE)</f>
        <v>54736.51</v>
      </c>
      <c r="T209" s="593" t="str">
        <f>VLOOKUP("Total",C210:O775,13,FALSE)</f>
        <v>M2</v>
      </c>
      <c r="U209" s="593"/>
      <c r="V209" s="596"/>
      <c r="W209" s="597"/>
      <c r="X209" s="597"/>
      <c r="Y209" s="597"/>
      <c r="Z209" s="597"/>
      <c r="AA209" s="600"/>
      <c r="AB209" s="598"/>
    </row>
    <row r="210" spans="1:28" ht="25.5" x14ac:dyDescent="0.2">
      <c r="A210" s="668" t="s">
        <v>253</v>
      </c>
      <c r="B210" s="891">
        <v>40754</v>
      </c>
      <c r="C210" s="806" t="str">
        <f>IF(MID(B210,1,2)="LG",VLOOKUP(B210,Composições!J:M,3,FALSE),IF(MID(B210,1,1)="6",VLOOKUP(B210,transp.!$A$4:$K$19,11,FALSE)&amp;" -  XP="&amp;TEXT(T210,"0.000")&amp;" / XR="&amp;TEXT(V210,"0.000"),VLOOKUP(B210,'DER 11-20'!$A$1:$I$1981,2,FALSE)))</f>
        <v>Regularização e compactação do sub-leito (100% P.I.) H = 0,20 m</v>
      </c>
      <c r="D210" s="934" t="s">
        <v>275</v>
      </c>
      <c r="E210" s="935"/>
      <c r="F210" s="936"/>
      <c r="G210" s="934" t="s">
        <v>276</v>
      </c>
      <c r="H210" s="935"/>
      <c r="I210" s="936"/>
      <c r="J210" s="337" t="s">
        <v>345</v>
      </c>
      <c r="K210" s="641" t="s">
        <v>274</v>
      </c>
      <c r="L210" s="641" t="s">
        <v>271</v>
      </c>
      <c r="M210" s="641" t="s">
        <v>299</v>
      </c>
      <c r="N210" s="641" t="s">
        <v>437</v>
      </c>
      <c r="O210" s="305"/>
      <c r="P210" s="307"/>
      <c r="Q210" s="307"/>
      <c r="R210" s="664"/>
      <c r="S210" s="593">
        <f>VLOOKUP("Total",C211:O776,12,FALSE)</f>
        <v>54736.51</v>
      </c>
      <c r="T210" s="593" t="str">
        <f>VLOOKUP("Total",C211:O776,13,FALSE)</f>
        <v>M2</v>
      </c>
      <c r="U210" s="593"/>
      <c r="V210" s="596"/>
      <c r="W210" s="597"/>
      <c r="X210" s="597"/>
      <c r="Y210" s="597"/>
      <c r="Z210" s="597"/>
      <c r="AA210" s="600"/>
      <c r="AB210" s="598"/>
    </row>
    <row r="211" spans="1:28" x14ac:dyDescent="0.2">
      <c r="A211" s="655"/>
      <c r="B211" s="751"/>
      <c r="C211" s="342" t="s">
        <v>2</v>
      </c>
      <c r="D211" s="343"/>
      <c r="E211" s="340"/>
      <c r="F211" s="344"/>
      <c r="G211" s="343"/>
      <c r="H211" s="344"/>
      <c r="I211" s="344"/>
      <c r="J211" s="341"/>
      <c r="K211" s="345"/>
      <c r="L211" s="346"/>
      <c r="M211" s="347"/>
      <c r="N211" s="348">
        <v>54736.51</v>
      </c>
      <c r="O211" s="349" t="s">
        <v>394</v>
      </c>
      <c r="P211" s="350"/>
      <c r="Q211" s="350"/>
      <c r="R211" s="656"/>
      <c r="S211" s="593">
        <f>VLOOKUP("Total",C212:O825,12,FALSE)</f>
        <v>6382.3</v>
      </c>
      <c r="T211" s="593" t="str">
        <f>VLOOKUP("Total",C212:O825,13,FALSE)</f>
        <v>M3</v>
      </c>
      <c r="U211" s="593"/>
      <c r="V211" s="596"/>
      <c r="W211" s="597"/>
      <c r="X211" s="597"/>
      <c r="Y211" s="597"/>
      <c r="Z211" s="597"/>
      <c r="AA211" s="600"/>
      <c r="AB211" s="598"/>
    </row>
    <row r="212" spans="1:28" x14ac:dyDescent="0.2">
      <c r="A212" s="287"/>
      <c r="B212" s="890"/>
      <c r="C212" s="331"/>
      <c r="H212" s="285"/>
      <c r="N212" s="306"/>
      <c r="O212" s="332"/>
      <c r="P212" s="307"/>
      <c r="Q212" s="307"/>
      <c r="R212" s="659"/>
      <c r="S212" s="593">
        <f>VLOOKUP("Total",C213:O826,12,FALSE)</f>
        <v>6382.3</v>
      </c>
      <c r="T212" s="593" t="str">
        <f>VLOOKUP("Total",C213:O826,13,FALSE)</f>
        <v>M3</v>
      </c>
      <c r="U212" s="593"/>
      <c r="V212" s="596"/>
      <c r="W212" s="597"/>
      <c r="X212" s="597"/>
      <c r="Y212" s="597"/>
      <c r="Z212" s="597"/>
      <c r="AA212" s="600"/>
      <c r="AB212" s="598"/>
    </row>
    <row r="213" spans="1:28" ht="39.75" customHeight="1" x14ac:dyDescent="0.2">
      <c r="A213" s="668" t="s">
        <v>254</v>
      </c>
      <c r="B213" s="891">
        <v>40109</v>
      </c>
      <c r="C213" s="335" t="str">
        <f>IF(MID(B213,1,2)="LG",VLOOKUP(B213,Composições!J:M,3,FALSE),IF(MID(B213,1,1)="6",VLOOKUP(B213,transp.!$A$4:$K$21,11,FALSE)&amp;" -  XP="&amp;TEXT(T213,"0,000")&amp;" / XR="&amp;TEXT(V213,"0,000"),VLOOKUP(B213,'DER 11-20'!$A$1:$I$1994,2,FALSE)))</f>
        <v>Sub-base de solo estabilizada granulométricamente sem mistura inclusive escavação e carga</v>
      </c>
      <c r="D213" s="934" t="s">
        <v>275</v>
      </c>
      <c r="E213" s="935"/>
      <c r="F213" s="936"/>
      <c r="G213" s="934" t="s">
        <v>276</v>
      </c>
      <c r="H213" s="935"/>
      <c r="I213" s="936"/>
      <c r="J213" s="337" t="s">
        <v>266</v>
      </c>
      <c r="K213" s="641" t="s">
        <v>274</v>
      </c>
      <c r="L213" s="641" t="s">
        <v>271</v>
      </c>
      <c r="M213" s="641" t="s">
        <v>280</v>
      </c>
      <c r="N213" s="641" t="str">
        <f>CONCATENATE("Total (",IF(MID(B213,1,2)="LG",VLOOKUP(B213,Composições!J:M,4,FALSE),IF(MID(B213,1,1)="6","t",VLOOKUP(B213,'DER 11-20'!$A$1:$I$1994,3,FALSE))),")")</f>
        <v>Total (M3)</v>
      </c>
      <c r="O213" s="305"/>
      <c r="P213" s="307"/>
      <c r="Q213" s="307"/>
      <c r="R213" s="664"/>
      <c r="S213" s="593">
        <f>VLOOKUP("Total",C214:O827,12,FALSE)</f>
        <v>6382.3</v>
      </c>
      <c r="T213" s="593" t="str">
        <f>VLOOKUP("Total",C214:O827,13,FALSE)</f>
        <v>M3</v>
      </c>
      <c r="U213" s="593"/>
      <c r="V213" s="596"/>
      <c r="W213" s="597"/>
      <c r="X213" s="597"/>
      <c r="Y213" s="597"/>
      <c r="Z213" s="597"/>
      <c r="AA213" s="600"/>
      <c r="AB213" s="598"/>
    </row>
    <row r="214" spans="1:28" x14ac:dyDescent="0.2">
      <c r="A214" s="655"/>
      <c r="B214" s="751"/>
      <c r="C214" s="342" t="s">
        <v>2</v>
      </c>
      <c r="D214" s="343"/>
      <c r="E214" s="340"/>
      <c r="F214" s="344"/>
      <c r="G214" s="343"/>
      <c r="H214" s="344"/>
      <c r="I214" s="344"/>
      <c r="J214" s="341"/>
      <c r="K214" s="345"/>
      <c r="L214" s="346"/>
      <c r="M214" s="347"/>
      <c r="N214" s="348">
        <v>6382.3</v>
      </c>
      <c r="O214" s="349" t="str">
        <f>IF(MID(B213,1,2)="LG",VLOOKUP(B213,Composições!J:M,4,FALSE),IF(MID(B213,1,1)="6",VLOOKUP(B213,transp.!$A$6:$K$27,3,FALSE),VLOOKUP(B213,'DER 11-20'!$A$1:$I$1994,3,FALSE)))</f>
        <v>M3</v>
      </c>
      <c r="P214" s="350"/>
      <c r="Q214" s="350"/>
      <c r="R214" s="656"/>
      <c r="S214" s="593">
        <f>VLOOKUP("Total",C215:O840,12,FALSE)</f>
        <v>7884.02</v>
      </c>
      <c r="T214" s="593" t="str">
        <f>VLOOKUP("Total",C215:O840,13,FALSE)</f>
        <v>M3</v>
      </c>
      <c r="U214" s="593"/>
      <c r="V214" s="596"/>
      <c r="W214" s="597"/>
      <c r="X214" s="597"/>
      <c r="Y214" s="597"/>
      <c r="Z214" s="597"/>
      <c r="AA214" s="600"/>
      <c r="AB214" s="598"/>
    </row>
    <row r="215" spans="1:28" x14ac:dyDescent="0.2">
      <c r="A215" s="287"/>
      <c r="B215" s="890"/>
      <c r="C215" s="331"/>
      <c r="H215" s="285"/>
      <c r="N215" s="306"/>
      <c r="O215" s="332"/>
      <c r="P215" s="307"/>
      <c r="Q215" s="307"/>
      <c r="R215" s="659"/>
      <c r="S215" s="593">
        <f>VLOOKUP("Total",C216:O841,12,FALSE)</f>
        <v>7884.02</v>
      </c>
      <c r="T215" s="593" t="str">
        <f>VLOOKUP("Total",C216:O841,13,FALSE)</f>
        <v>M3</v>
      </c>
      <c r="U215" s="593"/>
      <c r="V215" s="596"/>
      <c r="W215" s="597"/>
      <c r="X215" s="597"/>
      <c r="Y215" s="597"/>
      <c r="Z215" s="597"/>
      <c r="AA215" s="600"/>
      <c r="AB215" s="598"/>
    </row>
    <row r="216" spans="1:28" ht="25.5" x14ac:dyDescent="0.2">
      <c r="A216" s="668" t="s">
        <v>255</v>
      </c>
      <c r="B216" s="891">
        <v>42045</v>
      </c>
      <c r="C216" s="335" t="str">
        <f>IF(MID(B216,1,2)="LG",VLOOKUP(B216,Composições!J:M,3,FALSE),IF(MID(B216,1,1)="6",VLOOKUP(B216,transp.!$A$4:$K$21,11,FALSE)&amp;" -  XP="&amp;TEXT(T216,"0,000")&amp;" / XR="&amp;TEXT(V216,"0,000"),VLOOKUP(B216,'DER 11-20'!$A$1:$I$1994,2,FALSE)))</f>
        <v>Aquisição de solo de jazida comercial (saibreira)</v>
      </c>
      <c r="D216" s="934" t="s">
        <v>275</v>
      </c>
      <c r="E216" s="935"/>
      <c r="F216" s="936"/>
      <c r="G216" s="934" t="s">
        <v>276</v>
      </c>
      <c r="H216" s="935"/>
      <c r="I216" s="936"/>
      <c r="J216" s="337" t="s">
        <v>266</v>
      </c>
      <c r="K216" s="641" t="s">
        <v>274</v>
      </c>
      <c r="L216" s="641" t="s">
        <v>271</v>
      </c>
      <c r="M216" s="641" t="s">
        <v>280</v>
      </c>
      <c r="N216" s="641" t="str">
        <f>CONCATENATE("Total (",IF(MID(B216,1,2)="LG",VLOOKUP(B216,Composições!J:M,4,FALSE),IF(MID(B216,1,1)="6","t",VLOOKUP(B216,'DER 11-20'!$A$1:$I$1994,3,FALSE))),")")</f>
        <v>Total (M3)</v>
      </c>
      <c r="O216" s="305"/>
      <c r="P216" s="307"/>
      <c r="Q216" s="307"/>
      <c r="R216" s="664"/>
      <c r="S216" s="593">
        <f>VLOOKUP("Total",C217:O842,12,FALSE)</f>
        <v>7884.02</v>
      </c>
      <c r="T216" s="593" t="str">
        <f>VLOOKUP("Total",C217:O842,13,FALSE)</f>
        <v>M3</v>
      </c>
      <c r="U216" s="593"/>
      <c r="V216" s="596"/>
      <c r="W216" s="597"/>
      <c r="X216" s="597"/>
      <c r="Y216" s="597"/>
      <c r="Z216" s="597"/>
      <c r="AA216" s="600"/>
      <c r="AB216" s="598"/>
    </row>
    <row r="217" spans="1:28" x14ac:dyDescent="0.2">
      <c r="A217" s="655"/>
      <c r="B217" s="751"/>
      <c r="C217" s="342" t="s">
        <v>2</v>
      </c>
      <c r="D217" s="343"/>
      <c r="E217" s="340"/>
      <c r="F217" s="344"/>
      <c r="G217" s="343"/>
      <c r="H217" s="344"/>
      <c r="I217" s="344"/>
      <c r="J217" s="341"/>
      <c r="K217" s="345"/>
      <c r="L217" s="346"/>
      <c r="M217" s="347"/>
      <c r="N217" s="348">
        <v>7884.02</v>
      </c>
      <c r="O217" s="349" t="str">
        <f>IF(MID(B216,1,2)="LG",VLOOKUP(B216,Composições!J:M,4,FALSE),IF(MID(B216,1,1)="6",VLOOKUP(B216,transp.!$A$6:$K$27,3,FALSE),VLOOKUP(B216,'DER 11-20'!$A$1:$I$1994,3,FALSE)))</f>
        <v>M3</v>
      </c>
      <c r="P217" s="350"/>
      <c r="Q217" s="350"/>
      <c r="R217" s="656"/>
      <c r="S217" s="593">
        <f>VLOOKUP("Total",C218:O855,12,FALSE)</f>
        <v>13402.83</v>
      </c>
      <c r="T217" s="593" t="str">
        <f>VLOOKUP("Total",C218:O855,13,FALSE)</f>
        <v>T</v>
      </c>
      <c r="U217" s="593"/>
      <c r="V217" s="596"/>
      <c r="W217" s="597"/>
      <c r="X217" s="597"/>
      <c r="Y217" s="597"/>
      <c r="Z217" s="597"/>
      <c r="AA217" s="600"/>
      <c r="AB217" s="598"/>
    </row>
    <row r="218" spans="1:28" x14ac:dyDescent="0.2">
      <c r="A218" s="287"/>
      <c r="B218" s="890"/>
      <c r="C218" s="331"/>
      <c r="H218" s="285"/>
      <c r="N218" s="306"/>
      <c r="O218" s="332"/>
      <c r="P218" s="307"/>
      <c r="Q218" s="307"/>
      <c r="R218" s="659"/>
      <c r="S218" s="593">
        <f>VLOOKUP("Total",C219:O856,12,FALSE)</f>
        <v>13402.83</v>
      </c>
      <c r="T218" s="593" t="str">
        <f>VLOOKUP("Total",C219:O856,13,FALSE)</f>
        <v>T</v>
      </c>
      <c r="U218" s="593"/>
      <c r="V218" s="596"/>
      <c r="W218" s="597"/>
      <c r="X218" s="597"/>
      <c r="Y218" s="597"/>
      <c r="Z218" s="597"/>
      <c r="AA218" s="600"/>
      <c r="AB218" s="598"/>
    </row>
    <row r="219" spans="1:28" ht="51" x14ac:dyDescent="0.2">
      <c r="A219" s="668" t="s">
        <v>256</v>
      </c>
      <c r="B219" s="891">
        <v>60024</v>
      </c>
      <c r="C219" s="335" t="str">
        <f>IF(MID(B219,1,2)="LG",VLOOKUP(B219,Composições!J:M,3,FALSE),IF(MID(B219,1,1)="6",VLOOKUP(B219,transp.!$A$4:$K$19,11,FALSE)&amp;" -  XP="&amp;TEXT(Z219,"0,00")&amp;" / XR="&amp;TEXT(U219,"0,00"),VLOOKUP(B219,'DER 11-20'!$A$1:$I$1981,2,FALSE)))&amp;" - "&amp;TEXT(C220,"0.000")</f>
        <v xml:space="preserve">Transporte de materiais para DMT acima de 15 KM (Caminhão basculante)0,304XP+0,323XR+11,678 (Incluindo BDI= 23,32%) -  XP=11,00 / XR=20,39 - Transporte de material de jazida para sub base </v>
      </c>
      <c r="D219" s="934" t="s">
        <v>275</v>
      </c>
      <c r="E219" s="935"/>
      <c r="F219" s="936"/>
      <c r="G219" s="934" t="s">
        <v>276</v>
      </c>
      <c r="H219" s="935"/>
      <c r="I219" s="936"/>
      <c r="J219" s="337" t="s">
        <v>266</v>
      </c>
      <c r="K219" s="641" t="s">
        <v>274</v>
      </c>
      <c r="L219" s="641" t="s">
        <v>271</v>
      </c>
      <c r="M219" s="641" t="s">
        <v>280</v>
      </c>
      <c r="N219" s="641" t="str">
        <f>CONCATENATE("Total (",IF(MID(B219,1,2)="LG",VLOOKUP(B219,Composições!J:M,4,FALSE),IF(MID(B219,1,1)="6","t",VLOOKUP(B219,'DER 11-20'!$A$1:$I$1981,3,FALSE))),")")</f>
        <v>Total (t)</v>
      </c>
      <c r="O219" s="305"/>
      <c r="P219" s="307"/>
      <c r="Q219" s="307"/>
      <c r="R219" s="664"/>
      <c r="S219" s="593">
        <f>VLOOKUP("Total",C221:O857,12,FALSE)</f>
        <v>13402.83</v>
      </c>
      <c r="T219" s="593" t="str">
        <f>VLOOKUP("Total",C221:O857,13,FALSE)</f>
        <v>T</v>
      </c>
      <c r="U219" s="593">
        <f>+AB219/1000</f>
        <v>20.39</v>
      </c>
      <c r="V219" s="596">
        <f>W219*Z219+X219*U219+Y219</f>
        <v>21.61</v>
      </c>
      <c r="W219" s="597">
        <f>VLOOKUP(B219,transp.!A:J,8,FALSE)</f>
        <v>0.30399999999999999</v>
      </c>
      <c r="X219" s="597">
        <f>VLOOKUP(B219,transp.!A:J,9,FALSE)</f>
        <v>0.32300000000000001</v>
      </c>
      <c r="Y219" s="597">
        <f>VLOOKUP(B219,transp.!A:J,10,FALSE)</f>
        <v>11.678000000000001</v>
      </c>
      <c r="Z219" s="597">
        <f>AA219/1000</f>
        <v>11</v>
      </c>
      <c r="AA219" s="600">
        <v>11000</v>
      </c>
      <c r="AB219" s="598">
        <v>20390</v>
      </c>
    </row>
    <row r="220" spans="1:28" s="282" customFormat="1" x14ac:dyDescent="0.2">
      <c r="A220" s="652"/>
      <c r="B220" s="891"/>
      <c r="C220" s="335" t="s">
        <v>636</v>
      </c>
      <c r="D220" s="808"/>
      <c r="E220" s="809"/>
      <c r="F220" s="809"/>
      <c r="G220" s="808"/>
      <c r="H220" s="809"/>
      <c r="I220" s="809"/>
      <c r="J220" s="337"/>
      <c r="K220" s="725"/>
      <c r="L220" s="728"/>
      <c r="M220" s="810"/>
      <c r="N220" s="728"/>
      <c r="O220" s="305"/>
      <c r="P220" s="351"/>
      <c r="Q220" s="351"/>
      <c r="R220" s="658"/>
      <c r="S220" s="593"/>
      <c r="T220" s="593"/>
      <c r="U220" s="593"/>
      <c r="V220" s="596"/>
      <c r="W220" s="597"/>
      <c r="X220" s="597"/>
      <c r="Y220" s="597"/>
      <c r="Z220" s="597"/>
      <c r="AA220" s="600"/>
      <c r="AB220" s="598"/>
    </row>
    <row r="221" spans="1:28" x14ac:dyDescent="0.2">
      <c r="A221" s="655"/>
      <c r="B221" s="751"/>
      <c r="C221" s="342" t="s">
        <v>2</v>
      </c>
      <c r="D221" s="343"/>
      <c r="E221" s="340"/>
      <c r="F221" s="344"/>
      <c r="G221" s="343"/>
      <c r="H221" s="344"/>
      <c r="I221" s="344"/>
      <c r="J221" s="341"/>
      <c r="K221" s="345"/>
      <c r="L221" s="346"/>
      <c r="M221" s="347"/>
      <c r="N221" s="348">
        <v>13402.83</v>
      </c>
      <c r="O221" s="349" t="str">
        <f>IF(MID(B219,1,2)="LG",VLOOKUP(B219,Composições!J:M,4,FALSE),IF(MID(B219,1,1)="6",VLOOKUP(B219,transp.!$A$6:$K$35,3,FALSE),VLOOKUP(B219,'DER 11-20'!$A$1:$I$1981,3,FALSE)))</f>
        <v>T</v>
      </c>
      <c r="P221" s="350"/>
      <c r="Q221" s="350"/>
      <c r="R221" s="656"/>
      <c r="S221" s="593">
        <f>VLOOKUP("Total",C222:O894,12,FALSE)</f>
        <v>15.28</v>
      </c>
      <c r="T221" s="593" t="str">
        <f>VLOOKUP("Total",C222:O894,13,FALSE)</f>
        <v>%</v>
      </c>
      <c r="U221" s="593"/>
      <c r="V221" s="596"/>
      <c r="W221" s="597"/>
      <c r="X221" s="597"/>
      <c r="Y221" s="597"/>
      <c r="Z221" s="597"/>
      <c r="AA221" s="600"/>
      <c r="AB221" s="598"/>
    </row>
    <row r="222" spans="1:28" x14ac:dyDescent="0.2">
      <c r="A222" s="287"/>
      <c r="B222" s="890"/>
      <c r="C222" s="335"/>
      <c r="D222" s="587"/>
      <c r="E222" s="670"/>
      <c r="F222" s="671"/>
      <c r="G222" s="587"/>
      <c r="H222" s="671"/>
      <c r="I222" s="734"/>
      <c r="K222" s="306"/>
      <c r="L222" s="306"/>
      <c r="M222" s="306"/>
      <c r="N222" s="306"/>
      <c r="O222" s="332"/>
      <c r="P222" s="373"/>
      <c r="Q222" s="373"/>
      <c r="R222" s="659"/>
      <c r="S222" s="593">
        <f>VLOOKUP("Total",C223:O934,12,FALSE)</f>
        <v>15.28</v>
      </c>
      <c r="T222" s="593" t="str">
        <f>VLOOKUP("Total",C223:O934,13,FALSE)</f>
        <v>%</v>
      </c>
      <c r="U222" s="593"/>
      <c r="V222" s="596"/>
      <c r="W222" s="597"/>
      <c r="X222" s="597"/>
      <c r="Y222" s="597"/>
      <c r="Z222" s="597"/>
      <c r="AA222" s="600"/>
      <c r="AB222" s="598"/>
    </row>
    <row r="223" spans="1:28" ht="25.5" x14ac:dyDescent="0.2">
      <c r="A223" s="668" t="s">
        <v>257</v>
      </c>
      <c r="B223" s="891">
        <v>42043</v>
      </c>
      <c r="C223" s="335" t="str">
        <f>IF(MID(B223,1,2)="LG",VLOOKUP(B223,Composições!J:M,3,FALSE),IF(MID(B223,1,1)="6",VLOOKUP(B223,transp.!$A$4:$K$19,11,FALSE)&amp;" -  XP="&amp;TEXT(T223,"0.000")&amp;" / XR="&amp;TEXT(V223,"0.000"),VLOOKUP(B223,'DER 11-20'!$A$1:$I$1981,2,FALSE)))</f>
        <v>Bonificação de 15,28% sobre aquisição de materiais</v>
      </c>
      <c r="D223" s="934" t="s">
        <v>275</v>
      </c>
      <c r="E223" s="935"/>
      <c r="F223" s="936"/>
      <c r="G223" s="934" t="s">
        <v>276</v>
      </c>
      <c r="H223" s="935"/>
      <c r="I223" s="936"/>
      <c r="J223" s="337" t="s">
        <v>266</v>
      </c>
      <c r="K223" s="641" t="s">
        <v>274</v>
      </c>
      <c r="L223" s="641" t="s">
        <v>271</v>
      </c>
      <c r="M223" s="641" t="s">
        <v>280</v>
      </c>
      <c r="N223" s="641" t="str">
        <f>CONCATENATE("Total (",IF(MID(B223,1,2)="LG",VLOOKUP(B223,Composições!J:M,4,FALSE),IF(MID(B223,1,1)="6","t",VLOOKUP(B223,'DER 11-20'!$A$1:$I$1981,3,FALSE))),")")</f>
        <v>Total (%)</v>
      </c>
      <c r="O223" s="305"/>
      <c r="P223" s="307"/>
      <c r="Q223" s="307"/>
      <c r="R223" s="664"/>
      <c r="S223" s="593">
        <f>VLOOKUP("Total",C224:O935,12,FALSE)</f>
        <v>15.28</v>
      </c>
      <c r="T223" s="593" t="str">
        <f>VLOOKUP("Total",C224:O935,13,FALSE)</f>
        <v>%</v>
      </c>
      <c r="U223" s="593"/>
      <c r="V223" s="596"/>
      <c r="W223" s="597"/>
      <c r="X223" s="597"/>
      <c r="Y223" s="597"/>
      <c r="Z223" s="597"/>
      <c r="AA223" s="600"/>
      <c r="AB223" s="598"/>
    </row>
    <row r="224" spans="1:28" x14ac:dyDescent="0.2">
      <c r="A224" s="655"/>
      <c r="B224" s="751"/>
      <c r="C224" s="342" t="s">
        <v>2</v>
      </c>
      <c r="D224" s="343"/>
      <c r="E224" s="340"/>
      <c r="F224" s="344"/>
      <c r="G224" s="343"/>
      <c r="H224" s="344"/>
      <c r="I224" s="344"/>
      <c r="J224" s="341"/>
      <c r="K224" s="345"/>
      <c r="L224" s="346"/>
      <c r="M224" s="347"/>
      <c r="N224" s="348">
        <v>15.28</v>
      </c>
      <c r="O224" s="349" t="str">
        <f>IF(MID(B223,1,2)="LG",VLOOKUP(B223,Composições!J:M,4,FALSE),IF(MID(B223,1,1)="6",VLOOKUP(B223,transp.!$A$6:$K$35,3,FALSE),VLOOKUP(B223,'DER 11-20'!$A$1:$I$1981,3,FALSE)))</f>
        <v>%</v>
      </c>
      <c r="P224" s="350"/>
      <c r="Q224" s="350"/>
      <c r="R224" s="656"/>
      <c r="S224" s="593">
        <f>VLOOKUP("Total",C225:O972,12,FALSE)</f>
        <v>9765.2900000000009</v>
      </c>
      <c r="T224" s="593" t="str">
        <f>VLOOKUP("Total",C225:O972,13,FALSE)</f>
        <v>M3</v>
      </c>
      <c r="U224" s="593"/>
      <c r="V224" s="596"/>
      <c r="W224" s="597"/>
      <c r="X224" s="597"/>
      <c r="Y224" s="597"/>
      <c r="Z224" s="597"/>
      <c r="AA224" s="600"/>
      <c r="AB224" s="598"/>
    </row>
    <row r="225" spans="1:28" x14ac:dyDescent="0.2">
      <c r="A225" s="287"/>
      <c r="B225" s="890"/>
      <c r="C225" s="331"/>
      <c r="H225" s="285"/>
      <c r="N225" s="306"/>
      <c r="O225" s="332"/>
      <c r="P225" s="307"/>
      <c r="Q225" s="307"/>
      <c r="R225" s="659"/>
      <c r="S225" s="593">
        <f>VLOOKUP("Total",C228:O973,12,FALSE)</f>
        <v>3791.23</v>
      </c>
      <c r="T225" s="593" t="str">
        <f>VLOOKUP("Total",C228:O973,13,FALSE)</f>
        <v>M3</v>
      </c>
      <c r="U225" s="593"/>
      <c r="V225" s="596"/>
      <c r="W225" s="597"/>
      <c r="X225" s="597"/>
      <c r="Y225" s="597"/>
      <c r="Z225" s="597"/>
      <c r="AA225" s="600"/>
      <c r="AB225" s="598"/>
    </row>
    <row r="226" spans="1:28" ht="36" customHeight="1" x14ac:dyDescent="0.2">
      <c r="A226" s="668" t="s">
        <v>477</v>
      </c>
      <c r="B226" s="891" t="s">
        <v>665</v>
      </c>
      <c r="C226" s="335" t="s">
        <v>482</v>
      </c>
      <c r="D226" s="934" t="s">
        <v>275</v>
      </c>
      <c r="E226" s="935"/>
      <c r="F226" s="936"/>
      <c r="G226" s="934" t="s">
        <v>276</v>
      </c>
      <c r="H226" s="935"/>
      <c r="I226" s="936"/>
      <c r="J226" s="337" t="s">
        <v>345</v>
      </c>
      <c r="K226" s="641" t="s">
        <v>274</v>
      </c>
      <c r="L226" s="641" t="s">
        <v>271</v>
      </c>
      <c r="M226" s="641"/>
      <c r="N226" s="641" t="s">
        <v>438</v>
      </c>
      <c r="O226" s="305"/>
      <c r="P226" s="307"/>
      <c r="Q226" s="307"/>
      <c r="R226" s="664"/>
      <c r="S226" s="593">
        <f>VLOOKUP("Total",C227:O1011,12,FALSE)</f>
        <v>9765.2900000000009</v>
      </c>
      <c r="T226" s="593" t="str">
        <f>VLOOKUP("Total",C227:O1011,13,FALSE)</f>
        <v>M3</v>
      </c>
      <c r="U226" s="593"/>
      <c r="V226" s="596"/>
      <c r="W226" s="597"/>
      <c r="X226" s="597"/>
      <c r="Y226" s="597"/>
      <c r="Z226" s="597"/>
      <c r="AA226" s="600"/>
      <c r="AB226" s="598"/>
    </row>
    <row r="227" spans="1:28" x14ac:dyDescent="0.2">
      <c r="A227" s="655"/>
      <c r="B227" s="751"/>
      <c r="C227" s="342" t="s">
        <v>2</v>
      </c>
      <c r="D227" s="343"/>
      <c r="E227" s="340"/>
      <c r="F227" s="344"/>
      <c r="G227" s="343"/>
      <c r="H227" s="344"/>
      <c r="I227" s="344"/>
      <c r="J227" s="341"/>
      <c r="K227" s="345"/>
      <c r="L227" s="346"/>
      <c r="M227" s="347"/>
      <c r="N227" s="348">
        <v>9765.2900000000009</v>
      </c>
      <c r="O227" s="349" t="s">
        <v>395</v>
      </c>
      <c r="P227" s="350"/>
      <c r="Q227" s="350"/>
      <c r="R227" s="656"/>
      <c r="S227" s="593">
        <f>VLOOKUP("Total",C234:O1057,12,FALSE)</f>
        <v>15.28</v>
      </c>
      <c r="T227" s="593" t="str">
        <f>VLOOKUP("Total",C234:O1057,13,FALSE)</f>
        <v>%</v>
      </c>
      <c r="U227" s="593"/>
      <c r="V227" s="596"/>
      <c r="W227" s="597"/>
      <c r="X227" s="597"/>
      <c r="Y227" s="597"/>
      <c r="Z227" s="597"/>
      <c r="AA227" s="600"/>
      <c r="AB227" s="598"/>
    </row>
    <row r="228" spans="1:28" ht="24" customHeight="1" x14ac:dyDescent="0.2">
      <c r="A228" s="668" t="s">
        <v>478</v>
      </c>
      <c r="B228" s="898">
        <v>42045</v>
      </c>
      <c r="C228" s="335" t="str">
        <f>IF(MID(B228,1,2)="LG",VLOOKUP(B228,Composições!J:M,3,FALSE),IF(MID(B228,1,1)="6",VLOOKUP(B228,transp.!$A$4:$K$19,11,FALSE)&amp;" -  XP="&amp;TEXT(T228,"0.000")&amp;" / XR="&amp;TEXT(V228,"0.000"),VLOOKUP(B228,'DER 11-20'!$A$1:$I$1981,2,FALSE)))</f>
        <v>Aquisição de solo de jazida comercial (saibreira)</v>
      </c>
      <c r="D228" s="934" t="s">
        <v>275</v>
      </c>
      <c r="E228" s="935"/>
      <c r="F228" s="936"/>
      <c r="G228" s="934" t="s">
        <v>276</v>
      </c>
      <c r="H228" s="935"/>
      <c r="I228" s="936"/>
      <c r="J228" s="641" t="s">
        <v>274</v>
      </c>
      <c r="K228" s="641" t="s">
        <v>271</v>
      </c>
      <c r="L228" s="641" t="s">
        <v>280</v>
      </c>
      <c r="M228" s="641" t="s">
        <v>317</v>
      </c>
      <c r="N228" s="641" t="str">
        <f>CONCATENATE("Total (",IF(MID(B228,1,2)="LG",VLOOKUP(B228,Composições!J:M,4,FALSE),IF(MID(B228,1,1)="6","t",VLOOKUP(B228,'DER 11-20'!$A$1:$I$1981,3,FALSE))),")")</f>
        <v>Total (M3)</v>
      </c>
      <c r="O228" s="305"/>
      <c r="P228" s="307"/>
      <c r="Q228" s="307"/>
      <c r="R228" s="664"/>
      <c r="S228" s="593">
        <f>VLOOKUP("Total",C229:O974,12,FALSE)</f>
        <v>3791.23</v>
      </c>
      <c r="T228" s="593" t="str">
        <f>VLOOKUP("Total",C229:O974,13,FALSE)</f>
        <v>M3</v>
      </c>
      <c r="U228" s="593"/>
      <c r="V228" s="596"/>
      <c r="W228" s="597"/>
      <c r="X228" s="597"/>
      <c r="Y228" s="597"/>
      <c r="Z228" s="597"/>
      <c r="AA228" s="600"/>
      <c r="AB228" s="598"/>
    </row>
    <row r="229" spans="1:28" x14ac:dyDescent="0.2">
      <c r="A229" s="655"/>
      <c r="B229" s="751"/>
      <c r="C229" s="342" t="s">
        <v>2</v>
      </c>
      <c r="D229" s="343"/>
      <c r="E229" s="340"/>
      <c r="F229" s="344"/>
      <c r="G229" s="343"/>
      <c r="H229" s="344"/>
      <c r="I229" s="344"/>
      <c r="J229" s="341"/>
      <c r="K229" s="345"/>
      <c r="L229" s="346"/>
      <c r="M229" s="347"/>
      <c r="N229" s="348">
        <v>3791.23</v>
      </c>
      <c r="O229" s="349" t="str">
        <f>IF(MID(B228,1,2)="LG",VLOOKUP(B228,Composições!J:M,4,FALSE),IF(MID(B228,1,1)="6",VLOOKUP(B228,transp.!$A$6:$K$35,3,FALSE),VLOOKUP(B228,'DER 11-20'!$A$1:$I$1981,3,FALSE)))</f>
        <v>M3</v>
      </c>
      <c r="P229" s="350"/>
      <c r="Q229" s="350"/>
      <c r="R229" s="656"/>
      <c r="S229" s="593">
        <f>VLOOKUP("Total",C234:O1009,12,FALSE)</f>
        <v>15.28</v>
      </c>
      <c r="T229" s="593" t="str">
        <f>VLOOKUP("Total",C234:O1009,13,FALSE)</f>
        <v>%</v>
      </c>
      <c r="U229" s="593"/>
      <c r="V229" s="596"/>
      <c r="W229" s="597"/>
      <c r="X229" s="597"/>
      <c r="Y229" s="597"/>
      <c r="Z229" s="597"/>
      <c r="AA229" s="600"/>
      <c r="AB229" s="598"/>
    </row>
    <row r="230" spans="1:28" x14ac:dyDescent="0.2">
      <c r="A230" s="287"/>
      <c r="B230" s="890"/>
      <c r="C230" s="331"/>
      <c r="H230" s="285"/>
      <c r="N230" s="306"/>
      <c r="O230" s="332"/>
      <c r="P230" s="577"/>
      <c r="Q230" s="307"/>
      <c r="R230" s="659"/>
      <c r="S230" s="593">
        <f>VLOOKUP("Total",C231:O1103,12,FALSE)</f>
        <v>6445.09</v>
      </c>
      <c r="T230" s="593" t="str">
        <f>VLOOKUP("Total",C231:O1103,13,FALSE)</f>
        <v>T</v>
      </c>
      <c r="U230" s="593"/>
      <c r="V230" s="596"/>
      <c r="W230" s="597"/>
      <c r="X230" s="597"/>
      <c r="Y230" s="597"/>
      <c r="Z230" s="597"/>
      <c r="AA230" s="600"/>
      <c r="AB230" s="598"/>
    </row>
    <row r="231" spans="1:28" ht="38.25" x14ac:dyDescent="0.2">
      <c r="A231" s="668" t="s">
        <v>479</v>
      </c>
      <c r="B231" s="891">
        <v>60024</v>
      </c>
      <c r="C231" s="335" t="str">
        <f>IF(MID(B231,1,2)="LG",VLOOKUP(B231,Composições!J:M,3,FALSE),IF(MID(B231,1,1)="6",VLOOKUP(B231,transp.!$A$4:$K$19,11,FALSE)&amp;" -  XP="&amp;TEXT(Z231,"0,00")&amp;" / XR="&amp;TEXT(U231,"0,00"),VLOOKUP(B231,'DER 11-20'!$A$1:$I$1981,2,FALSE)))&amp;" - "&amp;TEXT(C232,"0.000")</f>
        <v xml:space="preserve">Transporte de materiais para DMT acima de 15 KM (Caminhão basculante)0,304XP+0,323XR+11,678 (Incluindo BDI= 23,32%) -  XP=11,00 / XR=20,45 - Transporte de material de jazida para base </v>
      </c>
      <c r="D231" s="934" t="s">
        <v>275</v>
      </c>
      <c r="E231" s="935"/>
      <c r="F231" s="936"/>
      <c r="G231" s="934" t="s">
        <v>276</v>
      </c>
      <c r="H231" s="935"/>
      <c r="I231" s="936"/>
      <c r="J231" s="337"/>
      <c r="K231" s="644" t="s">
        <v>361</v>
      </c>
      <c r="L231" s="641" t="s">
        <v>269</v>
      </c>
      <c r="M231" s="645" t="s">
        <v>270</v>
      </c>
      <c r="N231" s="641" t="s">
        <v>362</v>
      </c>
      <c r="O231" s="339" t="s">
        <v>363</v>
      </c>
      <c r="P231" s="605" t="s">
        <v>364</v>
      </c>
      <c r="Q231" s="642" t="s">
        <v>365</v>
      </c>
      <c r="R231" s="667"/>
      <c r="S231" s="593">
        <f>VLOOKUP("Total",C233:O1104,12,FALSE)</f>
        <v>6445.09</v>
      </c>
      <c r="T231" s="593" t="str">
        <f>VLOOKUP("Total",C233:O1104,13,FALSE)</f>
        <v>T</v>
      </c>
      <c r="U231" s="593">
        <f>+AB231/1000</f>
        <v>20.45</v>
      </c>
      <c r="V231" s="596">
        <f>W231*Z231+X231*U231+Y231</f>
        <v>21.63</v>
      </c>
      <c r="W231" s="597">
        <f>VLOOKUP(B231,transp.!A:J,8,FALSE)</f>
        <v>0.30399999999999999</v>
      </c>
      <c r="X231" s="597">
        <f>VLOOKUP(B231,transp.!A:J,9,FALSE)</f>
        <v>0.32300000000000001</v>
      </c>
      <c r="Y231" s="597">
        <f>VLOOKUP(B231,transp.!A:J,10,FALSE)</f>
        <v>11.678000000000001</v>
      </c>
      <c r="Z231" s="597">
        <f>AA231/1000</f>
        <v>11</v>
      </c>
      <c r="AA231" s="600">
        <v>11000</v>
      </c>
      <c r="AB231" s="598">
        <v>20450</v>
      </c>
    </row>
    <row r="232" spans="1:28" x14ac:dyDescent="0.2">
      <c r="A232" s="653"/>
      <c r="B232" s="899"/>
      <c r="C232" s="599" t="s">
        <v>483</v>
      </c>
      <c r="D232" s="365"/>
      <c r="E232" s="458"/>
      <c r="G232" s="365"/>
      <c r="H232" s="458"/>
      <c r="J232" s="366"/>
      <c r="K232" s="338"/>
      <c r="L232" s="728"/>
      <c r="M232" s="291"/>
      <c r="N232" s="728"/>
      <c r="O232" s="595"/>
      <c r="P232" s="727"/>
      <c r="Q232" s="724"/>
      <c r="R232" s="654"/>
      <c r="S232" s="593">
        <f>VLOOKUP("Total",C233:O613,12,FALSE)</f>
        <v>6445.09</v>
      </c>
      <c r="T232" s="593" t="str">
        <f>VLOOKUP("Total",C233:O613,13,FALSE)</f>
        <v>T</v>
      </c>
      <c r="U232" s="593"/>
      <c r="V232" s="596"/>
      <c r="W232" s="597"/>
      <c r="X232" s="597"/>
      <c r="Y232" s="597"/>
      <c r="Z232" s="597"/>
      <c r="AA232" s="600"/>
      <c r="AB232" s="598"/>
    </row>
    <row r="233" spans="1:28" x14ac:dyDescent="0.2">
      <c r="A233" s="655"/>
      <c r="B233" s="751"/>
      <c r="C233" s="342" t="s">
        <v>2</v>
      </c>
      <c r="D233" s="343"/>
      <c r="E233" s="340"/>
      <c r="F233" s="344"/>
      <c r="G233" s="343"/>
      <c r="H233" s="344"/>
      <c r="I233" s="344"/>
      <c r="J233" s="341"/>
      <c r="K233" s="348"/>
      <c r="L233" s="348"/>
      <c r="M233" s="348"/>
      <c r="N233" s="348">
        <v>6445.09</v>
      </c>
      <c r="O233" s="349" t="str">
        <f>IF(MID(B231,1,2)="LG",VLOOKUP(B231,Composições!J:M,4,FALSE),IF(MID(B231,1,1)="6",VLOOKUP(B231,transp.!$A$6:$K$35,3,FALSE),VLOOKUP(B231,'DER 11-20'!$A$1:$I$1981,3,FALSE)))</f>
        <v>T</v>
      </c>
      <c r="P233" s="578"/>
      <c r="Q233" s="578"/>
      <c r="R233" s="672"/>
      <c r="S233" s="593"/>
      <c r="T233" s="593"/>
      <c r="U233" s="593"/>
      <c r="V233" s="596"/>
      <c r="W233" s="597"/>
      <c r="X233" s="597"/>
      <c r="Y233" s="597"/>
      <c r="Z233" s="597"/>
      <c r="AA233" s="600"/>
      <c r="AB233" s="598"/>
    </row>
    <row r="234" spans="1:28" x14ac:dyDescent="0.2">
      <c r="A234" s="287"/>
      <c r="B234" s="890"/>
      <c r="C234" s="331"/>
      <c r="H234" s="285"/>
      <c r="N234" s="306"/>
      <c r="O234" s="332"/>
      <c r="P234" s="307"/>
      <c r="Q234" s="307"/>
      <c r="R234" s="659"/>
      <c r="S234" s="593">
        <f>VLOOKUP("Total",C235:O1058,12,FALSE)</f>
        <v>15.28</v>
      </c>
      <c r="T234" s="593" t="str">
        <f>VLOOKUP("Total",C235:O1058,13,FALSE)</f>
        <v>%</v>
      </c>
      <c r="U234" s="593"/>
      <c r="V234" s="596"/>
      <c r="W234" s="597"/>
      <c r="X234" s="597"/>
      <c r="Y234" s="597"/>
      <c r="Z234" s="597"/>
      <c r="AA234" s="600"/>
      <c r="AB234" s="598"/>
    </row>
    <row r="235" spans="1:28" ht="15.6" customHeight="1" x14ac:dyDescent="0.2">
      <c r="A235" s="668" t="s">
        <v>480</v>
      </c>
      <c r="B235" s="891">
        <v>42043</v>
      </c>
      <c r="C235" s="335" t="str">
        <f>IF(MID(B235,1,2)="LG",VLOOKUP(B235,Composições!J:M,3,FALSE),IF(MID(B235,1,1)="6",VLOOKUP(B235,transp.!$A$4:$K$21,11,FALSE)&amp;" -  XP="&amp;TEXT(T235,"0,000")&amp;" / XR="&amp;TEXT(V235,"0,000"),VLOOKUP(B235,'DER 11-20'!$A$1:$I$1994,2,FALSE)))</f>
        <v>Bonificação de 15,28% sobre aquisição de materiais</v>
      </c>
      <c r="D235" s="934" t="s">
        <v>275</v>
      </c>
      <c r="E235" s="935"/>
      <c r="F235" s="936"/>
      <c r="G235" s="934" t="s">
        <v>276</v>
      </c>
      <c r="H235" s="935"/>
      <c r="I235" s="936"/>
      <c r="J235" s="337" t="s">
        <v>266</v>
      </c>
      <c r="K235" s="641" t="s">
        <v>274</v>
      </c>
      <c r="L235" s="641" t="s">
        <v>271</v>
      </c>
      <c r="M235" s="641" t="s">
        <v>267</v>
      </c>
      <c r="N235" s="641" t="str">
        <f>CONCATENATE("Total (",IF(MID(B235,1,2)="LG",VLOOKUP(B235,Composições!J:M,4,FALSE),IF(MID(B235,1,1)="6","t",VLOOKUP(B235,'DER 11-20'!$A$1:$I$1994,3,FALSE))),")")</f>
        <v>Total (%)</v>
      </c>
      <c r="O235" s="305"/>
      <c r="P235" s="307"/>
      <c r="Q235" s="307"/>
      <c r="R235" s="664"/>
      <c r="S235" s="593">
        <f>VLOOKUP("Total",C236:O1059,12,FALSE)</f>
        <v>15.28</v>
      </c>
      <c r="T235" s="593" t="str">
        <f>VLOOKUP("Total",C236:O1059,13,FALSE)</f>
        <v>%</v>
      </c>
      <c r="U235" s="593"/>
      <c r="V235" s="596"/>
      <c r="W235" s="597"/>
      <c r="X235" s="597"/>
      <c r="Y235" s="597"/>
      <c r="Z235" s="597"/>
      <c r="AA235" s="600"/>
      <c r="AB235" s="598"/>
    </row>
    <row r="236" spans="1:28" x14ac:dyDescent="0.2">
      <c r="A236" s="655"/>
      <c r="B236" s="751"/>
      <c r="C236" s="342" t="s">
        <v>2</v>
      </c>
      <c r="D236" s="343"/>
      <c r="E236" s="340"/>
      <c r="F236" s="344"/>
      <c r="G236" s="343"/>
      <c r="H236" s="344"/>
      <c r="I236" s="344"/>
      <c r="J236" s="341"/>
      <c r="K236" s="345"/>
      <c r="L236" s="346"/>
      <c r="M236" s="347"/>
      <c r="N236" s="348">
        <v>15.28</v>
      </c>
      <c r="O236" s="349" t="str">
        <f>IF(MID(B235,1,2)="LG",VLOOKUP(B235,Composições!J:M,4,FALSE),IF(MID(B235,1,1)="6",VLOOKUP(B235,transp.!$A$6:$K$27,3,FALSE),VLOOKUP(B235,'DER 11-20'!$A$1:$I$1994,3,FALSE)))</f>
        <v>%</v>
      </c>
      <c r="P236" s="350"/>
      <c r="Q236" s="350"/>
      <c r="R236" s="656"/>
      <c r="S236" s="593">
        <f>VLOOKUP("Total",C230:O1072,12,FALSE)</f>
        <v>6445.09</v>
      </c>
      <c r="T236" s="593" t="str">
        <f>VLOOKUP("Total",C230:O1072,13,FALSE)</f>
        <v>T</v>
      </c>
      <c r="U236" s="593"/>
      <c r="V236" s="596"/>
      <c r="W236" s="597"/>
      <c r="X236" s="597"/>
      <c r="Y236" s="597"/>
      <c r="Z236" s="597"/>
      <c r="AA236" s="600"/>
      <c r="AB236" s="598"/>
    </row>
    <row r="237" spans="1:28" x14ac:dyDescent="0.2">
      <c r="A237" s="287"/>
      <c r="B237" s="890"/>
      <c r="C237" s="331"/>
      <c r="H237" s="285"/>
      <c r="N237" s="306"/>
      <c r="O237" s="332"/>
      <c r="P237" s="577"/>
      <c r="Q237" s="307"/>
      <c r="R237" s="659"/>
      <c r="S237" s="593">
        <f>VLOOKUP("Total",C238:O1142,12,FALSE)</f>
        <v>42394.81</v>
      </c>
      <c r="T237" s="593" t="str">
        <f>VLOOKUP("Total",C238:O1142,13,FALSE)</f>
        <v>M2</v>
      </c>
      <c r="U237" s="593"/>
      <c r="V237" s="596"/>
      <c r="W237" s="597"/>
      <c r="X237" s="597"/>
      <c r="Y237" s="597"/>
      <c r="Z237" s="597"/>
      <c r="AA237" s="600"/>
      <c r="AB237" s="598"/>
    </row>
    <row r="238" spans="1:28" ht="25.5" x14ac:dyDescent="0.2">
      <c r="A238" s="668" t="s">
        <v>481</v>
      </c>
      <c r="B238" s="891">
        <v>40816</v>
      </c>
      <c r="C238" s="335" t="str">
        <f>IF(MID(B238,1,2)="LG",VLOOKUP(B238,Composições!J:M,3,FALSE),IF(MID(B238,1,1)="6",VLOOKUP(B238,transp.!$A$4:$K$19,11,FALSE)&amp;" -  XP="&amp;TEXT(AA238,"0.000")&amp;" / XR="&amp;TEXT(AB238*1000,"0.000"),VLOOKUP(B238,'DER 11-20'!$A$1:$I$1981,2,FALSE)))</f>
        <v>Imprimação exclusive fornecimento e transporte comercial do material betuminoso</v>
      </c>
      <c r="D238" s="934" t="s">
        <v>275</v>
      </c>
      <c r="E238" s="935"/>
      <c r="F238" s="936"/>
      <c r="G238" s="934" t="s">
        <v>276</v>
      </c>
      <c r="H238" s="935"/>
      <c r="I238" s="936"/>
      <c r="J238" s="337" t="s">
        <v>266</v>
      </c>
      <c r="K238" s="644" t="s">
        <v>361</v>
      </c>
      <c r="L238" s="641" t="s">
        <v>269</v>
      </c>
      <c r="M238" s="645" t="s">
        <v>270</v>
      </c>
      <c r="N238" s="641" t="s">
        <v>362</v>
      </c>
      <c r="O238" s="339" t="s">
        <v>363</v>
      </c>
      <c r="P238" s="605" t="s">
        <v>364</v>
      </c>
      <c r="Q238" s="642" t="s">
        <v>365</v>
      </c>
      <c r="R238" s="667"/>
      <c r="S238" s="593">
        <f>VLOOKUP("Total",C239:O1143,12,FALSE)</f>
        <v>42394.81</v>
      </c>
      <c r="T238" s="593" t="str">
        <f>VLOOKUP("Total",C239:O1143,13,FALSE)</f>
        <v>M2</v>
      </c>
      <c r="U238" s="593"/>
      <c r="V238" s="596"/>
      <c r="W238" s="597"/>
      <c r="X238" s="597"/>
      <c r="Y238" s="597"/>
      <c r="Z238" s="597"/>
      <c r="AA238" s="600"/>
      <c r="AB238" s="598"/>
    </row>
    <row r="239" spans="1:28" x14ac:dyDescent="0.2">
      <c r="A239" s="655"/>
      <c r="B239" s="751"/>
      <c r="C239" s="342" t="s">
        <v>2</v>
      </c>
      <c r="D239" s="343"/>
      <c r="E239" s="340"/>
      <c r="F239" s="344"/>
      <c r="G239" s="343"/>
      <c r="H239" s="344"/>
      <c r="I239" s="344"/>
      <c r="J239" s="341"/>
      <c r="K239" s="348"/>
      <c r="L239" s="348"/>
      <c r="M239" s="348"/>
      <c r="N239" s="348">
        <v>42394.81</v>
      </c>
      <c r="O239" s="349" t="str">
        <f>IF(MID(B238,1,2)="LG",VLOOKUP(B238,Composições!J:M,4,FALSE),IF(MID(B238,1,1)="6",VLOOKUP(B238,transp.!$A$6:$K$35,3,FALSE),VLOOKUP(B238,'DER 11-20'!$A$1:$I$1981,3,FALSE)))</f>
        <v>M2</v>
      </c>
      <c r="P239" s="578"/>
      <c r="Q239" s="578"/>
      <c r="R239" s="672"/>
      <c r="S239" s="593"/>
      <c r="T239" s="593" t="str">
        <f>VLOOKUP("Total",C249:O1180,13,FALSE)</f>
        <v>T</v>
      </c>
      <c r="U239" s="593"/>
      <c r="V239" s="596"/>
      <c r="W239" s="597"/>
      <c r="X239" s="597"/>
      <c r="Y239" s="597"/>
      <c r="Z239" s="597"/>
      <c r="AA239" s="600"/>
      <c r="AB239" s="598"/>
    </row>
    <row r="240" spans="1:28" x14ac:dyDescent="0.2">
      <c r="A240" s="287"/>
      <c r="B240" s="890"/>
      <c r="C240" s="331"/>
      <c r="H240" s="285"/>
      <c r="N240" s="306"/>
      <c r="O240" s="332"/>
      <c r="P240" s="307"/>
      <c r="Q240" s="307"/>
      <c r="R240" s="659"/>
      <c r="S240" s="593">
        <f>VLOOKUP("Total",C241:O877,12,FALSE)</f>
        <v>4138.8999999999996</v>
      </c>
      <c r="T240" s="593" t="str">
        <f>VLOOKUP("Total",C241:O877,13,FALSE)</f>
        <v>t</v>
      </c>
      <c r="U240" s="593"/>
      <c r="V240" s="596"/>
      <c r="W240" s="597"/>
      <c r="X240" s="597"/>
      <c r="Y240" s="597"/>
      <c r="Z240" s="597"/>
      <c r="AA240" s="600"/>
      <c r="AB240" s="598"/>
    </row>
    <row r="241" spans="1:28" ht="39" customHeight="1" x14ac:dyDescent="0.2">
      <c r="A241" s="668" t="s">
        <v>484</v>
      </c>
      <c r="B241" s="891">
        <v>40843</v>
      </c>
      <c r="C241" s="335" t="str">
        <f>IF(MID(B241,1,2)="LG",VLOOKUP(B241,Composições!J:M,3,FALSE),IF(MID(B241,1,1)="6",VLOOKUP(B241,transp.!$A$4:$K$19,11,FALSE)&amp;" -  XP="&amp;TEXT(T241,"0.000")&amp;" / XR="&amp;TEXT(V241,"0.000"),VLOOKUP(B241,'DER 11-20'!$A$1:$I$1981,2,FALSE)))</f>
        <v>CBUQ (camada pronta - capa) exclusive fornecimento e transportes do CAP e massa</v>
      </c>
      <c r="D241" s="934" t="s">
        <v>275</v>
      </c>
      <c r="E241" s="935"/>
      <c r="F241" s="936"/>
      <c r="G241" s="934" t="s">
        <v>276</v>
      </c>
      <c r="H241" s="935"/>
      <c r="I241" s="936"/>
      <c r="J241" s="337" t="s">
        <v>266</v>
      </c>
      <c r="K241" s="728" t="s">
        <v>274</v>
      </c>
      <c r="L241" s="728" t="s">
        <v>271</v>
      </c>
      <c r="M241" s="728" t="s">
        <v>280</v>
      </c>
      <c r="N241" s="728" t="str">
        <f>CONCATENATE("Total (",IF(MID(B241,1,2)="LG",VLOOKUP(B241,Composições!J:M,4,FALSE),IF(MID(B241,1,1)="6","t",VLOOKUP(B241,'DER 11-20'!$A$1:$I$1981,3,FALSE))),")")</f>
        <v>Total (t)</v>
      </c>
      <c r="O241" s="305"/>
      <c r="P241" s="307"/>
      <c r="Q241" s="307"/>
      <c r="R241" s="664"/>
      <c r="S241" s="593">
        <f>VLOOKUP("Total",C242:O878,12,FALSE)</f>
        <v>4138.8999999999996</v>
      </c>
      <c r="T241" s="593" t="str">
        <f>VLOOKUP("Total",C242:O878,13,FALSE)</f>
        <v>t</v>
      </c>
      <c r="U241" s="593"/>
      <c r="V241" s="596"/>
      <c r="W241" s="597"/>
      <c r="X241" s="597"/>
      <c r="Y241" s="597"/>
      <c r="Z241" s="597"/>
      <c r="AA241" s="600"/>
      <c r="AB241" s="598"/>
    </row>
    <row r="242" spans="1:28" x14ac:dyDescent="0.2">
      <c r="A242" s="655"/>
      <c r="B242" s="751"/>
      <c r="C242" s="342" t="s">
        <v>2</v>
      </c>
      <c r="D242" s="343"/>
      <c r="E242" s="340"/>
      <c r="F242" s="344"/>
      <c r="G242" s="343"/>
      <c r="H242" s="344"/>
      <c r="I242" s="344"/>
      <c r="J242" s="341"/>
      <c r="K242" s="345"/>
      <c r="L242" s="346"/>
      <c r="M242" s="347"/>
      <c r="N242" s="348">
        <v>4138.8999999999996</v>
      </c>
      <c r="O242" s="349" t="str">
        <f>IF(MID(B241,1,2)="LG",VLOOKUP(B241,Composições!J:M,4,FALSE),IF(MID(B241,1,1)="6",VLOOKUP(B241,transp.!$A$6:$K$35,3,FALSE),VLOOKUP(B241,'DER 11-20'!$A$1:$I$1981,3,FALSE)))</f>
        <v>t</v>
      </c>
      <c r="P242" s="350"/>
      <c r="Q242" s="350"/>
      <c r="R242" s="656"/>
      <c r="S242" s="593">
        <f>VLOOKUP("Total",C243:O915,12,FALSE)</f>
        <v>4608</v>
      </c>
      <c r="T242" s="593" t="str">
        <f>VLOOKUP("Total",C243:O915,13,FALSE)</f>
        <v>M2</v>
      </c>
      <c r="U242" s="593"/>
      <c r="V242" s="596"/>
      <c r="W242" s="597"/>
      <c r="X242" s="597"/>
      <c r="Y242" s="597"/>
      <c r="Z242" s="597"/>
      <c r="AA242" s="600"/>
      <c r="AB242" s="598"/>
    </row>
    <row r="243" spans="1:28" x14ac:dyDescent="0.2">
      <c r="A243" s="287"/>
      <c r="B243" s="890"/>
      <c r="C243" s="335"/>
      <c r="D243" s="587"/>
      <c r="E243" s="670"/>
      <c r="F243" s="671"/>
      <c r="G243" s="587"/>
      <c r="H243" s="671"/>
      <c r="I243" s="734"/>
      <c r="K243" s="306"/>
      <c r="L243" s="306"/>
      <c r="M243" s="306"/>
      <c r="N243" s="306"/>
      <c r="O243" s="332"/>
      <c r="P243" s="373"/>
      <c r="Q243" s="373"/>
      <c r="R243" s="659"/>
      <c r="S243" s="593">
        <f>VLOOKUP("Total",C244:O955,12,FALSE)</f>
        <v>4608</v>
      </c>
      <c r="T243" s="593" t="str">
        <f>VLOOKUP("Total",C244:O955,13,FALSE)</f>
        <v>M2</v>
      </c>
      <c r="U243" s="593"/>
      <c r="V243" s="596"/>
      <c r="W243" s="597"/>
      <c r="X243" s="597"/>
      <c r="Y243" s="597"/>
      <c r="Z243" s="597"/>
      <c r="AA243" s="600"/>
      <c r="AB243" s="598"/>
    </row>
    <row r="244" spans="1:28" ht="38.25" x14ac:dyDescent="0.2">
      <c r="A244" s="668" t="s">
        <v>485</v>
      </c>
      <c r="B244" s="891">
        <v>40898</v>
      </c>
      <c r="C244" s="335" t="str">
        <f>IF(MID(B244,1,2)="LG",VLOOKUP(B244,Composições!J:M,3,FALSE),IF(MID(B244,1,1)="6",VLOOKUP(B244,transp.!$A$4:$K$19,11,FALSE)&amp;" -  XP="&amp;TEXT(T244,"0.000")&amp;" / XR="&amp;TEXT(V244,"0.000"),VLOOKUP(B244,'DER 11-20'!$A$1:$I$1981,2,FALSE)))</f>
        <v>Pavimentação com blocos de concreto (35 MPa) esp.=08 cm,colchão areia esp.=5cm, inclusive fornecim. do bloco e areia, exclusive transp. blocos e areia</v>
      </c>
      <c r="D244" s="934" t="s">
        <v>275</v>
      </c>
      <c r="E244" s="935"/>
      <c r="F244" s="936"/>
      <c r="G244" s="934" t="s">
        <v>276</v>
      </c>
      <c r="H244" s="935"/>
      <c r="I244" s="936"/>
      <c r="J244" s="337" t="s">
        <v>266</v>
      </c>
      <c r="K244" s="728" t="s">
        <v>274</v>
      </c>
      <c r="L244" s="728" t="s">
        <v>271</v>
      </c>
      <c r="M244" s="728" t="s">
        <v>280</v>
      </c>
      <c r="N244" s="728" t="str">
        <f>CONCATENATE("Total (",IF(MID(B244,1,2)="LG",VLOOKUP(B244,Composições!J:M,4,FALSE),IF(MID(B244,1,1)="6","t",VLOOKUP(B244,'DER 11-20'!$A$1:$I$1981,3,FALSE))),")")</f>
        <v>Total (M2)</v>
      </c>
      <c r="O244" s="305"/>
      <c r="P244" s="307"/>
      <c r="Q244" s="307"/>
      <c r="R244" s="664"/>
      <c r="S244" s="593">
        <f>VLOOKUP("Total",C245:O956,12,FALSE)</f>
        <v>4608</v>
      </c>
      <c r="T244" s="593" t="str">
        <f>VLOOKUP("Total",C245:O956,13,FALSE)</f>
        <v>M2</v>
      </c>
      <c r="U244" s="593"/>
      <c r="V244" s="596"/>
      <c r="W244" s="597"/>
      <c r="X244" s="597"/>
      <c r="Y244" s="597"/>
      <c r="Z244" s="597"/>
      <c r="AA244" s="600"/>
      <c r="AB244" s="598"/>
    </row>
    <row r="245" spans="1:28" x14ac:dyDescent="0.2">
      <c r="A245" s="655"/>
      <c r="B245" s="751"/>
      <c r="C245" s="342" t="s">
        <v>2</v>
      </c>
      <c r="D245" s="343"/>
      <c r="E245" s="340"/>
      <c r="F245" s="344"/>
      <c r="G245" s="343"/>
      <c r="H245" s="344"/>
      <c r="I245" s="344"/>
      <c r="J245" s="341"/>
      <c r="K245" s="345"/>
      <c r="L245" s="346"/>
      <c r="M245" s="347"/>
      <c r="N245" s="348">
        <v>4608</v>
      </c>
      <c r="O245" s="349" t="str">
        <f>IF(MID(B244,1,2)="LG",VLOOKUP(B244,Composições!J:M,4,FALSE),IF(MID(B244,1,1)="6",VLOOKUP(B244,transp.!$A$6:$K$35,3,FALSE),VLOOKUP(B244,'DER 11-20'!$A$1:$I$1981,3,FALSE)))</f>
        <v>M2</v>
      </c>
      <c r="P245" s="350"/>
      <c r="Q245" s="350"/>
      <c r="R245" s="656"/>
      <c r="S245" s="593">
        <f>VLOOKUP("Total",C246:O993,12,FALSE)</f>
        <v>400.5</v>
      </c>
      <c r="T245" s="593" t="str">
        <f>VLOOKUP("Total",C246:O993,13,FALSE)</f>
        <v>T</v>
      </c>
      <c r="U245" s="593"/>
      <c r="V245" s="596"/>
      <c r="W245" s="597"/>
      <c r="X245" s="597"/>
      <c r="Y245" s="597"/>
      <c r="Z245" s="597"/>
      <c r="AA245" s="600"/>
      <c r="AB245" s="598"/>
    </row>
    <row r="246" spans="1:28" ht="38.25" x14ac:dyDescent="0.2">
      <c r="A246" s="668" t="s">
        <v>486</v>
      </c>
      <c r="B246" s="891">
        <v>60024</v>
      </c>
      <c r="C246" s="335" t="str">
        <f>IF(MID(B246,1,2)="LG",VLOOKUP(B246,Composições!J:M,3,FALSE),IF(MID(B246,1,1)="6",VLOOKUP(B246,transp.!$A$4:$K$19,11,FALSE)&amp;" -  XP="&amp;TEXT(Z246,"0,00")&amp;" / XR="&amp;TEXT(U246,"0,00"),VLOOKUP(B246,'DER 11-20'!$A$1:$I$1981,2,FALSE)))&amp;" - "&amp;TEXT(C247,"0.000")</f>
        <v>Transporte de materiais para DMT acima de 15 KM (Caminhão basculante)0,304XP+0,323XR+11,678 (Incluindo BDI= 23,32%) -  XP=29,50 / XR=8,46 - Transporte de areia para colchão areia 5cm</v>
      </c>
      <c r="D246" s="934" t="s">
        <v>275</v>
      </c>
      <c r="E246" s="935"/>
      <c r="F246" s="936"/>
      <c r="G246" s="934" t="s">
        <v>276</v>
      </c>
      <c r="H246" s="935"/>
      <c r="I246" s="936"/>
      <c r="J246" s="728" t="s">
        <v>274</v>
      </c>
      <c r="K246" s="728" t="s">
        <v>271</v>
      </c>
      <c r="L246" s="728" t="s">
        <v>280</v>
      </c>
      <c r="M246" s="728" t="s">
        <v>317</v>
      </c>
      <c r="N246" s="728" t="str">
        <f>CONCATENATE("Total (",IF(MID(B246,1,2)="LG",VLOOKUP(B246,Composições!J:M,4,FALSE),IF(MID(B246,1,1)="6","t",VLOOKUP(B246,'DER 11-20'!$A$1:$I$1981,3,FALSE))),")")</f>
        <v>Total (t)</v>
      </c>
      <c r="O246" s="305"/>
      <c r="P246" s="307"/>
      <c r="Q246" s="307"/>
      <c r="R246" s="664"/>
      <c r="S246" s="593">
        <f>VLOOKUP("Total",C248:O995,12,FALSE)</f>
        <v>400.5</v>
      </c>
      <c r="T246" s="593" t="str">
        <f>VLOOKUP("Total",C248:O995,13,FALSE)</f>
        <v>T</v>
      </c>
      <c r="U246" s="593">
        <f>+AB246/1000</f>
        <v>8.4600000000000009</v>
      </c>
      <c r="V246" s="596">
        <f>W246*Z246+X246*U246+Y246</f>
        <v>23.38</v>
      </c>
      <c r="W246" s="597">
        <f>VLOOKUP(B246,transp.!A:J,8,FALSE)</f>
        <v>0.30399999999999999</v>
      </c>
      <c r="X246" s="597">
        <f>VLOOKUP(B246,transp.!A:J,9,FALSE)</f>
        <v>0.32300000000000001</v>
      </c>
      <c r="Y246" s="597">
        <f>VLOOKUP(B246,transp.!A:J,10,FALSE)</f>
        <v>11.678000000000001</v>
      </c>
      <c r="Z246" s="597">
        <f>AA246/1000</f>
        <v>29.5</v>
      </c>
      <c r="AA246" s="600">
        <v>29500</v>
      </c>
      <c r="AB246" s="598">
        <v>8460</v>
      </c>
    </row>
    <row r="247" spans="1:28" x14ac:dyDescent="0.2">
      <c r="A247" s="653"/>
      <c r="B247" s="899"/>
      <c r="C247" s="599" t="s">
        <v>639</v>
      </c>
      <c r="D247" s="365"/>
      <c r="E247" s="458"/>
      <c r="G247" s="365"/>
      <c r="H247" s="458"/>
      <c r="J247" s="366"/>
      <c r="K247" s="338"/>
      <c r="L247" s="728"/>
      <c r="M247" s="291"/>
      <c r="N247" s="728"/>
      <c r="O247" s="595"/>
      <c r="P247" s="727"/>
      <c r="Q247" s="813"/>
      <c r="R247" s="654"/>
      <c r="S247" s="593">
        <f>VLOOKUP("Total",C248:O628,12,FALSE)</f>
        <v>400.5</v>
      </c>
      <c r="T247" s="593" t="str">
        <f>VLOOKUP("Total",C248:O628,13,FALSE)</f>
        <v>T</v>
      </c>
      <c r="U247" s="593"/>
      <c r="V247" s="596"/>
      <c r="W247" s="597"/>
      <c r="X247" s="597"/>
      <c r="Y247" s="597"/>
      <c r="Z247" s="597"/>
      <c r="AA247" s="600"/>
      <c r="AB247" s="598"/>
    </row>
    <row r="248" spans="1:28" x14ac:dyDescent="0.2">
      <c r="A248" s="655"/>
      <c r="B248" s="751"/>
      <c r="C248" s="342" t="s">
        <v>2</v>
      </c>
      <c r="D248" s="343"/>
      <c r="E248" s="340"/>
      <c r="F248" s="344"/>
      <c r="G248" s="343"/>
      <c r="H248" s="344"/>
      <c r="I248" s="344"/>
      <c r="J248" s="341"/>
      <c r="K248" s="345"/>
      <c r="L248" s="346"/>
      <c r="M248" s="347"/>
      <c r="N248" s="348">
        <v>400.5</v>
      </c>
      <c r="O248" s="349" t="str">
        <f>IF(MID(B246,1,2)="LG",VLOOKUP(B246,Composições!J:M,4,FALSE),IF(MID(B246,1,1)="6",VLOOKUP(B246,transp.!$A$6:$K$35,3,FALSE),VLOOKUP(B246,'DER 11-20'!$A$1:$I$1981,3,FALSE)))</f>
        <v>T</v>
      </c>
      <c r="P248" s="350"/>
      <c r="Q248" s="350"/>
      <c r="R248" s="656"/>
      <c r="S248" s="593">
        <f>VLOOKUP("Total",C249:O996,12,FALSE)</f>
        <v>780.6</v>
      </c>
      <c r="T248" s="593" t="str">
        <f>VLOOKUP("Total",C255:O1030,13,FALSE)</f>
        <v>t</v>
      </c>
      <c r="U248" s="593"/>
      <c r="V248" s="596"/>
      <c r="W248" s="597"/>
      <c r="X248" s="597"/>
      <c r="Y248" s="597"/>
      <c r="Z248" s="597"/>
      <c r="AA248" s="600"/>
      <c r="AB248" s="598"/>
    </row>
    <row r="249" spans="1:28" ht="51" x14ac:dyDescent="0.2">
      <c r="A249" s="668" t="s">
        <v>487</v>
      </c>
      <c r="B249" s="891">
        <v>60024</v>
      </c>
      <c r="C249" s="335" t="str">
        <f>IF(MID(B249,1,2)="LG",VLOOKUP(B249,Composições!J:M,3,FALSE),IF(MID(B249,1,1)="6",VLOOKUP(B249,transp.!$A$4:$K$19,11,FALSE)&amp;" -  XP="&amp;TEXT(Z249,"0,00")&amp;" / XR="&amp;TEXT(U249,"0,00"),VLOOKUP(B249,'DER 11-20'!$A$1:$I$1981,2,FALSE)))&amp;" - "&amp;TEXT(C250,"0.000")</f>
        <v>Transporte de materiais para DMT acima de 15 KM (Caminhão basculante)0,304XP+0,323XR+11,678 (Incluindo BDI= 23,32%) -  XP=28,40 / XR=2,96 - Transporte de blocos de concreto para pavimentação</v>
      </c>
      <c r="D249" s="934"/>
      <c r="E249" s="935"/>
      <c r="F249" s="936"/>
      <c r="G249" s="934"/>
      <c r="H249" s="935"/>
      <c r="I249" s="936"/>
      <c r="J249" s="337"/>
      <c r="K249" s="641"/>
      <c r="L249" s="641" t="s">
        <v>267</v>
      </c>
      <c r="M249" s="641" t="s">
        <v>281</v>
      </c>
      <c r="N249" s="641" t="str">
        <f>CONCATENATE("Total (",IF(MID(B249,1,2)="LG",VLOOKUP(B249,Composições!J:M,4,FALSE),IF(MID(B249,1,1)="6","t",IF(MID(B249,1,2)="10","t",VLOOKUP(B249,'DER 11-20'!$A$1:$I$1981,3,FALSE)))),")")</f>
        <v>Total (t)</v>
      </c>
      <c r="O249" s="305"/>
      <c r="P249" s="307"/>
      <c r="Q249" s="307"/>
      <c r="R249" s="664"/>
      <c r="S249" s="593">
        <f>VLOOKUP("Total",C251:O997,12,FALSE)</f>
        <v>780.6</v>
      </c>
      <c r="T249" s="593" t="str">
        <f>VLOOKUP("Total",C251:O1213,13,FALSE)</f>
        <v>T</v>
      </c>
      <c r="U249" s="593">
        <f>+AB249/1000</f>
        <v>2.96</v>
      </c>
      <c r="V249" s="596">
        <f>W249*Z249+X249*U249+Y249</f>
        <v>21.27</v>
      </c>
      <c r="W249" s="597">
        <f>VLOOKUP(B249,transp.!A:J,8,FALSE)</f>
        <v>0.30399999999999999</v>
      </c>
      <c r="X249" s="597">
        <f>VLOOKUP(B249,transp.!A:J,9,FALSE)</f>
        <v>0.32300000000000001</v>
      </c>
      <c r="Y249" s="597">
        <f>VLOOKUP(B249,transp.!A:J,10,FALSE)</f>
        <v>11.678000000000001</v>
      </c>
      <c r="Z249" s="597">
        <f>AA249/1000</f>
        <v>28.4</v>
      </c>
      <c r="AA249" s="600">
        <v>28400</v>
      </c>
      <c r="AB249" s="598">
        <v>2960</v>
      </c>
    </row>
    <row r="250" spans="1:28" x14ac:dyDescent="0.2">
      <c r="A250" s="653"/>
      <c r="B250" s="899"/>
      <c r="C250" s="599" t="s">
        <v>640</v>
      </c>
      <c r="D250" s="365"/>
      <c r="E250" s="458"/>
      <c r="G250" s="365"/>
      <c r="H250" s="458"/>
      <c r="J250" s="366"/>
      <c r="K250" s="338"/>
      <c r="L250" s="728"/>
      <c r="M250" s="291"/>
      <c r="N250" s="728"/>
      <c r="O250" s="595"/>
      <c r="P250" s="727"/>
      <c r="Q250" s="813"/>
      <c r="R250" s="654"/>
      <c r="S250" s="593">
        <f>VLOOKUP("Total",C251:O631,12,FALSE)</f>
        <v>780.6</v>
      </c>
      <c r="T250" s="593" t="str">
        <f>VLOOKUP("Total",C251:O631,13,FALSE)</f>
        <v>T</v>
      </c>
      <c r="U250" s="593"/>
      <c r="V250" s="596"/>
      <c r="W250" s="597"/>
      <c r="X250" s="597"/>
      <c r="Y250" s="597"/>
      <c r="Z250" s="597"/>
      <c r="AA250" s="600"/>
      <c r="AB250" s="598"/>
    </row>
    <row r="251" spans="1:28" x14ac:dyDescent="0.2">
      <c r="A251" s="655"/>
      <c r="B251" s="751"/>
      <c r="C251" s="342" t="s">
        <v>2</v>
      </c>
      <c r="D251" s="343"/>
      <c r="E251" s="340"/>
      <c r="F251" s="344"/>
      <c r="G251" s="343"/>
      <c r="H251" s="344"/>
      <c r="I251" s="344"/>
      <c r="J251" s="341"/>
      <c r="K251" s="345"/>
      <c r="L251" s="346"/>
      <c r="M251" s="347"/>
      <c r="N251" s="348">
        <v>780.6</v>
      </c>
      <c r="O251" s="349" t="str">
        <f>IF(MID(B249,1,2)="LG",VLOOKUP(B249,Composições!J:M,4,FALSE),IF(OR(MID(B249,1,1)="6",MID(B249,1,2)="10"),VLOOKUP(B249,transp.!$A$6:$K$35,3,FALSE),VLOOKUP(B249,'DER 11-20'!$A$1:$I$1981,3,FALSE)))</f>
        <v>T</v>
      </c>
      <c r="P251" s="350"/>
      <c r="Q251" s="350"/>
      <c r="R251" s="656"/>
      <c r="S251" s="593">
        <f>VLOOKUP("Total",C253:O998,12,FALSE)</f>
        <v>50.87</v>
      </c>
      <c r="T251" s="593" t="str">
        <f>VLOOKUP("Total",C253:O1218,13,FALSE)</f>
        <v>t</v>
      </c>
      <c r="U251" s="593"/>
      <c r="V251" s="596"/>
      <c r="W251" s="597"/>
      <c r="X251" s="597"/>
      <c r="Y251" s="597"/>
      <c r="Z251" s="597"/>
      <c r="AA251" s="600"/>
      <c r="AB251" s="598"/>
    </row>
    <row r="252" spans="1:28" s="282" customFormat="1" x14ac:dyDescent="0.2">
      <c r="A252" s="287"/>
      <c r="B252" s="890"/>
      <c r="C252" s="763" t="s">
        <v>685</v>
      </c>
      <c r="D252" s="283"/>
      <c r="E252" s="284"/>
      <c r="F252" s="285"/>
      <c r="G252" s="283"/>
      <c r="H252" s="285"/>
      <c r="I252" s="285"/>
      <c r="J252" s="286"/>
      <c r="K252" s="290"/>
      <c r="L252" s="291"/>
      <c r="M252" s="292"/>
      <c r="N252" s="306"/>
      <c r="O252" s="332"/>
      <c r="P252" s="307"/>
      <c r="Q252" s="307"/>
      <c r="R252" s="659"/>
      <c r="S252" s="593"/>
      <c r="T252" s="593"/>
      <c r="U252" s="593"/>
      <c r="W252" s="582"/>
      <c r="X252" s="582"/>
      <c r="Y252" s="582"/>
      <c r="Z252" s="582"/>
      <c r="AA252" s="582"/>
      <c r="AB252" s="582"/>
    </row>
    <row r="253" spans="1:28" x14ac:dyDescent="0.2">
      <c r="A253" s="661"/>
      <c r="B253" s="752"/>
      <c r="C253" s="375"/>
      <c r="J253" s="379"/>
      <c r="K253" s="380"/>
      <c r="L253" s="381"/>
      <c r="M253" s="382"/>
      <c r="N253" s="381"/>
      <c r="O253" s="379"/>
      <c r="P253" s="383"/>
      <c r="Q253" s="383"/>
      <c r="R253" s="662"/>
      <c r="S253" s="593">
        <f>VLOOKUP("Total",C254:O999,12,FALSE)</f>
        <v>50.87</v>
      </c>
      <c r="T253" s="593" t="str">
        <f>VLOOKUP("Total",C254:O1229,13,FALSE)</f>
        <v>t</v>
      </c>
      <c r="U253" s="593"/>
      <c r="V253" s="596"/>
      <c r="W253" s="597"/>
      <c r="X253" s="597"/>
      <c r="Y253" s="597"/>
      <c r="Z253" s="597"/>
      <c r="AA253" s="600"/>
      <c r="AB253" s="598"/>
    </row>
    <row r="254" spans="1:28" x14ac:dyDescent="0.2">
      <c r="A254" s="668" t="s">
        <v>488</v>
      </c>
      <c r="B254" s="891">
        <v>40968</v>
      </c>
      <c r="C254" s="335" t="str">
        <f>IF(MID(B254,1,2)="LG",VLOOKUP(B254,Composições!J:M,3,FALSE),IF(OR(OR(OR(OR(OR(MID(B254,1,1)="6", MID(B254,1,1)="1"), MID(B254,1,1)="1"), MID(B254,1,1)="1"), MID(B254,1,1)="1"), MID(B254,1,1)="1"),VLOOKUP(B254,transp.!$A$4:$K$21,11,FALSE)&amp;" -  XP="&amp;TEXT(T254,"0,000")&amp;" / XR="&amp;TEXT(V254,"0,000"),VLOOKUP(B254,'DER 11-20'!$A$1:$I$1994,2,FALSE)))</f>
        <v>CM-30, fornecimento</v>
      </c>
      <c r="D254" s="934"/>
      <c r="E254" s="935"/>
      <c r="F254" s="936"/>
      <c r="G254" s="934"/>
      <c r="H254" s="935"/>
      <c r="I254" s="936"/>
      <c r="J254" s="337"/>
      <c r="K254" s="641"/>
      <c r="L254" s="641" t="s">
        <v>267</v>
      </c>
      <c r="M254" s="641" t="s">
        <v>281</v>
      </c>
      <c r="N254" s="641" t="str">
        <f>CONCATENATE("Total (",IF(MID(B254,1,2)="LG",VLOOKUP(B254,Composições!J:M,4,FALSE),IF(OR(OR(OR(OR(OR(MID(B254,1,1)="6", MID(B254,1,1)="1"), MID(B254,1,1)="1"), MID(B254,1,1)="1"), MID(B254,1,1)="1"), MID(B254,1,1)="1"),"t",VLOOKUP(B254,'DER 11-20'!$A$1:$I$1994,3,FALSE))),")")</f>
        <v>Total (t)</v>
      </c>
      <c r="O254" s="305"/>
      <c r="P254" s="307"/>
      <c r="Q254" s="307"/>
      <c r="R254" s="664"/>
      <c r="S254" s="593">
        <f>VLOOKUP("Total",C255:O1000,12,FALSE)</f>
        <v>50.87</v>
      </c>
      <c r="T254" s="593" t="str">
        <f>VLOOKUP("Total",C255:O1230,13,FALSE)</f>
        <v>t</v>
      </c>
      <c r="U254" s="593"/>
      <c r="V254" s="596"/>
      <c r="W254" s="597"/>
      <c r="X254" s="597"/>
      <c r="Y254" s="597"/>
      <c r="Z254" s="597"/>
      <c r="AA254" s="600"/>
      <c r="AB254" s="598"/>
    </row>
    <row r="255" spans="1:28" x14ac:dyDescent="0.2">
      <c r="A255" s="655"/>
      <c r="B255" s="751"/>
      <c r="C255" s="342" t="s">
        <v>2</v>
      </c>
      <c r="D255" s="343"/>
      <c r="E255" s="340"/>
      <c r="F255" s="344"/>
      <c r="G255" s="343"/>
      <c r="H255" s="344"/>
      <c r="I255" s="344"/>
      <c r="J255" s="341"/>
      <c r="K255" s="345"/>
      <c r="L255" s="346"/>
      <c r="M255" s="347"/>
      <c r="N255" s="348">
        <v>50.87</v>
      </c>
      <c r="O255" s="349" t="str">
        <f>IF(MID(B254,1,2)="LG",VLOOKUP(B254,Composições!J:M,4,FALSE),IF(OR(OR(OR(OR(OR(MID(B254,1,1)="6", MID(B254,1,1)="1"), MID(B254,1,1)="1"), MID(B254,1,1)="1"), MID(B254,1,1)="1"), MID(B254,1,1)="1"),VLOOKUP(B254,transp.!$A$6:$K$27,3,FALSE),VLOOKUP(B254,'DER 11-20'!$A$1:$I$1994,3,FALSE)))</f>
        <v>t</v>
      </c>
      <c r="P255" s="350"/>
      <c r="Q255" s="350"/>
      <c r="R255" s="656"/>
      <c r="S255" s="593">
        <f>VLOOKUP("Total",C256:O1001,12,FALSE)</f>
        <v>230</v>
      </c>
      <c r="T255" s="593" t="str">
        <f>VLOOKUP("Total",C262:O1233,13,FALSE)</f>
        <v>%</v>
      </c>
      <c r="U255" s="593"/>
      <c r="V255" s="596"/>
      <c r="W255" s="597"/>
      <c r="X255" s="597"/>
      <c r="Y255" s="597"/>
      <c r="Z255" s="597"/>
      <c r="AA255" s="600"/>
      <c r="AB255" s="598"/>
    </row>
    <row r="256" spans="1:28" x14ac:dyDescent="0.2">
      <c r="A256" s="661"/>
      <c r="B256" s="752"/>
      <c r="C256" s="375"/>
      <c r="J256" s="379"/>
      <c r="K256" s="380"/>
      <c r="L256" s="381"/>
      <c r="M256" s="382"/>
      <c r="N256" s="381"/>
      <c r="O256" s="379"/>
      <c r="P256" s="383"/>
      <c r="Q256" s="383"/>
      <c r="R256" s="662"/>
      <c r="S256" s="593">
        <f>VLOOKUP("Total",C257:O1002,12,FALSE)</f>
        <v>230</v>
      </c>
      <c r="T256" s="593" t="str">
        <f>VLOOKUP("Total",C257:O1232,13,FALSE)</f>
        <v>t</v>
      </c>
      <c r="U256" s="593"/>
      <c r="V256" s="596"/>
      <c r="W256" s="597"/>
      <c r="X256" s="597"/>
      <c r="Y256" s="597"/>
      <c r="Z256" s="597"/>
      <c r="AA256" s="600"/>
      <c r="AB256" s="598"/>
    </row>
    <row r="257" spans="1:28" x14ac:dyDescent="0.2">
      <c r="A257" s="668" t="s">
        <v>489</v>
      </c>
      <c r="B257" s="891">
        <v>41360</v>
      </c>
      <c r="C257" s="335" t="str">
        <f>IF(MID(B257,1,2)="LG",VLOOKUP(B257,Composições!J:M,3,FALSE),IF(OR(OR(OR(OR(OR(MID(B257,1,1)="6", MID(B257,1,1)="1"), MID(B257,1,1)="1"), MID(B257,1,1)="1"), MID(B257,1,1)="1"), MID(B257,1,1)="1"),VLOOKUP(B257,transp.!$A$4:$K$21,11,FALSE)&amp;" -  XP="&amp;TEXT(T257,"0,000")&amp;" / XR="&amp;TEXT(V257,"0,000"),VLOOKUP(B257,'DER 11-20'!$A$1:$I$1994,2,FALSE)))</f>
        <v>CAP-50/70, fornecimento</v>
      </c>
      <c r="D257" s="934"/>
      <c r="E257" s="935"/>
      <c r="F257" s="936"/>
      <c r="G257" s="934"/>
      <c r="H257" s="935"/>
      <c r="I257" s="936"/>
      <c r="J257" s="337"/>
      <c r="K257" s="728"/>
      <c r="L257" s="728" t="s">
        <v>267</v>
      </c>
      <c r="M257" s="728" t="s">
        <v>281</v>
      </c>
      <c r="N257" s="728" t="str">
        <f>CONCATENATE("Total (",IF(MID(B257,1,2)="LG",VLOOKUP(B257,Composições!J:M,4,FALSE),IF(OR(OR(OR(OR(OR(MID(B257,1,1)="6", MID(B257,1,1)="1"), MID(B257,1,1)="1"), MID(B257,1,1)="1"), MID(B257,1,1)="1"), MID(B257,1,1)="1"),"t",VLOOKUP(B257,'DER 11-20'!$A$1:$I$1994,3,FALSE))),")")</f>
        <v>Total (t)</v>
      </c>
      <c r="O257" s="305"/>
      <c r="P257" s="307"/>
      <c r="Q257" s="307"/>
      <c r="R257" s="664"/>
      <c r="S257" s="593">
        <f>VLOOKUP("Total",C258:O1233,12,FALSE)</f>
        <v>230</v>
      </c>
      <c r="T257" s="593" t="str">
        <f>VLOOKUP("Total",C258:O1233,13,FALSE)</f>
        <v>t</v>
      </c>
      <c r="U257" s="593"/>
      <c r="V257" s="596"/>
      <c r="W257" s="597"/>
      <c r="X257" s="597"/>
      <c r="Y257" s="597"/>
      <c r="Z257" s="597"/>
      <c r="AA257" s="600"/>
      <c r="AB257" s="598"/>
    </row>
    <row r="258" spans="1:28" x14ac:dyDescent="0.2">
      <c r="A258" s="655"/>
      <c r="B258" s="751"/>
      <c r="C258" s="342" t="s">
        <v>2</v>
      </c>
      <c r="D258" s="343"/>
      <c r="E258" s="340"/>
      <c r="F258" s="344"/>
      <c r="G258" s="343"/>
      <c r="H258" s="344"/>
      <c r="I258" s="344"/>
      <c r="J258" s="341"/>
      <c r="K258" s="345"/>
      <c r="L258" s="346"/>
      <c r="M258" s="347"/>
      <c r="N258" s="348">
        <v>230</v>
      </c>
      <c r="O258" s="349" t="str">
        <f>IF(MID(B257,1,2)="LG",VLOOKUP(B257,Composições!J:M,4,FALSE),IF(OR(OR(OR(OR(OR(MID(B257,1,1)="6", MID(B257,1,1)="1"), MID(B257,1,1)="1"), MID(B257,1,1)="1"), MID(B257,1,1)="1"), MID(B257,1,1)="1"),VLOOKUP(B257,transp.!$A$6:$K$27,3,FALSE),VLOOKUP(B257,'DER 11-20'!$A$1:$I$1994,3,FALSE)))</f>
        <v>t</v>
      </c>
      <c r="P258" s="350"/>
      <c r="Q258" s="350"/>
      <c r="R258" s="656"/>
      <c r="S258" s="648">
        <f>VLOOKUP("Total",C265:O1236,12,FALSE)</f>
        <v>15.28</v>
      </c>
      <c r="T258" s="593" t="str">
        <f>VLOOKUP("Total",C265:O1236,13,FALSE)</f>
        <v>%</v>
      </c>
      <c r="U258" s="593"/>
      <c r="V258" s="596"/>
      <c r="W258" s="597"/>
      <c r="X258" s="597"/>
      <c r="Y258" s="597"/>
      <c r="Z258" s="597"/>
      <c r="AA258" s="600"/>
      <c r="AB258" s="598"/>
    </row>
    <row r="259" spans="1:28" x14ac:dyDescent="0.2">
      <c r="A259" s="661"/>
      <c r="B259" s="752"/>
      <c r="C259" s="375"/>
      <c r="J259" s="379"/>
      <c r="K259" s="380"/>
      <c r="L259" s="381"/>
      <c r="M259" s="382"/>
      <c r="N259" s="381"/>
      <c r="O259" s="379"/>
      <c r="P259" s="383"/>
      <c r="Q259" s="383"/>
      <c r="R259" s="662"/>
      <c r="S259" s="593">
        <f>VLOOKUP("Total",C260:O1005,12,FALSE)</f>
        <v>2.1</v>
      </c>
      <c r="T259" s="593" t="str">
        <f>VLOOKUP("Total",C260:O1235,13,FALSE)</f>
        <v>t</v>
      </c>
      <c r="U259" s="593"/>
      <c r="V259" s="596"/>
      <c r="W259" s="597"/>
      <c r="X259" s="597"/>
      <c r="Y259" s="597"/>
      <c r="Z259" s="597"/>
      <c r="AA259" s="600"/>
      <c r="AB259" s="598"/>
    </row>
    <row r="260" spans="1:28" x14ac:dyDescent="0.2">
      <c r="A260" s="668" t="s">
        <v>490</v>
      </c>
      <c r="B260" s="891">
        <v>40976</v>
      </c>
      <c r="C260" s="335" t="str">
        <f>IF(MID(B260,1,2)="LG",VLOOKUP(B260,Composições!J:M,3,FALSE),IF(OR(OR(OR(OR(OR(MID(B260,1,1)="6", MID(B260,1,1)="1"), MID(B260,1,1)="1"), MID(B260,1,1)="1"), MID(B260,1,1)="1"), MID(B260,1,1)="1"),VLOOKUP(B260,transp.!$A$4:$K$21,11,FALSE)&amp;" -  XP="&amp;TEXT(T260,"0,000")&amp;" / XR="&amp;TEXT(V260,"0,000"),VLOOKUP(B260,'DER 11-20'!$A$1:$I$1994,2,FALSE)))</f>
        <v>Dope, fornecimento</v>
      </c>
      <c r="D260" s="934"/>
      <c r="E260" s="935"/>
      <c r="F260" s="936"/>
      <c r="G260" s="934"/>
      <c r="H260" s="935"/>
      <c r="I260" s="936"/>
      <c r="J260" s="337"/>
      <c r="K260" s="728"/>
      <c r="L260" s="728" t="s">
        <v>267</v>
      </c>
      <c r="M260" s="728" t="s">
        <v>281</v>
      </c>
      <c r="N260" s="728" t="str">
        <f>CONCATENATE("Total (",IF(MID(B260,1,2)="LG",VLOOKUP(B260,Composições!J:M,4,FALSE),IF(OR(OR(OR(OR(OR(MID(B260,1,1)="6", MID(B260,1,1)="1"), MID(B260,1,1)="1"), MID(B260,1,1)="1"), MID(B260,1,1)="1"), MID(B260,1,1)="1"),"t",VLOOKUP(B260,'DER 11-20'!$A$1:$I$1994,3,FALSE))),")")</f>
        <v>Total (t)</v>
      </c>
      <c r="O260" s="305"/>
      <c r="P260" s="307"/>
      <c r="Q260" s="307"/>
      <c r="R260" s="664"/>
      <c r="S260" s="593">
        <f>VLOOKUP("Total",C261:O1236,12,FALSE)</f>
        <v>2.1</v>
      </c>
      <c r="T260" s="593" t="str">
        <f>VLOOKUP("Total",C261:O1236,13,FALSE)</f>
        <v>t</v>
      </c>
      <c r="U260" s="593"/>
      <c r="V260" s="596"/>
      <c r="W260" s="597"/>
      <c r="X260" s="597"/>
      <c r="Y260" s="597"/>
      <c r="Z260" s="597"/>
      <c r="AA260" s="600"/>
      <c r="AB260" s="598"/>
    </row>
    <row r="261" spans="1:28" x14ac:dyDescent="0.2">
      <c r="A261" s="655"/>
      <c r="B261" s="751"/>
      <c r="C261" s="342" t="s">
        <v>2</v>
      </c>
      <c r="D261" s="343"/>
      <c r="E261" s="340"/>
      <c r="F261" s="344"/>
      <c r="G261" s="343"/>
      <c r="H261" s="344"/>
      <c r="I261" s="344"/>
      <c r="J261" s="341"/>
      <c r="K261" s="345"/>
      <c r="L261" s="346"/>
      <c r="M261" s="347"/>
      <c r="N261" s="348">
        <v>2.1</v>
      </c>
      <c r="O261" s="349" t="str">
        <f>IF(MID(B260,1,2)="LG",VLOOKUP(B260,Composições!J:M,4,FALSE),IF(OR(OR(OR(OR(OR(MID(B260,1,1)="6", MID(B260,1,1)="1"), MID(B260,1,1)="1"), MID(B260,1,1)="1"), MID(B260,1,1)="1"), MID(B260,1,1)="1"),VLOOKUP(B260,transp.!$A$6:$K$27,3,FALSE),VLOOKUP(B260,'DER 11-20'!$A$1:$I$1994,3,FALSE)))</f>
        <v>t</v>
      </c>
      <c r="P261" s="350"/>
      <c r="Q261" s="350"/>
      <c r="R261" s="656"/>
      <c r="S261" s="648">
        <f>VLOOKUP("Total",C268:O1239,12,FALSE)</f>
        <v>50.87</v>
      </c>
      <c r="T261" s="593" t="str">
        <f>VLOOKUP("Total",C268:O1239,13,FALSE)</f>
        <v>T</v>
      </c>
      <c r="U261" s="593"/>
      <c r="V261" s="596"/>
      <c r="W261" s="597"/>
      <c r="X261" s="597"/>
      <c r="Y261" s="597"/>
      <c r="Z261" s="597"/>
      <c r="AA261" s="600"/>
      <c r="AB261" s="598"/>
    </row>
    <row r="262" spans="1:28" x14ac:dyDescent="0.2">
      <c r="A262" s="287"/>
      <c r="B262" s="890"/>
      <c r="C262" s="331"/>
      <c r="H262" s="285"/>
      <c r="N262" s="306"/>
      <c r="O262" s="332"/>
      <c r="P262" s="307"/>
      <c r="Q262" s="307"/>
      <c r="R262" s="659"/>
      <c r="S262" s="648">
        <f>VLOOKUP("Total",C263:O1234,12,FALSE)</f>
        <v>15.28</v>
      </c>
      <c r="T262" s="593" t="str">
        <f>VLOOKUP("Total",C263:O1234,13,FALSE)</f>
        <v>%</v>
      </c>
      <c r="U262" s="593"/>
      <c r="V262" s="596"/>
      <c r="W262" s="597"/>
      <c r="X262" s="597"/>
      <c r="Y262" s="597"/>
      <c r="Z262" s="597"/>
      <c r="AA262" s="600"/>
      <c r="AB262" s="598"/>
    </row>
    <row r="263" spans="1:28" x14ac:dyDescent="0.2">
      <c r="A263" s="668" t="s">
        <v>491</v>
      </c>
      <c r="B263" s="891">
        <v>40972</v>
      </c>
      <c r="C263" s="335" t="str">
        <f>IF(MID(B263,1,2)="LG",VLOOKUP(B263,Composições!J:M,3,FALSE),IF(MID(B263,1,1)="6",VLOOKUP(B263,transp.!$A$4:$K$19,11,FALSE)&amp;" -  XP="&amp;TEXT(T263,"0.000")&amp;" / XR="&amp;TEXT(V263,"0.000"),VLOOKUP(B263,'DER 11-20'!$A$1:$I$1981,2,FALSE)))</f>
        <v>Bonificação de 15,28% sobre Materiais Betuminosos</v>
      </c>
      <c r="D263" s="934"/>
      <c r="E263" s="935"/>
      <c r="F263" s="936"/>
      <c r="G263" s="934"/>
      <c r="H263" s="935"/>
      <c r="I263" s="936"/>
      <c r="J263" s="337"/>
      <c r="K263" s="641"/>
      <c r="L263" s="641"/>
      <c r="M263" s="641"/>
      <c r="N263" s="641" t="str">
        <f>CONCATENATE("Total (",IF(MID(B263,1,2)="LG",VLOOKUP(B263,Composições!J:M,4,FALSE),IF(MID(B263,1,1)="6","t",IF(MID(B263,1,2)="10","t",VLOOKUP(B263,'DER 11-20'!$A$1:$I$1981,3,FALSE)))),")")</f>
        <v>Total (%)</v>
      </c>
      <c r="O263" s="305"/>
      <c r="P263" s="307"/>
      <c r="Q263" s="307"/>
      <c r="R263" s="664"/>
      <c r="S263" s="648">
        <f>VLOOKUP("Total",C264:O1235,12,FALSE)</f>
        <v>15.28</v>
      </c>
      <c r="T263" s="593" t="str">
        <f>VLOOKUP("Total",C264:O1235,13,FALSE)</f>
        <v>%</v>
      </c>
      <c r="U263" s="593"/>
      <c r="V263" s="596"/>
      <c r="W263" s="597"/>
      <c r="X263" s="597"/>
      <c r="Y263" s="597"/>
      <c r="Z263" s="597"/>
      <c r="AA263" s="600"/>
      <c r="AB263" s="598"/>
    </row>
    <row r="264" spans="1:28" x14ac:dyDescent="0.2">
      <c r="A264" s="668"/>
      <c r="B264" s="898"/>
      <c r="G264" s="365"/>
      <c r="J264" s="366"/>
      <c r="K264" s="565"/>
      <c r="M264" s="566"/>
      <c r="N264" s="646">
        <v>0.15279999999999999</v>
      </c>
      <c r="O264" s="305"/>
      <c r="P264" s="307"/>
      <c r="Q264" s="307"/>
      <c r="R264" s="664"/>
      <c r="S264" s="648">
        <f>VLOOKUP("Total",C265:O1236,12,FALSE)</f>
        <v>15.28</v>
      </c>
      <c r="T264" s="593" t="str">
        <f>VLOOKUP("Total",C265:O1236,13,FALSE)</f>
        <v>%</v>
      </c>
      <c r="U264" s="593"/>
      <c r="V264" s="596"/>
      <c r="W264" s="597"/>
      <c r="X264" s="597"/>
      <c r="Y264" s="597"/>
      <c r="Z264" s="597"/>
      <c r="AA264" s="600"/>
      <c r="AB264" s="598"/>
    </row>
    <row r="265" spans="1:28" x14ac:dyDescent="0.2">
      <c r="A265" s="655"/>
      <c r="B265" s="751"/>
      <c r="C265" s="342" t="s">
        <v>2</v>
      </c>
      <c r="D265" s="343"/>
      <c r="E265" s="340"/>
      <c r="F265" s="344"/>
      <c r="G265" s="343"/>
      <c r="H265" s="344"/>
      <c r="I265" s="344"/>
      <c r="J265" s="341"/>
      <c r="K265" s="345"/>
      <c r="L265" s="346"/>
      <c r="M265" s="347"/>
      <c r="N265" s="647">
        <v>15.28</v>
      </c>
      <c r="O265" s="349" t="str">
        <f>IF(MID(B263,1,2)="LG",VLOOKUP(B263,Composições!J:M,4,FALSE),IF(OR(MID(B263,1,1)="6",MID(B263,1,2)="10"),VLOOKUP(B263,transp.!$A$6:$K$35,3,FALSE),VLOOKUP(B263,'DER 11-20'!$A$1:$I$1981,3,FALSE)))</f>
        <v>%</v>
      </c>
      <c r="P265" s="350"/>
      <c r="Q265" s="350"/>
      <c r="R265" s="656"/>
      <c r="S265" s="593">
        <f>VLOOKUP("Total",C266:O1237,12,FALSE)</f>
        <v>50.87</v>
      </c>
      <c r="T265" s="593" t="str">
        <f>VLOOKUP("Total",C266:O1237,13,FALSE)</f>
        <v>T</v>
      </c>
      <c r="U265" s="593"/>
      <c r="V265" s="596"/>
      <c r="W265" s="597"/>
      <c r="X265" s="597"/>
      <c r="Y265" s="597"/>
      <c r="Z265" s="597"/>
      <c r="AA265" s="600"/>
      <c r="AB265" s="598"/>
    </row>
    <row r="266" spans="1:28" x14ac:dyDescent="0.2">
      <c r="A266" s="287"/>
      <c r="B266" s="890"/>
      <c r="C266" s="331"/>
      <c r="H266" s="285"/>
      <c r="N266" s="306"/>
      <c r="O266" s="332"/>
      <c r="P266" s="307"/>
      <c r="Q266" s="307"/>
      <c r="R266" s="659"/>
      <c r="S266" s="593">
        <f>VLOOKUP("Total",C267:O1254,12,FALSE)</f>
        <v>50.87</v>
      </c>
      <c r="T266" s="593" t="str">
        <f>VLOOKUP("Total",C267:O1254,13,FALSE)</f>
        <v>T</v>
      </c>
      <c r="U266" s="593"/>
      <c r="V266" s="596"/>
      <c r="W266" s="597"/>
      <c r="X266" s="597"/>
      <c r="Y266" s="597"/>
      <c r="Z266" s="597"/>
      <c r="AA266" s="600"/>
      <c r="AB266" s="598"/>
    </row>
    <row r="267" spans="1:28" ht="39" customHeight="1" x14ac:dyDescent="0.2">
      <c r="A267" s="668" t="s">
        <v>492</v>
      </c>
      <c r="B267" s="898">
        <v>100849</v>
      </c>
      <c r="C267" s="335" t="s">
        <v>2937</v>
      </c>
      <c r="D267" s="934"/>
      <c r="E267" s="935"/>
      <c r="F267" s="936"/>
      <c r="G267" s="934"/>
      <c r="H267" s="935"/>
      <c r="I267" s="936"/>
      <c r="J267" s="337"/>
      <c r="K267" s="641"/>
      <c r="L267" s="641" t="s">
        <v>269</v>
      </c>
      <c r="M267" s="641" t="s">
        <v>270</v>
      </c>
      <c r="N267" s="641" t="str">
        <f>CONCATENATE("Total (",IF(MID(B267,1,2)="LG",VLOOKUP(B267,Composições!J:M,4,FALSE),IF(MID(B267,1,1)="6","t",IF(MID(B267,1,2)="10","t",VLOOKUP(B267,'DER 11-20'!$A$1:$I$1981,3,FALSE)))),")")</f>
        <v>Total (t)</v>
      </c>
      <c r="O267" s="286"/>
      <c r="P267" s="643"/>
      <c r="Q267" s="643"/>
      <c r="R267" s="667"/>
      <c r="S267" s="593">
        <f>VLOOKUP("Total",C268:O1255,12,FALSE)</f>
        <v>50.87</v>
      </c>
      <c r="T267" s="593" t="str">
        <f>VLOOKUP("Total",C268:O1255,13,FALSE)</f>
        <v>T</v>
      </c>
      <c r="U267" s="593">
        <f>+AB267/1000</f>
        <v>0</v>
      </c>
      <c r="V267" s="596">
        <f>W267*Z267+X267*U267+Y267</f>
        <v>301.10000000000002</v>
      </c>
      <c r="W267" s="597">
        <f>VLOOKUP(B267,transp.!A:J,8,FALSE)</f>
        <v>0.59499999999999997</v>
      </c>
      <c r="X267" s="597">
        <f>VLOOKUP(B267,transp.!A:J,9,FALSE)</f>
        <v>0.70199999999999996</v>
      </c>
      <c r="Y267" s="597">
        <f>VLOOKUP(B267,transp.!A:J,10,FALSE)</f>
        <v>63.46</v>
      </c>
      <c r="Z267" s="597">
        <f>AA267/1000</f>
        <v>399.4</v>
      </c>
      <c r="AA267" s="600">
        <v>399400</v>
      </c>
      <c r="AB267" s="598">
        <v>0</v>
      </c>
    </row>
    <row r="268" spans="1:28" x14ac:dyDescent="0.2">
      <c r="A268" s="655"/>
      <c r="B268" s="751"/>
      <c r="C268" s="342" t="s">
        <v>2</v>
      </c>
      <c r="D268" s="343"/>
      <c r="E268" s="340"/>
      <c r="F268" s="344"/>
      <c r="G268" s="343"/>
      <c r="H268" s="344"/>
      <c r="I268" s="344"/>
      <c r="J268" s="341"/>
      <c r="K268" s="585"/>
      <c r="L268" s="357"/>
      <c r="M268" s="358"/>
      <c r="N268" s="586">
        <v>50.87</v>
      </c>
      <c r="O268" s="349" t="str">
        <f>IF(MID(B267,1,2)="LG",VLOOKUP(B267,Composições!J:M,4,FALSE),IF(OR(MID(B267,1,1)="6",MID(B267,1,2)="10"),VLOOKUP(B267,transp.!$A$6:$K$35,3,FALSE),VLOOKUP(B267,'DER 11-20'!$A$1:$I$1981,3,FALSE)))</f>
        <v>T</v>
      </c>
      <c r="P268" s="350"/>
      <c r="Q268" s="350"/>
      <c r="R268" s="656"/>
      <c r="S268" s="593">
        <f>VLOOKUP("Total",C275:O1258,12,FALSE)</f>
        <v>4138.8999999999996</v>
      </c>
      <c r="T268" s="593" t="str">
        <f>VLOOKUP("Total",C275:O1258,13,FALSE)</f>
        <v>T</v>
      </c>
      <c r="U268" s="593"/>
      <c r="V268" s="596"/>
      <c r="W268" s="597"/>
      <c r="X268" s="597"/>
      <c r="Y268" s="597"/>
      <c r="Z268" s="597"/>
      <c r="AA268" s="600"/>
      <c r="AB268" s="598"/>
    </row>
    <row r="269" spans="1:28" x14ac:dyDescent="0.2">
      <c r="A269" s="287"/>
      <c r="B269" s="890"/>
      <c r="C269" s="331"/>
      <c r="H269" s="285"/>
      <c r="N269" s="306"/>
      <c r="O269" s="332"/>
      <c r="P269" s="307"/>
      <c r="Q269" s="307"/>
      <c r="R269" s="659"/>
      <c r="S269" s="593">
        <f>VLOOKUP("Total",C270:O1257,12,FALSE)</f>
        <v>230</v>
      </c>
      <c r="T269" s="593" t="str">
        <f>VLOOKUP("Total",C270:O1257,13,FALSE)</f>
        <v>T</v>
      </c>
      <c r="U269" s="593"/>
      <c r="V269" s="596"/>
      <c r="W269" s="597"/>
      <c r="X269" s="597"/>
      <c r="Y269" s="597"/>
      <c r="Z269" s="597"/>
      <c r="AA269" s="600"/>
      <c r="AB269" s="598"/>
    </row>
    <row r="270" spans="1:28" ht="39" customHeight="1" x14ac:dyDescent="0.2">
      <c r="A270" s="668" t="s">
        <v>703</v>
      </c>
      <c r="B270" s="898">
        <v>100849</v>
      </c>
      <c r="C270" s="335" t="s">
        <v>2938</v>
      </c>
      <c r="D270" s="934"/>
      <c r="E270" s="935"/>
      <c r="F270" s="936"/>
      <c r="G270" s="934"/>
      <c r="H270" s="935"/>
      <c r="I270" s="936"/>
      <c r="J270" s="337"/>
      <c r="K270" s="728"/>
      <c r="L270" s="728" t="s">
        <v>269</v>
      </c>
      <c r="M270" s="728" t="s">
        <v>270</v>
      </c>
      <c r="N270" s="728" t="str">
        <f>CONCATENATE("Total (",IF(MID(B270,1,2)="LG",VLOOKUP(B270,Composições!J:M,4,FALSE),IF(MID(B270,1,1)="6","t",IF(MID(B270,1,2)="10","t",VLOOKUP(B270,'DER 11-20'!$A$1:$I$1981,3,FALSE)))),")")</f>
        <v>Total (t)</v>
      </c>
      <c r="O270" s="286"/>
      <c r="P270" s="888"/>
      <c r="Q270" s="888"/>
      <c r="R270" s="667"/>
      <c r="S270" s="593">
        <f>VLOOKUP("Total",C271:O1258,12,FALSE)</f>
        <v>230</v>
      </c>
      <c r="T270" s="593" t="str">
        <f>VLOOKUP("Total",C271:O1258,13,FALSE)</f>
        <v>T</v>
      </c>
      <c r="U270" s="593">
        <f>+AB270/1000</f>
        <v>0</v>
      </c>
      <c r="V270" s="596">
        <f>W270*Z270+X270*U270+Y270</f>
        <v>301.10000000000002</v>
      </c>
      <c r="W270" s="597">
        <f>VLOOKUP(B270,transp.!A:J,8,FALSE)</f>
        <v>0.59499999999999997</v>
      </c>
      <c r="X270" s="597">
        <f>VLOOKUP(B270,transp.!A:J,9,FALSE)</f>
        <v>0.70199999999999996</v>
      </c>
      <c r="Y270" s="597">
        <f>VLOOKUP(B270,transp.!A:J,10,FALSE)</f>
        <v>63.46</v>
      </c>
      <c r="Z270" s="597">
        <f>AA270/1000</f>
        <v>399.4</v>
      </c>
      <c r="AA270" s="600">
        <v>399400</v>
      </c>
      <c r="AB270" s="598">
        <v>0</v>
      </c>
    </row>
    <row r="271" spans="1:28" x14ac:dyDescent="0.2">
      <c r="A271" s="655"/>
      <c r="B271" s="751"/>
      <c r="C271" s="342" t="s">
        <v>2</v>
      </c>
      <c r="D271" s="343"/>
      <c r="E271" s="340"/>
      <c r="F271" s="344"/>
      <c r="G271" s="343"/>
      <c r="H271" s="344"/>
      <c r="I271" s="344"/>
      <c r="J271" s="341"/>
      <c r="K271" s="585"/>
      <c r="L271" s="357"/>
      <c r="M271" s="358"/>
      <c r="N271" s="586">
        <v>230</v>
      </c>
      <c r="O271" s="349" t="str">
        <f>IF(MID(B270,1,2)="LG",VLOOKUP(B270,Composições!J:M,4,FALSE),IF(OR(MID(B270,1,1)="6",MID(B270,1,2)="10"),VLOOKUP(B270,transp.!$A$6:$K$35,3,FALSE),VLOOKUP(B270,'DER 11-20'!$A$1:$I$1981,3,FALSE)))</f>
        <v>T</v>
      </c>
      <c r="P271" s="350"/>
      <c r="Q271" s="350"/>
      <c r="R271" s="656"/>
      <c r="S271" s="593">
        <f>VLOOKUP("Total",C278:O1261,12,FALSE)</f>
        <v>1035.8599999999999</v>
      </c>
      <c r="T271" s="593" t="str">
        <f>VLOOKUP("Total",C278:O1261,13,FALSE)</f>
        <v>M3</v>
      </c>
      <c r="U271" s="593"/>
      <c r="V271" s="596"/>
      <c r="W271" s="597"/>
      <c r="X271" s="597"/>
      <c r="Y271" s="597"/>
      <c r="Z271" s="597"/>
      <c r="AA271" s="600"/>
      <c r="AB271" s="598"/>
    </row>
    <row r="272" spans="1:28" x14ac:dyDescent="0.2">
      <c r="A272" s="287"/>
      <c r="B272" s="890"/>
      <c r="C272" s="331"/>
      <c r="H272" s="285"/>
      <c r="N272" s="306"/>
      <c r="O272" s="332"/>
      <c r="P272" s="307"/>
      <c r="Q272" s="307"/>
      <c r="R272" s="659"/>
      <c r="S272" s="593">
        <f>VLOOKUP("Total",C273:O1260,12,FALSE)</f>
        <v>2.1</v>
      </c>
      <c r="T272" s="593" t="str">
        <f>VLOOKUP("Total",C273:O1260,13,FALSE)</f>
        <v>T</v>
      </c>
      <c r="U272" s="593"/>
      <c r="V272" s="596"/>
      <c r="W272" s="597"/>
      <c r="X272" s="597"/>
      <c r="Y272" s="597"/>
      <c r="Z272" s="597"/>
      <c r="AA272" s="600"/>
      <c r="AB272" s="598"/>
    </row>
    <row r="273" spans="1:28" ht="39" customHeight="1" x14ac:dyDescent="0.2">
      <c r="A273" s="668" t="s">
        <v>704</v>
      </c>
      <c r="B273" s="898">
        <v>100849</v>
      </c>
      <c r="C273" s="335" t="s">
        <v>2939</v>
      </c>
      <c r="D273" s="934"/>
      <c r="E273" s="935"/>
      <c r="F273" s="936"/>
      <c r="G273" s="934"/>
      <c r="H273" s="935"/>
      <c r="I273" s="936"/>
      <c r="J273" s="337"/>
      <c r="K273" s="728"/>
      <c r="L273" s="728" t="s">
        <v>269</v>
      </c>
      <c r="M273" s="728" t="s">
        <v>270</v>
      </c>
      <c r="N273" s="728" t="str">
        <f>CONCATENATE("Total (",IF(MID(B273,1,2)="LG",VLOOKUP(B273,Composições!J:M,4,FALSE),IF(MID(B273,1,1)="6","t",IF(MID(B273,1,2)="10","t",VLOOKUP(B273,'DER 11-20'!$A$1:$I$1981,3,FALSE)))),")")</f>
        <v>Total (t)</v>
      </c>
      <c r="O273" s="286"/>
      <c r="P273" s="901"/>
      <c r="Q273" s="901"/>
      <c r="R273" s="667"/>
      <c r="S273" s="593">
        <f>VLOOKUP("Total",C274:O1261,12,FALSE)</f>
        <v>2.1</v>
      </c>
      <c r="T273" s="593" t="str">
        <f>VLOOKUP("Total",C274:O1261,13,FALSE)</f>
        <v>T</v>
      </c>
      <c r="U273" s="593">
        <f>+AB273/1000</f>
        <v>0</v>
      </c>
      <c r="V273" s="596">
        <f>W273*Z273+X273*U273+Y273</f>
        <v>301.10000000000002</v>
      </c>
      <c r="W273" s="597">
        <f>VLOOKUP(B273,transp.!A:J,8,FALSE)</f>
        <v>0.59499999999999997</v>
      </c>
      <c r="X273" s="597">
        <f>VLOOKUP(B273,transp.!A:J,9,FALSE)</f>
        <v>0.70199999999999996</v>
      </c>
      <c r="Y273" s="597">
        <f>VLOOKUP(B273,transp.!A:J,10,FALSE)</f>
        <v>63.46</v>
      </c>
      <c r="Z273" s="597">
        <f>AA273/1000</f>
        <v>399.4</v>
      </c>
      <c r="AA273" s="600">
        <v>399400</v>
      </c>
      <c r="AB273" s="598">
        <v>0</v>
      </c>
    </row>
    <row r="274" spans="1:28" x14ac:dyDescent="0.2">
      <c r="A274" s="655"/>
      <c r="B274" s="751"/>
      <c r="C274" s="342" t="s">
        <v>2</v>
      </c>
      <c r="D274" s="343"/>
      <c r="E274" s="340"/>
      <c r="F274" s="344"/>
      <c r="G274" s="343"/>
      <c r="H274" s="344"/>
      <c r="I274" s="344"/>
      <c r="J274" s="341"/>
      <c r="K274" s="585"/>
      <c r="L274" s="357"/>
      <c r="M274" s="358"/>
      <c r="N274" s="586">
        <v>2.1</v>
      </c>
      <c r="O274" s="349" t="str">
        <f>IF(MID(B273,1,2)="LG",VLOOKUP(B273,Composições!J:M,4,FALSE),IF(OR(MID(B273,1,1)="6",MID(B273,1,2)="10"),VLOOKUP(B273,transp.!$A$6:$K$35,3,FALSE),VLOOKUP(B273,'DER 11-20'!$A$1:$I$1981,3,FALSE)))</f>
        <v>T</v>
      </c>
      <c r="P274" s="350"/>
      <c r="Q274" s="350"/>
      <c r="R274" s="656"/>
      <c r="S274" s="593">
        <f>VLOOKUP("Total",C281:O1264,12,FALSE)</f>
        <v>1035.8599999999999</v>
      </c>
      <c r="T274" s="593" t="str">
        <f>VLOOKUP("Total",C281:O1264,13,FALSE)</f>
        <v>M3</v>
      </c>
      <c r="U274" s="593"/>
      <c r="V274" s="596"/>
      <c r="W274" s="597"/>
      <c r="X274" s="597"/>
      <c r="Y274" s="597"/>
      <c r="Z274" s="597"/>
      <c r="AA274" s="600"/>
      <c r="AB274" s="598"/>
    </row>
    <row r="275" spans="1:28" x14ac:dyDescent="0.2">
      <c r="A275" s="661"/>
      <c r="B275" s="752"/>
      <c r="C275" s="375"/>
      <c r="J275" s="379"/>
      <c r="K275" s="380"/>
      <c r="L275" s="381"/>
      <c r="M275" s="382"/>
      <c r="N275" s="381"/>
      <c r="O275" s="379"/>
      <c r="P275" s="383"/>
      <c r="Q275" s="383"/>
      <c r="R275" s="662"/>
      <c r="S275" s="593">
        <f>VLOOKUP("Total",C276:O1259,12,FALSE)</f>
        <v>4138.8999999999996</v>
      </c>
      <c r="T275" s="593" t="str">
        <f>VLOOKUP("Total",C276:O1259,13,FALSE)</f>
        <v>T</v>
      </c>
      <c r="U275" s="593"/>
      <c r="V275" s="596"/>
      <c r="W275" s="597"/>
      <c r="X275" s="597"/>
      <c r="Y275" s="597"/>
      <c r="Z275" s="597"/>
      <c r="AA275" s="600"/>
      <c r="AB275" s="598"/>
    </row>
    <row r="276" spans="1:28" ht="42.6" customHeight="1" x14ac:dyDescent="0.2">
      <c r="A276" s="668" t="s">
        <v>707</v>
      </c>
      <c r="B276" s="898">
        <v>60006</v>
      </c>
      <c r="C276" s="335" t="s">
        <v>2936</v>
      </c>
      <c r="D276" s="934"/>
      <c r="E276" s="935"/>
      <c r="F276" s="936"/>
      <c r="G276" s="934"/>
      <c r="H276" s="935"/>
      <c r="I276" s="936"/>
      <c r="J276" s="337"/>
      <c r="K276" s="641"/>
      <c r="L276" s="641" t="s">
        <v>269</v>
      </c>
      <c r="M276" s="641" t="s">
        <v>270</v>
      </c>
      <c r="N276" s="641" t="str">
        <f>CONCATENATE("Total (",IF(MID(B276,1,2)="LG",VLOOKUP(B276,Composições!J:M,4,FALSE),IF(OR(MID(B276,1,1)="6", MID(B276,1,1)="1"),"t",VLOOKUP(B276,'DER 11-20'!$A$1:$I$1994,3,FALSE))),")")</f>
        <v>Total (t)</v>
      </c>
      <c r="O276" s="286"/>
      <c r="P276" s="643"/>
      <c r="Q276" s="643"/>
      <c r="R276" s="667"/>
      <c r="S276" s="593">
        <f>VLOOKUP("Total",C277:O1260,12,FALSE)</f>
        <v>4138.8999999999996</v>
      </c>
      <c r="T276" s="593" t="str">
        <f>VLOOKUP("Total",C277:O1260,13,FALSE)</f>
        <v>T</v>
      </c>
      <c r="U276" s="593">
        <f>+AB276/1000</f>
        <v>2.52</v>
      </c>
      <c r="V276" s="596">
        <f>W276*Z276+X276*U276+Y276</f>
        <v>53.11</v>
      </c>
      <c r="W276" s="597">
        <f>VLOOKUP(B276,transp.!A:J,8,FALSE)</f>
        <v>1.3340000000000001</v>
      </c>
      <c r="X276" s="597">
        <f>VLOOKUP(B276,transp.!A:J,9,FALSE)</f>
        <v>1.3839999999999999</v>
      </c>
      <c r="Y276" s="597">
        <f>VLOOKUP(B276,transp.!A:J,10,FALSE)</f>
        <v>10.265000000000001</v>
      </c>
      <c r="Z276" s="597">
        <f>AA276/1000</f>
        <v>29.5</v>
      </c>
      <c r="AA276" s="600">
        <v>29500</v>
      </c>
      <c r="AB276" s="598">
        <v>2520</v>
      </c>
    </row>
    <row r="277" spans="1:28" x14ac:dyDescent="0.2">
      <c r="A277" s="655"/>
      <c r="B277" s="751"/>
      <c r="C277" s="342" t="s">
        <v>2</v>
      </c>
      <c r="D277" s="343"/>
      <c r="E277" s="340"/>
      <c r="F277" s="344"/>
      <c r="G277" s="343"/>
      <c r="H277" s="344"/>
      <c r="I277" s="344"/>
      <c r="J277" s="341"/>
      <c r="K277" s="585"/>
      <c r="L277" s="357"/>
      <c r="M277" s="358"/>
      <c r="N277" s="586">
        <v>4138.8999999999996</v>
      </c>
      <c r="O277" s="349" t="str">
        <f>IF(MID(B276,1,2)="LG",VLOOKUP(B276,Composições!J:M,4,FALSE),IF(OR(MID(B276,1,1)="6", MID(B276,1,1)="1"),VLOOKUP(B276,transp.!$A$6:$K$27,3,FALSE),VLOOKUP(B276,'DER 11-20'!$A$1:$I$1994,3,FALSE)))</f>
        <v>T</v>
      </c>
      <c r="P277" s="350"/>
      <c r="Q277" s="350"/>
      <c r="R277" s="656"/>
      <c r="S277" s="593">
        <f>VLOOKUP("Total",C365:O1263,12,FALSE)</f>
        <v>52</v>
      </c>
      <c r="T277" s="593" t="str">
        <f>VLOOKUP("Total",C365:O1263,13,FALSE)</f>
        <v>M</v>
      </c>
      <c r="U277" s="593"/>
      <c r="V277" s="596"/>
      <c r="W277" s="597"/>
      <c r="X277" s="597"/>
      <c r="Y277" s="597"/>
      <c r="Z277" s="597"/>
      <c r="AA277" s="600"/>
      <c r="AB277" s="598"/>
    </row>
    <row r="278" spans="1:28" x14ac:dyDescent="0.2">
      <c r="A278" s="657"/>
      <c r="B278" s="894"/>
      <c r="C278" s="370"/>
      <c r="D278" s="371"/>
      <c r="E278" s="333"/>
      <c r="F278" s="372"/>
      <c r="G278" s="371"/>
      <c r="H278" s="333"/>
      <c r="I278" s="372"/>
      <c r="J278" s="334"/>
      <c r="K278" s="373"/>
      <c r="L278" s="306"/>
      <c r="M278" s="374"/>
      <c r="N278" s="306"/>
      <c r="O278" s="334"/>
      <c r="P278" s="351"/>
      <c r="Q278" s="351"/>
      <c r="R278" s="658"/>
      <c r="S278" s="593">
        <f>VLOOKUP("Total",C279:O605,12,FALSE)</f>
        <v>1035.8599999999999</v>
      </c>
      <c r="T278" s="593" t="str">
        <f>VLOOKUP("Total",C279:O605,13,FALSE)</f>
        <v>M3</v>
      </c>
      <c r="U278" s="593"/>
      <c r="V278" s="596"/>
      <c r="W278" s="597"/>
      <c r="X278" s="597"/>
      <c r="Y278" s="597"/>
      <c r="Z278" s="597"/>
      <c r="AA278" s="600"/>
      <c r="AB278" s="598"/>
    </row>
    <row r="279" spans="1:28" s="309" customFormat="1" x14ac:dyDescent="0.2">
      <c r="A279" s="661">
        <v>5</v>
      </c>
      <c r="B279" s="752"/>
      <c r="C279" s="375" t="s">
        <v>286</v>
      </c>
      <c r="D279" s="376"/>
      <c r="E279" s="377"/>
      <c r="F279" s="378"/>
      <c r="G279" s="376"/>
      <c r="H279" s="377"/>
      <c r="I279" s="378"/>
      <c r="J279" s="379"/>
      <c r="K279" s="380"/>
      <c r="L279" s="381"/>
      <c r="M279" s="382"/>
      <c r="N279" s="381"/>
      <c r="O279" s="379"/>
      <c r="P279" s="383"/>
      <c r="Q279" s="383"/>
      <c r="R279" s="662"/>
      <c r="S279" s="593">
        <f>VLOOKUP("Total",C280:O605,12,FALSE)</f>
        <v>1035.8599999999999</v>
      </c>
      <c r="T279" s="593" t="str">
        <f>VLOOKUP("Total",C280:O605,13,FALSE)</f>
        <v>M3</v>
      </c>
      <c r="U279" s="593"/>
      <c r="V279" s="596"/>
      <c r="W279" s="597"/>
      <c r="X279" s="597"/>
      <c r="Y279" s="597"/>
      <c r="Z279" s="597"/>
      <c r="AA279" s="600"/>
      <c r="AB279" s="598"/>
    </row>
    <row r="280" spans="1:28" x14ac:dyDescent="0.2">
      <c r="A280" s="287"/>
      <c r="B280" s="890"/>
      <c r="C280" s="331"/>
      <c r="H280" s="285"/>
      <c r="N280" s="306"/>
      <c r="O280" s="332"/>
      <c r="P280" s="307"/>
      <c r="Q280" s="307"/>
      <c r="R280" s="659"/>
      <c r="S280" s="593">
        <f>VLOOKUP("Total",C281:O605,12,FALSE)</f>
        <v>1035.8599999999999</v>
      </c>
      <c r="T280" s="593" t="str">
        <f>VLOOKUP("Total",C281:O605,13,FALSE)</f>
        <v>M3</v>
      </c>
      <c r="U280" s="593"/>
      <c r="V280" s="596"/>
      <c r="W280" s="597"/>
      <c r="X280" s="597"/>
      <c r="Y280" s="597"/>
      <c r="Z280" s="597"/>
      <c r="AA280" s="600"/>
      <c r="AB280" s="598"/>
    </row>
    <row r="281" spans="1:28" s="282" customFormat="1" ht="25.5" x14ac:dyDescent="0.2">
      <c r="A281" s="663" t="s">
        <v>346</v>
      </c>
      <c r="B281" s="898">
        <v>40283</v>
      </c>
      <c r="C281" s="335" t="str">
        <f>IF(MID(B281,1,2)="LG",VLOOKUP(B281,Composições!J:M,3,FALSE),IF(MID(B281,1,1)="6",VLOOKUP(B281,transp.!$A$4:$K$19,11,FALSE)&amp;" -  XP="&amp;TEXT(T281,"0.000")&amp;" / XR="&amp;TEXT(V281,"0.000"),VLOOKUP(B281,'DER 11-20'!$A$1:$I$1981,2,FALSE)))&amp;" - "&amp;TEXT(C282,"0.000")</f>
        <v>Escavação mecânica em material de 1ª cat. H= 1,50 a 3,00 m - (Implantação)</v>
      </c>
      <c r="D281" s="934" t="s">
        <v>7</v>
      </c>
      <c r="E281" s="935"/>
      <c r="F281" s="936"/>
      <c r="G281" s="934"/>
      <c r="H281" s="935"/>
      <c r="I281" s="936"/>
      <c r="J281" s="337" t="s">
        <v>266</v>
      </c>
      <c r="K281" s="644" t="s">
        <v>274</v>
      </c>
      <c r="L281" s="641" t="s">
        <v>271</v>
      </c>
      <c r="M281" s="645" t="s">
        <v>359</v>
      </c>
      <c r="N281" s="641" t="str">
        <f>CONCATENATE("Total (",IF(MID(B281,1,2)="LG",VLOOKUP(B281,Composições!J:M,4,FALSE),IF(MID(B281,1,1)="6","t",VLOOKUP(B281,'DER 11-20'!$A$1:$I$1981,3,FALSE))),")")</f>
        <v>Total (M3)</v>
      </c>
      <c r="O281" s="305"/>
      <c r="P281" s="307"/>
      <c r="Q281" s="307"/>
      <c r="R281" s="664"/>
      <c r="S281" s="593">
        <f>VLOOKUP("Total",C283:O605,12,FALSE)</f>
        <v>1035.8599999999999</v>
      </c>
      <c r="T281" s="593" t="str">
        <f>VLOOKUP("Total",C283:O605,13,FALSE)</f>
        <v>M3</v>
      </c>
      <c r="U281" s="593"/>
      <c r="V281" s="596"/>
      <c r="W281" s="597"/>
      <c r="X281" s="597"/>
      <c r="Y281" s="597"/>
      <c r="Z281" s="597"/>
      <c r="AA281" s="600"/>
      <c r="AB281" s="598"/>
    </row>
    <row r="282" spans="1:28" x14ac:dyDescent="0.2">
      <c r="A282" s="653"/>
      <c r="B282" s="899"/>
      <c r="C282" s="599" t="s">
        <v>641</v>
      </c>
      <c r="D282" s="365"/>
      <c r="E282" s="458"/>
      <c r="G282" s="365"/>
      <c r="H282" s="458"/>
      <c r="J282" s="366"/>
      <c r="K282" s="338"/>
      <c r="L282" s="728"/>
      <c r="M282" s="291"/>
      <c r="N282" s="728"/>
      <c r="O282" s="595"/>
      <c r="P282" s="727"/>
      <c r="Q282" s="816"/>
      <c r="R282" s="654"/>
      <c r="S282" s="593">
        <f>VLOOKUP("Total",C283:O652,12,FALSE)</f>
        <v>1035.8599999999999</v>
      </c>
      <c r="T282" s="593" t="str">
        <f>VLOOKUP("Total",C283:O652,13,FALSE)</f>
        <v>M3</v>
      </c>
      <c r="U282" s="593"/>
      <c r="V282" s="596"/>
      <c r="W282" s="597"/>
      <c r="X282" s="597"/>
      <c r="Y282" s="597"/>
      <c r="Z282" s="597"/>
      <c r="AA282" s="600"/>
      <c r="AB282" s="598"/>
    </row>
    <row r="283" spans="1:28" x14ac:dyDescent="0.2">
      <c r="A283" s="655"/>
      <c r="B283" s="751"/>
      <c r="C283" s="342" t="s">
        <v>2</v>
      </c>
      <c r="D283" s="343"/>
      <c r="E283" s="340"/>
      <c r="F283" s="344"/>
      <c r="G283" s="343"/>
      <c r="H283" s="344"/>
      <c r="I283" s="344"/>
      <c r="J283" s="341"/>
      <c r="K283" s="345"/>
      <c r="L283" s="346"/>
      <c r="M283" s="347"/>
      <c r="N283" s="348">
        <v>1035.8599999999999</v>
      </c>
      <c r="O283" s="349" t="str">
        <f>IF(MID(B281,1,2)="LG",VLOOKUP(B281,Composições!J:M,4,FALSE),IF(MID(B281,1,1)="6",VLOOKUP(B281,transp.!$A$6:$K$35,3,FALSE),VLOOKUP(B281,'DER 11-20'!$A$1:$I$1981,3,FALSE)))</f>
        <v>M3</v>
      </c>
      <c r="P283" s="350"/>
      <c r="Q283" s="350"/>
      <c r="R283" s="656"/>
      <c r="S283" s="593">
        <f>VLOOKUP("Total",C284:O605,12,FALSE)</f>
        <v>539.41</v>
      </c>
      <c r="T283" s="593" t="str">
        <f>VLOOKUP("Total",C284:O605,13,FALSE)</f>
        <v>M3</v>
      </c>
      <c r="U283" s="593"/>
      <c r="V283" s="596"/>
      <c r="W283" s="597"/>
      <c r="X283" s="597"/>
      <c r="Y283" s="597"/>
      <c r="Z283" s="597"/>
      <c r="AA283" s="600"/>
      <c r="AB283" s="598"/>
    </row>
    <row r="284" spans="1:28" s="282" customFormat="1" ht="25.5" x14ac:dyDescent="0.2">
      <c r="A284" s="663" t="s">
        <v>347</v>
      </c>
      <c r="B284" s="898">
        <v>40303</v>
      </c>
      <c r="C284" s="335" t="str">
        <f>IF(MID(B284,1,2)="LG",VLOOKUP(B284,Composições!J:M,3,FALSE),IF(MID(B284,1,1)="6",VLOOKUP(B284,transp.!$A$4:$K$19,11,FALSE)&amp;" -  XP="&amp;TEXT(T284,"0.000")&amp;" / XR="&amp;TEXT(V284,"0.000"),VLOOKUP(B284,'DER 11-20'!$A$1:$I$1981,2,FALSE)))&amp;" - "&amp;TEXT(C285,"0.000")</f>
        <v>Reaterro de cavas c/ compactação mecânica (compactador manual) - (Implantação)</v>
      </c>
      <c r="D284" s="934" t="s">
        <v>7</v>
      </c>
      <c r="E284" s="935"/>
      <c r="F284" s="936"/>
      <c r="G284" s="934"/>
      <c r="H284" s="935"/>
      <c r="I284" s="936"/>
      <c r="J284" s="337" t="s">
        <v>266</v>
      </c>
      <c r="K284" s="644" t="s">
        <v>274</v>
      </c>
      <c r="L284" s="641" t="s">
        <v>271</v>
      </c>
      <c r="M284" s="645" t="s">
        <v>359</v>
      </c>
      <c r="N284" s="641" t="str">
        <f>CONCATENATE("Total (",IF(MID(B284,1,2)="LG",VLOOKUP(B284,Composições!J:M,4,FALSE),IF(MID(B284,1,1)="6","t",VLOOKUP(B284,'DER 11-20'!$A$1:$I$1981,3,FALSE))),")")</f>
        <v>Total (M3)</v>
      </c>
      <c r="O284" s="305"/>
      <c r="P284" s="307"/>
      <c r="Q284" s="307"/>
      <c r="R284" s="664"/>
      <c r="S284" s="593">
        <f>VLOOKUP("Total",C286:O606,12,FALSE)</f>
        <v>539.41</v>
      </c>
      <c r="T284" s="593" t="str">
        <f>VLOOKUP("Total",C286:O606,13,FALSE)</f>
        <v>M3</v>
      </c>
      <c r="U284" s="593"/>
      <c r="V284" s="596"/>
      <c r="W284" s="597"/>
      <c r="X284" s="597"/>
      <c r="Y284" s="597"/>
      <c r="Z284" s="597"/>
      <c r="AA284" s="600"/>
      <c r="AB284" s="598"/>
    </row>
    <row r="285" spans="1:28" x14ac:dyDescent="0.2">
      <c r="A285" s="653"/>
      <c r="B285" s="899"/>
      <c r="C285" s="599" t="s">
        <v>641</v>
      </c>
      <c r="D285" s="365"/>
      <c r="E285" s="458"/>
      <c r="G285" s="365"/>
      <c r="H285" s="458"/>
      <c r="J285" s="366"/>
      <c r="K285" s="338"/>
      <c r="L285" s="728"/>
      <c r="M285" s="291"/>
      <c r="N285" s="728"/>
      <c r="O285" s="595"/>
      <c r="P285" s="727"/>
      <c r="Q285" s="816"/>
      <c r="R285" s="654"/>
      <c r="S285" s="593">
        <f>VLOOKUP("Total",C286:O655,12,FALSE)</f>
        <v>539.41</v>
      </c>
      <c r="T285" s="593" t="str">
        <f>VLOOKUP("Total",C286:O655,13,FALSE)</f>
        <v>M3</v>
      </c>
      <c r="U285" s="593"/>
      <c r="V285" s="596"/>
      <c r="W285" s="597"/>
      <c r="X285" s="597"/>
      <c r="Y285" s="597"/>
      <c r="Z285" s="597"/>
      <c r="AA285" s="600"/>
      <c r="AB285" s="598"/>
    </row>
    <row r="286" spans="1:28" x14ac:dyDescent="0.2">
      <c r="A286" s="655"/>
      <c r="B286" s="751"/>
      <c r="C286" s="342" t="s">
        <v>2</v>
      </c>
      <c r="D286" s="343"/>
      <c r="E286" s="340"/>
      <c r="F286" s="344"/>
      <c r="G286" s="343"/>
      <c r="H286" s="344"/>
      <c r="I286" s="344"/>
      <c r="J286" s="341"/>
      <c r="K286" s="345"/>
      <c r="L286" s="346"/>
      <c r="M286" s="347"/>
      <c r="N286" s="348">
        <v>539.41</v>
      </c>
      <c r="O286" s="349" t="str">
        <f>IF(MID(B284,1,2)="LG",VLOOKUP(B284,Composições!J:M,4,FALSE),IF(MID(B284,1,1)="6",VLOOKUP(B284,transp.!$A$6:$K$35,3,FALSE),VLOOKUP(B284,'DER 11-20'!$A$1:$I$1981,3,FALSE)))</f>
        <v>M3</v>
      </c>
      <c r="P286" s="350"/>
      <c r="Q286" s="350"/>
      <c r="R286" s="656"/>
      <c r="S286" s="593">
        <f>VLOOKUP("Total",C287:O609,12,FALSE)</f>
        <v>327.39999999999998</v>
      </c>
      <c r="T286" s="593" t="str">
        <f>VLOOKUP("Total",C287:O609,13,FALSE)</f>
        <v>T</v>
      </c>
      <c r="U286" s="593"/>
      <c r="V286" s="596"/>
      <c r="W286" s="597"/>
      <c r="X286" s="597"/>
      <c r="Y286" s="597"/>
      <c r="Z286" s="597"/>
      <c r="AA286" s="600"/>
      <c r="AB286" s="598"/>
    </row>
    <row r="287" spans="1:28" s="549" customFormat="1" x14ac:dyDescent="0.2">
      <c r="A287" s="665"/>
      <c r="B287" s="896"/>
      <c r="C287" s="554"/>
      <c r="D287" s="555"/>
      <c r="E287" s="552"/>
      <c r="F287" s="550"/>
      <c r="G287" s="555"/>
      <c r="H287" s="550"/>
      <c r="I287" s="550"/>
      <c r="J287" s="553"/>
      <c r="K287" s="556"/>
      <c r="L287" s="551"/>
      <c r="M287" s="557"/>
      <c r="N287" s="546"/>
      <c r="O287" s="558"/>
      <c r="P287" s="559"/>
      <c r="Q287" s="559"/>
      <c r="R287" s="666"/>
      <c r="S287" s="593">
        <f>VLOOKUP("Total",C288:O609,12,FALSE)</f>
        <v>327.39999999999998</v>
      </c>
      <c r="T287" s="593" t="str">
        <f>VLOOKUP("Total",C288:O609,13,FALSE)</f>
        <v>T</v>
      </c>
      <c r="U287" s="593"/>
      <c r="V287" s="596"/>
      <c r="W287" s="597"/>
      <c r="X287" s="597"/>
      <c r="Y287" s="597"/>
      <c r="Z287" s="597"/>
      <c r="AA287" s="600"/>
      <c r="AB287" s="598"/>
    </row>
    <row r="288" spans="1:28" s="282" customFormat="1" ht="37.15" customHeight="1" x14ac:dyDescent="0.2">
      <c r="A288" s="663" t="s">
        <v>368</v>
      </c>
      <c r="B288" s="898">
        <v>60024</v>
      </c>
      <c r="C288" s="335" t="str">
        <f>IF(MID(B288,1,2)="LG",VLOOKUP(B288,Composições!J:M,3,FALSE),IF(MID(B288,1,1)="6",VLOOKUP(B288,transp.!$A$4:$K$19,11,FALSE)&amp;" -  XP="&amp;TEXT(Z288,"0,00")&amp;" / XR="&amp;TEXT(U288,"0,00"),VLOOKUP(B288,'DER 11-20'!$A$1:$I$1981,2,FALSE)))&amp;" - "&amp;TEXT(C289,"0.000")</f>
        <v>Transporte de materiais para DMT acima de 15 KM (Caminhão basculante)0,304XP+0,323XR+11,678 (Incluindo BDI= 23,32%) -  XP=17,60 / XR=3,14 - Transporte para bota fora</v>
      </c>
      <c r="D288" s="934" t="s">
        <v>7</v>
      </c>
      <c r="E288" s="935"/>
      <c r="F288" s="936"/>
      <c r="G288" s="934" t="s">
        <v>274</v>
      </c>
      <c r="H288" s="935"/>
      <c r="I288" s="936"/>
      <c r="J288" s="337" t="s">
        <v>266</v>
      </c>
      <c r="K288" s="602" t="s">
        <v>271</v>
      </c>
      <c r="L288" s="645" t="s">
        <v>359</v>
      </c>
      <c r="M288" s="640" t="s">
        <v>360</v>
      </c>
      <c r="N288" s="641" t="str">
        <f>CONCATENATE("Total (",IF(MID(B288,1,2)="LG",VLOOKUP(B288,Composições!J:M,4,FALSE),IF(MID(B288,1,1)="6","t",VLOOKUP(B288,'DER 11-20'!$A$1:$I$1981,3,FALSE))),")")</f>
        <v>Total (t)</v>
      </c>
      <c r="O288" s="305"/>
      <c r="P288" s="307"/>
      <c r="Q288" s="307"/>
      <c r="R288" s="664"/>
      <c r="S288" s="593">
        <f>VLOOKUP("Total",C290:O610,12,FALSE)</f>
        <v>327.39999999999998</v>
      </c>
      <c r="T288" s="593" t="str">
        <f>VLOOKUP("Total",C290:O610,13,FALSE)</f>
        <v>T</v>
      </c>
      <c r="U288" s="593">
        <f>+AB288/1000</f>
        <v>3.14</v>
      </c>
      <c r="V288" s="596">
        <f>W288*Z288+X288*U288+Y288</f>
        <v>18.04</v>
      </c>
      <c r="W288" s="597">
        <f>VLOOKUP(B288,transp.!A:J,8,FALSE)</f>
        <v>0.30399999999999999</v>
      </c>
      <c r="X288" s="597">
        <f>VLOOKUP(B288,transp.!A:J,9,FALSE)</f>
        <v>0.32300000000000001</v>
      </c>
      <c r="Y288" s="597">
        <f>VLOOKUP(B288,transp.!A:J,10,FALSE)</f>
        <v>11.678000000000001</v>
      </c>
      <c r="Z288" s="597">
        <f>AA288/1000</f>
        <v>17.600000000000001</v>
      </c>
      <c r="AA288" s="600">
        <v>17600</v>
      </c>
      <c r="AB288" s="598">
        <v>3140</v>
      </c>
    </row>
    <row r="289" spans="1:28" x14ac:dyDescent="0.2">
      <c r="A289" s="653"/>
      <c r="B289" s="899"/>
      <c r="C289" s="599" t="s">
        <v>642</v>
      </c>
      <c r="D289" s="365"/>
      <c r="E289" s="458"/>
      <c r="G289" s="365"/>
      <c r="H289" s="458"/>
      <c r="J289" s="366"/>
      <c r="K289" s="338"/>
      <c r="L289" s="728"/>
      <c r="M289" s="291"/>
      <c r="N289" s="728"/>
      <c r="O289" s="595"/>
      <c r="P289" s="727"/>
      <c r="Q289" s="816"/>
      <c r="R289" s="654"/>
      <c r="S289" s="593">
        <f>VLOOKUP("Total",C290:O659,12,FALSE)</f>
        <v>327.39999999999998</v>
      </c>
      <c r="T289" s="593" t="str">
        <f>VLOOKUP("Total",C290:O659,13,FALSE)</f>
        <v>T</v>
      </c>
      <c r="U289" s="593"/>
      <c r="V289" s="596"/>
      <c r="W289" s="597"/>
      <c r="X289" s="597"/>
      <c r="Y289" s="597"/>
      <c r="Z289" s="597"/>
      <c r="AA289" s="600"/>
      <c r="AB289" s="598"/>
    </row>
    <row r="290" spans="1:28" x14ac:dyDescent="0.2">
      <c r="A290" s="655"/>
      <c r="B290" s="751"/>
      <c r="C290" s="342" t="s">
        <v>2</v>
      </c>
      <c r="D290" s="343"/>
      <c r="E290" s="340"/>
      <c r="F290" s="344"/>
      <c r="G290" s="343"/>
      <c r="H290" s="344"/>
      <c r="I290" s="344"/>
      <c r="J290" s="341"/>
      <c r="K290" s="345"/>
      <c r="L290" s="346"/>
      <c r="M290" s="347"/>
      <c r="N290" s="348">
        <v>327.39999999999998</v>
      </c>
      <c r="O290" s="349" t="str">
        <f>IF(MID(B288,1,2)="LG",VLOOKUP(B288,Composições!J:M,4,FALSE),IF(MID(B288,1,1)="6",VLOOKUP(B288,transp.!$A$6:$K$35,3,FALSE),VLOOKUP(B288,'DER 11-20'!$A$1:$I$1981,3,FALSE)))</f>
        <v>T</v>
      </c>
      <c r="P290" s="350"/>
      <c r="Q290" s="350"/>
      <c r="R290" s="656"/>
      <c r="S290" s="593">
        <f>VLOOKUP("Total",C291:O613,12,FALSE)</f>
        <v>278.11</v>
      </c>
      <c r="T290" s="593" t="str">
        <f>VLOOKUP("Total",C291:O613,13,FALSE)</f>
        <v>T</v>
      </c>
      <c r="U290" s="593"/>
      <c r="V290" s="596"/>
      <c r="W290" s="597"/>
      <c r="X290" s="597"/>
      <c r="Y290" s="597"/>
      <c r="Z290" s="597"/>
      <c r="AA290" s="600"/>
      <c r="AB290" s="598"/>
    </row>
    <row r="291" spans="1:28" x14ac:dyDescent="0.2">
      <c r="A291" s="287"/>
      <c r="B291" s="890"/>
      <c r="C291" s="331"/>
      <c r="H291" s="285"/>
      <c r="N291" s="306"/>
      <c r="O291" s="332"/>
      <c r="P291" s="307"/>
      <c r="Q291" s="307"/>
      <c r="R291" s="659"/>
      <c r="S291" s="593">
        <f>VLOOKUP("Total",C292:O613,12,FALSE)</f>
        <v>278.11</v>
      </c>
      <c r="T291" s="593" t="str">
        <f>VLOOKUP("Total",C292:O613,13,FALSE)</f>
        <v>T</v>
      </c>
      <c r="U291" s="593"/>
      <c r="V291" s="596"/>
      <c r="W291" s="597"/>
      <c r="X291" s="597"/>
      <c r="Y291" s="597"/>
      <c r="Z291" s="597"/>
      <c r="AA291" s="600"/>
      <c r="AB291" s="598"/>
    </row>
    <row r="292" spans="1:28" s="282" customFormat="1" ht="38.25" x14ac:dyDescent="0.2">
      <c r="A292" s="668" t="s">
        <v>372</v>
      </c>
      <c r="B292" s="898">
        <v>60019</v>
      </c>
      <c r="C292" s="335" t="str">
        <f>IF(MID(B292,1,2)="LG",VLOOKUP(B292,Composições!J:M,3,FALSE),IF(MID(B292,1,1)="6",VLOOKUP(B292,transp.!$A$4:$K$21,11,FALSE)&amp;" -  XP="&amp;TEXT(Z292,"0,00")&amp;" / XR="&amp;TEXT(U292,"0,00"),VLOOKUP(B292,'DER 11-20'!$A$1:$I$1994,2,FALSE)))&amp;" - "&amp;TEXT(C293,"0.000")</f>
        <v>LOCAL COM DMT ATÉ 3,0 KM (Caminhão basculante)1,144XP+1,265XR+2,007 (Incluindo BDI= 23,32%) -  XP=0,00 / XR=2,18 - Material de empréstimo</v>
      </c>
      <c r="D292" s="934" t="s">
        <v>275</v>
      </c>
      <c r="E292" s="935"/>
      <c r="F292" s="936"/>
      <c r="G292" s="934" t="s">
        <v>276</v>
      </c>
      <c r="H292" s="935"/>
      <c r="I292" s="936"/>
      <c r="J292" s="337" t="s">
        <v>266</v>
      </c>
      <c r="K292" s="644"/>
      <c r="L292" s="641"/>
      <c r="M292" s="645"/>
      <c r="N292" s="641" t="str">
        <f>CONCATENATE("Total (",IF(MID(B292,1,2)="LG",VLOOKUP(B292,Composições!J:M,4,FALSE),IF(MID(B292,1,1)="6","t",VLOOKUP(B292,'DER 11-20'!$A$1:$I$1994,3,FALSE))),")")</f>
        <v>Total (t)</v>
      </c>
      <c r="O292" s="305"/>
      <c r="P292" s="307"/>
      <c r="Q292" s="307"/>
      <c r="R292" s="664"/>
      <c r="S292" s="593">
        <f>VLOOKUP("Total",C294:O613,12,FALSE)</f>
        <v>278.11</v>
      </c>
      <c r="T292" s="593" t="str">
        <f>VLOOKUP("Total",C294:O613,13,FALSE)</f>
        <v>T</v>
      </c>
      <c r="U292" s="593">
        <f>+AB292/1000</f>
        <v>2.1800000000000002</v>
      </c>
      <c r="V292" s="596">
        <f>W292*Z292+X292*U292+Y292</f>
        <v>4.76</v>
      </c>
      <c r="W292" s="597">
        <f>VLOOKUP(B292,transp.!A:J,8,FALSE)</f>
        <v>1.1439999999999999</v>
      </c>
      <c r="X292" s="597">
        <f>VLOOKUP(B292,transp.!A:J,9,FALSE)</f>
        <v>1.2649999999999999</v>
      </c>
      <c r="Y292" s="597">
        <f>VLOOKUP(B292,transp.!A:J,10,FALSE)</f>
        <v>2.0070000000000001</v>
      </c>
      <c r="Z292" s="597">
        <f>AA292/1000</f>
        <v>0</v>
      </c>
      <c r="AA292" s="600">
        <v>0</v>
      </c>
      <c r="AB292" s="598">
        <v>2180</v>
      </c>
    </row>
    <row r="293" spans="1:28" x14ac:dyDescent="0.2">
      <c r="A293" s="653"/>
      <c r="B293" s="899"/>
      <c r="C293" s="599" t="s">
        <v>643</v>
      </c>
      <c r="D293" s="365"/>
      <c r="E293" s="458"/>
      <c r="G293" s="365"/>
      <c r="H293" s="458"/>
      <c r="J293" s="366"/>
      <c r="K293" s="338"/>
      <c r="L293" s="728"/>
      <c r="M293" s="291"/>
      <c r="N293" s="728"/>
      <c r="O293" s="595"/>
      <c r="P293" s="727"/>
      <c r="Q293" s="816"/>
      <c r="R293" s="654"/>
      <c r="S293" s="593">
        <f>VLOOKUP("Total",C294:O663,12,FALSE)</f>
        <v>278.11</v>
      </c>
      <c r="T293" s="593" t="str">
        <f>VLOOKUP("Total",C294:O663,13,FALSE)</f>
        <v>T</v>
      </c>
      <c r="U293" s="593"/>
      <c r="V293" s="596"/>
      <c r="W293" s="597"/>
      <c r="X293" s="597"/>
      <c r="Y293" s="597"/>
      <c r="Z293" s="597"/>
      <c r="AA293" s="600"/>
      <c r="AB293" s="598"/>
    </row>
    <row r="294" spans="1:28" x14ac:dyDescent="0.2">
      <c r="A294" s="655"/>
      <c r="B294" s="751"/>
      <c r="C294" s="342" t="s">
        <v>2</v>
      </c>
      <c r="D294" s="343"/>
      <c r="E294" s="340"/>
      <c r="F294" s="344"/>
      <c r="G294" s="343"/>
      <c r="H294" s="344"/>
      <c r="I294" s="344"/>
      <c r="J294" s="341"/>
      <c r="K294" s="345"/>
      <c r="L294" s="346"/>
      <c r="M294" s="347"/>
      <c r="N294" s="348">
        <v>278.11</v>
      </c>
      <c r="O294" s="349" t="str">
        <f>IF(MID(B292,1,2)="LG",VLOOKUP(B292,Composições!J:M,4,FALSE),IF(MID(B292,1,1)="6",VLOOKUP(B292,transp.!$A$6:$K$27,3,FALSE),VLOOKUP(B292,'DER 11-20'!$A$1:$I$1994,3,FALSE)))</f>
        <v>T</v>
      </c>
      <c r="P294" s="350"/>
      <c r="Q294" s="350"/>
      <c r="R294" s="656"/>
      <c r="S294" s="593">
        <f>VLOOKUP("Total",C295:O613,12,FALSE)</f>
        <v>214.74</v>
      </c>
      <c r="T294" s="593" t="str">
        <f>VLOOKUP("Total",C295:O613,13,FALSE)</f>
        <v>M3</v>
      </c>
      <c r="U294" s="593"/>
      <c r="V294" s="596"/>
      <c r="W294" s="597"/>
      <c r="X294" s="597"/>
      <c r="Y294" s="597"/>
      <c r="Z294" s="597"/>
      <c r="AA294" s="600"/>
      <c r="AB294" s="598"/>
    </row>
    <row r="295" spans="1:28" x14ac:dyDescent="0.2">
      <c r="A295" s="287"/>
      <c r="B295" s="890"/>
      <c r="C295" s="331"/>
      <c r="H295" s="285"/>
      <c r="N295" s="306"/>
      <c r="O295" s="332"/>
      <c r="P295" s="307"/>
      <c r="Q295" s="307"/>
      <c r="R295" s="659"/>
      <c r="S295" s="593">
        <f>VLOOKUP("Total",C296:O613,12,FALSE)</f>
        <v>214.74</v>
      </c>
      <c r="T295" s="593" t="str">
        <f>VLOOKUP("Total",C296:O613,13,FALSE)</f>
        <v>M3</v>
      </c>
      <c r="U295" s="593"/>
      <c r="V295" s="596"/>
      <c r="W295" s="597"/>
      <c r="X295" s="597"/>
      <c r="Y295" s="597"/>
      <c r="Z295" s="597"/>
      <c r="AA295" s="600"/>
      <c r="AB295" s="598"/>
    </row>
    <row r="296" spans="1:28" s="282" customFormat="1" ht="25.5" x14ac:dyDescent="0.2">
      <c r="A296" s="652" t="s">
        <v>493</v>
      </c>
      <c r="B296" s="898">
        <v>40283</v>
      </c>
      <c r="C296" s="335" t="str">
        <f>IF(MID(B296,1,2)="LG",VLOOKUP(B296,Composições!J:M,3,FALSE),IF(MID(B296,1,1)="6",VLOOKUP(B296,transp.!$A$4:$K$21,11,FALSE)&amp;" -  XP="&amp;TEXT(T296,"0,000")&amp;" / XR="&amp;TEXT(V296,"0,000"),VLOOKUP(B296,'DER 11-20'!$A$1:$I$1994,2,FALSE)))&amp;" - "&amp;TEXT(C297,"0.000")</f>
        <v>Escavação mecânica em material de 1ª cat. H= 1,50 a 3,00 m - (Demolição)</v>
      </c>
      <c r="D296" s="934" t="s">
        <v>275</v>
      </c>
      <c r="E296" s="935"/>
      <c r="F296" s="936"/>
      <c r="G296" s="934" t="s">
        <v>276</v>
      </c>
      <c r="H296" s="935"/>
      <c r="I296" s="936"/>
      <c r="J296" s="337" t="s">
        <v>266</v>
      </c>
      <c r="K296" s="644"/>
      <c r="L296" s="641"/>
      <c r="M296" s="645"/>
      <c r="N296" s="641" t="str">
        <f>CONCATENATE("Total (",IF(MID(B296,1,2)="LG",VLOOKUP(B296,Composições!J:M,4,FALSE),IF(MID(B296,1,1)="6","t",VLOOKUP(B296,'DER 11-20'!$A$1:$I$1994,3,FALSE))),")")</f>
        <v>Total (M3)</v>
      </c>
      <c r="O296" s="305"/>
      <c r="P296" s="937" t="s">
        <v>277</v>
      </c>
      <c r="Q296" s="938"/>
      <c r="R296" s="658"/>
      <c r="S296" s="593">
        <f>VLOOKUP("Total",C298:O613,12,FALSE)</f>
        <v>214.74</v>
      </c>
      <c r="T296" s="593" t="str">
        <f>VLOOKUP("Total",C298:O613,13,FALSE)</f>
        <v>M3</v>
      </c>
      <c r="U296" s="593"/>
      <c r="V296" s="596"/>
      <c r="W296" s="597"/>
      <c r="X296" s="597"/>
      <c r="Y296" s="597"/>
      <c r="Z296" s="597"/>
      <c r="AA296" s="600"/>
      <c r="AB296" s="598"/>
    </row>
    <row r="297" spans="1:28" x14ac:dyDescent="0.2">
      <c r="A297" s="653"/>
      <c r="B297" s="899"/>
      <c r="C297" s="599" t="s">
        <v>644</v>
      </c>
      <c r="D297" s="365"/>
      <c r="E297" s="458"/>
      <c r="G297" s="365"/>
      <c r="H297" s="458"/>
      <c r="J297" s="366"/>
      <c r="K297" s="338"/>
      <c r="L297" s="728"/>
      <c r="M297" s="291"/>
      <c r="N297" s="728"/>
      <c r="O297" s="595"/>
      <c r="P297" s="727"/>
      <c r="Q297" s="816"/>
      <c r="R297" s="654"/>
      <c r="S297" s="593">
        <f>VLOOKUP("Total",C298:O666,12,FALSE)</f>
        <v>214.74</v>
      </c>
      <c r="T297" s="593" t="str">
        <f>VLOOKUP("Total",C298:O666,13,FALSE)</f>
        <v>M3</v>
      </c>
      <c r="U297" s="593"/>
      <c r="V297" s="596"/>
      <c r="W297" s="597"/>
      <c r="X297" s="597"/>
      <c r="Y297" s="597"/>
      <c r="Z297" s="597"/>
      <c r="AA297" s="600"/>
      <c r="AB297" s="598"/>
    </row>
    <row r="298" spans="1:28" x14ac:dyDescent="0.2">
      <c r="A298" s="655"/>
      <c r="B298" s="751"/>
      <c r="C298" s="342" t="s">
        <v>2</v>
      </c>
      <c r="D298" s="343"/>
      <c r="E298" s="340"/>
      <c r="F298" s="344"/>
      <c r="G298" s="343"/>
      <c r="H298" s="344"/>
      <c r="I298" s="344"/>
      <c r="J298" s="341"/>
      <c r="K298" s="345"/>
      <c r="L298" s="346"/>
      <c r="M298" s="347"/>
      <c r="N298" s="348">
        <v>214.74</v>
      </c>
      <c r="O298" s="349" t="str">
        <f>IF(MID(B296,1,2)="LG",VLOOKUP(B296,Composições!J:M,4,FALSE),IF(MID(B296,1,1)="6",VLOOKUP(B296,transp.!$A$6:$K$27,3,FALSE),VLOOKUP(B296,'DER 11-20'!$A$1:$I$1994,3,FALSE)))</f>
        <v>M3</v>
      </c>
      <c r="P298" s="350"/>
      <c r="Q298" s="350"/>
      <c r="R298" s="656"/>
      <c r="S298" s="593">
        <f>VLOOKUP("Total",C299:O613,12,FALSE)</f>
        <v>298.83</v>
      </c>
      <c r="T298" s="593" t="str">
        <f>VLOOKUP("Total",C299:O613,13,FALSE)</f>
        <v>M3</v>
      </c>
      <c r="U298" s="593"/>
      <c r="V298" s="596"/>
      <c r="W298" s="597"/>
      <c r="X298" s="597"/>
      <c r="Y298" s="597"/>
      <c r="Z298" s="597"/>
      <c r="AA298" s="600"/>
      <c r="AB298" s="598"/>
    </row>
    <row r="299" spans="1:28" x14ac:dyDescent="0.2">
      <c r="A299" s="287"/>
      <c r="B299" s="890"/>
      <c r="C299" s="331"/>
      <c r="H299" s="285"/>
      <c r="N299" s="306"/>
      <c r="O299" s="332"/>
      <c r="P299" s="307"/>
      <c r="Q299" s="307"/>
      <c r="R299" s="659"/>
      <c r="S299" s="593">
        <f>VLOOKUP("Total",C300:O613,12,FALSE)</f>
        <v>298.83</v>
      </c>
      <c r="T299" s="593" t="str">
        <f>VLOOKUP("Total",C300:O613,13,FALSE)</f>
        <v>M3</v>
      </c>
      <c r="U299" s="593"/>
      <c r="V299" s="596"/>
      <c r="W299" s="597"/>
      <c r="X299" s="597"/>
      <c r="Y299" s="597"/>
      <c r="Z299" s="597"/>
      <c r="AA299" s="600"/>
      <c r="AB299" s="598"/>
    </row>
    <row r="300" spans="1:28" s="282" customFormat="1" ht="28.5" customHeight="1" x14ac:dyDescent="0.2">
      <c r="A300" s="652" t="s">
        <v>494</v>
      </c>
      <c r="B300" s="898">
        <v>40303</v>
      </c>
      <c r="C300" s="335" t="str">
        <f>IF(MID(B300,1,2)="LG",VLOOKUP(B300,Composições!J:M,3,FALSE),IF(MID(B300,1,1)="6",VLOOKUP(B300,transp.!$A$4:$K$21,11,FALSE)&amp;" -  XP="&amp;TEXT(T300,"0,000")&amp;" / XR="&amp;TEXT(V300,"0,000"),VLOOKUP(B300,'DER 11-20'!$A$1:$I$1994,2,FALSE)))&amp;" - "&amp;TEXT(C301,"0.000")</f>
        <v>Reaterro de cavas c/ compactação mecânica (compactador manual) - (Demolição)</v>
      </c>
      <c r="D300" s="934" t="s">
        <v>275</v>
      </c>
      <c r="E300" s="935"/>
      <c r="F300" s="936"/>
      <c r="G300" s="934" t="s">
        <v>276</v>
      </c>
      <c r="H300" s="935"/>
      <c r="I300" s="936"/>
      <c r="J300" s="337" t="s">
        <v>266</v>
      </c>
      <c r="K300" s="644"/>
      <c r="L300" s="641"/>
      <c r="M300" s="645"/>
      <c r="N300" s="641" t="str">
        <f>CONCATENATE("Total (",IF(MID(B300,1,2)="LG",VLOOKUP(B300,Composições!J:M,4,FALSE),IF(MID(B300,1,1)="6","t",VLOOKUP(B300,'DER 11-20'!$A$1:$I$1994,3,FALSE))),")")</f>
        <v>Total (M3)</v>
      </c>
      <c r="O300" s="305"/>
      <c r="P300" s="937" t="s">
        <v>277</v>
      </c>
      <c r="Q300" s="938"/>
      <c r="R300" s="658"/>
      <c r="S300" s="593">
        <f>VLOOKUP("Total",C302:O613,12,FALSE)</f>
        <v>298.83</v>
      </c>
      <c r="T300" s="593" t="str">
        <f>VLOOKUP("Total",C302:O613,13,FALSE)</f>
        <v>M3</v>
      </c>
      <c r="U300" s="593"/>
      <c r="V300" s="596"/>
      <c r="W300" s="597"/>
      <c r="X300" s="597"/>
      <c r="Y300" s="597"/>
      <c r="Z300" s="597"/>
      <c r="AA300" s="600"/>
      <c r="AB300" s="598"/>
    </row>
    <row r="301" spans="1:28" x14ac:dyDescent="0.2">
      <c r="A301" s="653"/>
      <c r="B301" s="899"/>
      <c r="C301" s="599" t="s">
        <v>644</v>
      </c>
      <c r="D301" s="365"/>
      <c r="E301" s="458"/>
      <c r="G301" s="365"/>
      <c r="H301" s="458"/>
      <c r="J301" s="366"/>
      <c r="K301" s="338"/>
      <c r="L301" s="728"/>
      <c r="M301" s="291"/>
      <c r="N301" s="728"/>
      <c r="O301" s="595"/>
      <c r="P301" s="727"/>
      <c r="Q301" s="816"/>
      <c r="R301" s="654"/>
      <c r="S301" s="593">
        <f>VLOOKUP("Total",C302:O670,12,FALSE)</f>
        <v>298.83</v>
      </c>
      <c r="T301" s="593" t="str">
        <f>VLOOKUP("Total",C302:O670,13,FALSE)</f>
        <v>M3</v>
      </c>
      <c r="U301" s="593"/>
      <c r="V301" s="596"/>
      <c r="W301" s="597"/>
      <c r="X301" s="597"/>
      <c r="Y301" s="597"/>
      <c r="Z301" s="597"/>
      <c r="AA301" s="600"/>
      <c r="AB301" s="598"/>
    </row>
    <row r="302" spans="1:28" x14ac:dyDescent="0.2">
      <c r="A302" s="655"/>
      <c r="B302" s="751"/>
      <c r="C302" s="342" t="s">
        <v>2</v>
      </c>
      <c r="D302" s="343"/>
      <c r="E302" s="340"/>
      <c r="F302" s="344"/>
      <c r="G302" s="343"/>
      <c r="H302" s="344"/>
      <c r="I302" s="344"/>
      <c r="J302" s="341"/>
      <c r="K302" s="345"/>
      <c r="L302" s="346"/>
      <c r="M302" s="347"/>
      <c r="N302" s="348">
        <v>298.83</v>
      </c>
      <c r="O302" s="349" t="str">
        <f>IF(MID(B300,1,2)="LG",VLOOKUP(B300,Composições!J:M,4,FALSE),IF(MID(B300,1,1)="6",VLOOKUP(B300,transp.!$A$6:$K$27,3,FALSE),VLOOKUP(B300,'DER 11-20'!$A$1:$I$1994,3,FALSE)))</f>
        <v>M3</v>
      </c>
      <c r="P302" s="350"/>
      <c r="Q302" s="350"/>
      <c r="R302" s="656"/>
      <c r="S302" s="593">
        <f>VLOOKUP("Total",C310:O613,12,FALSE)</f>
        <v>56.17</v>
      </c>
      <c r="T302" s="593" t="str">
        <f>VLOOKUP("Total",C310:O613,13,FALSE)</f>
        <v>M3</v>
      </c>
      <c r="U302" s="593"/>
      <c r="V302" s="596"/>
      <c r="W302" s="597"/>
      <c r="X302" s="597"/>
      <c r="Y302" s="597"/>
      <c r="Z302" s="597"/>
      <c r="AA302" s="600"/>
      <c r="AB302" s="598"/>
    </row>
    <row r="303" spans="1:28" x14ac:dyDescent="0.2">
      <c r="A303" s="287"/>
      <c r="B303" s="890"/>
      <c r="C303" s="331"/>
      <c r="H303" s="285"/>
      <c r="N303" s="306"/>
      <c r="O303" s="332"/>
      <c r="P303" s="307"/>
      <c r="Q303" s="307"/>
      <c r="R303" s="659"/>
      <c r="S303" s="593">
        <f>VLOOKUP("Total",C304:O613,12,FALSE)</f>
        <v>280.12</v>
      </c>
      <c r="T303" s="593" t="str">
        <f>VLOOKUP("Total",C304:O613,13,FALSE)</f>
        <v>T</v>
      </c>
      <c r="U303" s="593"/>
      <c r="V303" s="596"/>
      <c r="W303" s="597"/>
      <c r="X303" s="597"/>
      <c r="Y303" s="597"/>
      <c r="Z303" s="597"/>
      <c r="AA303" s="600"/>
      <c r="AB303" s="598"/>
    </row>
    <row r="304" spans="1:28" ht="38.25" x14ac:dyDescent="0.2">
      <c r="A304" s="663" t="s">
        <v>495</v>
      </c>
      <c r="B304" s="898">
        <v>60019</v>
      </c>
      <c r="C304" s="335" t="str">
        <f>IF(MID(B304,1,2)="LG",VLOOKUP(B304,Composições!J:M,3,FALSE),IF(MID(B304,1,1)="6",VLOOKUP(B304,transp.!$A$4:$K$19,11,FALSE)&amp;" -  XP="&amp;TEXT(Z304,"0,00")&amp;" / XR="&amp;TEXT(U304,"0,00"),VLOOKUP(B304,'DER 11-20'!$A$1:$I$1981,2,FALSE)))</f>
        <v>LOCAL COM DMT ATÉ 3,0 KM (Caminhão basculante)1,144XP+1,265XR+2,007 (Incluindo BDI= 23,32%) -  XP=0,00 / XR=0,86</v>
      </c>
      <c r="D304" s="934" t="s">
        <v>7</v>
      </c>
      <c r="E304" s="935"/>
      <c r="F304" s="936"/>
      <c r="G304" s="934"/>
      <c r="H304" s="935"/>
      <c r="I304" s="936"/>
      <c r="J304" s="337"/>
      <c r="K304" s="644"/>
      <c r="L304" s="641"/>
      <c r="M304" s="645"/>
      <c r="N304" s="641" t="str">
        <f>CONCATENATE("Total (",IF(MID(B304,1,2)="LG",VLOOKUP(B304,Composições!J:M,4,FALSE),IF(MID(B304,1,1)="6","t",VLOOKUP(B304,'DER 11-20'!$A$1:$I$1981,3,FALSE))),")")</f>
        <v>Total (t)</v>
      </c>
      <c r="O304" s="305"/>
      <c r="P304" s="307"/>
      <c r="Q304" s="307"/>
      <c r="R304" s="664"/>
      <c r="S304" s="593">
        <f>VLOOKUP("Total",C305:O613,12,FALSE)</f>
        <v>280.12</v>
      </c>
      <c r="T304" s="593" t="str">
        <f>VLOOKUP("Total",C305:O613,13,FALSE)</f>
        <v>T</v>
      </c>
      <c r="U304" s="593">
        <f t="shared" ref="U304:U315" si="2">+AB304/1000</f>
        <v>0.86</v>
      </c>
      <c r="V304" s="596">
        <f t="shared" ref="V304:V315" si="3">W304*Z304+X304*U304+Y304</f>
        <v>3.09</v>
      </c>
      <c r="W304" s="597">
        <f>VLOOKUP(B304,transp.!A:J,8,FALSE)</f>
        <v>1.1439999999999999</v>
      </c>
      <c r="X304" s="597">
        <f>VLOOKUP(B304,transp.!A:J,9,FALSE)</f>
        <v>1.2649999999999999</v>
      </c>
      <c r="Y304" s="597">
        <f>VLOOKUP(B304,transp.!A:J,10,FALSE)</f>
        <v>2.0070000000000001</v>
      </c>
      <c r="Z304" s="597">
        <f t="shared" ref="Z304:Z315" si="4">AA304/1000</f>
        <v>0</v>
      </c>
      <c r="AA304" s="600">
        <v>0</v>
      </c>
      <c r="AB304" s="598">
        <v>860</v>
      </c>
    </row>
    <row r="305" spans="1:28" x14ac:dyDescent="0.2">
      <c r="A305" s="655"/>
      <c r="B305" s="751"/>
      <c r="C305" s="342" t="s">
        <v>2</v>
      </c>
      <c r="D305" s="343"/>
      <c r="E305" s="340"/>
      <c r="F305" s="344"/>
      <c r="G305" s="343"/>
      <c r="H305" s="344"/>
      <c r="I305" s="344"/>
      <c r="J305" s="341"/>
      <c r="K305" s="345"/>
      <c r="L305" s="346"/>
      <c r="M305" s="347"/>
      <c r="N305" s="348">
        <v>280.12</v>
      </c>
      <c r="O305" s="349" t="str">
        <f>IF(MID(B304,1,2)="LG",VLOOKUP(B304,Composições!J:M,4,FALSE),IF(MID(B304,1,1)="6",VLOOKUP(B304,transp.!$A$6:$K$35,3,FALSE),VLOOKUP(B304,'DER 11-20'!$A$1:$I$1981,3,FALSE)))</f>
        <v>T</v>
      </c>
      <c r="P305" s="350"/>
      <c r="Q305" s="350"/>
      <c r="R305" s="656"/>
      <c r="S305" s="593">
        <f>VLOOKUP("Total",C306:O613,12,FALSE)</f>
        <v>54.62</v>
      </c>
      <c r="T305" s="593" t="str">
        <f>VLOOKUP("Total",C306:O613,13,FALSE)</f>
        <v>T</v>
      </c>
      <c r="U305" s="593"/>
      <c r="V305" s="596"/>
      <c r="W305" s="597"/>
      <c r="X305" s="597"/>
      <c r="Y305" s="597"/>
      <c r="Z305" s="597"/>
      <c r="AA305" s="600"/>
      <c r="AB305" s="598"/>
    </row>
    <row r="306" spans="1:28" x14ac:dyDescent="0.2">
      <c r="A306" s="668"/>
      <c r="B306" s="898"/>
      <c r="C306" s="603"/>
      <c r="D306" s="603"/>
      <c r="E306" s="308"/>
      <c r="F306" s="604"/>
      <c r="G306" s="603"/>
      <c r="H306" s="604"/>
      <c r="I306" s="604"/>
      <c r="J306" s="564"/>
      <c r="L306" s="306"/>
      <c r="N306" s="306"/>
      <c r="O306" s="305"/>
      <c r="P306" s="307"/>
      <c r="Q306" s="307"/>
      <c r="R306" s="664"/>
      <c r="S306" s="593">
        <f>VLOOKUP("Total",C307:O613,12,FALSE)</f>
        <v>54.62</v>
      </c>
      <c r="T306" s="593" t="str">
        <f>VLOOKUP("Total",C307:O613,13,FALSE)</f>
        <v>T</v>
      </c>
      <c r="U306" s="593"/>
      <c r="V306" s="596"/>
      <c r="W306" s="597"/>
      <c r="X306" s="597"/>
      <c r="Y306" s="597"/>
      <c r="Z306" s="597"/>
      <c r="AA306" s="600"/>
      <c r="AB306" s="598"/>
    </row>
    <row r="307" spans="1:28" ht="38.25" x14ac:dyDescent="0.2">
      <c r="A307" s="668" t="s">
        <v>496</v>
      </c>
      <c r="B307" s="898">
        <v>60024</v>
      </c>
      <c r="C307" s="335" t="str">
        <f>IF(MID(B307,1,2)="LG",VLOOKUP(B307,Composições!J:M,3,FALSE),IF(MID(B307,1,1)="6",VLOOKUP(B307,transp.!$A$4:$K$21,11,FALSE)&amp;" -  XP="&amp;TEXT(Z307,"0,000")&amp;" / XR="&amp;TEXT(U307,"0,000"),VLOOKUP(B307,'DER 11-20'!$A$1:$I$1994,2,FALSE)))&amp;" - "&amp;TEXT(C308,"0.000")</f>
        <v>Transporte de materiais para DMT acima de 15 KM (Caminhão basculante)0,304XP+0,323XR+11,678 (Incluindo BDI= 23,32%) -  XP=17,600 / XR=3,240 - Transporte para bota fora</v>
      </c>
      <c r="D307" s="603"/>
      <c r="E307" s="308"/>
      <c r="F307" s="604"/>
      <c r="G307" s="603"/>
      <c r="H307" s="604"/>
      <c r="I307" s="604"/>
      <c r="J307" s="564"/>
      <c r="K307" s="644"/>
      <c r="L307" s="641"/>
      <c r="M307" s="645"/>
      <c r="N307" s="641" t="str">
        <f>CONCATENATE("Total (",IF(MID(B307,1,2)="LG",VLOOKUP(B307,Composições!J:M,4,FALSE),IF(MID(B307,1,1)="6","t",VLOOKUP(B307,'DER 11-20'!$A$1:$I$1994,3,FALSE))),")")</f>
        <v>Total (t)</v>
      </c>
      <c r="O307" s="305"/>
      <c r="P307" s="937" t="s">
        <v>277</v>
      </c>
      <c r="Q307" s="938"/>
      <c r="R307" s="664"/>
      <c r="S307" s="593">
        <f>VLOOKUP("Total",C309:O613,12,FALSE)</f>
        <v>54.62</v>
      </c>
      <c r="T307" s="593" t="str">
        <f>VLOOKUP("Total",C309:O613,13,FALSE)</f>
        <v>T</v>
      </c>
      <c r="U307" s="593">
        <f t="shared" si="2"/>
        <v>3.24</v>
      </c>
      <c r="V307" s="596">
        <f t="shared" si="3"/>
        <v>18.07</v>
      </c>
      <c r="W307" s="597">
        <f>VLOOKUP(B307,transp.!A:J,8,FALSE)</f>
        <v>0.30399999999999999</v>
      </c>
      <c r="X307" s="597">
        <f>VLOOKUP(B307,transp.!A:J,9,FALSE)</f>
        <v>0.32300000000000001</v>
      </c>
      <c r="Y307" s="597">
        <f>VLOOKUP(B307,transp.!A:J,10,FALSE)</f>
        <v>11.678000000000001</v>
      </c>
      <c r="Z307" s="597">
        <f t="shared" si="4"/>
        <v>17.600000000000001</v>
      </c>
      <c r="AA307" s="600">
        <v>17600</v>
      </c>
      <c r="AB307" s="598">
        <v>3240</v>
      </c>
    </row>
    <row r="308" spans="1:28" x14ac:dyDescent="0.2">
      <c r="A308" s="653"/>
      <c r="B308" s="899"/>
      <c r="C308" s="599" t="s">
        <v>642</v>
      </c>
      <c r="D308" s="365"/>
      <c r="E308" s="458"/>
      <c r="G308" s="365"/>
      <c r="H308" s="458"/>
      <c r="J308" s="366"/>
      <c r="K308" s="338"/>
      <c r="L308" s="728"/>
      <c r="M308" s="291"/>
      <c r="N308" s="728"/>
      <c r="O308" s="595"/>
      <c r="P308" s="727"/>
      <c r="Q308" s="816"/>
      <c r="R308" s="654"/>
      <c r="S308" s="593">
        <f>VLOOKUP("Total",C309:O678,12,FALSE)</f>
        <v>54.62</v>
      </c>
      <c r="T308" s="593" t="str">
        <f>VLOOKUP("Total",C309:O678,13,FALSE)</f>
        <v>T</v>
      </c>
      <c r="U308" s="593"/>
      <c r="V308" s="596"/>
      <c r="W308" s="597"/>
      <c r="X308" s="597"/>
      <c r="Y308" s="597"/>
      <c r="Z308" s="597"/>
      <c r="AA308" s="600"/>
      <c r="AB308" s="598"/>
    </row>
    <row r="309" spans="1:28" x14ac:dyDescent="0.2">
      <c r="A309" s="655"/>
      <c r="B309" s="751"/>
      <c r="C309" s="342" t="s">
        <v>2</v>
      </c>
      <c r="D309" s="343"/>
      <c r="E309" s="340"/>
      <c r="F309" s="344"/>
      <c r="G309" s="343"/>
      <c r="H309" s="344"/>
      <c r="I309" s="344"/>
      <c r="J309" s="341"/>
      <c r="K309" s="345"/>
      <c r="L309" s="346"/>
      <c r="M309" s="347"/>
      <c r="N309" s="348">
        <v>54.62</v>
      </c>
      <c r="O309" s="349" t="str">
        <f>IF(MID(B307,1,2)="LG",VLOOKUP(B307,Composições!J:M,4,FALSE),IF(MID(B307,1,1)="6",VLOOKUP(B307,transp.!$A$6:$K$27,3,FALSE),VLOOKUP(B307,'DER 11-20'!$A$1:$I$1994,3,FALSE)))</f>
        <v>T</v>
      </c>
      <c r="P309" s="350"/>
      <c r="Q309" s="350"/>
      <c r="R309" s="656"/>
      <c r="S309" s="593">
        <f>VLOOKUP("Total",C337:O613,12,FALSE)</f>
        <v>52</v>
      </c>
      <c r="T309" s="593" t="str">
        <f>VLOOKUP("Total",C337:O613,13,FALSE)</f>
        <v>M</v>
      </c>
      <c r="U309" s="593"/>
      <c r="V309" s="596"/>
      <c r="W309" s="597"/>
      <c r="X309" s="597"/>
      <c r="Y309" s="597"/>
      <c r="Z309" s="597"/>
      <c r="AA309" s="600"/>
      <c r="AB309" s="598"/>
    </row>
    <row r="310" spans="1:28" x14ac:dyDescent="0.2">
      <c r="A310" s="287"/>
      <c r="B310" s="890"/>
      <c r="C310" s="331"/>
      <c r="H310" s="285"/>
      <c r="N310" s="306"/>
      <c r="O310" s="332"/>
      <c r="P310" s="307"/>
      <c r="Q310" s="307"/>
      <c r="R310" s="659"/>
      <c r="S310" s="593">
        <f>VLOOKUP("Total",C311:O613,12,FALSE)</f>
        <v>56.17</v>
      </c>
      <c r="T310" s="593" t="str">
        <f>VLOOKUP("Total",C311:O613,13,FALSE)</f>
        <v>M3</v>
      </c>
      <c r="U310" s="593"/>
      <c r="V310" s="596"/>
      <c r="W310" s="597"/>
      <c r="X310" s="597"/>
      <c r="Y310" s="597"/>
      <c r="Z310" s="597"/>
      <c r="AA310" s="600"/>
      <c r="AB310" s="598"/>
    </row>
    <row r="311" spans="1:28" s="282" customFormat="1" ht="25.5" x14ac:dyDescent="0.2">
      <c r="A311" s="663" t="s">
        <v>497</v>
      </c>
      <c r="B311" s="898">
        <v>40283</v>
      </c>
      <c r="C311" s="335" t="str">
        <f>IF(MID(B311,1,2)="LG",VLOOKUP(B311,Composições!J:M,3,FALSE),IF(MID(B311,1,1)="6",VLOOKUP(B311,transp.!$A$4:$K$19,11,FALSE)&amp;" -  XP="&amp;TEXT(T311,"0.000")&amp;" / XR="&amp;TEXT(V311,"0.000"),VLOOKUP(B311,'DER 11-20'!$A$1:$I$1981,2,FALSE)))&amp;" - "&amp;TEXT(C312,"0.000")</f>
        <v>Escavação mecânica em material de 1ª cat. H= 1,50 a 3,00 m - Envelopamento de tubos</v>
      </c>
      <c r="D311" s="934" t="s">
        <v>7</v>
      </c>
      <c r="E311" s="935"/>
      <c r="F311" s="936"/>
      <c r="G311" s="934"/>
      <c r="H311" s="935"/>
      <c r="I311" s="936"/>
      <c r="J311" s="337"/>
      <c r="K311" s="602"/>
      <c r="L311" s="645"/>
      <c r="M311" s="640"/>
      <c r="N311" s="641" t="str">
        <f>CONCATENATE("Total (",IF(MID(B311,1,2)="LG",VLOOKUP(B311,Composições!J:M,4,FALSE),IF(MID(B311,1,1)="6","t",VLOOKUP(B311,'DER 11-20'!$A$1:$I$1981,3,FALSE))),")")</f>
        <v>Total (M3)</v>
      </c>
      <c r="O311" s="305"/>
      <c r="P311" s="307"/>
      <c r="Q311" s="307"/>
      <c r="R311" s="664"/>
      <c r="S311" s="593">
        <f>VLOOKUP("Total",C313:O613,12,FALSE)</f>
        <v>56.17</v>
      </c>
      <c r="T311" s="593" t="str">
        <f>VLOOKUP("Total",C313:O613,13,FALSE)</f>
        <v>M3</v>
      </c>
      <c r="U311" s="593"/>
      <c r="V311" s="596"/>
      <c r="W311" s="597"/>
      <c r="X311" s="597"/>
      <c r="Y311" s="597"/>
      <c r="Z311" s="597"/>
      <c r="AA311" s="600"/>
      <c r="AB311" s="598"/>
    </row>
    <row r="312" spans="1:28" x14ac:dyDescent="0.2">
      <c r="A312" s="653"/>
      <c r="B312" s="899"/>
      <c r="C312" s="599" t="s">
        <v>645</v>
      </c>
      <c r="D312" s="365"/>
      <c r="E312" s="458"/>
      <c r="G312" s="365"/>
      <c r="H312" s="458"/>
      <c r="J312" s="366"/>
      <c r="K312" s="338"/>
      <c r="L312" s="728"/>
      <c r="M312" s="291"/>
      <c r="N312" s="728"/>
      <c r="O312" s="595"/>
      <c r="P312" s="727"/>
      <c r="Q312" s="816"/>
      <c r="R312" s="654"/>
      <c r="S312" s="593">
        <f>VLOOKUP("Total",C313:O681,12,FALSE)</f>
        <v>56.17</v>
      </c>
      <c r="T312" s="593" t="str">
        <f>VLOOKUP("Total",C313:O681,13,FALSE)</f>
        <v>M3</v>
      </c>
      <c r="U312" s="593"/>
      <c r="V312" s="596"/>
      <c r="W312" s="597"/>
      <c r="X312" s="597"/>
      <c r="Y312" s="597"/>
      <c r="Z312" s="597"/>
      <c r="AA312" s="600"/>
      <c r="AB312" s="598"/>
    </row>
    <row r="313" spans="1:28" x14ac:dyDescent="0.2">
      <c r="A313" s="655"/>
      <c r="B313" s="751"/>
      <c r="C313" s="342" t="s">
        <v>2</v>
      </c>
      <c r="D313" s="343"/>
      <c r="E313" s="340"/>
      <c r="F313" s="344"/>
      <c r="G313" s="343"/>
      <c r="H313" s="344"/>
      <c r="I313" s="344"/>
      <c r="J313" s="341"/>
      <c r="K313" s="345"/>
      <c r="L313" s="346"/>
      <c r="M313" s="347"/>
      <c r="N313" s="348">
        <v>56.17</v>
      </c>
      <c r="O313" s="349" t="str">
        <f>IF(MID(B311,1,2)="LG",VLOOKUP(B311,Composições!J:M,4,FALSE),IF(MID(B311,1,1)="6",VLOOKUP(B311,transp.!$A$6:$K$35,3,FALSE),VLOOKUP(B311,'DER 11-20'!$A$1:$I$1981,3,FALSE)))</f>
        <v>M3</v>
      </c>
      <c r="P313" s="350"/>
      <c r="Q313" s="350"/>
      <c r="R313" s="656"/>
      <c r="S313" s="593">
        <f>VLOOKUP("Total",C314:O613,12,FALSE)</f>
        <v>95.49</v>
      </c>
      <c r="T313" s="593" t="str">
        <f>VLOOKUP("Total",C314:O613,13,FALSE)</f>
        <v>T</v>
      </c>
      <c r="U313" s="593"/>
      <c r="V313" s="596"/>
      <c r="W313" s="597"/>
      <c r="X313" s="597"/>
      <c r="Y313" s="597"/>
      <c r="Z313" s="597"/>
      <c r="AA313" s="600"/>
      <c r="AB313" s="598"/>
    </row>
    <row r="314" spans="1:28" s="549" customFormat="1" x14ac:dyDescent="0.2">
      <c r="A314" s="665"/>
      <c r="B314" s="896"/>
      <c r="C314" s="554"/>
      <c r="D314" s="555"/>
      <c r="E314" s="552"/>
      <c r="F314" s="550"/>
      <c r="G314" s="555"/>
      <c r="H314" s="550"/>
      <c r="I314" s="550"/>
      <c r="J314" s="553"/>
      <c r="K314" s="556"/>
      <c r="L314" s="551"/>
      <c r="M314" s="557"/>
      <c r="N314" s="546"/>
      <c r="O314" s="558"/>
      <c r="P314" s="559"/>
      <c r="Q314" s="559"/>
      <c r="R314" s="666"/>
      <c r="S314" s="593">
        <f>VLOOKUP("Total",C315:O613,12,FALSE)</f>
        <v>95.49</v>
      </c>
      <c r="T314" s="593" t="str">
        <f>VLOOKUP("Total",C315:O613,13,FALSE)</f>
        <v>T</v>
      </c>
      <c r="U314" s="593"/>
      <c r="V314" s="596"/>
      <c r="W314" s="597"/>
      <c r="X314" s="597"/>
      <c r="Y314" s="597"/>
      <c r="Z314" s="597"/>
      <c r="AA314" s="600"/>
      <c r="AB314" s="598"/>
    </row>
    <row r="315" spans="1:28" s="282" customFormat="1" ht="38.25" x14ac:dyDescent="0.2">
      <c r="A315" s="663" t="s">
        <v>498</v>
      </c>
      <c r="B315" s="898">
        <v>60024</v>
      </c>
      <c r="C315" s="335" t="str">
        <f>IF(MID(B315,1,2)="LG",VLOOKUP(B315,Composições!J:M,3,FALSE),IF(MID(B315,1,1)="6",VLOOKUP(B315,transp.!$A$4:$K$19,11,FALSE)&amp;" -  XP="&amp;TEXT(Z315,"0,00")&amp;" / XR="&amp;TEXT(U315,"0,00"),VLOOKUP(B315,'DER 11-20'!$A$1:$I$1981,2,FALSE)))&amp;" - "&amp;TEXT(C316,"0.000")</f>
        <v>Transporte de materiais para DMT acima de 15 KM (Caminhão basculante)0,304XP+0,323XR+11,678 (Incluindo BDI= 23,32%) -  XP=17,60 / XR=4,30 - Material para bota fora</v>
      </c>
      <c r="D315" s="934" t="s">
        <v>7</v>
      </c>
      <c r="E315" s="935"/>
      <c r="F315" s="936"/>
      <c r="G315" s="934"/>
      <c r="H315" s="935"/>
      <c r="I315" s="936"/>
      <c r="J315" s="337"/>
      <c r="K315" s="602"/>
      <c r="L315" s="645"/>
      <c r="M315" s="640"/>
      <c r="N315" s="641" t="str">
        <f>CONCATENATE("Total (",IF(MID(B315,1,2)="LG",VLOOKUP(B315,Composições!J:M,4,FALSE),IF(MID(B315,1,1)="6","t",VLOOKUP(B315,'DER 11-20'!$A$1:$I$1981,3,FALSE))),")")</f>
        <v>Total (t)</v>
      </c>
      <c r="O315" s="305"/>
      <c r="P315" s="307"/>
      <c r="Q315" s="307"/>
      <c r="R315" s="664"/>
      <c r="S315" s="593">
        <f>VLOOKUP("Total",C317:O613,12,FALSE)</f>
        <v>95.49</v>
      </c>
      <c r="T315" s="593" t="str">
        <f>VLOOKUP("Total",C317:O613,13,FALSE)</f>
        <v>T</v>
      </c>
      <c r="U315" s="593">
        <f t="shared" si="2"/>
        <v>4.3</v>
      </c>
      <c r="V315" s="596">
        <f t="shared" si="3"/>
        <v>18.420000000000002</v>
      </c>
      <c r="W315" s="597">
        <f>VLOOKUP(B315,transp.!A:J,8,FALSE)</f>
        <v>0.30399999999999999</v>
      </c>
      <c r="X315" s="597">
        <f>VLOOKUP(B315,transp.!A:J,9,FALSE)</f>
        <v>0.32300000000000001</v>
      </c>
      <c r="Y315" s="597">
        <f>VLOOKUP(B315,transp.!A:J,10,FALSE)</f>
        <v>11.678000000000001</v>
      </c>
      <c r="Z315" s="597">
        <f t="shared" si="4"/>
        <v>17.600000000000001</v>
      </c>
      <c r="AA315" s="600">
        <v>17600</v>
      </c>
      <c r="AB315" s="598">
        <v>4300</v>
      </c>
    </row>
    <row r="316" spans="1:28" x14ac:dyDescent="0.2">
      <c r="A316" s="653"/>
      <c r="B316" s="899"/>
      <c r="C316" s="599" t="s">
        <v>646</v>
      </c>
      <c r="D316" s="365"/>
      <c r="E316" s="458"/>
      <c r="G316" s="365"/>
      <c r="H316" s="458"/>
      <c r="J316" s="366"/>
      <c r="K316" s="338"/>
      <c r="L316" s="728"/>
      <c r="M316" s="291"/>
      <c r="N316" s="728"/>
      <c r="O316" s="595"/>
      <c r="P316" s="727"/>
      <c r="Q316" s="817"/>
      <c r="R316" s="654"/>
      <c r="S316" s="593">
        <f>VLOOKUP("Total",C317:O686,12,FALSE)</f>
        <v>95.49</v>
      </c>
      <c r="T316" s="593" t="str">
        <f>VLOOKUP("Total",C317:O686,13,FALSE)</f>
        <v>T</v>
      </c>
      <c r="U316" s="593"/>
      <c r="V316" s="596"/>
      <c r="W316" s="597"/>
      <c r="X316" s="597"/>
      <c r="Y316" s="597"/>
      <c r="Z316" s="597"/>
      <c r="AA316" s="600"/>
      <c r="AB316" s="598"/>
    </row>
    <row r="317" spans="1:28" x14ac:dyDescent="0.2">
      <c r="A317" s="655"/>
      <c r="B317" s="751"/>
      <c r="C317" s="342" t="s">
        <v>2</v>
      </c>
      <c r="D317" s="343"/>
      <c r="E317" s="340"/>
      <c r="F317" s="344"/>
      <c r="G317" s="343"/>
      <c r="H317" s="344"/>
      <c r="I317" s="344"/>
      <c r="J317" s="341"/>
      <c r="K317" s="345"/>
      <c r="L317" s="346"/>
      <c r="M317" s="347"/>
      <c r="N317" s="348">
        <v>95.49</v>
      </c>
      <c r="O317" s="349" t="str">
        <f>IF(MID(B315,1,2)="LG",VLOOKUP(B315,Composições!J:M,4,FALSE),IF(MID(B315,1,1)="6",VLOOKUP(B315,transp.!$A$6:$K$35,3,FALSE),VLOOKUP(B315,'DER 11-20'!$A$1:$I$1981,3,FALSE)))</f>
        <v>T</v>
      </c>
      <c r="P317" s="350"/>
      <c r="Q317" s="350"/>
      <c r="R317" s="656"/>
      <c r="S317" s="593">
        <f>VLOOKUP("Total",C318:O613,12,FALSE)</f>
        <v>131.19</v>
      </c>
      <c r="T317" s="593" t="str">
        <f>VLOOKUP("Total",C318:O613,13,FALSE)</f>
        <v>M3</v>
      </c>
      <c r="U317" s="593"/>
      <c r="V317" s="596"/>
      <c r="W317" s="597"/>
      <c r="X317" s="597"/>
      <c r="Y317" s="597"/>
      <c r="Z317" s="597"/>
      <c r="AA317" s="600"/>
      <c r="AB317" s="598"/>
    </row>
    <row r="318" spans="1:28" x14ac:dyDescent="0.2">
      <c r="A318" s="287"/>
      <c r="B318" s="890"/>
      <c r="C318" s="331"/>
      <c r="H318" s="285"/>
      <c r="N318" s="306"/>
      <c r="O318" s="332"/>
      <c r="P318" s="307"/>
      <c r="Q318" s="307"/>
      <c r="R318" s="659"/>
      <c r="S318" s="593">
        <f>VLOOKUP("Total",C319:O613,12,FALSE)</f>
        <v>131.19</v>
      </c>
      <c r="T318" s="593" t="str">
        <f>VLOOKUP("Total",C319:O613,13,FALSE)</f>
        <v>M3</v>
      </c>
      <c r="U318" s="593"/>
      <c r="V318" s="596"/>
      <c r="W318" s="597"/>
      <c r="X318" s="597"/>
      <c r="Y318" s="597"/>
      <c r="Z318" s="597"/>
      <c r="AA318" s="600"/>
      <c r="AB318" s="598"/>
    </row>
    <row r="319" spans="1:28" s="282" customFormat="1" ht="25.5" x14ac:dyDescent="0.2">
      <c r="A319" s="663" t="s">
        <v>499</v>
      </c>
      <c r="B319" s="898">
        <v>40358</v>
      </c>
      <c r="C319" s="335" t="str">
        <f>IF(MID(B319,1,2)="LG",VLOOKUP(B319,Composições!J:M,3,FALSE),IF(MID(B319,1,1)="6",VLOOKUP(B319,transp.!$A$4:$K$19,11,FALSE)&amp;" -  XP="&amp;TEXT(T319,"0.000")&amp;" / XR="&amp;TEXT(V319,"0.000"),VLOOKUP(B319,'DER 11-20'!$A$1:$I$1981,2,FALSE)))&amp;" - "&amp;TEXT(C320,"0.000")</f>
        <v>Concreto estrutural fck = 15,0 MPa, tudo incluído - Envelopamento de tubos</v>
      </c>
      <c r="D319" s="934" t="s">
        <v>7</v>
      </c>
      <c r="E319" s="935"/>
      <c r="F319" s="936"/>
      <c r="G319" s="934"/>
      <c r="H319" s="935"/>
      <c r="I319" s="936"/>
      <c r="J319" s="337"/>
      <c r="K319" s="602"/>
      <c r="L319" s="645"/>
      <c r="M319" s="640"/>
      <c r="N319" s="641" t="str">
        <f>CONCATENATE("Total (",IF(MID(B319,1,2)="LG",VLOOKUP(B319,Composições!J:M,4,FALSE),IF(MID(B319,1,1)="6","t",VLOOKUP(B319,'DER 11-20'!$A$1:$I$1981,3,FALSE))),")")</f>
        <v>Total (M3)</v>
      </c>
      <c r="O319" s="305"/>
      <c r="P319" s="307"/>
      <c r="Q319" s="307"/>
      <c r="R319" s="664"/>
      <c r="S319" s="593">
        <f>VLOOKUP("Total",C321:O613,12,FALSE)</f>
        <v>131.19</v>
      </c>
      <c r="T319" s="593" t="str">
        <f>VLOOKUP("Total",C321:O613,13,FALSE)</f>
        <v>M3</v>
      </c>
      <c r="U319" s="593"/>
      <c r="V319" s="596"/>
      <c r="W319" s="597"/>
      <c r="X319" s="597"/>
      <c r="Y319" s="597"/>
      <c r="Z319" s="597"/>
      <c r="AA319" s="600"/>
      <c r="AB319" s="598"/>
    </row>
    <row r="320" spans="1:28" x14ac:dyDescent="0.2">
      <c r="A320" s="653"/>
      <c r="B320" s="899"/>
      <c r="C320" s="599" t="s">
        <v>645</v>
      </c>
      <c r="D320" s="365"/>
      <c r="E320" s="458"/>
      <c r="G320" s="365"/>
      <c r="H320" s="458"/>
      <c r="J320" s="366"/>
      <c r="K320" s="338"/>
      <c r="L320" s="728"/>
      <c r="M320" s="291"/>
      <c r="N320" s="728"/>
      <c r="O320" s="595"/>
      <c r="P320" s="727"/>
      <c r="Q320" s="817"/>
      <c r="R320" s="654"/>
      <c r="S320" s="593">
        <f>VLOOKUP("Total",C321:O689,12,FALSE)</f>
        <v>131.19</v>
      </c>
      <c r="T320" s="593" t="str">
        <f>VLOOKUP("Total",C321:O689,13,FALSE)</f>
        <v>M3</v>
      </c>
      <c r="U320" s="593"/>
      <c r="V320" s="596"/>
      <c r="W320" s="597"/>
      <c r="X320" s="597"/>
      <c r="Y320" s="597"/>
      <c r="Z320" s="597"/>
      <c r="AA320" s="600"/>
      <c r="AB320" s="598"/>
    </row>
    <row r="321" spans="1:28" x14ac:dyDescent="0.2">
      <c r="A321" s="655"/>
      <c r="B321" s="751"/>
      <c r="C321" s="342" t="s">
        <v>2</v>
      </c>
      <c r="D321" s="343"/>
      <c r="E321" s="340"/>
      <c r="F321" s="344"/>
      <c r="G321" s="343"/>
      <c r="H321" s="344"/>
      <c r="I321" s="344"/>
      <c r="J321" s="341"/>
      <c r="K321" s="345"/>
      <c r="L321" s="346"/>
      <c r="M321" s="347"/>
      <c r="N321" s="348">
        <v>131.19</v>
      </c>
      <c r="O321" s="349" t="str">
        <f>IF(MID(B319,1,2)="LG",VLOOKUP(B319,Composições!J:M,4,FALSE),IF(MID(B319,1,1)="6",VLOOKUP(B319,transp.!$A$6:$K$35,3,FALSE),VLOOKUP(B319,'DER 11-20'!$A$1:$I$1981,3,FALSE)))</f>
        <v>M3</v>
      </c>
      <c r="P321" s="350"/>
      <c r="Q321" s="350"/>
      <c r="R321" s="656"/>
      <c r="S321" s="593">
        <f>VLOOKUP("Total",C322:O613,12,FALSE)</f>
        <v>74.5</v>
      </c>
      <c r="T321" s="593" t="str">
        <f>VLOOKUP("Total",C322:O613,13,FALSE)</f>
        <v>M</v>
      </c>
      <c r="U321" s="593"/>
      <c r="V321" s="596"/>
      <c r="W321" s="597"/>
      <c r="X321" s="597"/>
      <c r="Y321" s="597"/>
      <c r="Z321" s="597"/>
      <c r="AA321" s="600"/>
      <c r="AB321" s="598"/>
    </row>
    <row r="322" spans="1:28" x14ac:dyDescent="0.2">
      <c r="A322" s="287"/>
      <c r="B322" s="890"/>
      <c r="C322" s="331"/>
      <c r="H322" s="285"/>
      <c r="N322" s="306"/>
      <c r="O322" s="332"/>
      <c r="P322" s="307"/>
      <c r="Q322" s="307"/>
      <c r="R322" s="659"/>
      <c r="S322" s="593">
        <f>VLOOKUP("Total",C323:O613,12,FALSE)</f>
        <v>74.5</v>
      </c>
      <c r="T322" s="593" t="str">
        <f>VLOOKUP("Total",C323:O613,13,FALSE)</f>
        <v>M</v>
      </c>
      <c r="U322" s="593"/>
      <c r="V322" s="596"/>
      <c r="W322" s="597"/>
      <c r="X322" s="597"/>
      <c r="Y322" s="597"/>
      <c r="Z322" s="597"/>
      <c r="AA322" s="600"/>
      <c r="AB322" s="598"/>
    </row>
    <row r="323" spans="1:28" s="282" customFormat="1" ht="25.5" x14ac:dyDescent="0.2">
      <c r="A323" s="663" t="s">
        <v>500</v>
      </c>
      <c r="B323" s="898">
        <v>40433</v>
      </c>
      <c r="C323" s="335" t="str">
        <f>IF(MID(B323,1,2)="LG",VLOOKUP(B323,Composições!J:M,3,FALSE),IF(MID(B323,1,1)="6",VLOOKUP(B323,transp.!$A$4:$K$19,11,FALSE)&amp;" -  XP="&amp;TEXT(T323,"0.000")&amp;" / XR="&amp;TEXT(V323,"0.000"),VLOOKUP(B323,'DER 11-20'!$A$1:$I$1981,2,FALSE)))</f>
        <v>Corpo BSTC (greide) diâmetro 0,80 m CA-1 PB inclusive escavação, reaterro e transporte do tubo</v>
      </c>
      <c r="D323" s="934" t="s">
        <v>7</v>
      </c>
      <c r="E323" s="935"/>
      <c r="F323" s="936"/>
      <c r="G323" s="934"/>
      <c r="H323" s="935"/>
      <c r="I323" s="936"/>
      <c r="J323" s="337"/>
      <c r="K323" s="602"/>
      <c r="L323" s="645"/>
      <c r="M323" s="640"/>
      <c r="N323" s="641" t="str">
        <f>CONCATENATE("Total (",IF(MID(B323,1,2)="LG",VLOOKUP(B323,Composições!J:M,4,FALSE),IF(MID(B323,1,1)="6","t",VLOOKUP(B323,'DER 11-20'!$A$1:$I$1981,3,FALSE))),")")</f>
        <v>Total (M)</v>
      </c>
      <c r="O323" s="305"/>
      <c r="P323" s="307"/>
      <c r="Q323" s="307"/>
      <c r="R323" s="664"/>
      <c r="S323" s="593">
        <f>VLOOKUP("Total",C324:O613,12,FALSE)</f>
        <v>74.5</v>
      </c>
      <c r="T323" s="593" t="str">
        <f>VLOOKUP("Total",C324:O613,13,FALSE)</f>
        <v>M</v>
      </c>
      <c r="U323" s="593"/>
      <c r="V323" s="596"/>
      <c r="W323" s="597"/>
      <c r="X323" s="597"/>
      <c r="Y323" s="597"/>
      <c r="Z323" s="597"/>
      <c r="AA323" s="600"/>
      <c r="AB323" s="598"/>
    </row>
    <row r="324" spans="1:28" x14ac:dyDescent="0.2">
      <c r="A324" s="655"/>
      <c r="B324" s="751"/>
      <c r="C324" s="342" t="s">
        <v>2</v>
      </c>
      <c r="D324" s="343"/>
      <c r="E324" s="340"/>
      <c r="F324" s="344"/>
      <c r="G324" s="343"/>
      <c r="H324" s="344"/>
      <c r="I324" s="344"/>
      <c r="J324" s="341"/>
      <c r="K324" s="345"/>
      <c r="L324" s="346"/>
      <c r="M324" s="347"/>
      <c r="N324" s="348">
        <v>74.5</v>
      </c>
      <c r="O324" s="349" t="str">
        <f>IF(MID(B323,1,2)="LG",VLOOKUP(B323,Composições!J:M,4,FALSE),IF(MID(B323,1,1)="6",VLOOKUP(B323,transp.!$A$6:$K$35,3,FALSE),VLOOKUP(B323,'DER 11-20'!$A$1:$I$1981,3,FALSE)))</f>
        <v>M</v>
      </c>
      <c r="P324" s="350"/>
      <c r="Q324" s="350"/>
      <c r="R324" s="656"/>
      <c r="S324" s="593">
        <f>VLOOKUP("Total",C325:O613,12,FALSE)</f>
        <v>16</v>
      </c>
      <c r="T324" s="593" t="str">
        <f>VLOOKUP("Total",C325:O613,13,FALSE)</f>
        <v>M</v>
      </c>
      <c r="U324" s="593"/>
      <c r="V324" s="596"/>
      <c r="W324" s="597"/>
      <c r="X324" s="597"/>
      <c r="Y324" s="597"/>
      <c r="Z324" s="597"/>
      <c r="AA324" s="600"/>
      <c r="AB324" s="598"/>
    </row>
    <row r="325" spans="1:28" s="549" customFormat="1" x14ac:dyDescent="0.2">
      <c r="A325" s="665"/>
      <c r="B325" s="896"/>
      <c r="C325" s="554"/>
      <c r="D325" s="555"/>
      <c r="E325" s="552"/>
      <c r="F325" s="550"/>
      <c r="G325" s="555"/>
      <c r="H325" s="550"/>
      <c r="I325" s="550"/>
      <c r="J325" s="553"/>
      <c r="K325" s="556"/>
      <c r="L325" s="551"/>
      <c r="M325" s="557"/>
      <c r="N325" s="546"/>
      <c r="O325" s="558"/>
      <c r="P325" s="559"/>
      <c r="Q325" s="559"/>
      <c r="R325" s="666"/>
      <c r="S325" s="593">
        <f>VLOOKUP("Total",C326:O613,12,FALSE)</f>
        <v>16</v>
      </c>
      <c r="T325" s="593" t="str">
        <f>VLOOKUP("Total",C326:O613,13,FALSE)</f>
        <v>M</v>
      </c>
      <c r="U325" s="593"/>
      <c r="V325" s="596"/>
      <c r="W325" s="597"/>
      <c r="X325" s="597"/>
      <c r="Y325" s="597"/>
      <c r="Z325" s="597"/>
      <c r="AA325" s="600"/>
      <c r="AB325" s="598"/>
    </row>
    <row r="326" spans="1:28" ht="24.6" customHeight="1" x14ac:dyDescent="0.2">
      <c r="A326" s="663" t="s">
        <v>501</v>
      </c>
      <c r="B326" s="898">
        <v>40449</v>
      </c>
      <c r="C326" s="335" t="str">
        <f>IF(MID(B326,1,2)="LG",VLOOKUP(B326,Composições!J:M,3,FALSE),IF(MID(B326,1,1)="6",VLOOKUP(B326,transp.!$A$4:$K$19,11,FALSE)&amp;" -  XP="&amp;TEXT(T326,"0.000")&amp;" / XR="&amp;TEXT(V326,"0.000"),VLOOKUP(B326,'DER 11-20'!$A$1:$I$1981,2,FALSE)))</f>
        <v>Corpo BSTC (grota) diâmetro 0,80 m CA-1 PB exclusive escavação e reaterro, inclusive transporte do tubo</v>
      </c>
      <c r="D326" s="934" t="s">
        <v>7</v>
      </c>
      <c r="E326" s="935"/>
      <c r="F326" s="936"/>
      <c r="G326" s="934"/>
      <c r="H326" s="935"/>
      <c r="I326" s="936"/>
      <c r="J326" s="337" t="s">
        <v>358</v>
      </c>
      <c r="K326" s="644"/>
      <c r="L326" s="641"/>
      <c r="M326" s="645"/>
      <c r="N326" s="641" t="str">
        <f>CONCATENATE("Total (",IF(MID(B326,1,2)="LG",VLOOKUP(B326,Composições!J:M,4,FALSE),IF(MID(B326,1,1)="6","t",VLOOKUP(B326,'DER 11-20'!$A$1:$I$1981,3,FALSE))),")")</f>
        <v>Total (M)</v>
      </c>
      <c r="O326" s="305"/>
      <c r="P326" s="307"/>
      <c r="Q326" s="307"/>
      <c r="R326" s="664"/>
      <c r="S326" s="593">
        <f>VLOOKUP("Total",C327:O613,12,FALSE)</f>
        <v>16</v>
      </c>
      <c r="T326" s="593" t="str">
        <f>VLOOKUP("Total",C327:O613,13,FALSE)</f>
        <v>M</v>
      </c>
      <c r="U326" s="593"/>
      <c r="V326" s="596"/>
      <c r="W326" s="597"/>
      <c r="X326" s="597"/>
      <c r="Y326" s="597"/>
      <c r="Z326" s="597"/>
      <c r="AA326" s="600"/>
      <c r="AB326" s="598"/>
    </row>
    <row r="327" spans="1:28" x14ac:dyDescent="0.2">
      <c r="A327" s="655"/>
      <c r="B327" s="751"/>
      <c r="C327" s="342" t="s">
        <v>2</v>
      </c>
      <c r="D327" s="343"/>
      <c r="E327" s="340"/>
      <c r="F327" s="344"/>
      <c r="G327" s="343"/>
      <c r="H327" s="344"/>
      <c r="I327" s="344"/>
      <c r="J327" s="341"/>
      <c r="K327" s="345"/>
      <c r="L327" s="346"/>
      <c r="M327" s="347"/>
      <c r="N327" s="348">
        <v>16</v>
      </c>
      <c r="O327" s="349" t="str">
        <f>IF(MID(B326,1,2)="LG",VLOOKUP(B326,Composições!J:M,4,FALSE),IF(MID(B326,1,1)="6",VLOOKUP(B326,transp.!$A$6:$K$35,3,FALSE),VLOOKUP(B326,'DER 11-20'!$A$1:$I$1981,3,FALSE)))</f>
        <v>M</v>
      </c>
      <c r="P327" s="350"/>
      <c r="Q327" s="350"/>
      <c r="R327" s="656"/>
      <c r="S327" s="593">
        <f>VLOOKUP("Total",C328:O613,12,FALSE)</f>
        <v>27</v>
      </c>
      <c r="T327" s="593" t="str">
        <f>VLOOKUP("Total",C328:O613,13,FALSE)</f>
        <v>M</v>
      </c>
      <c r="U327" s="593"/>
      <c r="V327" s="596"/>
      <c r="W327" s="597"/>
      <c r="X327" s="597"/>
      <c r="Y327" s="597"/>
      <c r="Z327" s="597"/>
      <c r="AA327" s="600"/>
      <c r="AB327" s="598"/>
    </row>
    <row r="328" spans="1:28" x14ac:dyDescent="0.2">
      <c r="A328" s="287"/>
      <c r="B328" s="890"/>
      <c r="C328" s="331"/>
      <c r="H328" s="285"/>
      <c r="N328" s="306"/>
      <c r="O328" s="332"/>
      <c r="P328" s="307"/>
      <c r="Q328" s="307"/>
      <c r="R328" s="659"/>
      <c r="S328" s="593">
        <f>VLOOKUP("Total",C329:O613,12,FALSE)</f>
        <v>27</v>
      </c>
      <c r="T328" s="593" t="str">
        <f>VLOOKUP("Total",C329:O613,13,FALSE)</f>
        <v>M</v>
      </c>
      <c r="U328" s="593"/>
      <c r="V328" s="596"/>
      <c r="W328" s="597"/>
      <c r="X328" s="597"/>
      <c r="Y328" s="597"/>
      <c r="Z328" s="597"/>
      <c r="AA328" s="600"/>
      <c r="AB328" s="598"/>
    </row>
    <row r="329" spans="1:28" ht="24.75" customHeight="1" x14ac:dyDescent="0.2">
      <c r="A329" s="663" t="s">
        <v>502</v>
      </c>
      <c r="B329" s="898">
        <v>40437</v>
      </c>
      <c r="C329" s="335" t="str">
        <f>IF(MID(B329,1,2)="LG",VLOOKUP(B329,Composições!J:M,3,FALSE),IF(MID(B329,1,1)="6",VLOOKUP(B329,transp.!$A$4:$K$19,11,FALSE)&amp;" -  XP="&amp;TEXT(T329,"0.000")&amp;" / XR="&amp;TEXT(V329,"0.000"),VLOOKUP(B329,'DER 11-20'!$A$1:$I$1981,2,FALSE)))</f>
        <v>Corpo BSTC (greide) diâmetro 1,00 m CA-1 PB inclusive escavação, reaterro e transporte do tubo</v>
      </c>
      <c r="D329" s="934" t="s">
        <v>7</v>
      </c>
      <c r="E329" s="935"/>
      <c r="F329" s="936"/>
      <c r="G329" s="934"/>
      <c r="H329" s="935"/>
      <c r="I329" s="936"/>
      <c r="J329" s="337"/>
      <c r="K329" s="644"/>
      <c r="L329" s="641"/>
      <c r="M329" s="645"/>
      <c r="N329" s="641" t="str">
        <f>CONCATENATE("Total (",IF(MID(B329,1,2)="LG",VLOOKUP(B329,Composições!J:M,4,FALSE),IF(MID(B329,1,1)="6","t",VLOOKUP(B329,'DER 11-20'!$A$1:$I$1981,3,FALSE))),")")</f>
        <v>Total (M)</v>
      </c>
      <c r="O329" s="305"/>
      <c r="P329" s="307"/>
      <c r="Q329" s="307"/>
      <c r="R329" s="664"/>
      <c r="S329" s="593">
        <f>VLOOKUP("Total",C330:O613,12,FALSE)</f>
        <v>27</v>
      </c>
      <c r="T329" s="593" t="str">
        <f>VLOOKUP("Total",C330:O613,13,FALSE)</f>
        <v>M</v>
      </c>
      <c r="U329" s="593"/>
      <c r="V329" s="596"/>
      <c r="W329" s="597"/>
      <c r="X329" s="597"/>
      <c r="Y329" s="597"/>
      <c r="Z329" s="597"/>
      <c r="AA329" s="600"/>
      <c r="AB329" s="598"/>
    </row>
    <row r="330" spans="1:28" x14ac:dyDescent="0.2">
      <c r="A330" s="655"/>
      <c r="B330" s="751"/>
      <c r="C330" s="342" t="s">
        <v>2</v>
      </c>
      <c r="D330" s="343"/>
      <c r="E330" s="340"/>
      <c r="F330" s="344"/>
      <c r="G330" s="343"/>
      <c r="H330" s="344"/>
      <c r="I330" s="344"/>
      <c r="J330" s="341"/>
      <c r="K330" s="345"/>
      <c r="L330" s="346"/>
      <c r="M330" s="347"/>
      <c r="N330" s="348">
        <v>27</v>
      </c>
      <c r="O330" s="349" t="str">
        <f>IF(MID(B329,1,2)="LG",VLOOKUP(B329,Composições!J:M,4,FALSE),IF(MID(B329,1,1)="6",VLOOKUP(B329,transp.!$A$6:$K$35,3,FALSE),VLOOKUP(B329,'DER 11-20'!$A$1:$I$1981,3,FALSE)))</f>
        <v>M</v>
      </c>
      <c r="P330" s="350"/>
      <c r="Q330" s="350"/>
      <c r="R330" s="656"/>
      <c r="S330" s="593">
        <f>VLOOKUP("Total",C331:O613,12,FALSE)</f>
        <v>15</v>
      </c>
      <c r="T330" s="593" t="str">
        <f>VLOOKUP("Total",C331:O613,13,FALSE)</f>
        <v>M</v>
      </c>
      <c r="U330" s="593"/>
      <c r="V330" s="596"/>
      <c r="W330" s="597"/>
      <c r="X330" s="597"/>
      <c r="Y330" s="597"/>
      <c r="Z330" s="597"/>
      <c r="AA330" s="600"/>
      <c r="AB330" s="598"/>
    </row>
    <row r="331" spans="1:28" x14ac:dyDescent="0.2">
      <c r="A331" s="287"/>
      <c r="B331" s="890"/>
      <c r="C331" s="331"/>
      <c r="H331" s="285"/>
      <c r="N331" s="306"/>
      <c r="O331" s="332"/>
      <c r="P331" s="307"/>
      <c r="Q331" s="307"/>
      <c r="R331" s="659"/>
      <c r="S331" s="593">
        <f>VLOOKUP("Total",C332:O613,12,FALSE)</f>
        <v>15</v>
      </c>
      <c r="T331" s="593" t="str">
        <f>VLOOKUP("Total",C332:O613,13,FALSE)</f>
        <v>M</v>
      </c>
      <c r="U331" s="593"/>
      <c r="V331" s="596"/>
      <c r="W331" s="597"/>
      <c r="X331" s="597"/>
      <c r="Y331" s="597"/>
      <c r="Z331" s="597"/>
      <c r="AA331" s="600"/>
      <c r="AB331" s="598"/>
    </row>
    <row r="332" spans="1:28" ht="27" customHeight="1" x14ac:dyDescent="0.2">
      <c r="A332" s="663" t="s">
        <v>503</v>
      </c>
      <c r="B332" s="898">
        <v>40453</v>
      </c>
      <c r="C332" s="335" t="str">
        <f>IF(MID(B332,1,2)="LG",VLOOKUP(B332,Composições!J:M,3,FALSE),IF(MID(B332,1,1)="6",VLOOKUP(B332,transp.!$A$4:$K$19,11,FALSE)&amp;" -  XP="&amp;TEXT(T332,"0.000")&amp;" / XR="&amp;TEXT(V332,"0.000"),VLOOKUP(B332,'DER 11-20'!$A$1:$I$1981,2,FALSE)))</f>
        <v>Corpo BSTC (grota) diâmetro 1,00 m CA-1 PB exclusive escavação e reaterro, inclusive transporte do tubo</v>
      </c>
      <c r="D332" s="934" t="s">
        <v>7</v>
      </c>
      <c r="E332" s="935"/>
      <c r="F332" s="936"/>
      <c r="G332" s="934"/>
      <c r="H332" s="935"/>
      <c r="I332" s="936"/>
      <c r="J332" s="337"/>
      <c r="K332" s="644"/>
      <c r="L332" s="641"/>
      <c r="M332" s="645"/>
      <c r="N332" s="641" t="str">
        <f>CONCATENATE("Total (",IF(MID(B332,1,2)="LG",VLOOKUP(B332,Composições!J:M,4,FALSE),IF(MID(B332,1,1)="6","t",VLOOKUP(B332,'DER 11-20'!$A$1:$I$1981,3,FALSE))),")")</f>
        <v>Total (M)</v>
      </c>
      <c r="O332" s="305"/>
      <c r="P332" s="307"/>
      <c r="Q332" s="307"/>
      <c r="R332" s="664"/>
      <c r="S332" s="593">
        <f>VLOOKUP("Total",C333:O613,12,FALSE)</f>
        <v>15</v>
      </c>
      <c r="T332" s="593" t="str">
        <f>VLOOKUP("Total",C333:O613,13,FALSE)</f>
        <v>M</v>
      </c>
      <c r="U332" s="593"/>
    </row>
    <row r="333" spans="1:28" x14ac:dyDescent="0.2">
      <c r="A333" s="655"/>
      <c r="B333" s="751"/>
      <c r="C333" s="342" t="s">
        <v>2</v>
      </c>
      <c r="D333" s="343"/>
      <c r="E333" s="340"/>
      <c r="F333" s="344"/>
      <c r="G333" s="343"/>
      <c r="H333" s="344"/>
      <c r="I333" s="344"/>
      <c r="J333" s="341"/>
      <c r="K333" s="345"/>
      <c r="L333" s="346"/>
      <c r="M333" s="347"/>
      <c r="N333" s="348">
        <v>15</v>
      </c>
      <c r="O333" s="349" t="str">
        <f>IF(MID(B332,1,2)="LG",VLOOKUP(B332,Composições!J:M,4,FALSE),IF(MID(B332,1,1)="6",VLOOKUP(B332,transp.!$A$6:$K$35,3,FALSE),VLOOKUP(B332,'DER 11-20'!$A$1:$I$1981,3,FALSE)))</f>
        <v>M</v>
      </c>
      <c r="P333" s="350"/>
      <c r="Q333" s="350"/>
      <c r="R333" s="656"/>
      <c r="S333" s="593">
        <f>VLOOKUP("Total",C334:O613,12,FALSE)</f>
        <v>62</v>
      </c>
      <c r="T333" s="593" t="str">
        <f>VLOOKUP("Total",C334:O613,13,FALSE)</f>
        <v>M</v>
      </c>
      <c r="U333" s="593"/>
    </row>
    <row r="334" spans="1:28" x14ac:dyDescent="0.2">
      <c r="A334" s="287"/>
      <c r="B334" s="890"/>
      <c r="C334" s="331"/>
      <c r="H334" s="285"/>
      <c r="N334" s="306"/>
      <c r="O334" s="332"/>
      <c r="P334" s="307"/>
      <c r="Q334" s="307"/>
      <c r="R334" s="659"/>
      <c r="S334" s="593">
        <f>VLOOKUP("Total",C335:O613,12,FALSE)</f>
        <v>62</v>
      </c>
      <c r="T334" s="593" t="str">
        <f>VLOOKUP("Total",C335:O613,13,FALSE)</f>
        <v>M</v>
      </c>
      <c r="U334" s="593"/>
    </row>
    <row r="335" spans="1:28" ht="24.75" customHeight="1" x14ac:dyDescent="0.2">
      <c r="A335" s="663" t="s">
        <v>504</v>
      </c>
      <c r="B335" s="898">
        <v>40458</v>
      </c>
      <c r="C335" s="335" t="str">
        <f>IF(MID(B335,1,2)="LG",VLOOKUP(B335,Composições!J:M,3,FALSE),IF(MID(B335,1,1)="6",VLOOKUP(B335,transp.!$A$4:$K$19,11,FALSE)&amp;" -  XP="&amp;TEXT(T335,"0.000")&amp;" / XR="&amp;TEXT(V335,"0.000"),VLOOKUP(B335,'DER 11-20'!$A$1:$I$1981,2,FALSE)))</f>
        <v>Corpo BSTC (grota) diâmetro 1,20 m CA-1 PB exclusive escavação e reaterro, inclusive transporte do tubo</v>
      </c>
      <c r="D335" s="934" t="s">
        <v>7</v>
      </c>
      <c r="E335" s="935"/>
      <c r="F335" s="936"/>
      <c r="G335" s="934"/>
      <c r="H335" s="935"/>
      <c r="I335" s="936"/>
      <c r="J335" s="337"/>
      <c r="K335" s="644"/>
      <c r="L335" s="942"/>
      <c r="M335" s="943"/>
      <c r="N335" s="641" t="str">
        <f>CONCATENATE("Total (",IF(MID(B335,1,2)="LG",VLOOKUP(B335,Composições!J:M,4,FALSE),IF(MID(B335,1,1)="6","t",VLOOKUP(B335,'DER 11-20'!$A$1:$I$1981,3,FALSE))),")")</f>
        <v>Total (M)</v>
      </c>
      <c r="O335" s="305"/>
      <c r="P335" s="307"/>
      <c r="Q335" s="307"/>
      <c r="R335" s="664"/>
      <c r="S335" s="593">
        <f>VLOOKUP("Total",C336:O613,12,FALSE)</f>
        <v>62</v>
      </c>
      <c r="T335" s="593" t="str">
        <f>VLOOKUP("Total",C336:O613,13,FALSE)</f>
        <v>M</v>
      </c>
      <c r="U335" s="593"/>
    </row>
    <row r="336" spans="1:28" x14ac:dyDescent="0.2">
      <c r="A336" s="655"/>
      <c r="B336" s="751"/>
      <c r="C336" s="342" t="s">
        <v>2</v>
      </c>
      <c r="D336" s="343"/>
      <c r="E336" s="340"/>
      <c r="F336" s="344"/>
      <c r="G336" s="343"/>
      <c r="H336" s="344"/>
      <c r="I336" s="344"/>
      <c r="J336" s="341"/>
      <c r="K336" s="345"/>
      <c r="L336" s="346"/>
      <c r="M336" s="347"/>
      <c r="N336" s="348">
        <v>62</v>
      </c>
      <c r="O336" s="349" t="str">
        <f>IF(MID(B335,1,2)="LG",VLOOKUP(B335,Composições!J:M,4,FALSE),IF(MID(B335,1,1)="6",VLOOKUP(B335,transp.!$A$6:$K$35,3,FALSE),VLOOKUP(B335,'DER 11-20'!$A$1:$I$1981,3,FALSE)))</f>
        <v>M</v>
      </c>
      <c r="P336" s="350"/>
      <c r="Q336" s="350"/>
      <c r="R336" s="656"/>
      <c r="S336" s="593">
        <f>VLOOKUP("Total",C303:O613,12,FALSE)</f>
        <v>280.12</v>
      </c>
      <c r="T336" s="593" t="str">
        <f>VLOOKUP("Total",C303:O613,13,FALSE)</f>
        <v>T</v>
      </c>
      <c r="U336" s="593"/>
    </row>
    <row r="337" spans="1:28" s="549" customFormat="1" x14ac:dyDescent="0.2">
      <c r="A337" s="665"/>
      <c r="B337" s="896"/>
      <c r="C337" s="554"/>
      <c r="D337" s="555"/>
      <c r="E337" s="552"/>
      <c r="F337" s="561"/>
      <c r="G337" s="562"/>
      <c r="H337" s="550"/>
      <c r="I337" s="550"/>
      <c r="J337" s="553"/>
      <c r="K337" s="551"/>
      <c r="L337" s="551"/>
      <c r="M337" s="551"/>
      <c r="N337" s="546"/>
      <c r="O337" s="558"/>
      <c r="P337" s="559"/>
      <c r="Q337" s="559"/>
      <c r="R337" s="666"/>
      <c r="S337" s="593">
        <f>VLOOKUP("Total",C338:O613,12,FALSE)</f>
        <v>52</v>
      </c>
      <c r="T337" s="593" t="str">
        <f>VLOOKUP("Total",C338:O613,13,FALSE)</f>
        <v>M</v>
      </c>
      <c r="U337" s="601"/>
      <c r="W337" s="583"/>
      <c r="X337" s="583"/>
      <c r="Y337" s="583"/>
      <c r="Z337" s="583"/>
      <c r="AA337" s="583"/>
      <c r="AB337" s="583"/>
    </row>
    <row r="338" spans="1:28" ht="25.5" x14ac:dyDescent="0.2">
      <c r="A338" s="668" t="s">
        <v>505</v>
      </c>
      <c r="B338" s="898">
        <v>40476</v>
      </c>
      <c r="C338" s="335" t="str">
        <f>IF(MID(B338,1,2)="LG",VLOOKUP(B338,Composições!J:M,3,FALSE),IF(MID(B338,1,1)="6",VLOOKUP(B338,transp.!$A$4:$K$19,11,FALSE)&amp;" -  XP="&amp;TEXT(T338,"0.000")&amp;" / XR="&amp;TEXT(V338,"0.000"),VLOOKUP(B338,'DER 11-20'!$A$1:$I$1981,2,FALSE)))</f>
        <v>Corpo BDTC (grota) diâmetro 1,00 m CA-1 PB exclusive escavação e reaterro, inclusive transporte do tubo</v>
      </c>
      <c r="D338" s="934" t="s">
        <v>275</v>
      </c>
      <c r="E338" s="935"/>
      <c r="F338" s="936"/>
      <c r="G338" s="934"/>
      <c r="H338" s="935"/>
      <c r="I338" s="936"/>
      <c r="J338" s="337" t="s">
        <v>266</v>
      </c>
      <c r="K338" s="641"/>
      <c r="L338" s="641"/>
      <c r="M338" s="641"/>
      <c r="N338" s="641" t="str">
        <f>CONCATENATE("Total (",IF(MID(B338,1,2)="LG",VLOOKUP(B338,Composições!J:M,4,FALSE),IF(MID(B338,1,1)="6","t",VLOOKUP(B338,'DER 11-20'!$A$1:$I$1981,3,FALSE))),")")</f>
        <v>Total (M)</v>
      </c>
      <c r="O338" s="305"/>
      <c r="P338" s="307"/>
      <c r="Q338" s="307"/>
      <c r="R338" s="664"/>
      <c r="S338" s="593">
        <f>VLOOKUP("Total",C339:O613,12,FALSE)</f>
        <v>52</v>
      </c>
      <c r="T338" s="593" t="str">
        <f>VLOOKUP("Total",C339:O613,13,FALSE)</f>
        <v>M</v>
      </c>
      <c r="U338" s="593"/>
    </row>
    <row r="339" spans="1:28" x14ac:dyDescent="0.2">
      <c r="A339" s="655"/>
      <c r="B339" s="751"/>
      <c r="C339" s="342" t="s">
        <v>2</v>
      </c>
      <c r="D339" s="343"/>
      <c r="E339" s="340"/>
      <c r="F339" s="568"/>
      <c r="G339" s="569"/>
      <c r="H339" s="344"/>
      <c r="I339" s="344"/>
      <c r="J339" s="341"/>
      <c r="K339" s="346"/>
      <c r="L339" s="346"/>
      <c r="M339" s="346"/>
      <c r="N339" s="348">
        <v>52</v>
      </c>
      <c r="O339" s="349" t="str">
        <f>IF(MID(B338,1,2)="LG",VLOOKUP(B338,Composições!J:M,4,FALSE),IF(MID(B338,1,1)="6",VLOOKUP(B338,transp.!$A$6:$K$35,3,FALSE),VLOOKUP(B338,'DER 11-20'!$A$1:$I$1981,3,FALSE)))</f>
        <v>M</v>
      </c>
      <c r="P339" s="350"/>
      <c r="Q339" s="350"/>
      <c r="R339" s="656"/>
      <c r="S339" s="593">
        <f>VLOOKUP("Total",C340:O613,12,FALSE)</f>
        <v>79</v>
      </c>
      <c r="T339" s="593" t="str">
        <f>VLOOKUP("Total",C340:O613,13,FALSE)</f>
        <v>M</v>
      </c>
      <c r="U339" s="593"/>
    </row>
    <row r="340" spans="1:28" s="549" customFormat="1" x14ac:dyDescent="0.2">
      <c r="A340" s="665"/>
      <c r="B340" s="896"/>
      <c r="C340" s="554"/>
      <c r="D340" s="555"/>
      <c r="E340" s="552"/>
      <c r="F340" s="561"/>
      <c r="G340" s="562"/>
      <c r="H340" s="550"/>
      <c r="I340" s="550"/>
      <c r="J340" s="553"/>
      <c r="K340" s="551"/>
      <c r="L340" s="551"/>
      <c r="M340" s="551"/>
      <c r="N340" s="546" t="s">
        <v>436</v>
      </c>
      <c r="O340" s="558"/>
      <c r="P340" s="559"/>
      <c r="Q340" s="559"/>
      <c r="R340" s="666"/>
      <c r="S340" s="593">
        <f>VLOOKUP("Total",C341:O613,12,FALSE)</f>
        <v>79</v>
      </c>
      <c r="T340" s="593" t="str">
        <f>VLOOKUP("Total",C341:O613,13,FALSE)</f>
        <v>M</v>
      </c>
      <c r="U340" s="601"/>
      <c r="W340" s="583"/>
      <c r="X340" s="583"/>
      <c r="Y340" s="583"/>
      <c r="Z340" s="583"/>
      <c r="AA340" s="583"/>
      <c r="AB340" s="583"/>
    </row>
    <row r="341" spans="1:28" ht="25.5" x14ac:dyDescent="0.2">
      <c r="A341" s="668" t="s">
        <v>506</v>
      </c>
      <c r="B341" s="898">
        <v>40499</v>
      </c>
      <c r="C341" s="335" t="str">
        <f>IF(MID(B341,1,2)="LG",VLOOKUP(B341,Composições!J:M,3,FALSE),IF(MID(B341,1,1)="6",VLOOKUP(B341,transp.!$A$4:$K$19,11,FALSE)&amp;" -  XP="&amp;TEXT(T341,"0.000")&amp;" / XR="&amp;TEXT(V341,"0.000"),VLOOKUP(B341,'DER 11-20'!$A$1:$I$1981,2,FALSE)))</f>
        <v>Corpo BTTC (grota) diâmetro 1,00 m CA-1 PB exclusive escavação e reaterro, inclusive transporte do tubo</v>
      </c>
      <c r="D341" s="934" t="s">
        <v>275</v>
      </c>
      <c r="E341" s="935"/>
      <c r="F341" s="936"/>
      <c r="G341" s="934"/>
      <c r="H341" s="935"/>
      <c r="I341" s="936"/>
      <c r="J341" s="337" t="s">
        <v>266</v>
      </c>
      <c r="K341" s="641"/>
      <c r="L341" s="641"/>
      <c r="M341" s="641"/>
      <c r="N341" s="641" t="str">
        <f>CONCATENATE("Total (",IF(MID(B341,1,2)="LG",VLOOKUP(B341,Composições!J:M,4,FALSE),IF(MID(B341,1,1)="6","t",VLOOKUP(B341,'DER 11-20'!$A$1:$I$1981,3,FALSE))),")")</f>
        <v>Total (M)</v>
      </c>
      <c r="O341" s="305"/>
      <c r="P341" s="307"/>
      <c r="Q341" s="307"/>
      <c r="R341" s="664"/>
      <c r="S341" s="593">
        <f>VLOOKUP("Total",C342:O613,12,FALSE)</f>
        <v>79</v>
      </c>
      <c r="T341" s="593" t="str">
        <f>VLOOKUP("Total",C342:O613,13,FALSE)</f>
        <v>M</v>
      </c>
      <c r="U341" s="593"/>
    </row>
    <row r="342" spans="1:28" x14ac:dyDescent="0.2">
      <c r="A342" s="655"/>
      <c r="B342" s="751"/>
      <c r="C342" s="342" t="s">
        <v>2</v>
      </c>
      <c r="D342" s="343"/>
      <c r="E342" s="340"/>
      <c r="F342" s="568"/>
      <c r="G342" s="569"/>
      <c r="H342" s="344"/>
      <c r="I342" s="344"/>
      <c r="J342" s="341"/>
      <c r="K342" s="346"/>
      <c r="L342" s="346"/>
      <c r="M342" s="346"/>
      <c r="N342" s="348">
        <v>79</v>
      </c>
      <c r="O342" s="349" t="str">
        <f>IF(MID(B341,1,2)="LG",VLOOKUP(B341,Composições!J:M,4,FALSE),IF(MID(B341,1,1)="6",VLOOKUP(B341,transp.!$A$6:$K$35,3,FALSE),VLOOKUP(B341,'DER 11-20'!$A$1:$I$1981,3,FALSE)))</f>
        <v>M</v>
      </c>
      <c r="P342" s="350"/>
      <c r="Q342" s="350"/>
      <c r="R342" s="656"/>
      <c r="S342" s="593">
        <f>VLOOKUP("Total",C343:O613,12,FALSE)</f>
        <v>37</v>
      </c>
      <c r="T342" s="593" t="str">
        <f>VLOOKUP("Total",C343:O613,13,FALSE)</f>
        <v>M</v>
      </c>
      <c r="U342" s="593"/>
    </row>
    <row r="343" spans="1:28" s="549" customFormat="1" x14ac:dyDescent="0.2">
      <c r="A343" s="665"/>
      <c r="B343" s="896"/>
      <c r="C343" s="554"/>
      <c r="D343" s="555"/>
      <c r="E343" s="552"/>
      <c r="F343" s="561"/>
      <c r="G343" s="562"/>
      <c r="H343" s="550"/>
      <c r="I343" s="550"/>
      <c r="J343" s="553"/>
      <c r="K343" s="551"/>
      <c r="L343" s="551"/>
      <c r="M343" s="551"/>
      <c r="N343" s="546"/>
      <c r="O343" s="558"/>
      <c r="P343" s="559"/>
      <c r="Q343" s="559"/>
      <c r="R343" s="666"/>
      <c r="S343" s="593">
        <f>VLOOKUP("Total",C344:O613,12,FALSE)</f>
        <v>37</v>
      </c>
      <c r="T343" s="593" t="str">
        <f>VLOOKUP("Total",C344:O613,13,FALSE)</f>
        <v>M</v>
      </c>
      <c r="U343" s="601"/>
      <c r="W343" s="583"/>
      <c r="X343" s="583"/>
      <c r="Y343" s="583"/>
      <c r="Z343" s="583"/>
      <c r="AA343" s="583"/>
      <c r="AB343" s="583"/>
    </row>
    <row r="344" spans="1:28" ht="25.5" x14ac:dyDescent="0.2">
      <c r="A344" s="668" t="s">
        <v>507</v>
      </c>
      <c r="B344" s="898">
        <v>40504</v>
      </c>
      <c r="C344" s="335" t="str">
        <f>IF(MID(B344,1,2)="LG",VLOOKUP(B344,Composições!J:M,3,FALSE),IF(MID(B344,1,1)="6",VLOOKUP(B344,transp.!$A$4:$K$19,11,FALSE)&amp;" -  XP="&amp;TEXT(T344,"0.000")&amp;" / XR="&amp;TEXT(V344,"0.000"),VLOOKUP(B344,'DER 11-20'!$A$1:$I$1981,2,FALSE)))</f>
        <v>Corpo BTTC (grota) diâmetro 1,20 m CA-1 PB exclusive escavação e reaterro, inclusive transporte do tubo</v>
      </c>
      <c r="D344" s="934" t="s">
        <v>275</v>
      </c>
      <c r="E344" s="935"/>
      <c r="F344" s="936"/>
      <c r="G344" s="934"/>
      <c r="H344" s="935"/>
      <c r="I344" s="936"/>
      <c r="J344" s="337" t="s">
        <v>266</v>
      </c>
      <c r="K344" s="641"/>
      <c r="L344" s="641"/>
      <c r="M344" s="641"/>
      <c r="N344" s="641" t="str">
        <f>CONCATENATE("Total (",IF(MID(B344,1,2)="LG",VLOOKUP(B344,Composições!J:M,4,FALSE),IF(MID(B344,1,1)="6","t",VLOOKUP(B344,'DER 11-20'!$A$1:$I$1981,3,FALSE))),")")</f>
        <v>Total (M)</v>
      </c>
      <c r="O344" s="305"/>
      <c r="P344" s="307"/>
      <c r="Q344" s="307"/>
      <c r="R344" s="664"/>
      <c r="S344" s="593">
        <f>VLOOKUP("Total",C345:O613,12,FALSE)</f>
        <v>37</v>
      </c>
      <c r="T344" s="593" t="str">
        <f>VLOOKUP("Total",C345:O613,13,FALSE)</f>
        <v>M</v>
      </c>
      <c r="U344" s="593"/>
    </row>
    <row r="345" spans="1:28" x14ac:dyDescent="0.2">
      <c r="A345" s="655"/>
      <c r="B345" s="751"/>
      <c r="C345" s="342" t="s">
        <v>2</v>
      </c>
      <c r="D345" s="343"/>
      <c r="E345" s="340"/>
      <c r="F345" s="568"/>
      <c r="G345" s="569"/>
      <c r="H345" s="344"/>
      <c r="I345" s="344"/>
      <c r="J345" s="341"/>
      <c r="K345" s="346"/>
      <c r="L345" s="346"/>
      <c r="M345" s="346"/>
      <c r="N345" s="348">
        <v>37</v>
      </c>
      <c r="O345" s="349" t="str">
        <f>IF(MID(B344,1,2)="LG",VLOOKUP(B344,Composições!J:M,4,FALSE),IF(MID(B344,1,1)="6",VLOOKUP(B344,transp.!$A$6:$K$35,3,FALSE),VLOOKUP(B344,'DER 11-20'!$A$1:$I$1981,3,FALSE)))</f>
        <v>M</v>
      </c>
      <c r="P345" s="350"/>
      <c r="Q345" s="350"/>
      <c r="R345" s="656"/>
      <c r="S345" s="593">
        <f>VLOOKUP("Total",C346:O613,12,FALSE)</f>
        <v>36</v>
      </c>
      <c r="T345" s="593" t="str">
        <f>VLOOKUP("Total",C346:O613,13,FALSE)</f>
        <v>M</v>
      </c>
      <c r="U345" s="593"/>
    </row>
    <row r="346" spans="1:28" s="549" customFormat="1" x14ac:dyDescent="0.2">
      <c r="A346" s="665"/>
      <c r="B346" s="896"/>
      <c r="C346" s="554"/>
      <c r="D346" s="555"/>
      <c r="E346" s="552"/>
      <c r="F346" s="561"/>
      <c r="G346" s="562"/>
      <c r="H346" s="550"/>
      <c r="I346" s="550"/>
      <c r="J346" s="553"/>
      <c r="K346" s="551"/>
      <c r="L346" s="551"/>
      <c r="M346" s="551"/>
      <c r="N346" s="546"/>
      <c r="O346" s="558"/>
      <c r="P346" s="559"/>
      <c r="Q346" s="559"/>
      <c r="R346" s="666"/>
      <c r="S346" s="593">
        <f>VLOOKUP("Total",C347:O613,12,FALSE)</f>
        <v>36</v>
      </c>
      <c r="T346" s="593" t="str">
        <f>VLOOKUP("Total",C347:O613,13,FALSE)</f>
        <v>M</v>
      </c>
      <c r="U346" s="601"/>
      <c r="W346" s="583"/>
      <c r="X346" s="583"/>
      <c r="Y346" s="583"/>
      <c r="Z346" s="583"/>
      <c r="AA346" s="583"/>
      <c r="AB346" s="583"/>
    </row>
    <row r="347" spans="1:28" ht="25.5" x14ac:dyDescent="0.2">
      <c r="A347" s="668" t="s">
        <v>508</v>
      </c>
      <c r="B347" s="898">
        <v>40509</v>
      </c>
      <c r="C347" s="335" t="str">
        <f>IF(MID(B347,1,2)="LG",VLOOKUP(B347,Composições!J:M,3,FALSE),IF(MID(B347,1,1)="6",VLOOKUP(B347,transp.!$A$4:$K$19,11,FALSE)&amp;" -  XP="&amp;TEXT(T347,"0.000")&amp;" / XR="&amp;TEXT(V347,"0.000"),VLOOKUP(B347,'DER 11-20'!$A$1:$I$1981,2,FALSE)))</f>
        <v>Corpo BTTC (grota) diâmetro 1,50 m CA-1 PB exclusive escavação e reaterro, inclusive transporte do tubo</v>
      </c>
      <c r="D347" s="934" t="s">
        <v>275</v>
      </c>
      <c r="E347" s="935"/>
      <c r="F347" s="936"/>
      <c r="G347" s="934"/>
      <c r="H347" s="935"/>
      <c r="I347" s="936"/>
      <c r="J347" s="337" t="s">
        <v>266</v>
      </c>
      <c r="K347" s="641"/>
      <c r="L347" s="641"/>
      <c r="M347" s="641"/>
      <c r="N347" s="641" t="str">
        <f>CONCATENATE("Total (",IF(MID(B347,1,2)="LG",VLOOKUP(B347,Composições!J:M,4,FALSE),IF(MID(B347,1,1)="6","t",VLOOKUP(B347,'DER 11-20'!$A$1:$I$1981,3,FALSE))),")")</f>
        <v>Total (M)</v>
      </c>
      <c r="O347" s="305"/>
      <c r="P347" s="307"/>
      <c r="Q347" s="307"/>
      <c r="R347" s="664"/>
      <c r="S347" s="593">
        <f>VLOOKUP("Total",C348:O613,12,FALSE)</f>
        <v>36</v>
      </c>
      <c r="T347" s="593" t="str">
        <f>VLOOKUP("Total",C348:O613,13,FALSE)</f>
        <v>M</v>
      </c>
      <c r="U347" s="593"/>
    </row>
    <row r="348" spans="1:28" x14ac:dyDescent="0.2">
      <c r="A348" s="655"/>
      <c r="B348" s="751"/>
      <c r="C348" s="342" t="s">
        <v>2</v>
      </c>
      <c r="D348" s="343"/>
      <c r="E348" s="340"/>
      <c r="F348" s="568"/>
      <c r="G348" s="569"/>
      <c r="H348" s="344"/>
      <c r="I348" s="344"/>
      <c r="J348" s="341"/>
      <c r="K348" s="346"/>
      <c r="L348" s="346"/>
      <c r="M348" s="346"/>
      <c r="N348" s="348">
        <v>36</v>
      </c>
      <c r="O348" s="349" t="str">
        <f>IF(MID(B347,1,2)="LG",VLOOKUP(B347,Composições!J:M,4,FALSE),IF(MID(B347,1,1)="6",VLOOKUP(B347,transp.!$A$6:$K$35,3,FALSE),VLOOKUP(B347,'DER 11-20'!$A$1:$I$1981,3,FALSE)))</f>
        <v>M</v>
      </c>
      <c r="P348" s="350"/>
      <c r="Q348" s="350"/>
      <c r="R348" s="656"/>
      <c r="S348" s="593">
        <f>VLOOKUP("Total",C349:O613,12,FALSE)</f>
        <v>60</v>
      </c>
      <c r="T348" s="593" t="str">
        <f>VLOOKUP("Total",C349:O613,13,FALSE)</f>
        <v>M</v>
      </c>
      <c r="U348" s="593"/>
    </row>
    <row r="349" spans="1:28" s="549" customFormat="1" x14ac:dyDescent="0.2">
      <c r="A349" s="665"/>
      <c r="B349" s="896"/>
      <c r="C349" s="554"/>
      <c r="D349" s="555"/>
      <c r="E349" s="552"/>
      <c r="F349" s="561"/>
      <c r="G349" s="562"/>
      <c r="H349" s="550"/>
      <c r="I349" s="550"/>
      <c r="J349" s="553"/>
      <c r="K349" s="551"/>
      <c r="L349" s="551"/>
      <c r="M349" s="551"/>
      <c r="N349" s="546"/>
      <c r="O349" s="558"/>
      <c r="P349" s="559"/>
      <c r="Q349" s="559"/>
      <c r="R349" s="666"/>
      <c r="S349" s="593">
        <f>VLOOKUP("Total",C350:O613,12,FALSE)</f>
        <v>60</v>
      </c>
      <c r="T349" s="593" t="str">
        <f>VLOOKUP("Total",C350:O613,13,FALSE)</f>
        <v>M</v>
      </c>
      <c r="U349" s="601"/>
      <c r="W349" s="583"/>
      <c r="X349" s="583"/>
      <c r="Y349" s="583"/>
      <c r="Z349" s="583"/>
      <c r="AA349" s="583"/>
      <c r="AB349" s="583"/>
    </row>
    <row r="350" spans="1:28" x14ac:dyDescent="0.2">
      <c r="A350" s="668" t="s">
        <v>509</v>
      </c>
      <c r="B350" s="898">
        <v>40574</v>
      </c>
      <c r="C350" s="335" t="str">
        <f>IF(MID(B350,1,2)="LG",VLOOKUP(B350,Composições!J:M,3,FALSE),IF(MID(B350,1,1)="6",VLOOKUP(B350,transp.!$A$4:$K$19,11,FALSE)&amp;" -  XP="&amp;TEXT(T350,"0.000")&amp;" / XR="&amp;TEXT(V350,"0.000"),VLOOKUP(B350,'DER 11-20'!$A$1:$I$1981,2,FALSE)))</f>
        <v>Corpo de BSCC 2,00 x 2,00 m projeto DNIT para H &lt; = 2,50 m</v>
      </c>
      <c r="D350" s="934" t="s">
        <v>275</v>
      </c>
      <c r="E350" s="935"/>
      <c r="F350" s="936"/>
      <c r="G350" s="934"/>
      <c r="H350" s="935"/>
      <c r="I350" s="936"/>
      <c r="J350" s="337" t="s">
        <v>266</v>
      </c>
      <c r="K350" s="641"/>
      <c r="L350" s="641"/>
      <c r="M350" s="641"/>
      <c r="N350" s="641" t="str">
        <f>CONCATENATE("Total (",IF(MID(B350,1,2)="LG",VLOOKUP(B350,Composições!J:M,4,FALSE),IF(MID(B350,1,1)="6","t",VLOOKUP(B350,'DER 11-20'!$A$1:$I$1981,3,FALSE))),")")</f>
        <v>Total (M)</v>
      </c>
      <c r="O350" s="305"/>
      <c r="P350" s="307"/>
      <c r="Q350" s="307"/>
      <c r="R350" s="664"/>
      <c r="S350" s="593">
        <f>VLOOKUP("Total",C351:O613,12,FALSE)</f>
        <v>60</v>
      </c>
      <c r="T350" s="593" t="str">
        <f>VLOOKUP("Total",C351:O613,13,FALSE)</f>
        <v>M</v>
      </c>
      <c r="U350" s="593"/>
    </row>
    <row r="351" spans="1:28" x14ac:dyDescent="0.2">
      <c r="A351" s="655"/>
      <c r="B351" s="751"/>
      <c r="C351" s="342" t="s">
        <v>2</v>
      </c>
      <c r="D351" s="343"/>
      <c r="E351" s="340"/>
      <c r="F351" s="568"/>
      <c r="G351" s="569"/>
      <c r="H351" s="344"/>
      <c r="I351" s="344"/>
      <c r="J351" s="341"/>
      <c r="K351" s="346"/>
      <c r="L351" s="346"/>
      <c r="M351" s="346"/>
      <c r="N351" s="348">
        <v>60</v>
      </c>
      <c r="O351" s="349" t="str">
        <f>IF(MID(B350,1,2)="LG",VLOOKUP(B350,Composições!J:M,4,FALSE),IF(MID(B350,1,1)="6",VLOOKUP(B350,transp.!$A$6:$K$35,3,FALSE),VLOOKUP(B350,'DER 11-20'!$A$1:$I$1981,3,FALSE)))</f>
        <v>M</v>
      </c>
      <c r="P351" s="350"/>
      <c r="Q351" s="350"/>
      <c r="R351" s="656"/>
      <c r="S351" s="593">
        <f>VLOOKUP("Total",C352:O613,12,FALSE)</f>
        <v>25.5</v>
      </c>
      <c r="T351" s="593" t="str">
        <f>VLOOKUP("Total",C352:O613,13,FALSE)</f>
        <v>M</v>
      </c>
      <c r="U351" s="593"/>
    </row>
    <row r="352" spans="1:28" s="549" customFormat="1" x14ac:dyDescent="0.2">
      <c r="A352" s="665"/>
      <c r="B352" s="896"/>
      <c r="C352" s="554"/>
      <c r="D352" s="555"/>
      <c r="E352" s="552"/>
      <c r="F352" s="561"/>
      <c r="G352" s="562"/>
      <c r="H352" s="550"/>
      <c r="I352" s="550"/>
      <c r="J352" s="553"/>
      <c r="K352" s="551"/>
      <c r="L352" s="551"/>
      <c r="M352" s="551"/>
      <c r="N352" s="546"/>
      <c r="O352" s="558"/>
      <c r="P352" s="559"/>
      <c r="Q352" s="559"/>
      <c r="R352" s="666"/>
      <c r="S352" s="593">
        <f>VLOOKUP("Total",C353:O613,12,FALSE)</f>
        <v>25.5</v>
      </c>
      <c r="T352" s="593" t="str">
        <f>VLOOKUP("Total",C353:O613,13,FALSE)</f>
        <v>M</v>
      </c>
      <c r="U352" s="601"/>
      <c r="W352" s="583"/>
      <c r="X352" s="583"/>
      <c r="Y352" s="583"/>
      <c r="Z352" s="583"/>
      <c r="AA352" s="583"/>
      <c r="AB352" s="583"/>
    </row>
    <row r="353" spans="1:28" x14ac:dyDescent="0.2">
      <c r="A353" s="668" t="s">
        <v>510</v>
      </c>
      <c r="B353" s="898">
        <v>40578</v>
      </c>
      <c r="C353" s="335" t="str">
        <f>IF(MID(B353,1,2)="LG",VLOOKUP(B353,Composições!J:M,3,FALSE),IF(MID(B353,1,1)="6",VLOOKUP(B353,transp.!$A$4:$K$19,11,FALSE)&amp;" -  XP="&amp;TEXT(T353,"0.000")&amp;" / XR="&amp;TEXT(V353,"0.000"),VLOOKUP(B353,'DER 11-20'!$A$1:$I$1981,2,FALSE)))</f>
        <v>Corpo de BSCC 3,00 x 3,00 m projeto DNIT para H &lt; = 2,50 m</v>
      </c>
      <c r="D353" s="934" t="s">
        <v>275</v>
      </c>
      <c r="E353" s="935"/>
      <c r="F353" s="936"/>
      <c r="G353" s="934"/>
      <c r="H353" s="935"/>
      <c r="I353" s="936"/>
      <c r="J353" s="337" t="s">
        <v>266</v>
      </c>
      <c r="K353" s="641"/>
      <c r="L353" s="641"/>
      <c r="M353" s="641"/>
      <c r="N353" s="641" t="str">
        <f>CONCATENATE("Total (",IF(MID(B353,1,2)="LG",VLOOKUP(B353,Composições!J:M,4,FALSE),IF(MID(B353,1,1)="6","t",VLOOKUP(B353,'DER 11-20'!$A$1:$I$1981,3,FALSE))),")")</f>
        <v>Total (M)</v>
      </c>
      <c r="O353" s="305"/>
      <c r="P353" s="307"/>
      <c r="Q353" s="307"/>
      <c r="R353" s="664"/>
      <c r="S353" s="593">
        <f>VLOOKUP("Total",C354:O613,12,FALSE)</f>
        <v>25.5</v>
      </c>
      <c r="T353" s="593" t="str">
        <f>VLOOKUP("Total",C354:O613,13,FALSE)</f>
        <v>M</v>
      </c>
      <c r="U353" s="593"/>
    </row>
    <row r="354" spans="1:28" x14ac:dyDescent="0.2">
      <c r="A354" s="655"/>
      <c r="B354" s="751"/>
      <c r="C354" s="342" t="s">
        <v>2</v>
      </c>
      <c r="D354" s="343"/>
      <c r="E354" s="340"/>
      <c r="F354" s="568"/>
      <c r="G354" s="569"/>
      <c r="H354" s="344"/>
      <c r="I354" s="344"/>
      <c r="J354" s="341"/>
      <c r="K354" s="346"/>
      <c r="L354" s="346"/>
      <c r="M354" s="346"/>
      <c r="N354" s="348">
        <v>25.5</v>
      </c>
      <c r="O354" s="349" t="str">
        <f>IF(MID(B353,1,2)="LG",VLOOKUP(B353,Composições!J:M,4,FALSE),IF(MID(B353,1,1)="6",VLOOKUP(B353,transp.!$A$6:$K$35,3,FALSE),VLOOKUP(B353,'DER 11-20'!$A$1:$I$1981,3,FALSE)))</f>
        <v>M</v>
      </c>
      <c r="P354" s="350"/>
      <c r="Q354" s="350"/>
      <c r="R354" s="656"/>
      <c r="S354" s="593">
        <f>VLOOKUP("Total",C355:O613,12,FALSE)</f>
        <v>90.5</v>
      </c>
      <c r="T354" s="593" t="str">
        <f>VLOOKUP("Total",C355:O613,13,FALSE)</f>
        <v>M</v>
      </c>
      <c r="U354" s="593"/>
    </row>
    <row r="355" spans="1:28" x14ac:dyDescent="0.2">
      <c r="A355" s="287"/>
      <c r="B355" s="890"/>
      <c r="C355" s="331"/>
      <c r="F355" s="567"/>
      <c r="G355" s="289"/>
      <c r="H355" s="285"/>
      <c r="N355" s="306"/>
      <c r="O355" s="332"/>
      <c r="P355" s="307"/>
      <c r="Q355" s="307"/>
      <c r="R355" s="659"/>
      <c r="S355" s="593">
        <f>VLOOKUP("Total",C356:O696,12,FALSE)</f>
        <v>90.5</v>
      </c>
      <c r="T355" s="593" t="str">
        <f>VLOOKUP("Total",C356:O696,13,FALSE)</f>
        <v>M</v>
      </c>
      <c r="U355" s="593"/>
    </row>
    <row r="356" spans="1:28" s="310" customFormat="1" x14ac:dyDescent="0.2">
      <c r="A356" s="668" t="s">
        <v>511</v>
      </c>
      <c r="B356" s="898">
        <v>40515</v>
      </c>
      <c r="C356" s="335" t="str">
        <f>IF(MID(B356,1,2)="LG",VLOOKUP(B356,Composições!J:M,3,FALSE),IF(MID(B356,1,1)="6",VLOOKUP(B356,transp.!$A$4:$K$21,11,FALSE)&amp;" -  XP="&amp;TEXT(T356,"0,000")&amp;" / XR="&amp;TEXT(V356,"0,000"),VLOOKUP(B356,'DER 11-20'!$A$1:$I$1994,2,FALSE)))</f>
        <v>Berço de concreto ciclópico para BSTC diâmetro 0,80 m</v>
      </c>
      <c r="D356" s="934" t="s">
        <v>275</v>
      </c>
      <c r="E356" s="935"/>
      <c r="F356" s="936"/>
      <c r="G356" s="934" t="s">
        <v>276</v>
      </c>
      <c r="H356" s="935"/>
      <c r="I356" s="936"/>
      <c r="J356" s="337" t="s">
        <v>266</v>
      </c>
      <c r="K356" s="644"/>
      <c r="L356" s="641"/>
      <c r="M356" s="645"/>
      <c r="N356" s="641" t="str">
        <f>CONCATENATE("Total (",IF(MID(B356,1,2)="LG",VLOOKUP(B356,Composições!J:M,4,FALSE),IF(MID(B356,1,1)="6","t",VLOOKUP(B356,'DER 11-20'!$A$1:$I$1994,3,FALSE))),")")</f>
        <v>Total (M)</v>
      </c>
      <c r="O356" s="305"/>
      <c r="P356" s="307"/>
      <c r="Q356" s="307"/>
      <c r="R356" s="664"/>
      <c r="S356" s="593">
        <f>VLOOKUP("Total",C357:O697,12,FALSE)</f>
        <v>90.5</v>
      </c>
      <c r="T356" s="593" t="str">
        <f>VLOOKUP("Total",C357:O697,13,FALSE)</f>
        <v>M</v>
      </c>
      <c r="U356" s="593"/>
      <c r="V356" s="580"/>
      <c r="W356" s="580"/>
      <c r="Y356" s="580"/>
      <c r="Z356" s="580"/>
      <c r="AA356" s="580"/>
    </row>
    <row r="357" spans="1:28" s="310" customFormat="1" x14ac:dyDescent="0.2">
      <c r="A357" s="655"/>
      <c r="B357" s="751"/>
      <c r="C357" s="342" t="s">
        <v>2</v>
      </c>
      <c r="D357" s="343"/>
      <c r="E357" s="340"/>
      <c r="F357" s="344"/>
      <c r="G357" s="343"/>
      <c r="H357" s="344"/>
      <c r="I357" s="344"/>
      <c r="J357" s="341"/>
      <c r="K357" s="345"/>
      <c r="L357" s="346"/>
      <c r="M357" s="347"/>
      <c r="N357" s="348">
        <v>90.5</v>
      </c>
      <c r="O357" s="349" t="str">
        <f>IF(MID(B356,1,2)="LG",VLOOKUP(B356,Composições!J:M,4,FALSE),IF(MID(B356,1,1)="6",VLOOKUP(B356,transp.!$A$6:$K$27,3,FALSE),VLOOKUP(B356,'DER 11-20'!$A$1:$I$1994,3,FALSE)))</f>
        <v>M</v>
      </c>
      <c r="P357" s="350"/>
      <c r="Q357" s="350"/>
      <c r="R357" s="656"/>
      <c r="S357" s="593">
        <f>VLOOKUP("Total",C358:O701,12,FALSE)</f>
        <v>42</v>
      </c>
      <c r="T357" s="593" t="str">
        <f>VLOOKUP("Total",C358:O701,13,FALSE)</f>
        <v>M</v>
      </c>
      <c r="U357" s="593"/>
    </row>
    <row r="358" spans="1:28" s="549" customFormat="1" x14ac:dyDescent="0.2">
      <c r="A358" s="665"/>
      <c r="B358" s="896"/>
      <c r="C358" s="554"/>
      <c r="D358" s="555"/>
      <c r="E358" s="552"/>
      <c r="F358" s="561"/>
      <c r="G358" s="562"/>
      <c r="H358" s="550"/>
      <c r="I358" s="550"/>
      <c r="J358" s="553"/>
      <c r="K358" s="551"/>
      <c r="L358" s="551"/>
      <c r="M358" s="551"/>
      <c r="N358" s="546"/>
      <c r="O358" s="558"/>
      <c r="P358" s="559"/>
      <c r="Q358" s="559"/>
      <c r="R358" s="666"/>
      <c r="S358" s="593">
        <f>VLOOKUP("Total",C359:O746,12,FALSE)</f>
        <v>42</v>
      </c>
      <c r="T358" s="593" t="str">
        <f>VLOOKUP("Total",C359:O746,13,FALSE)</f>
        <v>M</v>
      </c>
      <c r="U358" s="601"/>
      <c r="W358" s="583"/>
      <c r="X358" s="583"/>
      <c r="Y358" s="583"/>
      <c r="Z358" s="583"/>
      <c r="AA358" s="583"/>
      <c r="AB358" s="583"/>
    </row>
    <row r="359" spans="1:28" x14ac:dyDescent="0.2">
      <c r="A359" s="668" t="s">
        <v>512</v>
      </c>
      <c r="B359" s="898">
        <v>40516</v>
      </c>
      <c r="C359" s="335" t="str">
        <f>IF(MID(B359,1,2)="LG",VLOOKUP(B359,Composições!J:M,3,FALSE),IF(MID(B359,1,1)="6",VLOOKUP(B359,transp.!$A$4:$K$19,11,FALSE)&amp;" -  XP="&amp;TEXT(T359,"0.000")&amp;" / XR="&amp;TEXT(V359,"0.000"),VLOOKUP(B359,'DER 11-20'!$A$1:$I$1981,2,FALSE)))</f>
        <v>Berço de concreto ciclópico para BSTC diâmetro 1,00 m</v>
      </c>
      <c r="D359" s="934" t="s">
        <v>275</v>
      </c>
      <c r="E359" s="935"/>
      <c r="F359" s="936"/>
      <c r="G359" s="934" t="s">
        <v>276</v>
      </c>
      <c r="H359" s="935"/>
      <c r="I359" s="936"/>
      <c r="J359" s="337" t="s">
        <v>266</v>
      </c>
      <c r="K359" s="644"/>
      <c r="L359" s="641"/>
      <c r="M359" s="645"/>
      <c r="N359" s="641" t="str">
        <f>CONCATENATE("Total (",IF(MID(B359,1,2)="LG",VLOOKUP(B359,'[1]Compos lug'!J:M,4,FALSE),IF(MID(B359,1,1)="6","t",VLOOKUP(B359,'[1]DER 06-16'!$A$1:$I$2000,3,FALSE))),")")</f>
        <v>Total (m)</v>
      </c>
      <c r="O359" s="305"/>
      <c r="P359" s="307"/>
      <c r="Q359" s="307"/>
      <c r="R359" s="664"/>
      <c r="S359" s="593">
        <f>VLOOKUP("Total",C360:O747,12,FALSE)</f>
        <v>42</v>
      </c>
      <c r="T359" s="593" t="str">
        <f>VLOOKUP("Total",C360:O747,13,FALSE)</f>
        <v>M</v>
      </c>
      <c r="U359" s="593"/>
    </row>
    <row r="360" spans="1:28" x14ac:dyDescent="0.2">
      <c r="A360" s="655"/>
      <c r="B360" s="751"/>
      <c r="C360" s="342" t="s">
        <v>2</v>
      </c>
      <c r="D360" s="343"/>
      <c r="E360" s="340"/>
      <c r="F360" s="568"/>
      <c r="G360" s="569"/>
      <c r="H360" s="344"/>
      <c r="I360" s="344"/>
      <c r="J360" s="341"/>
      <c r="K360" s="346"/>
      <c r="L360" s="346"/>
      <c r="M360" s="346"/>
      <c r="N360" s="348">
        <v>42</v>
      </c>
      <c r="O360" s="349" t="str">
        <f>IF(MID(B359,1,2)="LG",VLOOKUP(B359,Composições!J:M,4,FALSE),IF(MID(B359,1,1)="6",VLOOKUP(B359,transp.!$A$6:$K$35,3,FALSE),VLOOKUP(B359,'DER 11-20'!$A$1:$I$1981,3,FALSE)))</f>
        <v>M</v>
      </c>
      <c r="P360" s="350"/>
      <c r="Q360" s="350"/>
      <c r="R360" s="656"/>
      <c r="S360" s="593">
        <f>VLOOKUP("Total",C361:O758,12,FALSE)</f>
        <v>62</v>
      </c>
      <c r="T360" s="593" t="str">
        <f>VLOOKUP("Total",C361:O758,13,FALSE)</f>
        <v>M</v>
      </c>
      <c r="U360" s="593"/>
    </row>
    <row r="361" spans="1:28" s="549" customFormat="1" x14ac:dyDescent="0.2">
      <c r="A361" s="665"/>
      <c r="B361" s="896"/>
      <c r="C361" s="554"/>
      <c r="D361" s="555"/>
      <c r="E361" s="552"/>
      <c r="F361" s="561"/>
      <c r="G361" s="562"/>
      <c r="H361" s="550"/>
      <c r="I361" s="550"/>
      <c r="J361" s="553"/>
      <c r="K361" s="551"/>
      <c r="L361" s="551"/>
      <c r="M361" s="551"/>
      <c r="N361" s="546"/>
      <c r="O361" s="558"/>
      <c r="P361" s="559"/>
      <c r="Q361" s="559"/>
      <c r="R361" s="666"/>
      <c r="S361" s="593">
        <f>VLOOKUP("Total",C362:O759,12,FALSE)</f>
        <v>62</v>
      </c>
      <c r="T361" s="593" t="str">
        <f>VLOOKUP("Total",C362:O759,13,FALSE)</f>
        <v>M</v>
      </c>
      <c r="U361" s="601"/>
      <c r="W361" s="583"/>
      <c r="X361" s="583"/>
      <c r="Y361" s="583"/>
      <c r="Z361" s="583"/>
      <c r="AA361" s="583"/>
      <c r="AB361" s="583"/>
    </row>
    <row r="362" spans="1:28" x14ac:dyDescent="0.2">
      <c r="A362" s="668" t="s">
        <v>513</v>
      </c>
      <c r="B362" s="898">
        <v>40517</v>
      </c>
      <c r="C362" s="335" t="str">
        <f>IF(MID(B362,1,2)="LG",VLOOKUP(B362,Composições!J:M,3,FALSE),IF(MID(B362,1,1)="6",VLOOKUP(B362,transp.!$A$4:$K$19,11,FALSE)&amp;" -  XP="&amp;TEXT(T362,"0.000")&amp;" / XR="&amp;TEXT(V362,"0.000"),VLOOKUP(B362,'DER 11-20'!$A$1:$I$1981,2,FALSE)))</f>
        <v>Berço de concreto ciclópico para BSTC diâmetro 1,20 m</v>
      </c>
      <c r="D362" s="934" t="s">
        <v>275</v>
      </c>
      <c r="E362" s="935"/>
      <c r="F362" s="936"/>
      <c r="G362" s="934"/>
      <c r="H362" s="935"/>
      <c r="I362" s="936"/>
      <c r="J362" s="337"/>
      <c r="K362" s="644"/>
      <c r="L362" s="641"/>
      <c r="M362" s="645"/>
      <c r="N362" s="641" t="str">
        <f>CONCATENATE("Total (",IF(MID(B362,1,2)="LG",VLOOKUP(B362,'[1]Compos lug'!J:M,4,FALSE),IF(MID(B362,1,1)="6","t",VLOOKUP(B362,'[1]DER 06-16'!$A$1:$I$2000,3,FALSE))),")")</f>
        <v>Total (m)</v>
      </c>
      <c r="O362" s="305"/>
      <c r="P362" s="307"/>
      <c r="Q362" s="307"/>
      <c r="R362" s="664"/>
      <c r="S362" s="593">
        <f>VLOOKUP("Total",C363:O760,12,FALSE)</f>
        <v>62</v>
      </c>
      <c r="T362" s="593" t="str">
        <f>VLOOKUP("Total",C363:O760,13,FALSE)</f>
        <v>M</v>
      </c>
      <c r="U362" s="593"/>
    </row>
    <row r="363" spans="1:28" x14ac:dyDescent="0.2">
      <c r="A363" s="655"/>
      <c r="B363" s="751"/>
      <c r="C363" s="342" t="s">
        <v>2</v>
      </c>
      <c r="D363" s="343"/>
      <c r="E363" s="340"/>
      <c r="F363" s="568"/>
      <c r="G363" s="569"/>
      <c r="H363" s="344"/>
      <c r="I363" s="344"/>
      <c r="J363" s="341"/>
      <c r="K363" s="346"/>
      <c r="L363" s="346"/>
      <c r="M363" s="346"/>
      <c r="N363" s="348">
        <v>62</v>
      </c>
      <c r="O363" s="349" t="str">
        <f>IF(MID(B362,1,2)="LG",VLOOKUP(B362,Composições!J:M,4,FALSE),IF(MID(B362,1,1)="6",VLOOKUP(B362,transp.!$A$6:$K$35,3,FALSE),VLOOKUP(B362,'DER 11-20'!$A$1:$I$1981,3,FALSE)))</f>
        <v>M</v>
      </c>
      <c r="P363" s="350"/>
      <c r="Q363" s="350"/>
      <c r="R363" s="656"/>
      <c r="S363" s="593">
        <f>VLOOKUP("Total",C208:O765,12,FALSE)</f>
        <v>54736.51</v>
      </c>
      <c r="T363" s="593" t="str">
        <f>VLOOKUP("Total",C208:O765,13,FALSE)</f>
        <v>M2</v>
      </c>
      <c r="U363" s="593"/>
    </row>
    <row r="364" spans="1:28" x14ac:dyDescent="0.2">
      <c r="A364" s="287"/>
      <c r="B364" s="890"/>
      <c r="C364" s="331"/>
      <c r="F364" s="567"/>
      <c r="G364" s="289"/>
      <c r="H364" s="285"/>
      <c r="K364" s="291"/>
      <c r="L364" s="292"/>
      <c r="M364" s="291"/>
      <c r="N364" s="306"/>
      <c r="O364" s="332"/>
      <c r="P364" s="307"/>
      <c r="Q364" s="307"/>
      <c r="R364" s="659"/>
      <c r="S364" s="593"/>
      <c r="T364" s="593"/>
      <c r="U364" s="593"/>
    </row>
    <row r="365" spans="1:28" x14ac:dyDescent="0.2">
      <c r="A365" s="652" t="s">
        <v>514</v>
      </c>
      <c r="B365" s="898">
        <v>40521</v>
      </c>
      <c r="C365" s="335" t="str">
        <f>IF(MID(B365,1,2)="LG",VLOOKUP(B365,Composições!J:M,3,FALSE),IF(MID(B365,1,1)="6",VLOOKUP(B365,transp.!$A$4:$K$19,11,FALSE)&amp;" -  XP="&amp;TEXT(#REF!,"0.000")&amp;" / XR="&amp;TEXT(#REF!,"0.000"),VLOOKUP(B365,'DER 11-20'!$A$1:$I$1981,2,FALSE)))</f>
        <v>Berço de concreto ciclópico para BDTC diâmetro 1,00 m</v>
      </c>
      <c r="D365" s="934" t="s">
        <v>275</v>
      </c>
      <c r="E365" s="935"/>
      <c r="F365" s="936"/>
      <c r="G365" s="934" t="s">
        <v>276</v>
      </c>
      <c r="H365" s="935"/>
      <c r="I365" s="936"/>
      <c r="J365" s="337" t="s">
        <v>266</v>
      </c>
      <c r="K365" s="641"/>
      <c r="L365" s="645"/>
      <c r="M365" s="641"/>
      <c r="N365" s="641" t="s">
        <v>274</v>
      </c>
      <c r="O365" s="339"/>
      <c r="P365" s="937"/>
      <c r="Q365" s="938"/>
      <c r="R365" s="658"/>
      <c r="S365" s="593">
        <f>VLOOKUP("Total",C366:O1266,12,FALSE)</f>
        <v>52</v>
      </c>
      <c r="T365" s="593" t="str">
        <f>VLOOKUP("Total",C366:O1266,13,FALSE)</f>
        <v>M</v>
      </c>
      <c r="U365" s="593"/>
    </row>
    <row r="366" spans="1:28" x14ac:dyDescent="0.2">
      <c r="A366" s="655"/>
      <c r="B366" s="751"/>
      <c r="C366" s="342" t="s">
        <v>2</v>
      </c>
      <c r="D366" s="343"/>
      <c r="E366" s="340"/>
      <c r="F366" s="344"/>
      <c r="G366" s="343"/>
      <c r="H366" s="344"/>
      <c r="I366" s="344"/>
      <c r="J366" s="341"/>
      <c r="K366" s="345"/>
      <c r="L366" s="346"/>
      <c r="M366" s="347"/>
      <c r="N366" s="348">
        <v>52</v>
      </c>
      <c r="O366" s="349" t="str">
        <f>IF(MID(B365,1,2)="LG",VLOOKUP(B365,Composições!J:M,4,FALSE),IF(MID(B365,1,1)="6",VLOOKUP(B365,transp.!$A$6:$K$35,3,FALSE),VLOOKUP(B365,'DER 11-20'!$A$1:$I$1981,3,FALSE)))</f>
        <v>M</v>
      </c>
      <c r="P366" s="673"/>
      <c r="Q366" s="673"/>
      <c r="R366" s="656"/>
      <c r="S366" s="593">
        <f>VLOOKUP("Total",C367:O1300,12,FALSE)</f>
        <v>79</v>
      </c>
      <c r="T366" s="593" t="str">
        <f>VLOOKUP("Total",C367:O1300,13,FALSE)</f>
        <v>M</v>
      </c>
      <c r="U366" s="593"/>
    </row>
    <row r="367" spans="1:28" x14ac:dyDescent="0.2">
      <c r="A367" s="287"/>
      <c r="B367" s="890"/>
      <c r="C367" s="331"/>
      <c r="D367" s="572"/>
      <c r="E367" s="573"/>
      <c r="F367" s="574"/>
      <c r="H367" s="285"/>
      <c r="K367" s="367"/>
      <c r="L367" s="368"/>
      <c r="M367" s="369"/>
      <c r="N367" s="384"/>
      <c r="O367" s="575"/>
      <c r="P367" s="576"/>
      <c r="Q367" s="673"/>
      <c r="R367" s="659"/>
      <c r="S367" s="593">
        <f>VLOOKUP("Total",C368:O1301,12,FALSE)</f>
        <v>79</v>
      </c>
      <c r="T367" s="593" t="str">
        <f>VLOOKUP("Total",C368:O1301,13,FALSE)</f>
        <v>M</v>
      </c>
      <c r="U367" s="593"/>
    </row>
    <row r="368" spans="1:28" x14ac:dyDescent="0.2">
      <c r="A368" s="652" t="s">
        <v>515</v>
      </c>
      <c r="B368" s="898">
        <v>40526</v>
      </c>
      <c r="C368" s="335" t="str">
        <f>IF(MID(B368,1,2)="LG",VLOOKUP(B368,Composições!J:M,3,FALSE),IF(MID(B368,1,1)="6",VLOOKUP(B368,transp.!$A$4:$K$19,11,FALSE)&amp;" -  XP="&amp;TEXT(#REF!,"0.000")&amp;" / XR="&amp;TEXT(#REF!,"0.000"),VLOOKUP(B368,'DER 11-20'!$A$1:$I$1981,2,FALSE)))</f>
        <v>Berço de concreto ciclópico para BTTC diâmetro 1,00 m</v>
      </c>
      <c r="D368" s="934" t="s">
        <v>275</v>
      </c>
      <c r="E368" s="935"/>
      <c r="F368" s="936"/>
      <c r="G368" s="939" t="s">
        <v>276</v>
      </c>
      <c r="H368" s="940"/>
      <c r="I368" s="941"/>
      <c r="J368" s="337" t="s">
        <v>266</v>
      </c>
      <c r="K368" s="641"/>
      <c r="L368" s="645"/>
      <c r="M368" s="641"/>
      <c r="N368" s="641" t="s">
        <v>274</v>
      </c>
      <c r="O368" s="339"/>
      <c r="P368" s="938"/>
      <c r="Q368" s="938"/>
      <c r="R368" s="658"/>
      <c r="S368" s="593">
        <f>VLOOKUP("Total",C369:O1302,12,FALSE)</f>
        <v>79</v>
      </c>
      <c r="T368" s="593" t="str">
        <f>VLOOKUP("Total",C369:O1302,13,FALSE)</f>
        <v>M</v>
      </c>
      <c r="U368" s="593"/>
    </row>
    <row r="369" spans="1:28" x14ac:dyDescent="0.2">
      <c r="A369" s="655"/>
      <c r="B369" s="751"/>
      <c r="C369" s="342" t="s">
        <v>2</v>
      </c>
      <c r="D369" s="343"/>
      <c r="E369" s="340"/>
      <c r="F369" s="344"/>
      <c r="G369" s="343"/>
      <c r="H369" s="344"/>
      <c r="I369" s="344"/>
      <c r="J369" s="341"/>
      <c r="K369" s="345"/>
      <c r="L369" s="346"/>
      <c r="M369" s="347"/>
      <c r="N369" s="348">
        <v>79</v>
      </c>
      <c r="O369" s="349" t="str">
        <f>IF(MID(B368,1,2)="LG",VLOOKUP(B368,Composições!J:M,4,FALSE),IF(MID(B368,1,1)="6",VLOOKUP(B368,transp.!$A$6:$K$35,3,FALSE),VLOOKUP(B368,'DER 11-20'!$A$1:$I$1981,3,FALSE)))</f>
        <v>M</v>
      </c>
      <c r="P369" s="350"/>
      <c r="Q369" s="350"/>
      <c r="R369" s="656"/>
      <c r="S369" s="593">
        <f>VLOOKUP("Total",C370:O1331,12,FALSE)</f>
        <v>37</v>
      </c>
      <c r="T369" s="593" t="str">
        <f>VLOOKUP("Total",C370:O1331,13,FALSE)</f>
        <v>M</v>
      </c>
      <c r="U369" s="593"/>
    </row>
    <row r="370" spans="1:28" x14ac:dyDescent="0.2">
      <c r="A370" s="287"/>
      <c r="B370" s="890"/>
      <c r="C370" s="331"/>
      <c r="D370" s="572"/>
      <c r="E370" s="573"/>
      <c r="F370" s="574"/>
      <c r="H370" s="285"/>
      <c r="K370" s="367"/>
      <c r="L370" s="368"/>
      <c r="M370" s="369"/>
      <c r="N370" s="384"/>
      <c r="O370" s="575"/>
      <c r="P370" s="576"/>
      <c r="Q370" s="673"/>
      <c r="R370" s="659"/>
      <c r="S370" s="593">
        <f>VLOOKUP("Total",C371:O1332,12,FALSE)</f>
        <v>37</v>
      </c>
      <c r="T370" s="593" t="str">
        <f>VLOOKUP("Total",C371:O1332,13,FALSE)</f>
        <v>M</v>
      </c>
      <c r="U370" s="593"/>
    </row>
    <row r="371" spans="1:28" x14ac:dyDescent="0.2">
      <c r="A371" s="652" t="s">
        <v>516</v>
      </c>
      <c r="B371" s="898">
        <v>40527</v>
      </c>
      <c r="C371" s="335" t="str">
        <f>IF(MID(B371,1,2)="LG",VLOOKUP(B371,Composições!J:M,3,FALSE),IF(MID(B371,1,1)="6",VLOOKUP(B371,transp.!$A$4:$K$19,11,FALSE)&amp;" -  XP="&amp;TEXT(#REF!,"0.000")&amp;" / XR="&amp;TEXT(#REF!,"0.000"),VLOOKUP(B371,'DER 11-20'!$A$1:$I$1981,2,FALSE)))</f>
        <v>Berço de concreto ciclópico para BTTC diâmetro 1,20 m</v>
      </c>
      <c r="D371" s="934" t="s">
        <v>275</v>
      </c>
      <c r="E371" s="935"/>
      <c r="F371" s="936"/>
      <c r="G371" s="939"/>
      <c r="H371" s="940"/>
      <c r="I371" s="941"/>
      <c r="J371" s="337" t="s">
        <v>266</v>
      </c>
      <c r="K371" s="641"/>
      <c r="L371" s="645"/>
      <c r="M371" s="641"/>
      <c r="N371" s="641" t="s">
        <v>369</v>
      </c>
      <c r="O371" s="339"/>
      <c r="P371" s="938"/>
      <c r="Q371" s="938"/>
      <c r="R371" s="658"/>
      <c r="S371" s="593">
        <f>VLOOKUP("Total",C372:O1333,12,FALSE)</f>
        <v>37</v>
      </c>
      <c r="T371" s="593" t="str">
        <f>VLOOKUP("Total",C372:O1333,13,FALSE)</f>
        <v>M</v>
      </c>
      <c r="U371" s="593"/>
    </row>
    <row r="372" spans="1:28" x14ac:dyDescent="0.2">
      <c r="A372" s="655"/>
      <c r="B372" s="751"/>
      <c r="C372" s="342" t="s">
        <v>2</v>
      </c>
      <c r="D372" s="343"/>
      <c r="E372" s="340"/>
      <c r="F372" s="344"/>
      <c r="G372" s="343"/>
      <c r="H372" s="344"/>
      <c r="I372" s="344"/>
      <c r="J372" s="341"/>
      <c r="K372" s="345"/>
      <c r="L372" s="346"/>
      <c r="M372" s="347"/>
      <c r="N372" s="348">
        <v>37</v>
      </c>
      <c r="O372" s="349" t="str">
        <f>IF(MID(B371,1,2)="LG",VLOOKUP(B371,Composições!J:M,4,FALSE),IF(MID(B371,1,1)="6",VLOOKUP(B371,transp.!$A$6:$K$35,3,FALSE),VLOOKUP(B371,'DER 11-20'!$A$1:$I$1981,3,FALSE)))</f>
        <v>M</v>
      </c>
      <c r="P372" s="350"/>
      <c r="Q372" s="350"/>
      <c r="R372" s="656"/>
      <c r="S372" s="593">
        <f>VLOOKUP("Total",C373:O1372,12,FALSE)</f>
        <v>36</v>
      </c>
      <c r="T372" s="593" t="str">
        <f>VLOOKUP("Total",C373:O1372,13,FALSE)</f>
        <v>M</v>
      </c>
      <c r="U372" s="593"/>
    </row>
    <row r="373" spans="1:28" x14ac:dyDescent="0.2">
      <c r="A373" s="287"/>
      <c r="B373" s="890"/>
      <c r="C373" s="331"/>
      <c r="H373" s="285"/>
      <c r="N373" s="306"/>
      <c r="O373" s="332"/>
      <c r="P373" s="307"/>
      <c r="Q373" s="307"/>
      <c r="R373" s="659"/>
      <c r="S373" s="593">
        <f>VLOOKUP("Total",C374:O1373,12,FALSE)</f>
        <v>36</v>
      </c>
      <c r="T373" s="593" t="str">
        <f>VLOOKUP("Total",C374:O1373,13,FALSE)</f>
        <v>M</v>
      </c>
      <c r="U373" s="593"/>
    </row>
    <row r="374" spans="1:28" x14ac:dyDescent="0.2">
      <c r="A374" s="652" t="s">
        <v>517</v>
      </c>
      <c r="B374" s="898">
        <v>40528</v>
      </c>
      <c r="C374" s="335" t="str">
        <f>IF(MID(B374,1,2)="LG",VLOOKUP(B374,Composições!J:M,3,FALSE),IF(MID(B374,1,1)="6",VLOOKUP(B374,transp.!$A$4:$K$21,11,FALSE)&amp;" -  XP="&amp;TEXT(#REF!,"0,000")&amp;" / XR="&amp;TEXT(#REF!,"0,000"),VLOOKUP(B374,'DER 11-20'!$A$1:$I$1994,2,FALSE)))</f>
        <v>Berço de concreto ciclópico para BTTC diâmetro 1,50 m</v>
      </c>
      <c r="D374" s="934" t="s">
        <v>275</v>
      </c>
      <c r="E374" s="935"/>
      <c r="F374" s="936"/>
      <c r="G374" s="934" t="s">
        <v>276</v>
      </c>
      <c r="H374" s="935"/>
      <c r="I374" s="936"/>
      <c r="J374" s="337" t="s">
        <v>266</v>
      </c>
      <c r="K374" s="641"/>
      <c r="L374" s="645" t="s">
        <v>302</v>
      </c>
      <c r="M374" s="641" t="s">
        <v>267</v>
      </c>
      <c r="N374" s="641" t="str">
        <f>CONCATENATE("Total (",IF(MID(B374,1,2)="LG",VLOOKUP(B374,Composições!J:M,4,FALSE),IF(MID(B374,1,1)="6","t",VLOOKUP(B374,'DER 11-20'!$A$1:$I$1994,3,FALSE))),")")</f>
        <v>Total (M)</v>
      </c>
      <c r="O374" s="339"/>
      <c r="P374" s="937"/>
      <c r="Q374" s="938"/>
      <c r="R374" s="658"/>
      <c r="S374" s="593">
        <f>VLOOKUP("Total",C375:O1374,12,FALSE)</f>
        <v>36</v>
      </c>
      <c r="T374" s="593" t="str">
        <f>VLOOKUP("Total",C375:O1374,13,FALSE)</f>
        <v>M</v>
      </c>
      <c r="U374" s="593"/>
      <c r="W374" s="281"/>
      <c r="X374" s="281"/>
      <c r="Y374" s="281"/>
      <c r="Z374" s="281"/>
      <c r="AA374" s="281"/>
      <c r="AB374" s="281"/>
    </row>
    <row r="375" spans="1:28" x14ac:dyDescent="0.2">
      <c r="A375" s="655"/>
      <c r="B375" s="751"/>
      <c r="C375" s="342" t="s">
        <v>2</v>
      </c>
      <c r="D375" s="343"/>
      <c r="E375" s="340"/>
      <c r="F375" s="344"/>
      <c r="G375" s="343"/>
      <c r="H375" s="344"/>
      <c r="I375" s="344"/>
      <c r="J375" s="341"/>
      <c r="K375" s="345"/>
      <c r="L375" s="346"/>
      <c r="M375" s="347"/>
      <c r="N375" s="348">
        <v>36</v>
      </c>
      <c r="O375" s="349" t="str">
        <f>IF(MID(B374,1,2)="LG",VLOOKUP(B374,Composições!J:M,4,FALSE),IF(MID(B374,1,1)="6",VLOOKUP(B374,transp.!$A$6:$K$27,3,FALSE),VLOOKUP(B374,'DER 11-20'!$A$1:$I$1994,3,FALSE)))</f>
        <v>M</v>
      </c>
      <c r="P375" s="350"/>
      <c r="Q375" s="350"/>
      <c r="R375" s="656"/>
      <c r="S375" s="593">
        <f>VLOOKUP("Total",C521:O1386,12,FALSE)</f>
        <v>7944.34</v>
      </c>
      <c r="T375" s="593" t="str">
        <f>VLOOKUP("Total",C521:O1386,13,FALSE)</f>
        <v>M</v>
      </c>
      <c r="U375" s="593"/>
      <c r="W375" s="281"/>
      <c r="X375" s="281"/>
      <c r="Y375" s="281"/>
      <c r="Z375" s="281"/>
      <c r="AA375" s="281"/>
      <c r="AB375" s="281"/>
    </row>
    <row r="376" spans="1:28" s="549" customFormat="1" x14ac:dyDescent="0.2">
      <c r="A376" s="665"/>
      <c r="B376" s="896"/>
      <c r="C376" s="554"/>
      <c r="D376" s="555"/>
      <c r="E376" s="552"/>
      <c r="F376" s="561"/>
      <c r="G376" s="562"/>
      <c r="H376" s="550"/>
      <c r="I376" s="550"/>
      <c r="J376" s="553"/>
      <c r="K376" s="551"/>
      <c r="L376" s="551"/>
      <c r="M376" s="551"/>
      <c r="N376" s="546"/>
      <c r="O376" s="558"/>
      <c r="P376" s="559"/>
      <c r="Q376" s="559"/>
      <c r="R376" s="666"/>
      <c r="S376" s="593">
        <f>VLOOKUP("Total",C377:O652,12,FALSE)</f>
        <v>7</v>
      </c>
      <c r="T376" s="593" t="str">
        <f>VLOOKUP("Total",C377:O652,13,FALSE)</f>
        <v>Ud</v>
      </c>
      <c r="U376" s="601"/>
      <c r="W376" s="583"/>
      <c r="X376" s="583"/>
      <c r="Y376" s="583"/>
      <c r="Z376" s="583"/>
      <c r="AA376" s="583"/>
      <c r="AB376" s="583"/>
    </row>
    <row r="377" spans="1:28" x14ac:dyDescent="0.2">
      <c r="A377" s="668" t="s">
        <v>518</v>
      </c>
      <c r="B377" s="898">
        <v>40531</v>
      </c>
      <c r="C377" s="335" t="str">
        <f>IF(MID(B377,1,2)="LG",VLOOKUP(B377,Composições!J:M,3,FALSE),IF(MID(B377,1,1)="6",VLOOKUP(B377,transp.!$A$4:$K$19,11,FALSE)&amp;" -  XP="&amp;TEXT(T377,"0.000")&amp;" / XR="&amp;TEXT(V377,"0.000"),VLOOKUP(B377,'DER 11-20'!$A$1:$I$1981,2,FALSE)))</f>
        <v>Boca de concreto ciclópico para BSTC diâmetro 0,80 m</v>
      </c>
      <c r="D377" s="934" t="s">
        <v>275</v>
      </c>
      <c r="E377" s="935"/>
      <c r="F377" s="936"/>
      <c r="G377" s="934"/>
      <c r="H377" s="935"/>
      <c r="I377" s="936"/>
      <c r="J377" s="337" t="s">
        <v>266</v>
      </c>
      <c r="K377" s="728"/>
      <c r="L377" s="728"/>
      <c r="M377" s="728"/>
      <c r="N377" s="728" t="str">
        <f>CONCATENATE("Total (",IF(MID(B377,1,2)="LG",VLOOKUP(B377,Composições!J:M,4,FALSE),IF(MID(B377,1,1)="6","t",VLOOKUP(B377,'DER 11-20'!$A$1:$I$1981,3,FALSE))),")")</f>
        <v>Total (Ud)</v>
      </c>
      <c r="O377" s="305"/>
      <c r="P377" s="307"/>
      <c r="Q377" s="307"/>
      <c r="R377" s="664"/>
      <c r="S377" s="593">
        <f>VLOOKUP("Total",C378:O652,12,FALSE)</f>
        <v>7</v>
      </c>
      <c r="T377" s="593" t="str">
        <f>VLOOKUP("Total",C378:O652,13,FALSE)</f>
        <v>Ud</v>
      </c>
      <c r="U377" s="593"/>
    </row>
    <row r="378" spans="1:28" x14ac:dyDescent="0.2">
      <c r="A378" s="655"/>
      <c r="B378" s="751"/>
      <c r="C378" s="342" t="s">
        <v>2</v>
      </c>
      <c r="D378" s="343"/>
      <c r="E378" s="340"/>
      <c r="F378" s="568"/>
      <c r="G378" s="569"/>
      <c r="H378" s="344"/>
      <c r="I378" s="344"/>
      <c r="J378" s="341"/>
      <c r="K378" s="346"/>
      <c r="L378" s="346"/>
      <c r="M378" s="346"/>
      <c r="N378" s="348">
        <v>7</v>
      </c>
      <c r="O378" s="349" t="str">
        <f>IF(MID(B377,1,2)="LG",VLOOKUP(B377,Composições!J:M,4,FALSE),IF(MID(B377,1,1)="6",VLOOKUP(B377,transp.!$A$6:$K$35,3,FALSE),VLOOKUP(B377,'DER 11-20'!$A$1:$I$1981,3,FALSE)))</f>
        <v>Ud</v>
      </c>
      <c r="P378" s="350"/>
      <c r="Q378" s="350"/>
      <c r="R378" s="656"/>
      <c r="S378" s="593">
        <f>VLOOKUP("Total",C379:O652,12,FALSE)</f>
        <v>4</v>
      </c>
      <c r="T378" s="593" t="str">
        <f>VLOOKUP("Total",C379:O652,13,FALSE)</f>
        <v>Ud</v>
      </c>
      <c r="U378" s="593"/>
    </row>
    <row r="379" spans="1:28" s="549" customFormat="1" x14ac:dyDescent="0.2">
      <c r="A379" s="665"/>
      <c r="B379" s="896"/>
      <c r="C379" s="554"/>
      <c r="D379" s="555"/>
      <c r="E379" s="552"/>
      <c r="F379" s="561"/>
      <c r="G379" s="562"/>
      <c r="H379" s="550"/>
      <c r="I379" s="550"/>
      <c r="J379" s="553"/>
      <c r="K379" s="551"/>
      <c r="L379" s="551"/>
      <c r="M379" s="551"/>
      <c r="N379" s="546" t="s">
        <v>436</v>
      </c>
      <c r="O379" s="558"/>
      <c r="P379" s="559"/>
      <c r="Q379" s="559"/>
      <c r="R379" s="666"/>
      <c r="S379" s="593">
        <f>VLOOKUP("Total",C380:O652,12,FALSE)</f>
        <v>4</v>
      </c>
      <c r="T379" s="593" t="str">
        <f>VLOOKUP("Total",C380:O652,13,FALSE)</f>
        <v>Ud</v>
      </c>
      <c r="U379" s="601"/>
      <c r="W379" s="583"/>
      <c r="X379" s="583"/>
      <c r="Y379" s="583"/>
      <c r="Z379" s="583"/>
      <c r="AA379" s="583"/>
      <c r="AB379" s="583"/>
    </row>
    <row r="380" spans="1:28" x14ac:dyDescent="0.2">
      <c r="A380" s="668" t="s">
        <v>519</v>
      </c>
      <c r="B380" s="898">
        <v>40532</v>
      </c>
      <c r="C380" s="335" t="str">
        <f>IF(MID(B380,1,2)="LG",VLOOKUP(B380,Composições!J:M,3,FALSE),IF(MID(B380,1,1)="6",VLOOKUP(B380,transp.!$A$4:$K$19,11,FALSE)&amp;" -  XP="&amp;TEXT(T380,"0.000")&amp;" / XR="&amp;TEXT(V380,"0.000"),VLOOKUP(B380,'DER 11-20'!$A$1:$I$1981,2,FALSE)))</f>
        <v>Boca de concreto ciclópico para BSTC diâmetro 1,00 m</v>
      </c>
      <c r="D380" s="934" t="s">
        <v>275</v>
      </c>
      <c r="E380" s="935"/>
      <c r="F380" s="936"/>
      <c r="G380" s="934"/>
      <c r="H380" s="935"/>
      <c r="I380" s="936"/>
      <c r="J380" s="337" t="s">
        <v>266</v>
      </c>
      <c r="K380" s="728"/>
      <c r="L380" s="728"/>
      <c r="M380" s="728"/>
      <c r="N380" s="728" t="str">
        <f>CONCATENATE("Total (",IF(MID(B380,1,2)="LG",VLOOKUP(B380,Composições!J:M,4,FALSE),IF(MID(B380,1,1)="6","t",VLOOKUP(B380,'DER 11-20'!$A$1:$I$1981,3,FALSE))),")")</f>
        <v>Total (Ud)</v>
      </c>
      <c r="O380" s="305"/>
      <c r="P380" s="307"/>
      <c r="Q380" s="307"/>
      <c r="R380" s="664"/>
      <c r="S380" s="593">
        <f>VLOOKUP("Total",C381:O652,12,FALSE)</f>
        <v>4</v>
      </c>
      <c r="T380" s="593" t="str">
        <f>VLOOKUP("Total",C381:O652,13,FALSE)</f>
        <v>Ud</v>
      </c>
      <c r="U380" s="593"/>
    </row>
    <row r="381" spans="1:28" x14ac:dyDescent="0.2">
      <c r="A381" s="655"/>
      <c r="B381" s="751"/>
      <c r="C381" s="342" t="s">
        <v>2</v>
      </c>
      <c r="D381" s="343"/>
      <c r="E381" s="340"/>
      <c r="F381" s="568"/>
      <c r="G381" s="569"/>
      <c r="H381" s="344"/>
      <c r="I381" s="344"/>
      <c r="J381" s="341"/>
      <c r="K381" s="346"/>
      <c r="L381" s="346"/>
      <c r="M381" s="346"/>
      <c r="N381" s="348">
        <v>4</v>
      </c>
      <c r="O381" s="349" t="str">
        <f>IF(MID(B380,1,2)="LG",VLOOKUP(B380,Composições!J:M,4,FALSE),IF(MID(B380,1,1)="6",VLOOKUP(B380,transp.!$A$6:$K$35,3,FALSE),VLOOKUP(B380,'DER 11-20'!$A$1:$I$1981,3,FALSE)))</f>
        <v>Ud</v>
      </c>
      <c r="P381" s="350"/>
      <c r="Q381" s="350"/>
      <c r="R381" s="656"/>
      <c r="S381" s="593">
        <f>VLOOKUP("Total",C382:O652,12,FALSE)</f>
        <v>6</v>
      </c>
      <c r="T381" s="593" t="str">
        <f>VLOOKUP("Total",C382:O652,13,FALSE)</f>
        <v>Ud</v>
      </c>
      <c r="U381" s="593"/>
    </row>
    <row r="382" spans="1:28" s="549" customFormat="1" x14ac:dyDescent="0.2">
      <c r="A382" s="665"/>
      <c r="B382" s="896"/>
      <c r="C382" s="554"/>
      <c r="D382" s="555"/>
      <c r="E382" s="552"/>
      <c r="F382" s="561"/>
      <c r="G382" s="562"/>
      <c r="H382" s="550"/>
      <c r="I382" s="550"/>
      <c r="J382" s="553"/>
      <c r="K382" s="551"/>
      <c r="L382" s="551"/>
      <c r="M382" s="551"/>
      <c r="N382" s="546"/>
      <c r="O382" s="558"/>
      <c r="P382" s="559"/>
      <c r="Q382" s="559"/>
      <c r="R382" s="666"/>
      <c r="S382" s="593">
        <f>VLOOKUP("Total",C383:O652,12,FALSE)</f>
        <v>6</v>
      </c>
      <c r="T382" s="593" t="str">
        <f>VLOOKUP("Total",C383:O652,13,FALSE)</f>
        <v>Ud</v>
      </c>
      <c r="U382" s="601"/>
      <c r="W382" s="583"/>
      <c r="X382" s="583"/>
      <c r="Y382" s="583"/>
      <c r="Z382" s="583"/>
      <c r="AA382" s="583"/>
      <c r="AB382" s="583"/>
    </row>
    <row r="383" spans="1:28" x14ac:dyDescent="0.2">
      <c r="A383" s="668" t="s">
        <v>520</v>
      </c>
      <c r="B383" s="898">
        <v>40533</v>
      </c>
      <c r="C383" s="335" t="str">
        <f>IF(MID(B383,1,2)="LG",VLOOKUP(B383,Composições!J:M,3,FALSE),IF(MID(B383,1,1)="6",VLOOKUP(B383,transp.!$A$4:$K$19,11,FALSE)&amp;" -  XP="&amp;TEXT(T383,"0.000")&amp;" / XR="&amp;TEXT(V383,"0.000"),VLOOKUP(B383,'DER 11-20'!$A$1:$I$1981,2,FALSE)))</f>
        <v>Boca de concreto ciclópico para BSTC diâmetro 1,20 m</v>
      </c>
      <c r="D383" s="934" t="s">
        <v>275</v>
      </c>
      <c r="E383" s="935"/>
      <c r="F383" s="936"/>
      <c r="G383" s="934"/>
      <c r="H383" s="935"/>
      <c r="I383" s="936"/>
      <c r="J383" s="337" t="s">
        <v>266</v>
      </c>
      <c r="K383" s="728"/>
      <c r="L383" s="728"/>
      <c r="M383" s="728"/>
      <c r="N383" s="728" t="str">
        <f>CONCATENATE("Total (",IF(MID(B383,1,2)="LG",VLOOKUP(B383,Composições!J:M,4,FALSE),IF(MID(B383,1,1)="6","t",VLOOKUP(B383,'DER 11-20'!$A$1:$I$1981,3,FALSE))),")")</f>
        <v>Total (Ud)</v>
      </c>
      <c r="O383" s="305"/>
      <c r="P383" s="307"/>
      <c r="Q383" s="307"/>
      <c r="R383" s="664"/>
      <c r="S383" s="593">
        <f>VLOOKUP("Total",C384:O652,12,FALSE)</f>
        <v>6</v>
      </c>
      <c r="T383" s="593" t="str">
        <f>VLOOKUP("Total",C384:O652,13,FALSE)</f>
        <v>Ud</v>
      </c>
      <c r="U383" s="593"/>
    </row>
    <row r="384" spans="1:28" x14ac:dyDescent="0.2">
      <c r="A384" s="655"/>
      <c r="B384" s="751"/>
      <c r="C384" s="342" t="s">
        <v>2</v>
      </c>
      <c r="D384" s="343"/>
      <c r="E384" s="340"/>
      <c r="F384" s="568"/>
      <c r="G384" s="569"/>
      <c r="H384" s="344"/>
      <c r="I384" s="344"/>
      <c r="J384" s="341"/>
      <c r="K384" s="346"/>
      <c r="L384" s="346"/>
      <c r="M384" s="346"/>
      <c r="N384" s="348">
        <v>6</v>
      </c>
      <c r="O384" s="349" t="str">
        <f>IF(MID(B383,1,2)="LG",VLOOKUP(B383,Composições!J:M,4,FALSE),IF(MID(B383,1,1)="6",VLOOKUP(B383,transp.!$A$6:$K$35,3,FALSE),VLOOKUP(B383,'DER 11-20'!$A$1:$I$1981,3,FALSE)))</f>
        <v>Ud</v>
      </c>
      <c r="P384" s="350"/>
      <c r="Q384" s="350"/>
      <c r="R384" s="656"/>
      <c r="S384" s="593">
        <f>VLOOKUP("Total",C385:O652,12,FALSE)</f>
        <v>4</v>
      </c>
      <c r="T384" s="593" t="str">
        <f>VLOOKUP("Total",C385:O652,13,FALSE)</f>
        <v>Ud</v>
      </c>
      <c r="U384" s="593"/>
    </row>
    <row r="385" spans="1:28" s="549" customFormat="1" x14ac:dyDescent="0.2">
      <c r="A385" s="665"/>
      <c r="B385" s="896"/>
      <c r="C385" s="554"/>
      <c r="D385" s="555"/>
      <c r="E385" s="552"/>
      <c r="F385" s="561"/>
      <c r="G385" s="562"/>
      <c r="H385" s="550"/>
      <c r="I385" s="550"/>
      <c r="J385" s="553"/>
      <c r="K385" s="551"/>
      <c r="L385" s="551"/>
      <c r="M385" s="551"/>
      <c r="N385" s="546"/>
      <c r="O385" s="558"/>
      <c r="P385" s="559"/>
      <c r="Q385" s="559"/>
      <c r="R385" s="666"/>
      <c r="S385" s="593">
        <f>VLOOKUP("Total",C386:O652,12,FALSE)</f>
        <v>4</v>
      </c>
      <c r="T385" s="593" t="str">
        <f>VLOOKUP("Total",C386:O652,13,FALSE)</f>
        <v>Ud</v>
      </c>
      <c r="U385" s="601"/>
      <c r="W385" s="583"/>
      <c r="X385" s="583"/>
      <c r="Y385" s="583"/>
      <c r="Z385" s="583"/>
      <c r="AA385" s="583"/>
      <c r="AB385" s="583"/>
    </row>
    <row r="386" spans="1:28" x14ac:dyDescent="0.2">
      <c r="A386" s="668" t="s">
        <v>521</v>
      </c>
      <c r="B386" s="898">
        <v>40537</v>
      </c>
      <c r="C386" s="335" t="str">
        <f>IF(MID(B386,1,2)="LG",VLOOKUP(B386,Composições!J:M,3,FALSE),IF(MID(B386,1,1)="6",VLOOKUP(B386,transp.!$A$4:$K$19,11,FALSE)&amp;" -  XP="&amp;TEXT(T386,"0.000")&amp;" / XR="&amp;TEXT(V386,"0.000"),VLOOKUP(B386,'DER 11-20'!$A$1:$I$1981,2,FALSE)))</f>
        <v>Boca de concreto ciclópico para BDTC diâmetro 1,00 m</v>
      </c>
      <c r="D386" s="934" t="s">
        <v>275</v>
      </c>
      <c r="E386" s="935"/>
      <c r="F386" s="936"/>
      <c r="G386" s="934"/>
      <c r="H386" s="935"/>
      <c r="I386" s="936"/>
      <c r="J386" s="337" t="s">
        <v>266</v>
      </c>
      <c r="K386" s="728"/>
      <c r="L386" s="728"/>
      <c r="M386" s="728"/>
      <c r="N386" s="728" t="str">
        <f>CONCATENATE("Total (",IF(MID(B386,1,2)="LG",VLOOKUP(B386,Composições!J:M,4,FALSE),IF(MID(B386,1,1)="6","t",VLOOKUP(B386,'DER 11-20'!$A$1:$I$1981,3,FALSE))),")")</f>
        <v>Total (Ud)</v>
      </c>
      <c r="O386" s="305"/>
      <c r="P386" s="307"/>
      <c r="Q386" s="307"/>
      <c r="R386" s="664"/>
      <c r="S386" s="593">
        <f>VLOOKUP("Total",C387:O652,12,FALSE)</f>
        <v>4</v>
      </c>
      <c r="T386" s="593" t="str">
        <f>VLOOKUP("Total",C387:O652,13,FALSE)</f>
        <v>Ud</v>
      </c>
      <c r="U386" s="593"/>
    </row>
    <row r="387" spans="1:28" x14ac:dyDescent="0.2">
      <c r="A387" s="655"/>
      <c r="B387" s="751"/>
      <c r="C387" s="342" t="s">
        <v>2</v>
      </c>
      <c r="D387" s="343"/>
      <c r="E387" s="340"/>
      <c r="F387" s="568"/>
      <c r="G387" s="569"/>
      <c r="H387" s="344"/>
      <c r="I387" s="344"/>
      <c r="J387" s="341"/>
      <c r="K387" s="346"/>
      <c r="L387" s="346"/>
      <c r="M387" s="346"/>
      <c r="N387" s="348">
        <v>4</v>
      </c>
      <c r="O387" s="349" t="str">
        <f>IF(MID(B386,1,2)="LG",VLOOKUP(B386,Composições!J:M,4,FALSE),IF(MID(B386,1,1)="6",VLOOKUP(B386,transp.!$A$6:$K$35,3,FALSE),VLOOKUP(B386,'DER 11-20'!$A$1:$I$1981,3,FALSE)))</f>
        <v>Ud</v>
      </c>
      <c r="P387" s="350"/>
      <c r="Q387" s="350"/>
      <c r="R387" s="656"/>
      <c r="S387" s="593">
        <f>VLOOKUP("Total",C388:O652,12,FALSE)</f>
        <v>8</v>
      </c>
      <c r="T387" s="593" t="str">
        <f>VLOOKUP("Total",C388:O652,13,FALSE)</f>
        <v>Ud</v>
      </c>
      <c r="U387" s="593"/>
    </row>
    <row r="388" spans="1:28" s="549" customFormat="1" x14ac:dyDescent="0.2">
      <c r="A388" s="665"/>
      <c r="B388" s="896"/>
      <c r="C388" s="554"/>
      <c r="D388" s="555"/>
      <c r="E388" s="552"/>
      <c r="F388" s="561"/>
      <c r="G388" s="562"/>
      <c r="H388" s="550"/>
      <c r="I388" s="550"/>
      <c r="J388" s="553"/>
      <c r="K388" s="551"/>
      <c r="L388" s="551"/>
      <c r="M388" s="551"/>
      <c r="N388" s="546"/>
      <c r="O388" s="558"/>
      <c r="P388" s="559"/>
      <c r="Q388" s="559"/>
      <c r="R388" s="666"/>
      <c r="S388" s="593">
        <f>VLOOKUP("Total",C389:O652,12,FALSE)</f>
        <v>8</v>
      </c>
      <c r="T388" s="593" t="str">
        <f>VLOOKUP("Total",C389:O652,13,FALSE)</f>
        <v>Ud</v>
      </c>
      <c r="U388" s="601"/>
      <c r="W388" s="583"/>
      <c r="X388" s="583"/>
      <c r="Y388" s="583"/>
      <c r="Z388" s="583"/>
      <c r="AA388" s="583"/>
      <c r="AB388" s="583"/>
    </row>
    <row r="389" spans="1:28" x14ac:dyDescent="0.2">
      <c r="A389" s="668" t="s">
        <v>522</v>
      </c>
      <c r="B389" s="898">
        <v>40542</v>
      </c>
      <c r="C389" s="335" t="str">
        <f>IF(MID(B389,1,2)="LG",VLOOKUP(B389,Composições!J:M,3,FALSE),IF(MID(B389,1,1)="6",VLOOKUP(B389,transp.!$A$4:$K$19,11,FALSE)&amp;" -  XP="&amp;TEXT(T389,"0.000")&amp;" / XR="&amp;TEXT(V389,"0.000"),VLOOKUP(B389,'DER 11-20'!$A$1:$I$1981,2,FALSE)))</f>
        <v>Boca de concreto ciclópico para BTTC diâmetro 1,00 m</v>
      </c>
      <c r="D389" s="934" t="s">
        <v>275</v>
      </c>
      <c r="E389" s="935"/>
      <c r="F389" s="936"/>
      <c r="G389" s="934"/>
      <c r="H389" s="935"/>
      <c r="I389" s="936"/>
      <c r="J389" s="337" t="s">
        <v>266</v>
      </c>
      <c r="K389" s="728"/>
      <c r="L389" s="728"/>
      <c r="M389" s="728"/>
      <c r="N389" s="728" t="str">
        <f>CONCATENATE("Total (",IF(MID(B389,1,2)="LG",VLOOKUP(B389,Composições!J:M,4,FALSE),IF(MID(B389,1,1)="6","t",VLOOKUP(B389,'DER 11-20'!$A$1:$I$1981,3,FALSE))),")")</f>
        <v>Total (Ud)</v>
      </c>
      <c r="O389" s="305"/>
      <c r="P389" s="307"/>
      <c r="Q389" s="307"/>
      <c r="R389" s="664"/>
      <c r="S389" s="593">
        <f>VLOOKUP("Total",C390:O652,12,FALSE)</f>
        <v>8</v>
      </c>
      <c r="T389" s="593" t="str">
        <f>VLOOKUP("Total",C390:O652,13,FALSE)</f>
        <v>Ud</v>
      </c>
      <c r="U389" s="593"/>
    </row>
    <row r="390" spans="1:28" x14ac:dyDescent="0.2">
      <c r="A390" s="655"/>
      <c r="B390" s="751"/>
      <c r="C390" s="342" t="s">
        <v>2</v>
      </c>
      <c r="D390" s="343"/>
      <c r="E390" s="340"/>
      <c r="F390" s="568"/>
      <c r="G390" s="569"/>
      <c r="H390" s="344"/>
      <c r="I390" s="344"/>
      <c r="J390" s="341"/>
      <c r="K390" s="346"/>
      <c r="L390" s="346"/>
      <c r="M390" s="346"/>
      <c r="N390" s="348">
        <v>8</v>
      </c>
      <c r="O390" s="349" t="str">
        <f>IF(MID(B389,1,2)="LG",VLOOKUP(B389,Composições!J:M,4,FALSE),IF(MID(B389,1,1)="6",VLOOKUP(B389,transp.!$A$6:$K$35,3,FALSE),VLOOKUP(B389,'DER 11-20'!$A$1:$I$1981,3,FALSE)))</f>
        <v>Ud</v>
      </c>
      <c r="P390" s="350"/>
      <c r="Q390" s="350"/>
      <c r="R390" s="656"/>
      <c r="S390" s="593">
        <f>VLOOKUP("Total",C391:O652,12,FALSE)</f>
        <v>2</v>
      </c>
      <c r="T390" s="593" t="str">
        <f>VLOOKUP("Total",C391:O652,13,FALSE)</f>
        <v>Ud</v>
      </c>
      <c r="U390" s="593"/>
    </row>
    <row r="391" spans="1:28" s="549" customFormat="1" x14ac:dyDescent="0.2">
      <c r="A391" s="665"/>
      <c r="B391" s="896"/>
      <c r="C391" s="554"/>
      <c r="D391" s="555"/>
      <c r="E391" s="552"/>
      <c r="F391" s="561"/>
      <c r="G391" s="562"/>
      <c r="H391" s="550"/>
      <c r="I391" s="550"/>
      <c r="J391" s="553"/>
      <c r="K391" s="551"/>
      <c r="L391" s="551"/>
      <c r="M391" s="551"/>
      <c r="N391" s="546"/>
      <c r="O391" s="558"/>
      <c r="P391" s="559"/>
      <c r="Q391" s="559"/>
      <c r="R391" s="666"/>
      <c r="S391" s="593">
        <f>VLOOKUP("Total",C392:O652,12,FALSE)</f>
        <v>2</v>
      </c>
      <c r="T391" s="593" t="str">
        <f>VLOOKUP("Total",C392:O652,13,FALSE)</f>
        <v>Ud</v>
      </c>
      <c r="U391" s="601"/>
      <c r="W391" s="583"/>
      <c r="X391" s="583"/>
      <c r="Y391" s="583"/>
      <c r="Z391" s="583"/>
      <c r="AA391" s="583"/>
      <c r="AB391" s="583"/>
    </row>
    <row r="392" spans="1:28" x14ac:dyDescent="0.2">
      <c r="A392" s="668" t="s">
        <v>523</v>
      </c>
      <c r="B392" s="898">
        <v>40543</v>
      </c>
      <c r="C392" s="335" t="str">
        <f>IF(MID(B392,1,2)="LG",VLOOKUP(B392,Composições!J:M,3,FALSE),IF(MID(B392,1,1)="6",VLOOKUP(B392,transp.!$A$4:$K$19,11,FALSE)&amp;" -  XP="&amp;TEXT(T392,"0.000")&amp;" / XR="&amp;TEXT(V392,"0.000"),VLOOKUP(B392,'DER 11-20'!$A$1:$I$1981,2,FALSE)))</f>
        <v>Boca de concreto ciclópico para BTTC diâmetro 1,20 m</v>
      </c>
      <c r="D392" s="934" t="s">
        <v>275</v>
      </c>
      <c r="E392" s="935"/>
      <c r="F392" s="936"/>
      <c r="G392" s="934"/>
      <c r="H392" s="935"/>
      <c r="I392" s="936"/>
      <c r="J392" s="337" t="s">
        <v>266</v>
      </c>
      <c r="K392" s="728"/>
      <c r="L392" s="728"/>
      <c r="M392" s="728"/>
      <c r="N392" s="728" t="str">
        <f>CONCATENATE("Total (",IF(MID(B392,1,2)="LG",VLOOKUP(B392,Composições!J:M,4,FALSE),IF(MID(B392,1,1)="6","t",VLOOKUP(B392,'DER 11-20'!$A$1:$I$1981,3,FALSE))),")")</f>
        <v>Total (Ud)</v>
      </c>
      <c r="O392" s="305"/>
      <c r="P392" s="307"/>
      <c r="Q392" s="307"/>
      <c r="R392" s="664"/>
      <c r="S392" s="593">
        <f>VLOOKUP("Total",C393:O652,12,FALSE)</f>
        <v>2</v>
      </c>
      <c r="T392" s="593" t="str">
        <f>VLOOKUP("Total",C393:O652,13,FALSE)</f>
        <v>Ud</v>
      </c>
      <c r="U392" s="593"/>
    </row>
    <row r="393" spans="1:28" x14ac:dyDescent="0.2">
      <c r="A393" s="655"/>
      <c r="B393" s="751"/>
      <c r="C393" s="342" t="s">
        <v>2</v>
      </c>
      <c r="D393" s="343"/>
      <c r="E393" s="340"/>
      <c r="F393" s="568"/>
      <c r="G393" s="569"/>
      <c r="H393" s="344"/>
      <c r="I393" s="344"/>
      <c r="J393" s="341"/>
      <c r="K393" s="346"/>
      <c r="L393" s="346"/>
      <c r="M393" s="346"/>
      <c r="N393" s="348">
        <v>2</v>
      </c>
      <c r="O393" s="349" t="str">
        <f>IF(MID(B392,1,2)="LG",VLOOKUP(B392,Composições!J:M,4,FALSE),IF(MID(B392,1,1)="6",VLOOKUP(B392,transp.!$A$6:$K$35,3,FALSE),VLOOKUP(B392,'DER 11-20'!$A$1:$I$1981,3,FALSE)))</f>
        <v>Ud</v>
      </c>
      <c r="P393" s="350"/>
      <c r="Q393" s="350"/>
      <c r="R393" s="656"/>
      <c r="S393" s="593">
        <f>VLOOKUP("Total",C394:O652,12,FALSE)</f>
        <v>2</v>
      </c>
      <c r="T393" s="593" t="str">
        <f>VLOOKUP("Total",C394:O652,13,FALSE)</f>
        <v>Ud</v>
      </c>
      <c r="U393" s="593"/>
    </row>
    <row r="394" spans="1:28" x14ac:dyDescent="0.2">
      <c r="A394" s="287"/>
      <c r="B394" s="890"/>
      <c r="C394" s="331"/>
      <c r="F394" s="567"/>
      <c r="G394" s="289"/>
      <c r="H394" s="285"/>
      <c r="N394" s="306"/>
      <c r="O394" s="332"/>
      <c r="P394" s="307"/>
      <c r="Q394" s="307"/>
      <c r="R394" s="659"/>
      <c r="S394" s="593">
        <f>VLOOKUP("Total",C395:O735,12,FALSE)</f>
        <v>2</v>
      </c>
      <c r="T394" s="593" t="str">
        <f>VLOOKUP("Total",C395:O735,13,FALSE)</f>
        <v>Ud</v>
      </c>
      <c r="U394" s="593"/>
    </row>
    <row r="395" spans="1:28" s="310" customFormat="1" x14ac:dyDescent="0.2">
      <c r="A395" s="668" t="s">
        <v>524</v>
      </c>
      <c r="B395" s="898">
        <v>40544</v>
      </c>
      <c r="C395" s="335" t="str">
        <f>IF(MID(B395,1,2)="LG",VLOOKUP(B395,Composições!J:M,3,FALSE),IF(MID(B395,1,1)="6",VLOOKUP(B395,transp.!$A$4:$K$21,11,FALSE)&amp;" -  XP="&amp;TEXT(T395,"0,000")&amp;" / XR="&amp;TEXT(V395,"0,000"),VLOOKUP(B395,'DER 11-20'!$A$1:$I$1994,2,FALSE)))</f>
        <v>Boca de concreto ciclópico para BTTC diâmetro 1,50 m</v>
      </c>
      <c r="D395" s="934" t="s">
        <v>275</v>
      </c>
      <c r="E395" s="935"/>
      <c r="F395" s="936"/>
      <c r="G395" s="934" t="s">
        <v>276</v>
      </c>
      <c r="H395" s="935"/>
      <c r="I395" s="936"/>
      <c r="J395" s="337" t="s">
        <v>266</v>
      </c>
      <c r="K395" s="725"/>
      <c r="L395" s="728"/>
      <c r="M395" s="765"/>
      <c r="N395" s="728" t="str">
        <f>CONCATENATE("Total (",IF(MID(B395,1,2)="LG",VLOOKUP(B395,Composições!J:M,4,FALSE),IF(MID(B395,1,1)="6","t",VLOOKUP(B395,'DER 11-20'!$A$1:$I$1994,3,FALSE))),")")</f>
        <v>Total (Ud)</v>
      </c>
      <c r="O395" s="305"/>
      <c r="P395" s="307"/>
      <c r="Q395" s="307"/>
      <c r="R395" s="664"/>
      <c r="S395" s="593">
        <f>VLOOKUP("Total",C396:O736,12,FALSE)</f>
        <v>2</v>
      </c>
      <c r="T395" s="593" t="str">
        <f>VLOOKUP("Total",C396:O736,13,FALSE)</f>
        <v>Ud</v>
      </c>
      <c r="U395" s="593"/>
      <c r="V395" s="580"/>
      <c r="W395" s="580"/>
      <c r="Y395" s="580"/>
      <c r="Z395" s="580"/>
      <c r="AA395" s="580"/>
    </row>
    <row r="396" spans="1:28" s="310" customFormat="1" x14ac:dyDescent="0.2">
      <c r="A396" s="655"/>
      <c r="B396" s="751"/>
      <c r="C396" s="342" t="s">
        <v>2</v>
      </c>
      <c r="D396" s="343"/>
      <c r="E396" s="340"/>
      <c r="F396" s="344"/>
      <c r="G396" s="343"/>
      <c r="H396" s="344"/>
      <c r="I396" s="344"/>
      <c r="J396" s="341"/>
      <c r="K396" s="345"/>
      <c r="L396" s="346"/>
      <c r="M396" s="347"/>
      <c r="N396" s="348">
        <v>2</v>
      </c>
      <c r="O396" s="349" t="str">
        <f>IF(MID(B395,1,2)="LG",VLOOKUP(B395,Composições!J:M,4,FALSE),IF(MID(B395,1,1)="6",VLOOKUP(B395,transp.!$A$6:$K$27,3,FALSE),VLOOKUP(B395,'DER 11-20'!$A$1:$I$1994,3,FALSE)))</f>
        <v>Ud</v>
      </c>
      <c r="P396" s="350"/>
      <c r="Q396" s="350"/>
      <c r="R396" s="656"/>
      <c r="S396" s="593">
        <f>VLOOKUP("Total",C397:O740,12,FALSE)</f>
        <v>6</v>
      </c>
      <c r="T396" s="593" t="str">
        <f>VLOOKUP("Total",C397:O740,13,FALSE)</f>
        <v>Ud</v>
      </c>
      <c r="U396" s="593"/>
    </row>
    <row r="397" spans="1:28" s="549" customFormat="1" x14ac:dyDescent="0.2">
      <c r="A397" s="665"/>
      <c r="B397" s="896"/>
      <c r="C397" s="554"/>
      <c r="D397" s="555"/>
      <c r="E397" s="552"/>
      <c r="F397" s="561"/>
      <c r="G397" s="562"/>
      <c r="H397" s="550"/>
      <c r="I397" s="550"/>
      <c r="J397" s="553"/>
      <c r="K397" s="551"/>
      <c r="L397" s="551"/>
      <c r="M397" s="551"/>
      <c r="N397" s="546"/>
      <c r="O397" s="558"/>
      <c r="P397" s="559"/>
      <c r="Q397" s="559"/>
      <c r="R397" s="666"/>
      <c r="S397" s="593">
        <f>VLOOKUP("Total",C398:O785,12,FALSE)</f>
        <v>6</v>
      </c>
      <c r="T397" s="593" t="str">
        <f>VLOOKUP("Total",C398:O785,13,FALSE)</f>
        <v>Ud</v>
      </c>
      <c r="U397" s="601"/>
      <c r="W397" s="583"/>
      <c r="X397" s="583"/>
      <c r="Y397" s="583"/>
      <c r="Z397" s="583"/>
      <c r="AA397" s="583"/>
      <c r="AB397" s="583"/>
    </row>
    <row r="398" spans="1:28" x14ac:dyDescent="0.2">
      <c r="A398" s="668" t="s">
        <v>525</v>
      </c>
      <c r="B398" s="898">
        <v>40614</v>
      </c>
      <c r="C398" s="335" t="str">
        <f>IF(MID(B398,1,2)="LG",VLOOKUP(B398,Composições!J:M,3,FALSE),IF(MID(B398,1,1)="6",VLOOKUP(B398,transp.!$A$4:$K$19,11,FALSE)&amp;" -  XP="&amp;TEXT(T398,"0.000")&amp;" / XR="&amp;TEXT(V398,"0.000"),VLOOKUP(B398,'DER 11-20'!$A$1:$I$1981,2,FALSE)))</f>
        <v>Boca de BSCC 2,00 x 2,00 m projeto DNIT</v>
      </c>
      <c r="D398" s="934" t="s">
        <v>275</v>
      </c>
      <c r="E398" s="935"/>
      <c r="F398" s="936"/>
      <c r="G398" s="934" t="s">
        <v>276</v>
      </c>
      <c r="H398" s="935"/>
      <c r="I398" s="936"/>
      <c r="J398" s="337" t="s">
        <v>266</v>
      </c>
      <c r="K398" s="725"/>
      <c r="L398" s="728"/>
      <c r="M398" s="765"/>
      <c r="N398" s="728" t="str">
        <f>CONCATENATE("Total (",IF(MID(B398,1,2)="LG",VLOOKUP(B398,'[1]Compos lug'!J:M,4,FALSE),IF(MID(B398,1,1)="6","t",VLOOKUP(B398,'[1]DER 06-16'!$A$1:$I$2000,3,FALSE))),")")</f>
        <v>Total (un)</v>
      </c>
      <c r="O398" s="305"/>
      <c r="P398" s="307"/>
      <c r="Q398" s="307"/>
      <c r="R398" s="664"/>
      <c r="S398" s="593">
        <f>VLOOKUP("Total",C399:O786,12,FALSE)</f>
        <v>6</v>
      </c>
      <c r="T398" s="593" t="str">
        <f>VLOOKUP("Total",C399:O786,13,FALSE)</f>
        <v>Ud</v>
      </c>
      <c r="U398" s="593"/>
    </row>
    <row r="399" spans="1:28" x14ac:dyDescent="0.2">
      <c r="A399" s="655"/>
      <c r="B399" s="751"/>
      <c r="C399" s="342" t="s">
        <v>2</v>
      </c>
      <c r="D399" s="343"/>
      <c r="E399" s="340"/>
      <c r="F399" s="568"/>
      <c r="G399" s="569"/>
      <c r="H399" s="344"/>
      <c r="I399" s="344"/>
      <c r="J399" s="341"/>
      <c r="K399" s="346"/>
      <c r="L399" s="346"/>
      <c r="M399" s="346"/>
      <c r="N399" s="348">
        <v>6</v>
      </c>
      <c r="O399" s="349" t="str">
        <f>IF(MID(B398,1,2)="LG",VLOOKUP(B398,Composições!J:M,4,FALSE),IF(MID(B398,1,1)="6",VLOOKUP(B398,transp.!$A$6:$K$35,3,FALSE),VLOOKUP(B398,'DER 11-20'!$A$1:$I$1981,3,FALSE)))</f>
        <v>Ud</v>
      </c>
      <c r="P399" s="350"/>
      <c r="Q399" s="350"/>
      <c r="R399" s="656"/>
      <c r="S399" s="593">
        <f>VLOOKUP("Total",C400:O797,12,FALSE)</f>
        <v>2</v>
      </c>
      <c r="T399" s="593" t="str">
        <f>VLOOKUP("Total",C400:O797,13,FALSE)</f>
        <v>Ud</v>
      </c>
      <c r="U399" s="593"/>
    </row>
    <row r="400" spans="1:28" s="549" customFormat="1" x14ac:dyDescent="0.2">
      <c r="A400" s="665"/>
      <c r="B400" s="896"/>
      <c r="C400" s="554"/>
      <c r="D400" s="555"/>
      <c r="E400" s="552"/>
      <c r="F400" s="561"/>
      <c r="G400" s="562"/>
      <c r="H400" s="550"/>
      <c r="I400" s="550"/>
      <c r="J400" s="553"/>
      <c r="K400" s="551"/>
      <c r="L400" s="551"/>
      <c r="M400" s="551"/>
      <c r="N400" s="546"/>
      <c r="O400" s="558"/>
      <c r="P400" s="559"/>
      <c r="Q400" s="559"/>
      <c r="R400" s="666"/>
      <c r="S400" s="593">
        <f>VLOOKUP("Total",C401:O798,12,FALSE)</f>
        <v>2</v>
      </c>
      <c r="T400" s="593" t="str">
        <f>VLOOKUP("Total",C401:O798,13,FALSE)</f>
        <v>Ud</v>
      </c>
      <c r="U400" s="601"/>
      <c r="W400" s="583"/>
      <c r="X400" s="583"/>
      <c r="Y400" s="583"/>
      <c r="Z400" s="583"/>
      <c r="AA400" s="583"/>
      <c r="AB400" s="583"/>
    </row>
    <row r="401" spans="1:21" x14ac:dyDescent="0.2">
      <c r="A401" s="668" t="s">
        <v>526</v>
      </c>
      <c r="B401" s="898">
        <v>40618</v>
      </c>
      <c r="C401" s="335" t="str">
        <f>IF(MID(B401,1,2)="LG",VLOOKUP(B401,Composições!J:M,3,FALSE),IF(MID(B401,1,1)="6",VLOOKUP(B401,transp.!$A$4:$K$19,11,FALSE)&amp;" -  XP="&amp;TEXT(T401,"0.000")&amp;" / XR="&amp;TEXT(V401,"0.000"),VLOOKUP(B401,'DER 11-20'!$A$1:$I$1981,2,FALSE)))</f>
        <v>Boca de BSCC 3,00 x 3,00 m projeto DNIT</v>
      </c>
      <c r="D401" s="934" t="s">
        <v>275</v>
      </c>
      <c r="E401" s="935"/>
      <c r="F401" s="936"/>
      <c r="G401" s="934"/>
      <c r="H401" s="935"/>
      <c r="I401" s="936"/>
      <c r="J401" s="337"/>
      <c r="K401" s="725"/>
      <c r="L401" s="728"/>
      <c r="M401" s="765"/>
      <c r="N401" s="728" t="str">
        <f>CONCATENATE("Total (",IF(MID(B401,1,2)="LG",VLOOKUP(B401,'[1]Compos lug'!J:M,4,FALSE),IF(MID(B401,1,1)="6","t",VLOOKUP(B401,'[1]DER 06-16'!$A$1:$I$2000,3,FALSE))),")")</f>
        <v>Total (un)</v>
      </c>
      <c r="O401" s="305"/>
      <c r="P401" s="307"/>
      <c r="Q401" s="307"/>
      <c r="R401" s="664"/>
      <c r="S401" s="593">
        <f>VLOOKUP("Total",C402:O799,12,FALSE)</f>
        <v>2</v>
      </c>
      <c r="T401" s="593" t="str">
        <f>VLOOKUP("Total",C402:O799,13,FALSE)</f>
        <v>Ud</v>
      </c>
      <c r="U401" s="593"/>
    </row>
    <row r="402" spans="1:21" x14ac:dyDescent="0.2">
      <c r="A402" s="655"/>
      <c r="B402" s="751"/>
      <c r="C402" s="342" t="s">
        <v>2</v>
      </c>
      <c r="D402" s="343"/>
      <c r="E402" s="340"/>
      <c r="F402" s="568"/>
      <c r="G402" s="569"/>
      <c r="H402" s="344"/>
      <c r="I402" s="344"/>
      <c r="J402" s="341"/>
      <c r="K402" s="346"/>
      <c r="L402" s="346"/>
      <c r="M402" s="346"/>
      <c r="N402" s="348">
        <v>2</v>
      </c>
      <c r="O402" s="349" t="str">
        <f>IF(MID(B401,1,2)="LG",VLOOKUP(B401,Composições!J:M,4,FALSE),IF(MID(B401,1,1)="6",VLOOKUP(B401,transp.!$A$6:$K$35,3,FALSE),VLOOKUP(B401,'DER 11-20'!$A$1:$I$1981,3,FALSE)))</f>
        <v>Ud</v>
      </c>
      <c r="P402" s="350"/>
      <c r="Q402" s="350"/>
      <c r="R402" s="656"/>
      <c r="S402" s="593">
        <f>VLOOKUP("Total",C249:O804,12,FALSE)</f>
        <v>780.6</v>
      </c>
      <c r="T402" s="593" t="str">
        <f>VLOOKUP("Total",C249:O804,13,FALSE)</f>
        <v>T</v>
      </c>
      <c r="U402" s="593"/>
    </row>
    <row r="403" spans="1:21" x14ac:dyDescent="0.2">
      <c r="A403" s="287"/>
      <c r="B403" s="890"/>
      <c r="C403" s="331"/>
      <c r="F403" s="567"/>
      <c r="G403" s="289"/>
      <c r="H403" s="285"/>
      <c r="K403" s="291"/>
      <c r="L403" s="292"/>
      <c r="M403" s="291"/>
      <c r="N403" s="306"/>
      <c r="O403" s="332"/>
      <c r="P403" s="307"/>
      <c r="Q403" s="307"/>
      <c r="R403" s="659"/>
      <c r="S403" s="593"/>
      <c r="T403" s="593"/>
      <c r="U403" s="593"/>
    </row>
    <row r="404" spans="1:21" x14ac:dyDescent="0.2">
      <c r="A404" s="652" t="s">
        <v>527</v>
      </c>
      <c r="B404" s="898" t="s">
        <v>670</v>
      </c>
      <c r="C404" s="335" t="s">
        <v>531</v>
      </c>
      <c r="D404" s="934" t="s">
        <v>275</v>
      </c>
      <c r="E404" s="935"/>
      <c r="F404" s="936"/>
      <c r="G404" s="934" t="s">
        <v>276</v>
      </c>
      <c r="H404" s="935"/>
      <c r="I404" s="936"/>
      <c r="J404" s="337" t="s">
        <v>266</v>
      </c>
      <c r="K404" s="728"/>
      <c r="L404" s="765"/>
      <c r="M404" s="728"/>
      <c r="N404" s="728" t="s">
        <v>533</v>
      </c>
      <c r="O404" s="339"/>
      <c r="P404" s="937"/>
      <c r="Q404" s="938"/>
      <c r="R404" s="658"/>
      <c r="S404" s="593">
        <f>VLOOKUP("Total",C405:O1305,12,FALSE)</f>
        <v>1</v>
      </c>
      <c r="T404" s="593" t="str">
        <f>VLOOKUP("Total",C405:O1305,13,FALSE)</f>
        <v>Um</v>
      </c>
      <c r="U404" s="593"/>
    </row>
    <row r="405" spans="1:21" x14ac:dyDescent="0.2">
      <c r="A405" s="655"/>
      <c r="B405" s="751"/>
      <c r="C405" s="342" t="s">
        <v>2</v>
      </c>
      <c r="D405" s="343"/>
      <c r="E405" s="340"/>
      <c r="F405" s="344"/>
      <c r="G405" s="343"/>
      <c r="H405" s="344"/>
      <c r="I405" s="344"/>
      <c r="J405" s="341"/>
      <c r="K405" s="345"/>
      <c r="L405" s="346"/>
      <c r="M405" s="347"/>
      <c r="N405" s="348">
        <v>1</v>
      </c>
      <c r="O405" s="349" t="s">
        <v>532</v>
      </c>
      <c r="P405" s="673"/>
      <c r="Q405" s="673"/>
      <c r="R405" s="656"/>
      <c r="S405" s="593">
        <f>VLOOKUP("Total",C418:O1339,12,FALSE)</f>
        <v>36</v>
      </c>
      <c r="T405" s="593" t="str">
        <f>VLOOKUP("Total",C418:O1339,13,FALSE)</f>
        <v>Ud</v>
      </c>
      <c r="U405" s="593"/>
    </row>
    <row r="406" spans="1:21" x14ac:dyDescent="0.2">
      <c r="A406" s="287"/>
      <c r="B406" s="890"/>
      <c r="C406" s="331"/>
      <c r="F406" s="567"/>
      <c r="G406" s="289"/>
      <c r="H406" s="285"/>
      <c r="K406" s="291"/>
      <c r="L406" s="292"/>
      <c r="M406" s="291"/>
      <c r="N406" s="306"/>
      <c r="O406" s="332"/>
      <c r="P406" s="307"/>
      <c r="Q406" s="307"/>
      <c r="R406" s="659"/>
      <c r="S406" s="593"/>
      <c r="T406" s="593"/>
      <c r="U406" s="593"/>
    </row>
    <row r="407" spans="1:21" x14ac:dyDescent="0.2">
      <c r="A407" s="652" t="s">
        <v>528</v>
      </c>
      <c r="B407" s="898" t="s">
        <v>671</v>
      </c>
      <c r="C407" s="335" t="s">
        <v>534</v>
      </c>
      <c r="D407" s="934" t="s">
        <v>275</v>
      </c>
      <c r="E407" s="935"/>
      <c r="F407" s="936"/>
      <c r="G407" s="934" t="s">
        <v>276</v>
      </c>
      <c r="H407" s="935"/>
      <c r="I407" s="936"/>
      <c r="J407" s="337" t="s">
        <v>266</v>
      </c>
      <c r="K407" s="728"/>
      <c r="L407" s="765"/>
      <c r="M407" s="728"/>
      <c r="N407" s="728" t="s">
        <v>533</v>
      </c>
      <c r="O407" s="339"/>
      <c r="P407" s="937"/>
      <c r="Q407" s="938"/>
      <c r="R407" s="658"/>
      <c r="S407" s="593">
        <f>VLOOKUP("Total",C408:O1308,12,FALSE)</f>
        <v>2</v>
      </c>
      <c r="T407" s="593" t="str">
        <f>VLOOKUP("Total",C408:O1308,13,FALSE)</f>
        <v>Um</v>
      </c>
      <c r="U407" s="593"/>
    </row>
    <row r="408" spans="1:21" x14ac:dyDescent="0.2">
      <c r="A408" s="655"/>
      <c r="B408" s="751"/>
      <c r="C408" s="342" t="s">
        <v>2</v>
      </c>
      <c r="D408" s="343"/>
      <c r="E408" s="340"/>
      <c r="F408" s="344"/>
      <c r="G408" s="343"/>
      <c r="H408" s="344"/>
      <c r="I408" s="344"/>
      <c r="J408" s="341"/>
      <c r="K408" s="345"/>
      <c r="L408" s="346"/>
      <c r="M408" s="347"/>
      <c r="N408" s="348">
        <v>2</v>
      </c>
      <c r="O408" s="349" t="s">
        <v>532</v>
      </c>
      <c r="P408" s="673"/>
      <c r="Q408" s="673"/>
      <c r="R408" s="656"/>
      <c r="S408" s="593">
        <f>VLOOKUP("Total",C421:O1342,12,FALSE)</f>
        <v>7</v>
      </c>
      <c r="T408" s="593" t="str">
        <f>VLOOKUP("Total",C421:O1342,13,FALSE)</f>
        <v>Ud</v>
      </c>
      <c r="U408" s="593"/>
    </row>
    <row r="409" spans="1:21" x14ac:dyDescent="0.2">
      <c r="A409" s="287"/>
      <c r="B409" s="890"/>
      <c r="C409" s="331"/>
      <c r="F409" s="567"/>
      <c r="G409" s="289"/>
      <c r="H409" s="285"/>
      <c r="K409" s="291"/>
      <c r="L409" s="292"/>
      <c r="M409" s="291"/>
      <c r="N409" s="306"/>
      <c r="O409" s="332"/>
      <c r="P409" s="307"/>
      <c r="Q409" s="307"/>
      <c r="R409" s="659"/>
      <c r="S409" s="593"/>
      <c r="T409" s="593"/>
      <c r="U409" s="593"/>
    </row>
    <row r="410" spans="1:21" x14ac:dyDescent="0.2">
      <c r="A410" s="652" t="s">
        <v>529</v>
      </c>
      <c r="B410" s="898" t="s">
        <v>672</v>
      </c>
      <c r="C410" s="335" t="s">
        <v>538</v>
      </c>
      <c r="D410" s="934" t="s">
        <v>275</v>
      </c>
      <c r="E410" s="935"/>
      <c r="F410" s="936"/>
      <c r="G410" s="934" t="s">
        <v>276</v>
      </c>
      <c r="H410" s="935"/>
      <c r="I410" s="936"/>
      <c r="J410" s="337" t="s">
        <v>266</v>
      </c>
      <c r="K410" s="728"/>
      <c r="L410" s="765"/>
      <c r="M410" s="728"/>
      <c r="N410" s="728" t="s">
        <v>533</v>
      </c>
      <c r="O410" s="339"/>
      <c r="P410" s="937"/>
      <c r="Q410" s="938"/>
      <c r="R410" s="658"/>
      <c r="S410" s="593">
        <f>VLOOKUP("Total",C411:O1311,12,FALSE)</f>
        <v>2</v>
      </c>
      <c r="T410" s="593" t="str">
        <f>VLOOKUP("Total",C411:O1311,13,FALSE)</f>
        <v>Um</v>
      </c>
      <c r="U410" s="593"/>
    </row>
    <row r="411" spans="1:21" x14ac:dyDescent="0.2">
      <c r="A411" s="655"/>
      <c r="B411" s="751"/>
      <c r="C411" s="342" t="s">
        <v>2</v>
      </c>
      <c r="D411" s="343"/>
      <c r="E411" s="340"/>
      <c r="F411" s="344"/>
      <c r="G411" s="343"/>
      <c r="H411" s="344"/>
      <c r="I411" s="344"/>
      <c r="J411" s="341"/>
      <c r="K411" s="345"/>
      <c r="L411" s="346"/>
      <c r="M411" s="347"/>
      <c r="N411" s="348">
        <v>2</v>
      </c>
      <c r="O411" s="349" t="s">
        <v>532</v>
      </c>
      <c r="P411" s="673"/>
      <c r="Q411" s="673"/>
      <c r="R411" s="656"/>
      <c r="S411" s="593">
        <f>VLOOKUP("Total",C424:O1345,12,FALSE)</f>
        <v>3</v>
      </c>
      <c r="T411" s="593" t="str">
        <f>VLOOKUP("Total",C424:O1345,13,FALSE)</f>
        <v>Ud</v>
      </c>
      <c r="U411" s="593"/>
    </row>
    <row r="412" spans="1:21" x14ac:dyDescent="0.2">
      <c r="A412" s="287"/>
      <c r="B412" s="890"/>
      <c r="C412" s="331"/>
      <c r="F412" s="567"/>
      <c r="G412" s="289"/>
      <c r="H412" s="285"/>
      <c r="K412" s="291"/>
      <c r="L412" s="292"/>
      <c r="M412" s="291"/>
      <c r="N412" s="306"/>
      <c r="O412" s="332"/>
      <c r="P412" s="307"/>
      <c r="Q412" s="307"/>
      <c r="R412" s="659"/>
      <c r="S412" s="593"/>
      <c r="T412" s="593"/>
      <c r="U412" s="593"/>
    </row>
    <row r="413" spans="1:21" x14ac:dyDescent="0.2">
      <c r="A413" s="652" t="s">
        <v>530</v>
      </c>
      <c r="B413" s="898" t="s">
        <v>673</v>
      </c>
      <c r="C413" s="335" t="s">
        <v>539</v>
      </c>
      <c r="D413" s="934" t="s">
        <v>275</v>
      </c>
      <c r="E413" s="935"/>
      <c r="F413" s="936"/>
      <c r="G413" s="934" t="s">
        <v>276</v>
      </c>
      <c r="H413" s="935"/>
      <c r="I413" s="936"/>
      <c r="J413" s="337" t="s">
        <v>266</v>
      </c>
      <c r="K413" s="728"/>
      <c r="L413" s="765"/>
      <c r="M413" s="728"/>
      <c r="N413" s="728" t="s">
        <v>533</v>
      </c>
      <c r="O413" s="339"/>
      <c r="P413" s="937"/>
      <c r="Q413" s="938"/>
      <c r="R413" s="658"/>
      <c r="S413" s="593">
        <f>VLOOKUP("Total",C414:O1314,12,FALSE)</f>
        <v>1</v>
      </c>
      <c r="T413" s="593" t="str">
        <f>VLOOKUP("Total",C414:O1314,13,FALSE)</f>
        <v>Um</v>
      </c>
      <c r="U413" s="593"/>
    </row>
    <row r="414" spans="1:21" x14ac:dyDescent="0.2">
      <c r="A414" s="655"/>
      <c r="B414" s="751"/>
      <c r="C414" s="342" t="s">
        <v>2</v>
      </c>
      <c r="D414" s="343"/>
      <c r="E414" s="340"/>
      <c r="F414" s="344"/>
      <c r="G414" s="343"/>
      <c r="H414" s="344"/>
      <c r="I414" s="344"/>
      <c r="J414" s="341"/>
      <c r="K414" s="345"/>
      <c r="L414" s="346"/>
      <c r="M414" s="347"/>
      <c r="N414" s="348">
        <v>1</v>
      </c>
      <c r="O414" s="349" t="s">
        <v>532</v>
      </c>
      <c r="P414" s="673"/>
      <c r="Q414" s="673"/>
      <c r="R414" s="656"/>
      <c r="S414" s="593">
        <f>VLOOKUP("Total",C521:O1348,12,FALSE)</f>
        <v>7944.34</v>
      </c>
      <c r="T414" s="593" t="str">
        <f>VLOOKUP("Total",C521:O1348,13,FALSE)</f>
        <v>M</v>
      </c>
      <c r="U414" s="593"/>
    </row>
    <row r="415" spans="1:21" x14ac:dyDescent="0.2">
      <c r="A415" s="287"/>
      <c r="B415" s="890"/>
      <c r="C415" s="331"/>
      <c r="F415" s="567"/>
      <c r="G415" s="289"/>
      <c r="H415" s="285"/>
      <c r="K415" s="291"/>
      <c r="L415" s="292"/>
      <c r="M415" s="291"/>
      <c r="N415" s="306"/>
      <c r="O415" s="332"/>
      <c r="P415" s="307"/>
      <c r="Q415" s="307"/>
      <c r="R415" s="659"/>
      <c r="S415" s="593"/>
      <c r="T415" s="593"/>
      <c r="U415" s="593"/>
    </row>
    <row r="416" spans="1:21" x14ac:dyDescent="0.2">
      <c r="A416" s="652" t="s">
        <v>535</v>
      </c>
      <c r="B416" s="898" t="s">
        <v>674</v>
      </c>
      <c r="C416" s="335" t="s">
        <v>650</v>
      </c>
      <c r="D416" s="934" t="s">
        <v>275</v>
      </c>
      <c r="E416" s="935"/>
      <c r="F416" s="936"/>
      <c r="G416" s="934" t="s">
        <v>276</v>
      </c>
      <c r="H416" s="935"/>
      <c r="I416" s="936"/>
      <c r="J416" s="337" t="s">
        <v>266</v>
      </c>
      <c r="K416" s="728"/>
      <c r="L416" s="765"/>
      <c r="M416" s="728"/>
      <c r="N416" s="728" t="s">
        <v>533</v>
      </c>
      <c r="O416" s="339"/>
      <c r="P416" s="937"/>
      <c r="Q416" s="938"/>
      <c r="R416" s="658"/>
      <c r="S416" s="593">
        <f>VLOOKUP("Total",C417:O1317,12,FALSE)</f>
        <v>1</v>
      </c>
      <c r="T416" s="593" t="str">
        <f>VLOOKUP("Total",C417:O1317,13,FALSE)</f>
        <v>Um</v>
      </c>
      <c r="U416" s="593"/>
    </row>
    <row r="417" spans="1:28" x14ac:dyDescent="0.2">
      <c r="A417" s="655"/>
      <c r="B417" s="751"/>
      <c r="C417" s="342" t="s">
        <v>2</v>
      </c>
      <c r="D417" s="343"/>
      <c r="E417" s="340"/>
      <c r="F417" s="344"/>
      <c r="G417" s="343"/>
      <c r="H417" s="344"/>
      <c r="I417" s="344"/>
      <c r="J417" s="341"/>
      <c r="K417" s="345"/>
      <c r="L417" s="346"/>
      <c r="M417" s="347"/>
      <c r="N417" s="348">
        <v>1</v>
      </c>
      <c r="O417" s="349" t="s">
        <v>532</v>
      </c>
      <c r="P417" s="673"/>
      <c r="Q417" s="673"/>
      <c r="R417" s="656"/>
      <c r="S417" s="593">
        <f>VLOOKUP("Total",C535:O1351,12,FALSE)</f>
        <v>4.4000000000000004</v>
      </c>
      <c r="T417" s="593" t="str">
        <f>VLOOKUP("Total",C535:O1351,13,FALSE)</f>
        <v>M2</v>
      </c>
      <c r="U417" s="593"/>
    </row>
    <row r="418" spans="1:28" x14ac:dyDescent="0.2">
      <c r="A418" s="287"/>
      <c r="B418" s="890"/>
      <c r="C418" s="331"/>
      <c r="D418" s="572"/>
      <c r="E418" s="573"/>
      <c r="F418" s="574"/>
      <c r="H418" s="285"/>
      <c r="K418" s="367"/>
      <c r="L418" s="368"/>
      <c r="M418" s="369"/>
      <c r="N418" s="384"/>
      <c r="O418" s="575"/>
      <c r="P418" s="576"/>
      <c r="Q418" s="673"/>
      <c r="R418" s="659"/>
      <c r="S418" s="593">
        <f>VLOOKUP("Total",C419:O1340,12,FALSE)</f>
        <v>36</v>
      </c>
      <c r="T418" s="593" t="str">
        <f>VLOOKUP("Total",C419:O1340,13,FALSE)</f>
        <v>Ud</v>
      </c>
      <c r="U418" s="593"/>
    </row>
    <row r="419" spans="1:28" ht="25.5" x14ac:dyDescent="0.2">
      <c r="A419" s="652" t="s">
        <v>536</v>
      </c>
      <c r="B419" s="898">
        <v>40732</v>
      </c>
      <c r="C419" s="335" t="str">
        <f>IF(MID(B419,1,2)="LG",VLOOKUP(B419,Composições!J:M,3,FALSE),IF(MID(B419,1,1)="6",VLOOKUP(B419,transp.!$A$4:$K$19,11,FALSE)&amp;" -  XP="&amp;TEXT(#REF!,"0.000")&amp;" / XR="&amp;TEXT(#REF!,"0.000"),VLOOKUP(B419,'DER 11-20'!$A$1:$I$1981,2,FALSE)))</f>
        <v>Dissipador de energia aplicado a saída de bueiro/descida d'agua de aterro (DEB-01)</v>
      </c>
      <c r="D419" s="934" t="s">
        <v>275</v>
      </c>
      <c r="E419" s="935"/>
      <c r="F419" s="936"/>
      <c r="G419" s="939" t="s">
        <v>276</v>
      </c>
      <c r="H419" s="940"/>
      <c r="I419" s="941"/>
      <c r="J419" s="337" t="s">
        <v>266</v>
      </c>
      <c r="K419" s="728"/>
      <c r="L419" s="765"/>
      <c r="M419" s="728"/>
      <c r="N419" s="728" t="s">
        <v>533</v>
      </c>
      <c r="O419" s="339"/>
      <c r="P419" s="938"/>
      <c r="Q419" s="938"/>
      <c r="R419" s="658"/>
      <c r="S419" s="593">
        <f>VLOOKUP("Total",C420:O1341,12,FALSE)</f>
        <v>36</v>
      </c>
      <c r="T419" s="593" t="str">
        <f>VLOOKUP("Total",C420:O1341,13,FALSE)</f>
        <v>Ud</v>
      </c>
      <c r="U419" s="593"/>
    </row>
    <row r="420" spans="1:28" x14ac:dyDescent="0.2">
      <c r="A420" s="655"/>
      <c r="B420" s="751"/>
      <c r="C420" s="342" t="s">
        <v>2</v>
      </c>
      <c r="D420" s="343"/>
      <c r="E420" s="340"/>
      <c r="F420" s="344"/>
      <c r="G420" s="343"/>
      <c r="H420" s="344"/>
      <c r="I420" s="344"/>
      <c r="J420" s="341"/>
      <c r="K420" s="345"/>
      <c r="L420" s="346"/>
      <c r="M420" s="347"/>
      <c r="N420" s="348">
        <v>36</v>
      </c>
      <c r="O420" s="349" t="str">
        <f>IF(MID(B419,1,2)="LG",VLOOKUP(B419,Composições!J:M,4,FALSE),IF(MID(B419,1,1)="6",VLOOKUP(B419,transp.!$A$6:$K$35,3,FALSE),VLOOKUP(B419,'DER 11-20'!$A$1:$I$1981,3,FALSE)))</f>
        <v>Ud</v>
      </c>
      <c r="P420" s="350"/>
      <c r="Q420" s="350"/>
      <c r="R420" s="656"/>
      <c r="S420" s="593">
        <f>VLOOKUP("Total",C421:O1370,12,FALSE)</f>
        <v>7</v>
      </c>
      <c r="T420" s="593" t="str">
        <f>VLOOKUP("Total",C421:O1370,13,FALSE)</f>
        <v>Ud</v>
      </c>
      <c r="U420" s="593"/>
    </row>
    <row r="421" spans="1:28" x14ac:dyDescent="0.2">
      <c r="A421" s="287"/>
      <c r="B421" s="890"/>
      <c r="C421" s="331"/>
      <c r="D421" s="572"/>
      <c r="E421" s="573"/>
      <c r="F421" s="574"/>
      <c r="H421" s="285"/>
      <c r="K421" s="367"/>
      <c r="L421" s="368"/>
      <c r="M421" s="369"/>
      <c r="N421" s="384"/>
      <c r="O421" s="575"/>
      <c r="P421" s="576"/>
      <c r="Q421" s="673"/>
      <c r="R421" s="659"/>
      <c r="S421" s="593">
        <f>VLOOKUP("Total",C422:O1371,12,FALSE)</f>
        <v>7</v>
      </c>
      <c r="T421" s="593" t="str">
        <f>VLOOKUP("Total",C422:O1371,13,FALSE)</f>
        <v>Ud</v>
      </c>
      <c r="U421" s="593"/>
    </row>
    <row r="422" spans="1:28" ht="25.5" x14ac:dyDescent="0.2">
      <c r="A422" s="652" t="s">
        <v>537</v>
      </c>
      <c r="B422" s="898">
        <v>40734</v>
      </c>
      <c r="C422" s="335" t="str">
        <f>IF(MID(B422,1,2)="LG",VLOOKUP(B422,Composições!J:M,3,FALSE),IF(MID(B422,1,1)="6",VLOOKUP(B422,transp.!$A$4:$K$19,11,FALSE)&amp;" -  XP="&amp;TEXT(#REF!,"0.000")&amp;" / XR="&amp;TEXT(#REF!,"0.000"),VLOOKUP(B422,'DER 11-20'!$A$1:$I$1981,2,FALSE)))</f>
        <v>Dissipador de energia aplicado a saída de bueiro/descida d'água de aterro (DEB-03)</v>
      </c>
      <c r="D422" s="934" t="s">
        <v>275</v>
      </c>
      <c r="E422" s="935"/>
      <c r="F422" s="936"/>
      <c r="G422" s="939"/>
      <c r="H422" s="940"/>
      <c r="I422" s="941"/>
      <c r="J422" s="337" t="s">
        <v>266</v>
      </c>
      <c r="K422" s="728"/>
      <c r="L422" s="765"/>
      <c r="M422" s="728"/>
      <c r="N422" s="728" t="s">
        <v>533</v>
      </c>
      <c r="O422" s="339"/>
      <c r="P422" s="938"/>
      <c r="Q422" s="938"/>
      <c r="R422" s="658"/>
      <c r="S422" s="593">
        <f>VLOOKUP("Total",C423:O1372,12,FALSE)</f>
        <v>7</v>
      </c>
      <c r="T422" s="593" t="str">
        <f>VLOOKUP("Total",C423:O1372,13,FALSE)</f>
        <v>Ud</v>
      </c>
      <c r="U422" s="593"/>
    </row>
    <row r="423" spans="1:28" x14ac:dyDescent="0.2">
      <c r="A423" s="655"/>
      <c r="B423" s="751"/>
      <c r="C423" s="342" t="s">
        <v>2</v>
      </c>
      <c r="D423" s="343"/>
      <c r="E423" s="340"/>
      <c r="F423" s="344"/>
      <c r="G423" s="343"/>
      <c r="H423" s="344"/>
      <c r="I423" s="344"/>
      <c r="J423" s="341"/>
      <c r="K423" s="345"/>
      <c r="L423" s="346"/>
      <c r="M423" s="347"/>
      <c r="N423" s="348">
        <v>7</v>
      </c>
      <c r="O423" s="349" t="str">
        <f>IF(MID(B422,1,2)="LG",VLOOKUP(B422,Composições!J:M,4,FALSE),IF(MID(B422,1,1)="6",VLOOKUP(B422,transp.!$A$6:$K$35,3,FALSE),VLOOKUP(B422,'DER 11-20'!$A$1:$I$1981,3,FALSE)))</f>
        <v>Ud</v>
      </c>
      <c r="P423" s="350"/>
      <c r="Q423" s="350"/>
      <c r="R423" s="656"/>
      <c r="S423" s="593">
        <f>VLOOKUP("Total",C424:O1411,12,FALSE)</f>
        <v>3</v>
      </c>
      <c r="T423" s="593" t="str">
        <f>VLOOKUP("Total",C424:O1411,13,FALSE)</f>
        <v>Ud</v>
      </c>
      <c r="U423" s="593"/>
    </row>
    <row r="424" spans="1:28" x14ac:dyDescent="0.2">
      <c r="A424" s="287"/>
      <c r="B424" s="890"/>
      <c r="C424" s="331"/>
      <c r="H424" s="285"/>
      <c r="N424" s="306"/>
      <c r="O424" s="332"/>
      <c r="P424" s="307"/>
      <c r="Q424" s="307"/>
      <c r="R424" s="659"/>
      <c r="S424" s="593">
        <f>VLOOKUP("Total",C425:O1412,12,FALSE)</f>
        <v>3</v>
      </c>
      <c r="T424" s="593" t="str">
        <f>VLOOKUP("Total",C425:O1412,13,FALSE)</f>
        <v>Ud</v>
      </c>
      <c r="U424" s="593"/>
    </row>
    <row r="425" spans="1:28" ht="25.5" x14ac:dyDescent="0.2">
      <c r="A425" s="652" t="s">
        <v>540</v>
      </c>
      <c r="B425" s="898">
        <v>40735</v>
      </c>
      <c r="C425" s="335" t="str">
        <f>IF(MID(B425,1,2)="LG",VLOOKUP(B425,Composições!J:M,3,FALSE),IF(MID(B425,1,1)="6",VLOOKUP(B425,transp.!$A$4:$K$21,11,FALSE)&amp;" -  XP="&amp;TEXT(#REF!,"0,000")&amp;" / XR="&amp;TEXT(#REF!,"0,000"),VLOOKUP(B425,'DER 11-20'!$A$1:$I$1994,2,FALSE)))</f>
        <v>Dissipador de energia aplicado a saída de bueiro/descida d'água de aterro (DEB-04)</v>
      </c>
      <c r="D425" s="934" t="s">
        <v>275</v>
      </c>
      <c r="E425" s="935"/>
      <c r="F425" s="936"/>
      <c r="G425" s="934" t="s">
        <v>276</v>
      </c>
      <c r="H425" s="935"/>
      <c r="I425" s="936"/>
      <c r="J425" s="337" t="s">
        <v>266</v>
      </c>
      <c r="K425" s="728"/>
      <c r="L425" s="765" t="s">
        <v>302</v>
      </c>
      <c r="M425" s="728" t="s">
        <v>267</v>
      </c>
      <c r="N425" s="728" t="str">
        <f>CONCATENATE("Total (",IF(MID(B425,1,2)="LG",VLOOKUP(B425,Composições!J:M,4,FALSE),IF(MID(B425,1,1)="6","t",VLOOKUP(B425,'DER 11-20'!$A$1:$I$1994,3,FALSE))),")")</f>
        <v>Total (Ud)</v>
      </c>
      <c r="O425" s="339"/>
      <c r="P425" s="937"/>
      <c r="Q425" s="938"/>
      <c r="R425" s="658"/>
      <c r="S425" s="593">
        <f>VLOOKUP("Total",C426:O1413,12,FALSE)</f>
        <v>3</v>
      </c>
      <c r="T425" s="593" t="str">
        <f>VLOOKUP("Total",C426:O1413,13,FALSE)</f>
        <v>Ud</v>
      </c>
      <c r="U425" s="593"/>
      <c r="W425" s="281"/>
      <c r="X425" s="281"/>
      <c r="Y425" s="281"/>
      <c r="Z425" s="281"/>
      <c r="AA425" s="281"/>
      <c r="AB425" s="281"/>
    </row>
    <row r="426" spans="1:28" x14ac:dyDescent="0.2">
      <c r="A426" s="655"/>
      <c r="B426" s="751"/>
      <c r="C426" s="342" t="s">
        <v>2</v>
      </c>
      <c r="D426" s="343"/>
      <c r="E426" s="340"/>
      <c r="F426" s="344"/>
      <c r="G426" s="343"/>
      <c r="H426" s="344"/>
      <c r="I426" s="344"/>
      <c r="J426" s="341"/>
      <c r="K426" s="345"/>
      <c r="L426" s="346"/>
      <c r="M426" s="347"/>
      <c r="N426" s="348">
        <v>3</v>
      </c>
      <c r="O426" s="349" t="str">
        <f>IF(MID(B425,1,2)="LG",VLOOKUP(B425,Composições!J:M,4,FALSE),IF(MID(B425,1,1)="6",VLOOKUP(B425,transp.!$A$6:$K$27,3,FALSE),VLOOKUP(B425,'DER 11-20'!$A$1:$I$1994,3,FALSE)))</f>
        <v>Ud</v>
      </c>
      <c r="P426" s="350"/>
      <c r="Q426" s="350"/>
      <c r="R426" s="656"/>
      <c r="S426" s="593" t="e">
        <f>VLOOKUP("Total",C622:O1425,12,FALSE)</f>
        <v>#N/A</v>
      </c>
      <c r="T426" s="593" t="e">
        <f>VLOOKUP("Total",C622:O1425,13,FALSE)</f>
        <v>#N/A</v>
      </c>
      <c r="U426" s="593"/>
      <c r="W426" s="281"/>
      <c r="X426" s="281"/>
      <c r="Y426" s="281"/>
      <c r="Z426" s="281"/>
      <c r="AA426" s="281"/>
      <c r="AB426" s="281"/>
    </row>
    <row r="427" spans="1:28" s="549" customFormat="1" x14ac:dyDescent="0.2">
      <c r="A427" s="665"/>
      <c r="B427" s="896"/>
      <c r="C427" s="554"/>
      <c r="D427" s="555"/>
      <c r="E427" s="552"/>
      <c r="F427" s="561"/>
      <c r="G427" s="562"/>
      <c r="H427" s="550"/>
      <c r="I427" s="550"/>
      <c r="J427" s="553"/>
      <c r="K427" s="551"/>
      <c r="L427" s="551"/>
      <c r="M427" s="551"/>
      <c r="N427" s="546"/>
      <c r="O427" s="558"/>
      <c r="P427" s="559"/>
      <c r="Q427" s="559"/>
      <c r="R427" s="666"/>
      <c r="S427" s="593">
        <f>VLOOKUP("Total",C428:O703,12,FALSE)</f>
        <v>3</v>
      </c>
      <c r="T427" s="593" t="str">
        <f>VLOOKUP("Total",C428:O703,13,FALSE)</f>
        <v>Ud</v>
      </c>
      <c r="U427" s="601"/>
      <c r="W427" s="583"/>
      <c r="X427" s="583"/>
      <c r="Y427" s="583"/>
      <c r="Z427" s="583"/>
      <c r="AA427" s="583"/>
      <c r="AB427" s="583"/>
    </row>
    <row r="428" spans="1:28" ht="25.5" x14ac:dyDescent="0.2">
      <c r="A428" s="668" t="s">
        <v>541</v>
      </c>
      <c r="B428" s="898">
        <v>40736</v>
      </c>
      <c r="C428" s="335" t="str">
        <f>IF(MID(B428,1,2)="LG",VLOOKUP(B428,Composições!J:M,3,FALSE),IF(MID(B428,1,1)="6",VLOOKUP(B428,transp.!$A$4:$K$19,11,FALSE)&amp;" -  XP="&amp;TEXT(T428,"0.000")&amp;" / XR="&amp;TEXT(V428,"0.000"),VLOOKUP(B428,'DER 11-20'!$A$1:$I$1981,2,FALSE)))</f>
        <v>Dissipador de energia aplicado a saída de bueiro/descida d'água de aterro (DEB-05)</v>
      </c>
      <c r="D428" s="934" t="s">
        <v>275</v>
      </c>
      <c r="E428" s="935"/>
      <c r="F428" s="936"/>
      <c r="G428" s="934"/>
      <c r="H428" s="935"/>
      <c r="I428" s="936"/>
      <c r="J428" s="337" t="s">
        <v>266</v>
      </c>
      <c r="K428" s="728"/>
      <c r="L428" s="728"/>
      <c r="M428" s="728"/>
      <c r="N428" s="728" t="str">
        <f>CONCATENATE("Total (",IF(MID(B428,1,2)="LG",VLOOKUP(B428,Composições!J:M,4,FALSE),IF(MID(B428,1,1)="6","t",VLOOKUP(B428,'DER 11-20'!$A$1:$I$1981,3,FALSE))),")")</f>
        <v>Total (Ud)</v>
      </c>
      <c r="O428" s="305"/>
      <c r="P428" s="307"/>
      <c r="Q428" s="307"/>
      <c r="R428" s="664"/>
      <c r="S428" s="593">
        <f>VLOOKUP("Total",C429:O703,12,FALSE)</f>
        <v>3</v>
      </c>
      <c r="T428" s="593" t="str">
        <f>VLOOKUP("Total",C429:O703,13,FALSE)</f>
        <v>Ud</v>
      </c>
      <c r="U428" s="593"/>
    </row>
    <row r="429" spans="1:28" x14ac:dyDescent="0.2">
      <c r="A429" s="655"/>
      <c r="B429" s="751"/>
      <c r="C429" s="342" t="s">
        <v>2</v>
      </c>
      <c r="D429" s="343"/>
      <c r="E429" s="340"/>
      <c r="F429" s="568"/>
      <c r="G429" s="569"/>
      <c r="H429" s="344"/>
      <c r="I429" s="344"/>
      <c r="J429" s="341"/>
      <c r="K429" s="346"/>
      <c r="L429" s="346"/>
      <c r="M429" s="346"/>
      <c r="N429" s="348">
        <v>3</v>
      </c>
      <c r="O429" s="349" t="str">
        <f>IF(MID(B428,1,2)="LG",VLOOKUP(B428,Composições!J:M,4,FALSE),IF(MID(B428,1,1)="6",VLOOKUP(B428,transp.!$A$6:$K$35,3,FALSE),VLOOKUP(B428,'DER 11-20'!$A$1:$I$1981,3,FALSE)))</f>
        <v>Ud</v>
      </c>
      <c r="P429" s="350"/>
      <c r="Q429" s="350"/>
      <c r="R429" s="656"/>
      <c r="S429" s="593">
        <f>VLOOKUP("Total",C430:O703,12,FALSE)</f>
        <v>2</v>
      </c>
      <c r="T429" s="593" t="str">
        <f>VLOOKUP("Total",C430:O703,13,FALSE)</f>
        <v>Ud</v>
      </c>
      <c r="U429" s="593"/>
    </row>
    <row r="430" spans="1:28" s="549" customFormat="1" x14ac:dyDescent="0.2">
      <c r="A430" s="665"/>
      <c r="B430" s="896"/>
      <c r="C430" s="554"/>
      <c r="D430" s="555"/>
      <c r="E430" s="552"/>
      <c r="F430" s="561"/>
      <c r="G430" s="562"/>
      <c r="H430" s="550"/>
      <c r="I430" s="550"/>
      <c r="J430" s="553"/>
      <c r="K430" s="551"/>
      <c r="L430" s="551"/>
      <c r="M430" s="551"/>
      <c r="N430" s="546" t="s">
        <v>436</v>
      </c>
      <c r="O430" s="558"/>
      <c r="P430" s="559"/>
      <c r="Q430" s="559"/>
      <c r="R430" s="666"/>
      <c r="S430" s="593">
        <f>VLOOKUP("Total",C431:O703,12,FALSE)</f>
        <v>2</v>
      </c>
      <c r="T430" s="593" t="str">
        <f>VLOOKUP("Total",C431:O703,13,FALSE)</f>
        <v>Ud</v>
      </c>
      <c r="U430" s="601"/>
      <c r="W430" s="583"/>
      <c r="X430" s="583"/>
      <c r="Y430" s="583"/>
      <c r="Z430" s="583"/>
      <c r="AA430" s="583"/>
      <c r="AB430" s="583"/>
    </row>
    <row r="431" spans="1:28" ht="25.5" x14ac:dyDescent="0.2">
      <c r="A431" s="668" t="s">
        <v>542</v>
      </c>
      <c r="B431" s="898">
        <v>40738</v>
      </c>
      <c r="C431" s="335" t="str">
        <f>IF(MID(B431,1,2)="LG",VLOOKUP(B431,Composições!J:M,3,FALSE),IF(MID(B431,1,1)="6",VLOOKUP(B431,transp.!$A$4:$K$19,11,FALSE)&amp;" -  XP="&amp;TEXT(T431,"0.000")&amp;" / XR="&amp;TEXT(V431,"0.000"),VLOOKUP(B431,'DER 11-20'!$A$1:$I$1981,2,FALSE)))</f>
        <v>Dissipador de energia aplicado a saída de bueiro/descida d'água de aterro (DEB-07)</v>
      </c>
      <c r="D431" s="934" t="s">
        <v>275</v>
      </c>
      <c r="E431" s="935"/>
      <c r="F431" s="936"/>
      <c r="G431" s="934"/>
      <c r="H431" s="935"/>
      <c r="I431" s="936"/>
      <c r="J431" s="337" t="s">
        <v>266</v>
      </c>
      <c r="K431" s="728"/>
      <c r="L431" s="728"/>
      <c r="M431" s="728"/>
      <c r="N431" s="728" t="str">
        <f>CONCATENATE("Total (",IF(MID(B431,1,2)="LG",VLOOKUP(B431,Composições!J:M,4,FALSE),IF(MID(B431,1,1)="6","t",VLOOKUP(B431,'DER 11-20'!$A$1:$I$1981,3,FALSE))),")")</f>
        <v>Total (Ud)</v>
      </c>
      <c r="O431" s="305"/>
      <c r="P431" s="307"/>
      <c r="Q431" s="307"/>
      <c r="R431" s="664"/>
      <c r="S431" s="593">
        <f>VLOOKUP("Total",C432:O703,12,FALSE)</f>
        <v>2</v>
      </c>
      <c r="T431" s="593" t="str">
        <f>VLOOKUP("Total",C432:O703,13,FALSE)</f>
        <v>Ud</v>
      </c>
      <c r="U431" s="593"/>
    </row>
    <row r="432" spans="1:28" x14ac:dyDescent="0.2">
      <c r="A432" s="655"/>
      <c r="B432" s="751"/>
      <c r="C432" s="342" t="s">
        <v>2</v>
      </c>
      <c r="D432" s="343"/>
      <c r="E432" s="340"/>
      <c r="F432" s="568"/>
      <c r="G432" s="569"/>
      <c r="H432" s="344"/>
      <c r="I432" s="344"/>
      <c r="J432" s="341"/>
      <c r="K432" s="346"/>
      <c r="L432" s="346"/>
      <c r="M432" s="346"/>
      <c r="N432" s="348">
        <v>2</v>
      </c>
      <c r="O432" s="349" t="str">
        <f>IF(MID(B431,1,2)="LG",VLOOKUP(B431,Composições!J:M,4,FALSE),IF(MID(B431,1,1)="6",VLOOKUP(B431,transp.!$A$6:$K$35,3,FALSE),VLOOKUP(B431,'DER 11-20'!$A$1:$I$1981,3,FALSE)))</f>
        <v>Ud</v>
      </c>
      <c r="P432" s="350"/>
      <c r="Q432" s="350"/>
      <c r="R432" s="656"/>
      <c r="S432" s="593">
        <f>VLOOKUP("Total",C433:O703,12,FALSE)</f>
        <v>4</v>
      </c>
      <c r="T432" s="593" t="str">
        <f>VLOOKUP("Total",C433:O703,13,FALSE)</f>
        <v>Ud</v>
      </c>
      <c r="U432" s="593"/>
    </row>
    <row r="433" spans="1:28" s="549" customFormat="1" x14ac:dyDescent="0.2">
      <c r="A433" s="665"/>
      <c r="B433" s="896"/>
      <c r="C433" s="554"/>
      <c r="D433" s="555"/>
      <c r="E433" s="552"/>
      <c r="F433" s="561"/>
      <c r="G433" s="562"/>
      <c r="H433" s="550"/>
      <c r="I433" s="550"/>
      <c r="J433" s="553"/>
      <c r="K433" s="551"/>
      <c r="L433" s="551"/>
      <c r="M433" s="551"/>
      <c r="N433" s="546"/>
      <c r="O433" s="558"/>
      <c r="P433" s="559"/>
      <c r="Q433" s="559"/>
      <c r="R433" s="666"/>
      <c r="S433" s="593">
        <f>VLOOKUP("Total",C434:O703,12,FALSE)</f>
        <v>4</v>
      </c>
      <c r="T433" s="593" t="str">
        <f>VLOOKUP("Total",C434:O703,13,FALSE)</f>
        <v>Ud</v>
      </c>
      <c r="U433" s="601"/>
      <c r="W433" s="583"/>
      <c r="X433" s="583"/>
      <c r="Y433" s="583"/>
      <c r="Z433" s="583"/>
      <c r="AA433" s="583"/>
      <c r="AB433" s="583"/>
    </row>
    <row r="434" spans="1:28" ht="25.5" x14ac:dyDescent="0.2">
      <c r="A434" s="668" t="s">
        <v>543</v>
      </c>
      <c r="B434" s="898">
        <v>40741</v>
      </c>
      <c r="C434" s="335" t="str">
        <f>IF(MID(B434,1,2)="LG",VLOOKUP(B434,Composições!J:M,3,FALSE),IF(MID(B434,1,1)="6",VLOOKUP(B434,transp.!$A$4:$K$19,11,FALSE)&amp;" -  XP="&amp;TEXT(T434,"0.000")&amp;" / XR="&amp;TEXT(V434,"0.000"),VLOOKUP(B434,'DER 11-20'!$A$1:$I$1981,2,FALSE)))</f>
        <v>Dissipador de energia aplicado a saída de bueiro/descida d'água de aterro (DEB-10)</v>
      </c>
      <c r="D434" s="934" t="s">
        <v>275</v>
      </c>
      <c r="E434" s="935"/>
      <c r="F434" s="936"/>
      <c r="G434" s="934"/>
      <c r="H434" s="935"/>
      <c r="I434" s="936"/>
      <c r="J434" s="337" t="s">
        <v>266</v>
      </c>
      <c r="K434" s="728"/>
      <c r="L434" s="728"/>
      <c r="M434" s="728"/>
      <c r="N434" s="728" t="str">
        <f>CONCATENATE("Total (",IF(MID(B434,1,2)="LG",VLOOKUP(B434,Composições!J:M,4,FALSE),IF(MID(B434,1,1)="6","t",VLOOKUP(B434,'DER 11-20'!$A$1:$I$1981,3,FALSE))),")")</f>
        <v>Total (Ud)</v>
      </c>
      <c r="O434" s="305"/>
      <c r="P434" s="307"/>
      <c r="Q434" s="307"/>
      <c r="R434" s="664"/>
      <c r="S434" s="593">
        <f>VLOOKUP("Total",C435:O703,12,FALSE)</f>
        <v>4</v>
      </c>
      <c r="T434" s="593" t="str">
        <f>VLOOKUP("Total",C435:O703,13,FALSE)</f>
        <v>Ud</v>
      </c>
      <c r="U434" s="593"/>
    </row>
    <row r="435" spans="1:28" x14ac:dyDescent="0.2">
      <c r="A435" s="655"/>
      <c r="B435" s="751"/>
      <c r="C435" s="342" t="s">
        <v>2</v>
      </c>
      <c r="D435" s="343"/>
      <c r="E435" s="340"/>
      <c r="F435" s="568"/>
      <c r="G435" s="569"/>
      <c r="H435" s="344"/>
      <c r="I435" s="344"/>
      <c r="J435" s="341"/>
      <c r="K435" s="346"/>
      <c r="L435" s="346"/>
      <c r="M435" s="346"/>
      <c r="N435" s="348">
        <v>4</v>
      </c>
      <c r="O435" s="349" t="str">
        <f>IF(MID(B434,1,2)="LG",VLOOKUP(B434,Composições!J:M,4,FALSE),IF(MID(B434,1,1)="6",VLOOKUP(B434,transp.!$A$6:$K$35,3,FALSE),VLOOKUP(B434,'DER 11-20'!$A$1:$I$1981,3,FALSE)))</f>
        <v>Ud</v>
      </c>
      <c r="P435" s="350"/>
      <c r="Q435" s="350"/>
      <c r="R435" s="656"/>
      <c r="S435" s="593">
        <f>VLOOKUP("Total",C436:O703,12,FALSE)</f>
        <v>1</v>
      </c>
      <c r="T435" s="593" t="str">
        <f>VLOOKUP("Total",C436:O703,13,FALSE)</f>
        <v>Ud</v>
      </c>
      <c r="U435" s="593"/>
    </row>
    <row r="436" spans="1:28" s="549" customFormat="1" x14ac:dyDescent="0.2">
      <c r="A436" s="665"/>
      <c r="B436" s="896"/>
      <c r="C436" s="554"/>
      <c r="D436" s="555"/>
      <c r="E436" s="552"/>
      <c r="F436" s="561"/>
      <c r="G436" s="562"/>
      <c r="H436" s="550"/>
      <c r="I436" s="550"/>
      <c r="J436" s="553"/>
      <c r="K436" s="551"/>
      <c r="L436" s="551"/>
      <c r="M436" s="551"/>
      <c r="N436" s="546"/>
      <c r="O436" s="558"/>
      <c r="P436" s="559"/>
      <c r="Q436" s="559"/>
      <c r="R436" s="666"/>
      <c r="S436" s="593">
        <f>VLOOKUP("Total",C437:O703,12,FALSE)</f>
        <v>1</v>
      </c>
      <c r="T436" s="593" t="str">
        <f>VLOOKUP("Total",C437:O703,13,FALSE)</f>
        <v>Ud</v>
      </c>
      <c r="U436" s="601"/>
      <c r="W436" s="583"/>
      <c r="X436" s="583"/>
      <c r="Y436" s="583"/>
      <c r="Z436" s="583"/>
      <c r="AA436" s="583"/>
      <c r="AB436" s="583"/>
    </row>
    <row r="437" spans="1:28" ht="25.5" x14ac:dyDescent="0.2">
      <c r="A437" s="668" t="s">
        <v>544</v>
      </c>
      <c r="B437" s="898" t="s">
        <v>675</v>
      </c>
      <c r="C437" s="335" t="s">
        <v>548</v>
      </c>
      <c r="D437" s="934" t="s">
        <v>275</v>
      </c>
      <c r="E437" s="935"/>
      <c r="F437" s="936"/>
      <c r="G437" s="934"/>
      <c r="H437" s="935"/>
      <c r="I437" s="936"/>
      <c r="J437" s="337" t="s">
        <v>266</v>
      </c>
      <c r="K437" s="728"/>
      <c r="L437" s="728"/>
      <c r="M437" s="728"/>
      <c r="N437" s="728" t="s">
        <v>533</v>
      </c>
      <c r="O437" s="305"/>
      <c r="P437" s="307"/>
      <c r="Q437" s="307"/>
      <c r="R437" s="664"/>
      <c r="S437" s="593">
        <f>VLOOKUP("Total",C438:O703,12,FALSE)</f>
        <v>1</v>
      </c>
      <c r="T437" s="593" t="str">
        <f>VLOOKUP("Total",C438:O703,13,FALSE)</f>
        <v>Ud</v>
      </c>
      <c r="U437" s="593"/>
    </row>
    <row r="438" spans="1:28" x14ac:dyDescent="0.2">
      <c r="A438" s="655"/>
      <c r="B438" s="751"/>
      <c r="C438" s="342" t="s">
        <v>2</v>
      </c>
      <c r="D438" s="343"/>
      <c r="E438" s="340"/>
      <c r="F438" s="568"/>
      <c r="G438" s="569"/>
      <c r="H438" s="344"/>
      <c r="I438" s="344"/>
      <c r="J438" s="341"/>
      <c r="K438" s="346"/>
      <c r="L438" s="346"/>
      <c r="M438" s="346"/>
      <c r="N438" s="348">
        <v>1</v>
      </c>
      <c r="O438" s="349" t="s">
        <v>396</v>
      </c>
      <c r="P438" s="350"/>
      <c r="Q438" s="350"/>
      <c r="R438" s="656"/>
      <c r="S438" s="593">
        <f>VLOOKUP("Total",C439:O703,12,FALSE)</f>
        <v>1</v>
      </c>
      <c r="T438" s="593" t="str">
        <f>VLOOKUP("Total",C439:O703,13,FALSE)</f>
        <v>Ud</v>
      </c>
      <c r="U438" s="593"/>
    </row>
    <row r="439" spans="1:28" s="549" customFormat="1" x14ac:dyDescent="0.2">
      <c r="A439" s="665"/>
      <c r="B439" s="896"/>
      <c r="C439" s="554"/>
      <c r="D439" s="555"/>
      <c r="E439" s="552"/>
      <c r="F439" s="561"/>
      <c r="G439" s="562"/>
      <c r="H439" s="550"/>
      <c r="I439" s="550"/>
      <c r="J439" s="553"/>
      <c r="K439" s="551"/>
      <c r="L439" s="551"/>
      <c r="M439" s="551"/>
      <c r="N439" s="546"/>
      <c r="O439" s="558" t="s">
        <v>549</v>
      </c>
      <c r="P439" s="559"/>
      <c r="Q439" s="559"/>
      <c r="R439" s="666"/>
      <c r="S439" s="593">
        <f>VLOOKUP("Total",C440:O703,12,FALSE)</f>
        <v>1</v>
      </c>
      <c r="T439" s="593" t="str">
        <f>VLOOKUP("Total",C440:O703,13,FALSE)</f>
        <v>Ud</v>
      </c>
      <c r="U439" s="601"/>
      <c r="W439" s="583"/>
      <c r="X439" s="583"/>
      <c r="Y439" s="583"/>
      <c r="Z439" s="583"/>
      <c r="AA439" s="583"/>
      <c r="AB439" s="583"/>
    </row>
    <row r="440" spans="1:28" ht="25.5" x14ac:dyDescent="0.2">
      <c r="A440" s="668" t="s">
        <v>545</v>
      </c>
      <c r="B440" s="898">
        <v>40742</v>
      </c>
      <c r="C440" s="335" t="str">
        <f>IF(MID(B440,1,2)="LG",VLOOKUP(B440,Composições!J:M,3,FALSE),IF(MID(B440,1,1)="6",VLOOKUP(B440,transp.!$A$4:$K$19,11,FALSE)&amp;" -  XP="&amp;TEXT(T440,"0.000")&amp;" / XR="&amp;TEXT(V440,"0.000"),VLOOKUP(B440,'DER 11-20'!$A$1:$I$1981,2,FALSE)))</f>
        <v>Dissipador de energia aplicado a saída de bueiro/descida d'água de aterro (DEB-12)</v>
      </c>
      <c r="D440" s="934" t="s">
        <v>275</v>
      </c>
      <c r="E440" s="935"/>
      <c r="F440" s="936"/>
      <c r="G440" s="934"/>
      <c r="H440" s="935"/>
      <c r="I440" s="936"/>
      <c r="J440" s="337" t="s">
        <v>266</v>
      </c>
      <c r="K440" s="728"/>
      <c r="L440" s="728"/>
      <c r="M440" s="728"/>
      <c r="N440" s="728" t="str">
        <f>CONCATENATE("Total (",IF(MID(B440,1,2)="LG",VLOOKUP(B440,Composições!J:M,4,FALSE),IF(MID(B440,1,1)="6","t",VLOOKUP(B440,'DER 11-20'!$A$1:$I$1981,3,FALSE))),")")</f>
        <v>Total (Ud)</v>
      </c>
      <c r="O440" s="305"/>
      <c r="P440" s="307"/>
      <c r="Q440" s="307"/>
      <c r="R440" s="664"/>
      <c r="S440" s="593">
        <f>VLOOKUP("Total",C441:O703,12,FALSE)</f>
        <v>1</v>
      </c>
      <c r="T440" s="593" t="str">
        <f>VLOOKUP("Total",C441:O703,13,FALSE)</f>
        <v>Ud</v>
      </c>
      <c r="U440" s="593"/>
    </row>
    <row r="441" spans="1:28" x14ac:dyDescent="0.2">
      <c r="A441" s="655"/>
      <c r="B441" s="751"/>
      <c r="C441" s="342" t="s">
        <v>2</v>
      </c>
      <c r="D441" s="343"/>
      <c r="E441" s="340"/>
      <c r="F441" s="568"/>
      <c r="G441" s="569"/>
      <c r="H441" s="344"/>
      <c r="I441" s="344"/>
      <c r="J441" s="341"/>
      <c r="K441" s="346"/>
      <c r="L441" s="346"/>
      <c r="M441" s="346"/>
      <c r="N441" s="348">
        <v>1</v>
      </c>
      <c r="O441" s="349" t="str">
        <f>IF(MID(B440,1,2)="LG",VLOOKUP(B440,Composições!J:M,4,FALSE),IF(MID(B440,1,1)="6",VLOOKUP(B440,transp.!$A$6:$K$35,3,FALSE),VLOOKUP(B440,'DER 11-20'!$A$1:$I$1981,3,FALSE)))</f>
        <v>Ud</v>
      </c>
      <c r="P441" s="350"/>
      <c r="Q441" s="350"/>
      <c r="R441" s="656"/>
      <c r="S441" s="593">
        <f>VLOOKUP("Total",C442:O703,12,FALSE)</f>
        <v>451.5</v>
      </c>
      <c r="T441" s="593" t="str">
        <f>VLOOKUP("Total",C442:O703,13,FALSE)</f>
        <v>M</v>
      </c>
      <c r="U441" s="593"/>
    </row>
    <row r="442" spans="1:28" s="549" customFormat="1" x14ac:dyDescent="0.2">
      <c r="A442" s="665"/>
      <c r="B442" s="896"/>
      <c r="C442" s="554"/>
      <c r="D442" s="555"/>
      <c r="E442" s="552"/>
      <c r="F442" s="561"/>
      <c r="G442" s="562"/>
      <c r="H442" s="550"/>
      <c r="I442" s="550"/>
      <c r="J442" s="553"/>
      <c r="K442" s="551"/>
      <c r="L442" s="551"/>
      <c r="M442" s="551"/>
      <c r="N442" s="546"/>
      <c r="O442" s="558"/>
      <c r="P442" s="559"/>
      <c r="Q442" s="559"/>
      <c r="R442" s="666"/>
      <c r="S442" s="593">
        <f>VLOOKUP("Total",C443:O703,12,FALSE)</f>
        <v>451.5</v>
      </c>
      <c r="T442" s="593" t="str">
        <f>VLOOKUP("Total",C443:O703,13,FALSE)</f>
        <v>M</v>
      </c>
      <c r="U442" s="601"/>
      <c r="W442" s="583"/>
      <c r="X442" s="583"/>
      <c r="Y442" s="583"/>
      <c r="Z442" s="583"/>
      <c r="AA442" s="583"/>
      <c r="AB442" s="583"/>
    </row>
    <row r="443" spans="1:28" x14ac:dyDescent="0.2">
      <c r="A443" s="668" t="s">
        <v>546</v>
      </c>
      <c r="B443" s="898">
        <v>40747</v>
      </c>
      <c r="C443" s="335" t="str">
        <f>IF(MID(B443,1,2)="LG",VLOOKUP(B443,Composições!J:M,3,FALSE),IF(MID(B443,1,1)="6",VLOOKUP(B443,transp.!$A$4:$K$19,11,FALSE)&amp;" -  XP="&amp;TEXT(T443,"0.000")&amp;" / XR="&amp;TEXT(V443,"0.000"),VLOOKUP(B443,'DER 11-20'!$A$1:$I$1981,2,FALSE)))</f>
        <v>Remoção de bueiros existentes</v>
      </c>
      <c r="D443" s="934" t="s">
        <v>275</v>
      </c>
      <c r="E443" s="935"/>
      <c r="F443" s="936"/>
      <c r="G443" s="934"/>
      <c r="H443" s="935"/>
      <c r="I443" s="936"/>
      <c r="J443" s="337" t="s">
        <v>266</v>
      </c>
      <c r="K443" s="728"/>
      <c r="L443" s="728"/>
      <c r="M443" s="728"/>
      <c r="N443" s="728" t="str">
        <f>CONCATENATE("Total (",IF(MID(B443,1,2)="LG",VLOOKUP(B443,Composições!J:M,4,FALSE),IF(MID(B443,1,1)="6","t",VLOOKUP(B443,'DER 11-20'!$A$1:$I$1981,3,FALSE))),")")</f>
        <v>Total (M)</v>
      </c>
      <c r="O443" s="305"/>
      <c r="P443" s="307"/>
      <c r="Q443" s="307"/>
      <c r="R443" s="664"/>
      <c r="S443" s="593">
        <f>VLOOKUP("Total",C444:O703,12,FALSE)</f>
        <v>451.5</v>
      </c>
      <c r="T443" s="593" t="str">
        <f>VLOOKUP("Total",C444:O703,13,FALSE)</f>
        <v>M</v>
      </c>
      <c r="U443" s="593"/>
    </row>
    <row r="444" spans="1:28" x14ac:dyDescent="0.2">
      <c r="A444" s="655"/>
      <c r="B444" s="751"/>
      <c r="C444" s="342" t="s">
        <v>2</v>
      </c>
      <c r="D444" s="343"/>
      <c r="E444" s="340"/>
      <c r="F444" s="568"/>
      <c r="G444" s="569"/>
      <c r="H444" s="344"/>
      <c r="I444" s="344"/>
      <c r="J444" s="341"/>
      <c r="K444" s="346"/>
      <c r="L444" s="346"/>
      <c r="M444" s="346"/>
      <c r="N444" s="348">
        <v>451.5</v>
      </c>
      <c r="O444" s="349" t="str">
        <f>IF(MID(B443,1,2)="LG",VLOOKUP(B443,Composições!J:M,4,FALSE),IF(MID(B443,1,1)="6",VLOOKUP(B443,transp.!$A$6:$K$35,3,FALSE),VLOOKUP(B443,'DER 11-20'!$A$1:$I$1981,3,FALSE)))</f>
        <v>M</v>
      </c>
      <c r="P444" s="350"/>
      <c r="Q444" s="350"/>
      <c r="R444" s="656"/>
      <c r="S444" s="593">
        <f>VLOOKUP("Total",C445:O703,12,FALSE)</f>
        <v>1470.48</v>
      </c>
      <c r="T444" s="593" t="str">
        <f>VLOOKUP("Total",C445:O703,13,FALSE)</f>
        <v>T</v>
      </c>
      <c r="U444" s="593"/>
    </row>
    <row r="445" spans="1:28" x14ac:dyDescent="0.2">
      <c r="A445" s="287"/>
      <c r="B445" s="890"/>
      <c r="C445" s="331"/>
      <c r="F445" s="567"/>
      <c r="G445" s="289"/>
      <c r="H445" s="285"/>
      <c r="N445" s="306"/>
      <c r="O445" s="332"/>
      <c r="P445" s="307"/>
      <c r="Q445" s="307"/>
      <c r="R445" s="659"/>
      <c r="S445" s="593">
        <f>VLOOKUP("Total",C446:O786,12,FALSE)</f>
        <v>1470.48</v>
      </c>
      <c r="T445" s="593" t="str">
        <f>VLOOKUP("Total",C446:O786,13,FALSE)</f>
        <v>T</v>
      </c>
      <c r="U445" s="593"/>
    </row>
    <row r="446" spans="1:28" s="310" customFormat="1" ht="38.25" x14ac:dyDescent="0.2">
      <c r="A446" s="668" t="s">
        <v>547</v>
      </c>
      <c r="B446" s="898">
        <v>60024</v>
      </c>
      <c r="C446" s="335" t="str">
        <f>IF(MID(B446,1,2)="LG",VLOOKUP(B446,Composições!J:M,3,FALSE),IF(MID(B446,1,1)="6",VLOOKUP(B446,transp.!$A$4:$K$21,11,FALSE)&amp;" -  XP="&amp;TEXT(Z446,"0,000")&amp;" / XR="&amp;TEXT(U446,"0,000"),VLOOKUP(B446,'DER 11-20'!$A$1:$I$1994,2,FALSE)))&amp;" - "&amp;TEXT(C447,"0.000")</f>
        <v>Transporte de materiais para DMT acima de 15 KM (Caminhão basculante)0,304XP+0,323XR+11,678 (Incluindo BDI= 23,32%) -  XP=17,600 / XR=1,990 - encaminhamento dos tubos ao BF</v>
      </c>
      <c r="D446" s="934" t="s">
        <v>275</v>
      </c>
      <c r="E446" s="935"/>
      <c r="F446" s="936"/>
      <c r="G446" s="934" t="s">
        <v>276</v>
      </c>
      <c r="H446" s="935"/>
      <c r="I446" s="936"/>
      <c r="J446" s="337" t="s">
        <v>266</v>
      </c>
      <c r="K446" s="725"/>
      <c r="L446" s="728"/>
      <c r="M446" s="765"/>
      <c r="N446" s="728" t="str">
        <f>CONCATENATE("Total (",IF(MID(B446,1,2)="LG",VLOOKUP(B446,Composições!J:M,4,FALSE),IF(MID(B446,1,1)="6","t",VLOOKUP(B446,'DER 11-20'!$A$1:$I$1994,3,FALSE))),")")</f>
        <v>Total (t)</v>
      </c>
      <c r="O446" s="305"/>
      <c r="P446" s="307"/>
      <c r="Q446" s="307"/>
      <c r="R446" s="664"/>
      <c r="S446" s="593">
        <f>VLOOKUP("Total",C448:O787,12,FALSE)</f>
        <v>1470.48</v>
      </c>
      <c r="T446" s="593" t="str">
        <f>VLOOKUP("Total",C448:O787,13,FALSE)</f>
        <v>T</v>
      </c>
      <c r="U446" s="593">
        <f t="shared" ref="U446" si="5">+AB446/1000</f>
        <v>1.99</v>
      </c>
      <c r="V446" s="596">
        <f t="shared" ref="V446" si="6">W446*Z446+X446*U446+Y446</f>
        <v>17.670000000000002</v>
      </c>
      <c r="W446" s="597">
        <f>VLOOKUP(B446,transp.!A:J,8,FALSE)</f>
        <v>0.30399999999999999</v>
      </c>
      <c r="X446" s="597">
        <f>VLOOKUP(B446,transp.!A:J,9,FALSE)</f>
        <v>0.32300000000000001</v>
      </c>
      <c r="Y446" s="597">
        <f>VLOOKUP(B446,transp.!A:J,10,FALSE)</f>
        <v>11.678000000000001</v>
      </c>
      <c r="Z446" s="597">
        <f t="shared" ref="Z446" si="7">AA446/1000</f>
        <v>17.600000000000001</v>
      </c>
      <c r="AA446" s="600">
        <v>17600</v>
      </c>
      <c r="AB446" s="598">
        <v>1990</v>
      </c>
    </row>
    <row r="447" spans="1:28" x14ac:dyDescent="0.2">
      <c r="A447" s="653"/>
      <c r="B447" s="899"/>
      <c r="C447" s="599" t="s">
        <v>651</v>
      </c>
      <c r="D447" s="365"/>
      <c r="E447" s="458"/>
      <c r="G447" s="365"/>
      <c r="H447" s="458"/>
      <c r="J447" s="366"/>
      <c r="K447" s="338"/>
      <c r="L447" s="728"/>
      <c r="M447" s="291"/>
      <c r="N447" s="728"/>
      <c r="O447" s="595"/>
      <c r="P447" s="727"/>
      <c r="Q447" s="828"/>
      <c r="R447" s="654"/>
      <c r="S447" s="593">
        <f>VLOOKUP("Total",C448:O817,12,FALSE)</f>
        <v>1470.48</v>
      </c>
      <c r="T447" s="593" t="str">
        <f>VLOOKUP("Total",C448:O817,13,FALSE)</f>
        <v>T</v>
      </c>
      <c r="U447" s="593"/>
      <c r="V447" s="596"/>
      <c r="W447" s="597"/>
      <c r="X447" s="597"/>
      <c r="Y447" s="597"/>
      <c r="Z447" s="597"/>
      <c r="AA447" s="600"/>
      <c r="AB447" s="598"/>
    </row>
    <row r="448" spans="1:28" s="310" customFormat="1" x14ac:dyDescent="0.2">
      <c r="A448" s="655"/>
      <c r="B448" s="751"/>
      <c r="C448" s="342" t="s">
        <v>2</v>
      </c>
      <c r="D448" s="343"/>
      <c r="E448" s="340"/>
      <c r="F448" s="344"/>
      <c r="G448" s="343"/>
      <c r="H448" s="344"/>
      <c r="I448" s="344"/>
      <c r="J448" s="341"/>
      <c r="K448" s="345"/>
      <c r="L448" s="346"/>
      <c r="M448" s="347"/>
      <c r="N448" s="348">
        <v>1470.48</v>
      </c>
      <c r="O448" s="349" t="str">
        <f>IF(MID(B446,1,2)="LG",VLOOKUP(B446,Composições!J:M,4,FALSE),IF(MID(B446,1,1)="6",VLOOKUP(B446,transp.!$A$6:$K$27,3,FALSE),VLOOKUP(B446,'DER 11-20'!$A$1:$I$1994,3,FALSE)))</f>
        <v>T</v>
      </c>
      <c r="P448" s="350"/>
      <c r="Q448" s="350"/>
      <c r="R448" s="656"/>
      <c r="S448" s="593">
        <f>VLOOKUP("Total",C449:O791,12,FALSE)</f>
        <v>44</v>
      </c>
      <c r="T448" s="593" t="str">
        <f>VLOOKUP("Total",C449:O791,13,FALSE)</f>
        <v>Ud</v>
      </c>
      <c r="U448" s="593"/>
      <c r="V448" s="596"/>
      <c r="W448" s="597"/>
      <c r="X448" s="597"/>
      <c r="Y448" s="597"/>
      <c r="Z448" s="597"/>
      <c r="AA448" s="600"/>
      <c r="AB448" s="598"/>
    </row>
    <row r="449" spans="1:28" s="549" customFormat="1" x14ac:dyDescent="0.2">
      <c r="A449" s="665"/>
      <c r="B449" s="896"/>
      <c r="C449" s="554"/>
      <c r="D449" s="555"/>
      <c r="E449" s="552"/>
      <c r="F449" s="561"/>
      <c r="G449" s="562"/>
      <c r="H449" s="550"/>
      <c r="I449" s="550"/>
      <c r="J449" s="553"/>
      <c r="K449" s="551"/>
      <c r="L449" s="551"/>
      <c r="M449" s="551"/>
      <c r="N449" s="546"/>
      <c r="O449" s="558"/>
      <c r="P449" s="559"/>
      <c r="Q449" s="559"/>
      <c r="R449" s="666"/>
      <c r="S449" s="593">
        <f>VLOOKUP("Total",C450:O836,12,FALSE)</f>
        <v>44</v>
      </c>
      <c r="T449" s="593" t="str">
        <f>VLOOKUP("Total",C450:O836,13,FALSE)</f>
        <v>Ud</v>
      </c>
      <c r="U449" s="593"/>
      <c r="V449" s="596"/>
      <c r="W449" s="597"/>
      <c r="X449" s="597"/>
      <c r="Y449" s="597"/>
      <c r="Z449" s="597"/>
      <c r="AA449" s="600"/>
      <c r="AB449" s="598"/>
    </row>
    <row r="450" spans="1:28" x14ac:dyDescent="0.2">
      <c r="A450" s="668" t="s">
        <v>550</v>
      </c>
      <c r="B450" s="898">
        <v>40673</v>
      </c>
      <c r="C450" s="335" t="str">
        <f>IF(MID(B450,1,2)="LG",VLOOKUP(B450,Composições!J:M,3,FALSE),IF(MID(B450,1,1)="6",VLOOKUP(B450,transp.!$A$4:$K$19,11,FALSE)&amp;" -  XP="&amp;TEXT(T450,"0.000")&amp;" / XR="&amp;TEXT(V450,"0.000"),VLOOKUP(B450,'DER 11-20'!$A$1:$I$1981,2,FALSE)))</f>
        <v>Entrada para descida d'água EDA-01</v>
      </c>
      <c r="D450" s="934" t="s">
        <v>275</v>
      </c>
      <c r="E450" s="935"/>
      <c r="F450" s="936"/>
      <c r="G450" s="934" t="s">
        <v>276</v>
      </c>
      <c r="H450" s="935"/>
      <c r="I450" s="936"/>
      <c r="J450" s="337" t="s">
        <v>266</v>
      </c>
      <c r="K450" s="725"/>
      <c r="L450" s="728"/>
      <c r="M450" s="765"/>
      <c r="N450" s="728" t="str">
        <f>CONCATENATE("Total (",IF(MID(B450,1,2)="LG",VLOOKUP(B450,'[1]Compos lug'!J:M,4,FALSE),IF(MID(B450,1,1)="6","t",VLOOKUP(B450,'[1]DER 06-16'!$A$1:$I$2000,3,FALSE))),")")</f>
        <v>Total (un)</v>
      </c>
      <c r="O450" s="305"/>
      <c r="P450" s="307"/>
      <c r="Q450" s="307"/>
      <c r="R450" s="664"/>
      <c r="S450" s="593">
        <f>VLOOKUP("Total",C451:O837,12,FALSE)</f>
        <v>44</v>
      </c>
      <c r="T450" s="593" t="str">
        <f>VLOOKUP("Total",C451:O837,13,FALSE)</f>
        <v>Ud</v>
      </c>
      <c r="U450" s="593"/>
      <c r="V450" s="596"/>
      <c r="W450" s="597"/>
      <c r="X450" s="597"/>
      <c r="Y450" s="597"/>
      <c r="Z450" s="597"/>
      <c r="AA450" s="600"/>
      <c r="AB450" s="598"/>
    </row>
    <row r="451" spans="1:28" x14ac:dyDescent="0.2">
      <c r="A451" s="655"/>
      <c r="B451" s="751"/>
      <c r="C451" s="342" t="s">
        <v>2</v>
      </c>
      <c r="D451" s="343"/>
      <c r="E451" s="340"/>
      <c r="F451" s="568"/>
      <c r="G451" s="569"/>
      <c r="H451" s="344"/>
      <c r="I451" s="344"/>
      <c r="J451" s="341"/>
      <c r="K451" s="346"/>
      <c r="L451" s="346"/>
      <c r="M451" s="346"/>
      <c r="N451" s="348">
        <v>44</v>
      </c>
      <c r="O451" s="349" t="str">
        <f>IF(MID(B450,1,2)="LG",VLOOKUP(B450,Composições!J:M,4,FALSE),IF(MID(B450,1,1)="6",VLOOKUP(B450,transp.!$A$6:$K$35,3,FALSE),VLOOKUP(B450,'DER 11-20'!$A$1:$I$1981,3,FALSE)))</f>
        <v>Ud</v>
      </c>
      <c r="P451" s="350"/>
      <c r="Q451" s="350"/>
      <c r="R451" s="656"/>
      <c r="S451" s="593">
        <f>VLOOKUP("Total",C452:O848,12,FALSE)</f>
        <v>2</v>
      </c>
      <c r="T451" s="593" t="str">
        <f>VLOOKUP("Total",C452:O848,13,FALSE)</f>
        <v>Ud</v>
      </c>
      <c r="U451" s="593"/>
      <c r="V451" s="596"/>
      <c r="W451" s="597"/>
      <c r="X451" s="597"/>
      <c r="Y451" s="597"/>
      <c r="Z451" s="597"/>
      <c r="AA451" s="600"/>
      <c r="AB451" s="598"/>
    </row>
    <row r="452" spans="1:28" s="549" customFormat="1" x14ac:dyDescent="0.2">
      <c r="A452" s="665"/>
      <c r="B452" s="896"/>
      <c r="C452" s="554"/>
      <c r="D452" s="555"/>
      <c r="E452" s="552"/>
      <c r="F452" s="561"/>
      <c r="G452" s="562"/>
      <c r="H452" s="550"/>
      <c r="I452" s="550"/>
      <c r="J452" s="553"/>
      <c r="K452" s="551"/>
      <c r="L452" s="551"/>
      <c r="M452" s="551"/>
      <c r="N452" s="546"/>
      <c r="O452" s="558"/>
      <c r="P452" s="559"/>
      <c r="Q452" s="559"/>
      <c r="R452" s="666"/>
      <c r="S452" s="593">
        <f>VLOOKUP("Total",C453:O849,12,FALSE)</f>
        <v>2</v>
      </c>
      <c r="T452" s="593" t="str">
        <f>VLOOKUP("Total",C453:O849,13,FALSE)</f>
        <v>Ud</v>
      </c>
      <c r="U452" s="593"/>
      <c r="V452" s="596"/>
      <c r="W452" s="597"/>
      <c r="X452" s="597"/>
      <c r="Y452" s="597"/>
      <c r="Z452" s="597"/>
      <c r="AA452" s="600"/>
      <c r="AB452" s="598"/>
    </row>
    <row r="453" spans="1:28" x14ac:dyDescent="0.2">
      <c r="A453" s="668" t="s">
        <v>551</v>
      </c>
      <c r="B453" s="898">
        <v>40674</v>
      </c>
      <c r="C453" s="335" t="str">
        <f>IF(MID(B453,1,2)="LG",VLOOKUP(B453,Composições!J:M,3,FALSE),IF(MID(B453,1,1)="6",VLOOKUP(B453,transp.!$A$4:$K$19,11,FALSE)&amp;" -  XP="&amp;TEXT(T453,"0.000")&amp;" / XR="&amp;TEXT(V453,"0.000"),VLOOKUP(B453,'DER 11-20'!$A$1:$I$1981,2,FALSE)))</f>
        <v>Entrada para descida d'água EDA-02</v>
      </c>
      <c r="D453" s="934" t="s">
        <v>275</v>
      </c>
      <c r="E453" s="935"/>
      <c r="F453" s="936"/>
      <c r="G453" s="934"/>
      <c r="H453" s="935"/>
      <c r="I453" s="936"/>
      <c r="J453" s="337"/>
      <c r="K453" s="725"/>
      <c r="L453" s="728"/>
      <c r="M453" s="765"/>
      <c r="N453" s="728" t="str">
        <f>CONCATENATE("Total (",IF(MID(B453,1,2)="LG",VLOOKUP(B453,'[1]Compos lug'!J:M,4,FALSE),IF(MID(B453,1,1)="6","t",VLOOKUP(B453,'[1]DER 06-16'!$A$1:$I$2000,3,FALSE))),")")</f>
        <v>Total (un)</v>
      </c>
      <c r="O453" s="305"/>
      <c r="P453" s="307"/>
      <c r="Q453" s="307"/>
      <c r="R453" s="664"/>
      <c r="S453" s="593">
        <f>VLOOKUP("Total",C454:O850,12,FALSE)</f>
        <v>2</v>
      </c>
      <c r="T453" s="593" t="str">
        <f>VLOOKUP("Total",C454:O850,13,FALSE)</f>
        <v>Ud</v>
      </c>
      <c r="U453" s="593"/>
      <c r="V453" s="596"/>
      <c r="W453" s="597"/>
      <c r="X453" s="597"/>
      <c r="Y453" s="597"/>
      <c r="Z453" s="597"/>
      <c r="AA453" s="600"/>
      <c r="AB453" s="598"/>
    </row>
    <row r="454" spans="1:28" x14ac:dyDescent="0.2">
      <c r="A454" s="655"/>
      <c r="B454" s="751"/>
      <c r="C454" s="342" t="s">
        <v>2</v>
      </c>
      <c r="D454" s="343"/>
      <c r="E454" s="340"/>
      <c r="F454" s="568"/>
      <c r="G454" s="569"/>
      <c r="H454" s="344"/>
      <c r="I454" s="344"/>
      <c r="J454" s="341"/>
      <c r="K454" s="346"/>
      <c r="L454" s="346"/>
      <c r="M454" s="346"/>
      <c r="N454" s="348">
        <v>2</v>
      </c>
      <c r="O454" s="349" t="str">
        <f>IF(MID(B453,1,2)="LG",VLOOKUP(B453,Composições!J:M,4,FALSE),IF(MID(B453,1,1)="6",VLOOKUP(B453,transp.!$A$6:$K$35,3,FALSE),VLOOKUP(B453,'DER 11-20'!$A$1:$I$1981,3,FALSE)))</f>
        <v>Ud</v>
      </c>
      <c r="P454" s="350"/>
      <c r="Q454" s="350"/>
      <c r="R454" s="656"/>
      <c r="S454" s="593">
        <f>VLOOKUP("Total",C318:O855,12,FALSE)</f>
        <v>131.19</v>
      </c>
      <c r="T454" s="593" t="str">
        <f>VLOOKUP("Total",C318:O855,13,FALSE)</f>
        <v>M3</v>
      </c>
      <c r="U454" s="593"/>
      <c r="V454" s="596"/>
      <c r="W454" s="597"/>
      <c r="X454" s="597"/>
      <c r="Y454" s="597"/>
      <c r="Z454" s="597"/>
      <c r="AA454" s="600"/>
      <c r="AB454" s="598"/>
    </row>
    <row r="455" spans="1:28" s="549" customFormat="1" x14ac:dyDescent="0.2">
      <c r="A455" s="665"/>
      <c r="B455" s="896"/>
      <c r="C455" s="554"/>
      <c r="D455" s="555"/>
      <c r="E455" s="552"/>
      <c r="F455" s="561"/>
      <c r="G455" s="562"/>
      <c r="H455" s="550"/>
      <c r="I455" s="550"/>
      <c r="J455" s="553"/>
      <c r="K455" s="551"/>
      <c r="L455" s="551"/>
      <c r="M455" s="551"/>
      <c r="N455" s="546"/>
      <c r="O455" s="558"/>
      <c r="P455" s="559"/>
      <c r="Q455" s="559"/>
      <c r="R455" s="666"/>
      <c r="S455" s="593">
        <f>VLOOKUP("Total",C456:O730,12,FALSE)</f>
        <v>2833</v>
      </c>
      <c r="T455" s="593" t="str">
        <f>VLOOKUP("Total",C456:O730,13,FALSE)</f>
        <v>M</v>
      </c>
      <c r="U455" s="593"/>
      <c r="V455" s="596"/>
      <c r="W455" s="597"/>
      <c r="X455" s="597"/>
      <c r="Y455" s="597"/>
      <c r="Z455" s="597"/>
      <c r="AA455" s="600"/>
      <c r="AB455" s="598"/>
    </row>
    <row r="456" spans="1:28" ht="25.5" x14ac:dyDescent="0.2">
      <c r="A456" s="668" t="s">
        <v>552</v>
      </c>
      <c r="B456" s="898">
        <v>40659</v>
      </c>
      <c r="C456" s="335" t="str">
        <f>IF(MID(B456,1,2)="LG",VLOOKUP(B456,Composições!J:M,3,FALSE),IF(MID(B456,1,1)="6",VLOOKUP(B456,transp.!$A$4:$K$19,11,FALSE)&amp;" -  XP="&amp;TEXT(T456,"0.000")&amp;" / XR="&amp;TEXT(V456,"0.000"),VLOOKUP(B456,'DER 11-20'!$A$1:$I$1981,2,FALSE)))</f>
        <v>Meio fio sarjeta de concreto tipo DP-1 (0,035 m³/m) inclusive caiação</v>
      </c>
      <c r="D456" s="934" t="s">
        <v>275</v>
      </c>
      <c r="E456" s="935"/>
      <c r="F456" s="936"/>
      <c r="G456" s="934"/>
      <c r="H456" s="935"/>
      <c r="I456" s="936"/>
      <c r="J456" s="337" t="s">
        <v>266</v>
      </c>
      <c r="K456" s="728"/>
      <c r="L456" s="728"/>
      <c r="M456" s="728"/>
      <c r="N456" s="728" t="str">
        <f>CONCATENATE("Total (",IF(MID(B456,1,2)="LG",VLOOKUP(B456,Composições!J:M,4,FALSE),IF(MID(B456,1,1)="6","t",VLOOKUP(B456,'DER 11-20'!$A$1:$I$1981,3,FALSE))),")")</f>
        <v>Total (M)</v>
      </c>
      <c r="O456" s="305"/>
      <c r="P456" s="307"/>
      <c r="Q456" s="307"/>
      <c r="R456" s="664"/>
      <c r="S456" s="593">
        <f>VLOOKUP("Total",C457:O730,12,FALSE)</f>
        <v>2833</v>
      </c>
      <c r="T456" s="593" t="str">
        <f>VLOOKUP("Total",C457:O730,13,FALSE)</f>
        <v>M</v>
      </c>
      <c r="U456" s="593"/>
      <c r="V456" s="596"/>
      <c r="W456" s="597"/>
      <c r="X456" s="597"/>
      <c r="Y456" s="597"/>
      <c r="Z456" s="597"/>
      <c r="AA456" s="600"/>
      <c r="AB456" s="598"/>
    </row>
    <row r="457" spans="1:28" x14ac:dyDescent="0.2">
      <c r="A457" s="655"/>
      <c r="B457" s="751"/>
      <c r="C457" s="342" t="s">
        <v>2</v>
      </c>
      <c r="D457" s="343"/>
      <c r="E457" s="340"/>
      <c r="F457" s="568"/>
      <c r="G457" s="569"/>
      <c r="H457" s="344"/>
      <c r="I457" s="344"/>
      <c r="J457" s="341"/>
      <c r="K457" s="346"/>
      <c r="L457" s="346"/>
      <c r="M457" s="346"/>
      <c r="N457" s="348">
        <v>2833</v>
      </c>
      <c r="O457" s="349" t="str">
        <f>IF(MID(B456,1,2)="LG",VLOOKUP(B456,Composições!J:M,4,FALSE),IF(MID(B456,1,1)="6",VLOOKUP(B456,transp.!$A$6:$K$35,3,FALSE),VLOOKUP(B456,'DER 11-20'!$A$1:$I$1981,3,FALSE)))</f>
        <v>M</v>
      </c>
      <c r="P457" s="350"/>
      <c r="Q457" s="350"/>
      <c r="R457" s="656"/>
      <c r="S457" s="593">
        <f>VLOOKUP("Total",C464:O730,12,FALSE)</f>
        <v>542</v>
      </c>
      <c r="T457" s="593" t="str">
        <f>VLOOKUP("Total",C464:O730,13,FALSE)</f>
        <v>M</v>
      </c>
      <c r="U457" s="593"/>
      <c r="V457" s="596"/>
      <c r="W457" s="597"/>
      <c r="X457" s="597"/>
      <c r="Y457" s="597"/>
      <c r="Z457" s="597"/>
      <c r="AA457" s="600"/>
      <c r="AB457" s="598"/>
    </row>
    <row r="458" spans="1:28" s="549" customFormat="1" x14ac:dyDescent="0.2">
      <c r="A458" s="665"/>
      <c r="B458" s="896"/>
      <c r="C458" s="554"/>
      <c r="D458" s="555"/>
      <c r="E458" s="552"/>
      <c r="F458" s="561"/>
      <c r="G458" s="562"/>
      <c r="H458" s="550"/>
      <c r="I458" s="550"/>
      <c r="J458" s="553"/>
      <c r="K458" s="551"/>
      <c r="L458" s="551"/>
      <c r="M458" s="551"/>
      <c r="N458" s="546"/>
      <c r="O458" s="558"/>
      <c r="P458" s="559"/>
      <c r="Q458" s="559"/>
      <c r="R458" s="666"/>
      <c r="S458" s="593">
        <f>VLOOKUP("Total",C459:O724,12,FALSE)</f>
        <v>670</v>
      </c>
      <c r="T458" s="593" t="str">
        <f>VLOOKUP("Total",C459:O724,13,FALSE)</f>
        <v>M</v>
      </c>
      <c r="U458" s="593"/>
      <c r="V458" s="596"/>
      <c r="W458" s="597"/>
      <c r="X458" s="597"/>
      <c r="Y458" s="597"/>
      <c r="Z458" s="597"/>
      <c r="AA458" s="600"/>
      <c r="AB458" s="598"/>
    </row>
    <row r="459" spans="1:28" x14ac:dyDescent="0.2">
      <c r="A459" s="668" t="s">
        <v>553</v>
      </c>
      <c r="B459" s="898" t="s">
        <v>676</v>
      </c>
      <c r="C459" s="335" t="s">
        <v>558</v>
      </c>
      <c r="D459" s="934" t="s">
        <v>275</v>
      </c>
      <c r="E459" s="935"/>
      <c r="F459" s="936"/>
      <c r="G459" s="934"/>
      <c r="H459" s="935"/>
      <c r="I459" s="936"/>
      <c r="J459" s="337" t="s">
        <v>266</v>
      </c>
      <c r="K459" s="728"/>
      <c r="L459" s="728"/>
      <c r="M459" s="728"/>
      <c r="N459" s="728" t="s">
        <v>559</v>
      </c>
      <c r="O459" s="305"/>
      <c r="P459" s="307"/>
      <c r="Q459" s="307"/>
      <c r="R459" s="664"/>
      <c r="S459" s="593">
        <f>VLOOKUP("Total",C460:O724,12,FALSE)</f>
        <v>670</v>
      </c>
      <c r="T459" s="593" t="str">
        <f>VLOOKUP("Total",C460:O724,13,FALSE)</f>
        <v>M</v>
      </c>
      <c r="U459" s="593"/>
      <c r="V459" s="596"/>
      <c r="W459" s="597"/>
      <c r="X459" s="597"/>
      <c r="Y459" s="597"/>
      <c r="Z459" s="597"/>
      <c r="AA459" s="600"/>
      <c r="AB459" s="598"/>
    </row>
    <row r="460" spans="1:28" x14ac:dyDescent="0.2">
      <c r="A460" s="655"/>
      <c r="B460" s="751"/>
      <c r="C460" s="342" t="s">
        <v>2</v>
      </c>
      <c r="D460" s="343"/>
      <c r="E460" s="340"/>
      <c r="F460" s="568"/>
      <c r="G460" s="569"/>
      <c r="H460" s="344"/>
      <c r="I460" s="344"/>
      <c r="J460" s="341"/>
      <c r="K460" s="346"/>
      <c r="L460" s="346"/>
      <c r="M460" s="346"/>
      <c r="N460" s="348">
        <v>670</v>
      </c>
      <c r="O460" s="349" t="s">
        <v>397</v>
      </c>
      <c r="P460" s="350"/>
      <c r="Q460" s="350"/>
      <c r="R460" s="656"/>
      <c r="S460" s="593">
        <f>VLOOKUP("Total",C464:O724,12,FALSE)</f>
        <v>542</v>
      </c>
      <c r="T460" s="593" t="str">
        <f>VLOOKUP("Total",C464:O724,13,FALSE)</f>
        <v>M</v>
      </c>
      <c r="U460" s="593"/>
      <c r="V460" s="596"/>
      <c r="W460" s="597"/>
      <c r="X460" s="597"/>
      <c r="Y460" s="597"/>
      <c r="Z460" s="597"/>
      <c r="AA460" s="600"/>
      <c r="AB460" s="598"/>
    </row>
    <row r="461" spans="1:28" s="549" customFormat="1" x14ac:dyDescent="0.2">
      <c r="A461" s="665"/>
      <c r="B461" s="896"/>
      <c r="C461" s="554"/>
      <c r="D461" s="555"/>
      <c r="E461" s="552"/>
      <c r="F461" s="561"/>
      <c r="G461" s="562"/>
      <c r="H461" s="550"/>
      <c r="I461" s="550"/>
      <c r="J461" s="553"/>
      <c r="K461" s="551"/>
      <c r="L461" s="551"/>
      <c r="M461" s="551"/>
      <c r="N461" s="546"/>
      <c r="O461" s="558"/>
      <c r="P461" s="559"/>
      <c r="Q461" s="559"/>
      <c r="R461" s="666"/>
      <c r="S461" s="593">
        <f>VLOOKUP("Total",C462:O727,12,FALSE)</f>
        <v>82</v>
      </c>
      <c r="T461" s="593" t="str">
        <f>VLOOKUP("Total",C462:O727,13,FALSE)</f>
        <v>M</v>
      </c>
      <c r="U461" s="593"/>
      <c r="V461" s="596"/>
      <c r="W461" s="597"/>
      <c r="X461" s="597"/>
      <c r="Y461" s="597"/>
      <c r="Z461" s="597"/>
      <c r="AA461" s="600"/>
      <c r="AB461" s="598"/>
    </row>
    <row r="462" spans="1:28" x14ac:dyDescent="0.2">
      <c r="A462" s="668" t="s">
        <v>554</v>
      </c>
      <c r="B462" s="898" t="s">
        <v>677</v>
      </c>
      <c r="C462" s="335" t="s">
        <v>560</v>
      </c>
      <c r="D462" s="934" t="s">
        <v>275</v>
      </c>
      <c r="E462" s="935"/>
      <c r="F462" s="936"/>
      <c r="G462" s="934"/>
      <c r="H462" s="935"/>
      <c r="I462" s="936"/>
      <c r="J462" s="337" t="s">
        <v>266</v>
      </c>
      <c r="K462" s="728"/>
      <c r="L462" s="728"/>
      <c r="M462" s="728"/>
      <c r="N462" s="728" t="s">
        <v>559</v>
      </c>
      <c r="O462" s="305"/>
      <c r="P462" s="307"/>
      <c r="Q462" s="307"/>
      <c r="R462" s="664"/>
      <c r="S462" s="593">
        <f>VLOOKUP("Total",C463:O727,12,FALSE)</f>
        <v>82</v>
      </c>
      <c r="T462" s="593" t="str">
        <f>VLOOKUP("Total",C463:O727,13,FALSE)</f>
        <v>M</v>
      </c>
      <c r="U462" s="593"/>
      <c r="V462" s="596"/>
      <c r="W462" s="597"/>
      <c r="X462" s="597"/>
      <c r="Y462" s="597"/>
      <c r="Z462" s="597"/>
      <c r="AA462" s="600"/>
      <c r="AB462" s="598"/>
    </row>
    <row r="463" spans="1:28" x14ac:dyDescent="0.2">
      <c r="A463" s="655"/>
      <c r="B463" s="751"/>
      <c r="C463" s="342" t="s">
        <v>2</v>
      </c>
      <c r="D463" s="343"/>
      <c r="E463" s="340"/>
      <c r="F463" s="568"/>
      <c r="G463" s="569"/>
      <c r="H463" s="344"/>
      <c r="I463" s="344"/>
      <c r="J463" s="341"/>
      <c r="K463" s="346"/>
      <c r="L463" s="346"/>
      <c r="M463" s="346"/>
      <c r="N463" s="348">
        <v>82</v>
      </c>
      <c r="O463" s="349" t="s">
        <v>397</v>
      </c>
      <c r="P463" s="350"/>
      <c r="Q463" s="350"/>
      <c r="R463" s="656"/>
      <c r="S463" s="593">
        <f>VLOOKUP("Total",C467:O727,12,FALSE)</f>
        <v>2797</v>
      </c>
      <c r="T463" s="593" t="str">
        <f>VLOOKUP("Total",C467:O727,13,FALSE)</f>
        <v>M</v>
      </c>
      <c r="U463" s="593"/>
      <c r="V463" s="596"/>
      <c r="W463" s="597"/>
      <c r="X463" s="597"/>
      <c r="Y463" s="597"/>
      <c r="Z463" s="597"/>
      <c r="AA463" s="600"/>
      <c r="AB463" s="598"/>
    </row>
    <row r="464" spans="1:28" s="549" customFormat="1" x14ac:dyDescent="0.2">
      <c r="A464" s="665"/>
      <c r="B464" s="896"/>
      <c r="C464" s="554"/>
      <c r="D464" s="555"/>
      <c r="E464" s="552"/>
      <c r="F464" s="561"/>
      <c r="G464" s="562"/>
      <c r="H464" s="550"/>
      <c r="I464" s="550"/>
      <c r="J464" s="553"/>
      <c r="K464" s="551"/>
      <c r="L464" s="551"/>
      <c r="M464" s="551"/>
      <c r="N464" s="546" t="s">
        <v>436</v>
      </c>
      <c r="O464" s="558"/>
      <c r="P464" s="559"/>
      <c r="Q464" s="559"/>
      <c r="R464" s="666"/>
      <c r="S464" s="593">
        <f>VLOOKUP("Total",C465:O730,12,FALSE)</f>
        <v>542</v>
      </c>
      <c r="T464" s="593" t="str">
        <f>VLOOKUP("Total",C465:O730,13,FALSE)</f>
        <v>M</v>
      </c>
      <c r="U464" s="593"/>
      <c r="V464" s="596"/>
      <c r="W464" s="597"/>
      <c r="X464" s="597"/>
      <c r="Y464" s="597"/>
      <c r="Z464" s="597"/>
      <c r="AA464" s="600"/>
      <c r="AB464" s="598"/>
    </row>
    <row r="465" spans="1:28" x14ac:dyDescent="0.2">
      <c r="A465" s="668" t="s">
        <v>555</v>
      </c>
      <c r="B465" s="898">
        <v>40662</v>
      </c>
      <c r="C465" s="335" t="str">
        <f>IF(MID(B465,1,2)="LG",VLOOKUP(B465,Composições!J:M,3,FALSE),IF(MID(B465,1,1)="6",VLOOKUP(B465,transp.!$A$4:$K$19,11,FALSE)&amp;" -  XP="&amp;TEXT(T465,"0.000")&amp;" / XR="&amp;TEXT(V465,"0.000"),VLOOKUP(B465,'DER 11-20'!$A$1:$I$1981,2,FALSE)))</f>
        <v>Meio fio de concreto MFC 05, inclusive caiação</v>
      </c>
      <c r="D465" s="934" t="s">
        <v>275</v>
      </c>
      <c r="E465" s="935"/>
      <c r="F465" s="936"/>
      <c r="G465" s="934"/>
      <c r="H465" s="935"/>
      <c r="I465" s="936"/>
      <c r="J465" s="337" t="s">
        <v>266</v>
      </c>
      <c r="K465" s="728"/>
      <c r="L465" s="728"/>
      <c r="M465" s="728"/>
      <c r="N465" s="728" t="str">
        <f>CONCATENATE("Total (",IF(MID(B465,1,2)="LG",VLOOKUP(B465,Composições!J:M,4,FALSE),IF(MID(B465,1,1)="6","t",VLOOKUP(B465,'DER 11-20'!$A$1:$I$1981,3,FALSE))),")")</f>
        <v>Total (M)</v>
      </c>
      <c r="O465" s="305"/>
      <c r="P465" s="307"/>
      <c r="Q465" s="307"/>
      <c r="R465" s="664"/>
      <c r="S465" s="593">
        <f>VLOOKUP("Total",C466:O730,12,FALSE)</f>
        <v>542</v>
      </c>
      <c r="T465" s="593" t="str">
        <f>VLOOKUP("Total",C466:O730,13,FALSE)</f>
        <v>M</v>
      </c>
      <c r="U465" s="593"/>
      <c r="V465" s="596"/>
      <c r="W465" s="597"/>
      <c r="X465" s="597"/>
      <c r="Y465" s="597"/>
      <c r="Z465" s="597"/>
      <c r="AA465" s="600"/>
      <c r="AB465" s="598"/>
    </row>
    <row r="466" spans="1:28" x14ac:dyDescent="0.2">
      <c r="A466" s="655"/>
      <c r="B466" s="751"/>
      <c r="C466" s="342" t="s">
        <v>2</v>
      </c>
      <c r="D466" s="343"/>
      <c r="E466" s="340"/>
      <c r="F466" s="568"/>
      <c r="G466" s="569"/>
      <c r="H466" s="344"/>
      <c r="I466" s="344"/>
      <c r="J466" s="341"/>
      <c r="K466" s="346"/>
      <c r="L466" s="346"/>
      <c r="M466" s="346"/>
      <c r="N466" s="348">
        <v>542</v>
      </c>
      <c r="O466" s="349" t="str">
        <f>IF(MID(B465,1,2)="LG",VLOOKUP(B465,Composições!J:M,4,FALSE),IF(MID(B465,1,1)="6",VLOOKUP(B465,transp.!$A$6:$K$35,3,FALSE),VLOOKUP(B465,'DER 11-20'!$A$1:$I$1981,3,FALSE)))</f>
        <v>M</v>
      </c>
      <c r="P466" s="350"/>
      <c r="Q466" s="350"/>
      <c r="R466" s="656"/>
      <c r="S466" s="593">
        <f>VLOOKUP("Total",C467:O730,12,FALSE)</f>
        <v>2797</v>
      </c>
      <c r="T466" s="593" t="str">
        <f>VLOOKUP("Total",C467:O730,13,FALSE)</f>
        <v>M</v>
      </c>
      <c r="U466" s="593"/>
      <c r="V466" s="596"/>
      <c r="W466" s="597"/>
      <c r="X466" s="597"/>
      <c r="Y466" s="597"/>
      <c r="Z466" s="597"/>
      <c r="AA466" s="600"/>
      <c r="AB466" s="598"/>
    </row>
    <row r="467" spans="1:28" s="549" customFormat="1" x14ac:dyDescent="0.2">
      <c r="A467" s="665"/>
      <c r="B467" s="896"/>
      <c r="C467" s="554"/>
      <c r="D467" s="555"/>
      <c r="E467" s="552"/>
      <c r="F467" s="561"/>
      <c r="G467" s="562"/>
      <c r="H467" s="550"/>
      <c r="I467" s="550"/>
      <c r="J467" s="553"/>
      <c r="K467" s="551"/>
      <c r="L467" s="551"/>
      <c r="M467" s="551"/>
      <c r="N467" s="546"/>
      <c r="O467" s="558"/>
      <c r="P467" s="559"/>
      <c r="Q467" s="559"/>
      <c r="R467" s="666"/>
      <c r="S467" s="593">
        <f>VLOOKUP("Total",C468:O730,12,FALSE)</f>
        <v>2797</v>
      </c>
      <c r="T467" s="593" t="str">
        <f>VLOOKUP("Total",C468:O730,13,FALSE)</f>
        <v>M</v>
      </c>
      <c r="U467" s="593"/>
      <c r="V467" s="596"/>
      <c r="W467" s="597"/>
      <c r="X467" s="597"/>
      <c r="Y467" s="597"/>
      <c r="Z467" s="597"/>
      <c r="AA467" s="600"/>
      <c r="AB467" s="598"/>
    </row>
    <row r="468" spans="1:28" ht="25.5" x14ac:dyDescent="0.2">
      <c r="A468" s="668" t="s">
        <v>556</v>
      </c>
      <c r="B468" s="898">
        <v>40666</v>
      </c>
      <c r="C468" s="335" t="str">
        <f>IF(MID(B468,1,2)="LG",VLOOKUP(B468,Composições!J:M,3,FALSE),IF(MID(B468,1,1)="6",VLOOKUP(B468,transp.!$A$4:$K$19,11,FALSE)&amp;" -  XP="&amp;TEXT(T468,"0.000")&amp;" / XR="&amp;TEXT(V468,"0.000"),VLOOKUP(B468,'DER 11-20'!$A$1:$I$1981,2,FALSE)))</f>
        <v>Sarjeta de concreto DP-1 (0,081 m³/m) calha triangular, inclusive caiação</v>
      </c>
      <c r="D468" s="934" t="s">
        <v>275</v>
      </c>
      <c r="E468" s="935"/>
      <c r="F468" s="936"/>
      <c r="G468" s="934"/>
      <c r="H468" s="935"/>
      <c r="I468" s="936"/>
      <c r="J468" s="337" t="s">
        <v>266</v>
      </c>
      <c r="K468" s="728"/>
      <c r="L468" s="728"/>
      <c r="M468" s="728"/>
      <c r="N468" s="728" t="str">
        <f>CONCATENATE("Total (",IF(MID(B468,1,2)="LG",VLOOKUP(B468,Composições!J:M,4,FALSE),IF(MID(B468,1,1)="6","t",VLOOKUP(B468,'DER 11-20'!$A$1:$I$1981,3,FALSE))),")")</f>
        <v>Total (M)</v>
      </c>
      <c r="O468" s="305"/>
      <c r="P468" s="307"/>
      <c r="Q468" s="307"/>
      <c r="R468" s="664"/>
      <c r="S468" s="593">
        <f>VLOOKUP("Total",C469:O730,12,FALSE)</f>
        <v>2797</v>
      </c>
      <c r="T468" s="593" t="str">
        <f>VLOOKUP("Total",C469:O730,13,FALSE)</f>
        <v>M</v>
      </c>
      <c r="U468" s="593"/>
      <c r="V468" s="596"/>
      <c r="W468" s="597"/>
      <c r="X468" s="597"/>
      <c r="Y468" s="597"/>
      <c r="Z468" s="597"/>
      <c r="AA468" s="600"/>
      <c r="AB468" s="598"/>
    </row>
    <row r="469" spans="1:28" x14ac:dyDescent="0.2">
      <c r="A469" s="655"/>
      <c r="B469" s="751"/>
      <c r="C469" s="342" t="s">
        <v>2</v>
      </c>
      <c r="D469" s="343"/>
      <c r="E469" s="340"/>
      <c r="F469" s="568"/>
      <c r="G469" s="569"/>
      <c r="H469" s="344"/>
      <c r="I469" s="344"/>
      <c r="J469" s="341"/>
      <c r="K469" s="346"/>
      <c r="L469" s="346"/>
      <c r="M469" s="346"/>
      <c r="N469" s="348">
        <v>2797</v>
      </c>
      <c r="O469" s="349" t="str">
        <f>IF(MID(B468,1,2)="LG",VLOOKUP(B468,Composições!J:M,4,FALSE),IF(MID(B468,1,1)="6",VLOOKUP(B468,transp.!$A$6:$K$35,3,FALSE),VLOOKUP(B468,'DER 11-20'!$A$1:$I$1981,3,FALSE)))</f>
        <v>M</v>
      </c>
      <c r="P469" s="350"/>
      <c r="Q469" s="350"/>
      <c r="R469" s="656"/>
      <c r="S469" s="593">
        <f>VLOOKUP("Total",C476:O730,12,FALSE)</f>
        <v>5</v>
      </c>
      <c r="T469" s="593" t="str">
        <f>VLOOKUP("Total",C476:O730,13,FALSE)</f>
        <v>Ud</v>
      </c>
      <c r="U469" s="593"/>
      <c r="V469" s="596"/>
      <c r="W469" s="597"/>
      <c r="X469" s="597"/>
      <c r="Y469" s="597"/>
      <c r="Z469" s="597"/>
      <c r="AA469" s="600"/>
      <c r="AB469" s="598"/>
    </row>
    <row r="470" spans="1:28" s="549" customFormat="1" x14ac:dyDescent="0.2">
      <c r="A470" s="665"/>
      <c r="B470" s="896"/>
      <c r="C470" s="554"/>
      <c r="D470" s="555"/>
      <c r="E470" s="552"/>
      <c r="F470" s="561"/>
      <c r="G470" s="562"/>
      <c r="H470" s="550"/>
      <c r="I470" s="550"/>
      <c r="J470" s="553"/>
      <c r="K470" s="551"/>
      <c r="L470" s="551"/>
      <c r="M470" s="551"/>
      <c r="N470" s="546"/>
      <c r="O470" s="558"/>
      <c r="P470" s="559"/>
      <c r="Q470" s="559"/>
      <c r="R470" s="666"/>
      <c r="S470" s="593">
        <f>VLOOKUP("Total",C471:O736,12,FALSE)</f>
        <v>220</v>
      </c>
      <c r="T470" s="593" t="str">
        <f>VLOOKUP("Total",C471:O736,13,FALSE)</f>
        <v>M</v>
      </c>
      <c r="U470" s="593"/>
      <c r="V470" s="596"/>
      <c r="W470" s="597"/>
      <c r="X470" s="597"/>
      <c r="Y470" s="597"/>
      <c r="Z470" s="597"/>
      <c r="AA470" s="600"/>
      <c r="AB470" s="598"/>
    </row>
    <row r="471" spans="1:28" ht="25.5" x14ac:dyDescent="0.2">
      <c r="A471" s="668" t="s">
        <v>557</v>
      </c>
      <c r="B471" s="898" t="s">
        <v>678</v>
      </c>
      <c r="C471" s="335" t="s">
        <v>562</v>
      </c>
      <c r="D471" s="934" t="s">
        <v>275</v>
      </c>
      <c r="E471" s="935"/>
      <c r="F471" s="936"/>
      <c r="G471" s="934"/>
      <c r="H471" s="935"/>
      <c r="I471" s="936"/>
      <c r="J471" s="337" t="s">
        <v>266</v>
      </c>
      <c r="K471" s="728"/>
      <c r="L471" s="728"/>
      <c r="M471" s="728"/>
      <c r="N471" s="728" t="s">
        <v>559</v>
      </c>
      <c r="O471" s="305"/>
      <c r="P471" s="307"/>
      <c r="Q471" s="307"/>
      <c r="R471" s="664"/>
      <c r="S471" s="593">
        <f>VLOOKUP("Total",C472:O736,12,FALSE)</f>
        <v>220</v>
      </c>
      <c r="T471" s="593" t="str">
        <f>VLOOKUP("Total",C472:O736,13,FALSE)</f>
        <v>M</v>
      </c>
      <c r="U471" s="593"/>
      <c r="V471" s="596"/>
      <c r="W471" s="597"/>
      <c r="X471" s="597"/>
      <c r="Y471" s="597"/>
      <c r="Z471" s="597"/>
      <c r="AA471" s="600"/>
      <c r="AB471" s="598"/>
    </row>
    <row r="472" spans="1:28" x14ac:dyDescent="0.2">
      <c r="A472" s="655"/>
      <c r="B472" s="751"/>
      <c r="C472" s="342" t="s">
        <v>2</v>
      </c>
      <c r="D472" s="343"/>
      <c r="E472" s="340"/>
      <c r="F472" s="568"/>
      <c r="G472" s="569"/>
      <c r="H472" s="344"/>
      <c r="I472" s="344"/>
      <c r="J472" s="341"/>
      <c r="K472" s="346"/>
      <c r="L472" s="346"/>
      <c r="M472" s="346"/>
      <c r="N472" s="348">
        <v>220</v>
      </c>
      <c r="O472" s="349" t="s">
        <v>397</v>
      </c>
      <c r="P472" s="350"/>
      <c r="Q472" s="350"/>
      <c r="R472" s="656"/>
      <c r="S472" s="593">
        <f>VLOOKUP("Total",C476:O736,12,FALSE)</f>
        <v>5</v>
      </c>
      <c r="T472" s="593" t="str">
        <f>VLOOKUP("Total",C476:O736,13,FALSE)</f>
        <v>Ud</v>
      </c>
      <c r="U472" s="593"/>
      <c r="V472" s="596"/>
      <c r="W472" s="597"/>
      <c r="X472" s="597"/>
      <c r="Y472" s="597"/>
      <c r="Z472" s="597"/>
      <c r="AA472" s="600"/>
      <c r="AB472" s="598"/>
    </row>
    <row r="473" spans="1:28" s="549" customFormat="1" x14ac:dyDescent="0.2">
      <c r="A473" s="665"/>
      <c r="B473" s="896"/>
      <c r="C473" s="554"/>
      <c r="D473" s="555"/>
      <c r="E473" s="552"/>
      <c r="F473" s="561"/>
      <c r="G473" s="562"/>
      <c r="H473" s="550"/>
      <c r="I473" s="550"/>
      <c r="J473" s="553"/>
      <c r="K473" s="551"/>
      <c r="L473" s="551"/>
      <c r="M473" s="551"/>
      <c r="N473" s="546"/>
      <c r="O473" s="558"/>
      <c r="P473" s="559"/>
      <c r="Q473" s="559"/>
      <c r="R473" s="666"/>
      <c r="S473" s="593">
        <f>VLOOKUP("Total",C474:O739,12,FALSE)</f>
        <v>18</v>
      </c>
      <c r="T473" s="593" t="str">
        <f>VLOOKUP("Total",C474:O739,13,FALSE)</f>
        <v>M</v>
      </c>
      <c r="U473" s="593"/>
      <c r="V473" s="596"/>
      <c r="W473" s="597"/>
      <c r="X473" s="597"/>
      <c r="Y473" s="597"/>
      <c r="Z473" s="597"/>
      <c r="AA473" s="600"/>
      <c r="AB473" s="598"/>
    </row>
    <row r="474" spans="1:28" x14ac:dyDescent="0.2">
      <c r="A474" s="668" t="s">
        <v>561</v>
      </c>
      <c r="B474" s="898" t="s">
        <v>679</v>
      </c>
      <c r="C474" s="335" t="s">
        <v>652</v>
      </c>
      <c r="D474" s="934" t="s">
        <v>275</v>
      </c>
      <c r="E474" s="935"/>
      <c r="F474" s="936"/>
      <c r="G474" s="934"/>
      <c r="H474" s="935"/>
      <c r="I474" s="936"/>
      <c r="J474" s="337" t="s">
        <v>266</v>
      </c>
      <c r="K474" s="728"/>
      <c r="L474" s="728"/>
      <c r="M474" s="728"/>
      <c r="N474" s="728" t="s">
        <v>559</v>
      </c>
      <c r="O474" s="305"/>
      <c r="P474" s="307"/>
      <c r="Q474" s="307"/>
      <c r="R474" s="664"/>
      <c r="S474" s="593">
        <f>VLOOKUP("Total",C475:O739,12,FALSE)</f>
        <v>18</v>
      </c>
      <c r="T474" s="593" t="str">
        <f>VLOOKUP("Total",C475:O739,13,FALSE)</f>
        <v>M</v>
      </c>
      <c r="U474" s="593"/>
      <c r="V474" s="596"/>
      <c r="W474" s="597"/>
      <c r="X474" s="597"/>
      <c r="Y474" s="597"/>
      <c r="Z474" s="597"/>
      <c r="AA474" s="600"/>
      <c r="AB474" s="598"/>
    </row>
    <row r="475" spans="1:28" x14ac:dyDescent="0.2">
      <c r="A475" s="655"/>
      <c r="B475" s="751"/>
      <c r="C475" s="342" t="s">
        <v>2</v>
      </c>
      <c r="D475" s="343"/>
      <c r="E475" s="340"/>
      <c r="F475" s="568"/>
      <c r="G475" s="569"/>
      <c r="H475" s="344"/>
      <c r="I475" s="344"/>
      <c r="J475" s="341"/>
      <c r="K475" s="346"/>
      <c r="L475" s="346"/>
      <c r="M475" s="346"/>
      <c r="N475" s="348">
        <v>18</v>
      </c>
      <c r="O475" s="349" t="s">
        <v>397</v>
      </c>
      <c r="P475" s="350"/>
      <c r="Q475" s="350"/>
      <c r="R475" s="656"/>
      <c r="S475" s="593">
        <f>VLOOKUP("Total",C479:O739,12,FALSE)</f>
        <v>12</v>
      </c>
      <c r="T475" s="593" t="str">
        <f>VLOOKUP("Total",C479:O739,13,FALSE)</f>
        <v>Ud</v>
      </c>
      <c r="U475" s="593"/>
      <c r="V475" s="596"/>
      <c r="W475" s="597"/>
      <c r="X475" s="597"/>
      <c r="Y475" s="597"/>
      <c r="Z475" s="597"/>
      <c r="AA475" s="600"/>
      <c r="AB475" s="598"/>
    </row>
    <row r="476" spans="1:28" s="549" customFormat="1" x14ac:dyDescent="0.2">
      <c r="A476" s="665"/>
      <c r="B476" s="896"/>
      <c r="C476" s="554"/>
      <c r="D476" s="555"/>
      <c r="E476" s="552"/>
      <c r="F476" s="561"/>
      <c r="G476" s="562"/>
      <c r="H476" s="550"/>
      <c r="I476" s="550"/>
      <c r="J476" s="553"/>
      <c r="K476" s="551"/>
      <c r="L476" s="551"/>
      <c r="M476" s="551"/>
      <c r="N476" s="546"/>
      <c r="O476" s="558"/>
      <c r="P476" s="559"/>
      <c r="Q476" s="559"/>
      <c r="R476" s="666"/>
      <c r="S476" s="593">
        <f>VLOOKUP("Total",C477:O730,12,FALSE)</f>
        <v>5</v>
      </c>
      <c r="T476" s="593" t="str">
        <f>VLOOKUP("Total",C477:O730,13,FALSE)</f>
        <v>Ud</v>
      </c>
      <c r="U476" s="593"/>
      <c r="V476" s="596"/>
      <c r="W476" s="597"/>
      <c r="X476" s="597"/>
      <c r="Y476" s="597"/>
      <c r="Z476" s="597"/>
      <c r="AA476" s="600"/>
      <c r="AB476" s="598"/>
    </row>
    <row r="477" spans="1:28" x14ac:dyDescent="0.2">
      <c r="A477" s="668" t="s">
        <v>563</v>
      </c>
      <c r="B477" s="898">
        <v>40689</v>
      </c>
      <c r="C477" s="335" t="str">
        <f>IF(MID(B477,1,2)="LG",VLOOKUP(B477,Composições!J:M,3,FALSE),IF(MID(B477,1,1)="6",VLOOKUP(B477,transp.!$A$4:$K$19,11,FALSE)&amp;" -  XP="&amp;TEXT(T477,"0.000")&amp;" / XR="&amp;TEXT(V477,"0.000"),VLOOKUP(B477,'DER 11-20'!$A$1:$I$1981,2,FALSE)))</f>
        <v>Saída d'água concreto p/ corte c/ caiação (SDC-01)</v>
      </c>
      <c r="D477" s="934" t="s">
        <v>275</v>
      </c>
      <c r="E477" s="935"/>
      <c r="F477" s="936"/>
      <c r="G477" s="934"/>
      <c r="H477" s="935"/>
      <c r="I477" s="936"/>
      <c r="J477" s="337" t="s">
        <v>266</v>
      </c>
      <c r="K477" s="728"/>
      <c r="L477" s="728"/>
      <c r="M477" s="728"/>
      <c r="N477" s="728" t="str">
        <f>CONCATENATE("Total (",IF(MID(B477,1,2)="LG",VLOOKUP(B477,Composições!J:M,4,FALSE),IF(MID(B477,1,1)="6","t",VLOOKUP(B477,'DER 11-20'!$A$1:$I$1981,3,FALSE))),")")</f>
        <v>Total (Ud)</v>
      </c>
      <c r="O477" s="305"/>
      <c r="P477" s="307"/>
      <c r="Q477" s="307"/>
      <c r="R477" s="664"/>
      <c r="S477" s="593">
        <f>VLOOKUP("Total",C478:O730,12,FALSE)</f>
        <v>5</v>
      </c>
      <c r="T477" s="593" t="str">
        <f>VLOOKUP("Total",C478:O730,13,FALSE)</f>
        <v>Ud</v>
      </c>
      <c r="U477" s="593"/>
      <c r="V477" s="596"/>
      <c r="W477" s="597"/>
      <c r="X477" s="597"/>
      <c r="Y477" s="597"/>
      <c r="Z477" s="597"/>
      <c r="AA477" s="600"/>
      <c r="AB477" s="598"/>
    </row>
    <row r="478" spans="1:28" x14ac:dyDescent="0.2">
      <c r="A478" s="655"/>
      <c r="B478" s="751"/>
      <c r="C478" s="342" t="s">
        <v>2</v>
      </c>
      <c r="D478" s="343"/>
      <c r="E478" s="340"/>
      <c r="F478" s="568"/>
      <c r="G478" s="569"/>
      <c r="H478" s="344"/>
      <c r="I478" s="344"/>
      <c r="J478" s="341"/>
      <c r="K478" s="346"/>
      <c r="L478" s="346"/>
      <c r="M478" s="346"/>
      <c r="N478" s="348">
        <v>5</v>
      </c>
      <c r="O478" s="349" t="str">
        <f>IF(MID(B477,1,2)="LG",VLOOKUP(B477,Composições!J:M,4,FALSE),IF(MID(B477,1,1)="6",VLOOKUP(B477,transp.!$A$6:$K$35,3,FALSE),VLOOKUP(B477,'DER 11-20'!$A$1:$I$1981,3,FALSE)))</f>
        <v>Ud</v>
      </c>
      <c r="P478" s="350"/>
      <c r="Q478" s="350"/>
      <c r="R478" s="656"/>
      <c r="S478" s="593">
        <f>VLOOKUP("Total",C479:O730,12,FALSE)</f>
        <v>12</v>
      </c>
      <c r="T478" s="593" t="str">
        <f>VLOOKUP("Total",C479:O730,13,FALSE)</f>
        <v>Ud</v>
      </c>
      <c r="U478" s="593"/>
      <c r="V478" s="596"/>
      <c r="W478" s="597"/>
      <c r="X478" s="597"/>
      <c r="Y478" s="597"/>
      <c r="Z478" s="597"/>
      <c r="AA478" s="600"/>
      <c r="AB478" s="598"/>
    </row>
    <row r="479" spans="1:28" s="549" customFormat="1" x14ac:dyDescent="0.2">
      <c r="A479" s="665"/>
      <c r="B479" s="896"/>
      <c r="C479" s="554"/>
      <c r="D479" s="555"/>
      <c r="E479" s="552"/>
      <c r="F479" s="561"/>
      <c r="G479" s="562"/>
      <c r="H479" s="550"/>
      <c r="I479" s="550"/>
      <c r="J479" s="553"/>
      <c r="K479" s="551"/>
      <c r="L479" s="551"/>
      <c r="M479" s="551"/>
      <c r="N479" s="546"/>
      <c r="O479" s="558"/>
      <c r="P479" s="559"/>
      <c r="Q479" s="559"/>
      <c r="R479" s="666"/>
      <c r="S479" s="593">
        <f>VLOOKUP("Total",C480:O730,12,FALSE)</f>
        <v>12</v>
      </c>
      <c r="T479" s="593" t="str">
        <f>VLOOKUP("Total",C480:O730,13,FALSE)</f>
        <v>Ud</v>
      </c>
      <c r="U479" s="593"/>
      <c r="V479" s="596"/>
      <c r="W479" s="597"/>
      <c r="X479" s="597"/>
      <c r="Y479" s="597"/>
      <c r="Z479" s="597"/>
      <c r="AA479" s="600"/>
      <c r="AB479" s="598"/>
    </row>
    <row r="480" spans="1:28" x14ac:dyDescent="0.2">
      <c r="A480" s="668" t="s">
        <v>564</v>
      </c>
      <c r="B480" s="898">
        <v>40731</v>
      </c>
      <c r="C480" s="335" t="str">
        <f>IF(MID(B480,1,2)="LG",VLOOKUP(B480,Composições!J:M,3,FALSE),IF(MID(B480,1,1)="6",VLOOKUP(B480,transp.!$A$4:$K$19,11,FALSE)&amp;" -  XP="&amp;TEXT(T480,"0.000")&amp;" / XR="&amp;TEXT(V480,"0.000"),VLOOKUP(B480,'DER 11-20'!$A$1:$I$1981,2,FALSE)))</f>
        <v>Dissipador de energia aplicado a saída de sarjeta/valeta (DES-03)</v>
      </c>
      <c r="D480" s="934" t="s">
        <v>275</v>
      </c>
      <c r="E480" s="935"/>
      <c r="F480" s="936"/>
      <c r="G480" s="934"/>
      <c r="H480" s="935"/>
      <c r="I480" s="936"/>
      <c r="J480" s="337" t="s">
        <v>266</v>
      </c>
      <c r="K480" s="728"/>
      <c r="L480" s="728"/>
      <c r="M480" s="728"/>
      <c r="N480" s="728" t="str">
        <f>CONCATENATE("Total (",IF(MID(B480,1,2)="LG",VLOOKUP(B480,Composições!J:M,4,FALSE),IF(MID(B480,1,1)="6","t",VLOOKUP(B480,'DER 11-20'!$A$1:$I$1981,3,FALSE))),")")</f>
        <v>Total (Ud)</v>
      </c>
      <c r="O480" s="305"/>
      <c r="P480" s="307"/>
      <c r="Q480" s="307"/>
      <c r="R480" s="664"/>
      <c r="S480" s="593">
        <f>VLOOKUP("Total",C481:O730,12,FALSE)</f>
        <v>12</v>
      </c>
      <c r="T480" s="593" t="str">
        <f>VLOOKUP("Total",C481:O730,13,FALSE)</f>
        <v>Ud</v>
      </c>
      <c r="U480" s="593"/>
      <c r="V480" s="596"/>
      <c r="W480" s="597"/>
      <c r="X480" s="597"/>
      <c r="Y480" s="597"/>
      <c r="Z480" s="597"/>
      <c r="AA480" s="600"/>
      <c r="AB480" s="598"/>
    </row>
    <row r="481" spans="1:28" x14ac:dyDescent="0.2">
      <c r="A481" s="655"/>
      <c r="B481" s="751"/>
      <c r="C481" s="342" t="s">
        <v>2</v>
      </c>
      <c r="D481" s="343"/>
      <c r="E481" s="340"/>
      <c r="F481" s="568"/>
      <c r="G481" s="569"/>
      <c r="H481" s="344"/>
      <c r="I481" s="344"/>
      <c r="J481" s="341"/>
      <c r="K481" s="346"/>
      <c r="L481" s="346"/>
      <c r="M481" s="346"/>
      <c r="N481" s="348">
        <v>12</v>
      </c>
      <c r="O481" s="349" t="str">
        <f>IF(MID(B480,1,2)="LG",VLOOKUP(B480,Composições!J:M,4,FALSE),IF(MID(B480,1,1)="6",VLOOKUP(B480,transp.!$A$6:$K$35,3,FALSE),VLOOKUP(B480,'DER 11-20'!$A$1:$I$1981,3,FALSE)))</f>
        <v>Ud</v>
      </c>
      <c r="P481" s="350"/>
      <c r="Q481" s="350"/>
      <c r="R481" s="656"/>
      <c r="S481" s="593">
        <f>VLOOKUP("Total",C485:O730,12,FALSE)</f>
        <v>2127</v>
      </c>
      <c r="T481" s="593" t="str">
        <f>VLOOKUP("Total",C485:O730,13,FALSE)</f>
        <v>M</v>
      </c>
      <c r="U481" s="593"/>
      <c r="V481" s="596"/>
      <c r="W481" s="597"/>
      <c r="X481" s="597"/>
      <c r="Y481" s="597"/>
      <c r="Z481" s="597"/>
      <c r="AA481" s="600"/>
      <c r="AB481" s="598"/>
    </row>
    <row r="482" spans="1:28" s="549" customFormat="1" x14ac:dyDescent="0.2">
      <c r="A482" s="665"/>
      <c r="B482" s="896"/>
      <c r="C482" s="554"/>
      <c r="D482" s="555"/>
      <c r="E482" s="552"/>
      <c r="F482" s="561"/>
      <c r="G482" s="562"/>
      <c r="H482" s="550"/>
      <c r="I482" s="550"/>
      <c r="J482" s="553"/>
      <c r="K482" s="551"/>
      <c r="L482" s="551"/>
      <c r="M482" s="551"/>
      <c r="N482" s="546"/>
      <c r="O482" s="558"/>
      <c r="P482" s="559"/>
      <c r="Q482" s="559"/>
      <c r="R482" s="666"/>
      <c r="S482" s="593">
        <f>VLOOKUP("Total",C483:O748,12,FALSE)</f>
        <v>3</v>
      </c>
      <c r="T482" s="593" t="str">
        <f>VLOOKUP("Total",C483:O748,13,FALSE)</f>
        <v>Ud</v>
      </c>
      <c r="U482" s="593"/>
      <c r="V482" s="596"/>
      <c r="W482" s="597"/>
      <c r="X482" s="597"/>
      <c r="Y482" s="597"/>
      <c r="Z482" s="597"/>
      <c r="AA482" s="600"/>
      <c r="AB482" s="598"/>
    </row>
    <row r="483" spans="1:28" x14ac:dyDescent="0.2">
      <c r="A483" s="668" t="s">
        <v>566</v>
      </c>
      <c r="B483" s="898" t="s">
        <v>680</v>
      </c>
      <c r="C483" s="335" t="s">
        <v>567</v>
      </c>
      <c r="D483" s="934" t="s">
        <v>275</v>
      </c>
      <c r="E483" s="935"/>
      <c r="F483" s="936"/>
      <c r="G483" s="934"/>
      <c r="H483" s="935"/>
      <c r="I483" s="936"/>
      <c r="J483" s="337" t="s">
        <v>266</v>
      </c>
      <c r="K483" s="728"/>
      <c r="L483" s="728"/>
      <c r="M483" s="728"/>
      <c r="N483" s="728" t="s">
        <v>568</v>
      </c>
      <c r="O483" s="305"/>
      <c r="P483" s="307"/>
      <c r="Q483" s="307"/>
      <c r="R483" s="664"/>
      <c r="S483" s="593">
        <f>VLOOKUP("Total",C484:O748,12,FALSE)</f>
        <v>3</v>
      </c>
      <c r="T483" s="593" t="str">
        <f>VLOOKUP("Total",C484:O748,13,FALSE)</f>
        <v>Ud</v>
      </c>
      <c r="U483" s="593"/>
      <c r="V483" s="596"/>
      <c r="W483" s="597"/>
      <c r="X483" s="597"/>
      <c r="Y483" s="597"/>
      <c r="Z483" s="597"/>
      <c r="AA483" s="600"/>
      <c r="AB483" s="598"/>
    </row>
    <row r="484" spans="1:28" x14ac:dyDescent="0.2">
      <c r="A484" s="655"/>
      <c r="B484" s="751"/>
      <c r="C484" s="342" t="s">
        <v>2</v>
      </c>
      <c r="D484" s="343"/>
      <c r="E484" s="340"/>
      <c r="F484" s="568"/>
      <c r="G484" s="569"/>
      <c r="H484" s="344"/>
      <c r="I484" s="344"/>
      <c r="J484" s="341"/>
      <c r="K484" s="346"/>
      <c r="L484" s="346"/>
      <c r="M484" s="346"/>
      <c r="N484" s="348">
        <v>3</v>
      </c>
      <c r="O484" s="349" t="s">
        <v>396</v>
      </c>
      <c r="P484" s="350"/>
      <c r="Q484" s="350"/>
      <c r="R484" s="656"/>
      <c r="S484" s="593">
        <f>VLOOKUP("Total",C488:O748,12,FALSE)</f>
        <v>2122</v>
      </c>
      <c r="T484" s="593" t="str">
        <f>VLOOKUP("Total",C488:O748,13,FALSE)</f>
        <v>M</v>
      </c>
      <c r="U484" s="593"/>
      <c r="V484" s="596"/>
      <c r="W484" s="597"/>
      <c r="X484" s="597"/>
      <c r="Y484" s="597"/>
      <c r="Z484" s="597"/>
      <c r="AA484" s="600"/>
      <c r="AB484" s="598"/>
    </row>
    <row r="485" spans="1:28" s="549" customFormat="1" x14ac:dyDescent="0.2">
      <c r="A485" s="665"/>
      <c r="B485" s="896"/>
      <c r="C485" s="554"/>
      <c r="D485" s="555"/>
      <c r="E485" s="552"/>
      <c r="F485" s="561"/>
      <c r="G485" s="562"/>
      <c r="H485" s="550"/>
      <c r="I485" s="550"/>
      <c r="J485" s="553"/>
      <c r="K485" s="551"/>
      <c r="L485" s="551"/>
      <c r="M485" s="551"/>
      <c r="N485" s="546"/>
      <c r="O485" s="558"/>
      <c r="P485" s="559"/>
      <c r="Q485" s="559"/>
      <c r="R485" s="666"/>
      <c r="S485" s="593">
        <f>VLOOKUP("Total",C486:O730,12,FALSE)</f>
        <v>2127</v>
      </c>
      <c r="T485" s="593" t="str">
        <f>VLOOKUP("Total",C486:O730,13,FALSE)</f>
        <v>M</v>
      </c>
      <c r="U485" s="593"/>
      <c r="V485" s="596"/>
      <c r="W485" s="597"/>
      <c r="X485" s="597"/>
      <c r="Y485" s="597"/>
      <c r="Z485" s="597"/>
      <c r="AA485" s="600"/>
      <c r="AB485" s="598"/>
    </row>
    <row r="486" spans="1:28" x14ac:dyDescent="0.2">
      <c r="A486" s="668" t="s">
        <v>565</v>
      </c>
      <c r="B486" s="898">
        <v>40699</v>
      </c>
      <c r="C486" s="335" t="str">
        <f>IF(MID(B486,1,2)="LG",VLOOKUP(B486,Composições!J:M,3,FALSE),IF(MID(B486,1,1)="6",VLOOKUP(B486,transp.!$A$4:$K$19,11,FALSE)&amp;" -  XP="&amp;TEXT(T486,"0.000")&amp;" / XR="&amp;TEXT(V486,"0.000"),VLOOKUP(B486,'DER 11-20'!$A$1:$I$1981,2,FALSE)))</f>
        <v>Valeta de proteção de corte revestida em concreto VPC-03</v>
      </c>
      <c r="D486" s="934" t="s">
        <v>275</v>
      </c>
      <c r="E486" s="935"/>
      <c r="F486" s="936"/>
      <c r="G486" s="934"/>
      <c r="H486" s="935"/>
      <c r="I486" s="936"/>
      <c r="J486" s="337" t="s">
        <v>266</v>
      </c>
      <c r="K486" s="728"/>
      <c r="L486" s="728"/>
      <c r="M486" s="728"/>
      <c r="N486" s="728" t="str">
        <f>CONCATENATE("Total (",IF(MID(B486,1,2)="LG",VLOOKUP(B486,Composições!J:M,4,FALSE),IF(MID(B486,1,1)="6","t",VLOOKUP(B486,'DER 11-20'!$A$1:$I$1981,3,FALSE))),")")</f>
        <v>Total (M)</v>
      </c>
      <c r="O486" s="305"/>
      <c r="P486" s="307"/>
      <c r="Q486" s="307"/>
      <c r="R486" s="664"/>
      <c r="S486" s="593">
        <f>VLOOKUP("Total",C487:O730,12,FALSE)</f>
        <v>2127</v>
      </c>
      <c r="T486" s="593" t="str">
        <f>VLOOKUP("Total",C487:O730,13,FALSE)</f>
        <v>M</v>
      </c>
      <c r="U486" s="593"/>
      <c r="V486" s="596"/>
      <c r="W486" s="597"/>
      <c r="X486" s="597"/>
      <c r="Y486" s="597"/>
      <c r="Z486" s="597"/>
      <c r="AA486" s="600"/>
      <c r="AB486" s="598"/>
    </row>
    <row r="487" spans="1:28" x14ac:dyDescent="0.2">
      <c r="A487" s="655"/>
      <c r="B487" s="751"/>
      <c r="C487" s="342" t="s">
        <v>2</v>
      </c>
      <c r="D487" s="343"/>
      <c r="E487" s="340"/>
      <c r="F487" s="568"/>
      <c r="G487" s="569"/>
      <c r="H487" s="344"/>
      <c r="I487" s="344"/>
      <c r="J487" s="341"/>
      <c r="K487" s="346"/>
      <c r="L487" s="346"/>
      <c r="M487" s="346"/>
      <c r="N487" s="348">
        <v>2127</v>
      </c>
      <c r="O487" s="349" t="str">
        <f>IF(MID(B486,1,2)="LG",VLOOKUP(B486,Composições!J:M,4,FALSE),IF(MID(B486,1,1)="6",VLOOKUP(B486,transp.!$A$6:$K$35,3,FALSE),VLOOKUP(B486,'DER 11-20'!$A$1:$I$1981,3,FALSE)))</f>
        <v>M</v>
      </c>
      <c r="P487" s="350"/>
      <c r="Q487" s="350"/>
      <c r="R487" s="656"/>
      <c r="S487" s="593">
        <f>VLOOKUP("Total",C488:O730,12,FALSE)</f>
        <v>2122</v>
      </c>
      <c r="T487" s="593" t="str">
        <f>VLOOKUP("Total",C488:O730,13,FALSE)</f>
        <v>M</v>
      </c>
      <c r="U487" s="593"/>
      <c r="V487" s="596"/>
      <c r="W487" s="597"/>
      <c r="X487" s="597"/>
      <c r="Y487" s="597"/>
      <c r="Z487" s="597"/>
      <c r="AA487" s="600"/>
      <c r="AB487" s="598"/>
    </row>
    <row r="488" spans="1:28" x14ac:dyDescent="0.2">
      <c r="A488" s="287"/>
      <c r="B488" s="890"/>
      <c r="C488" s="331"/>
      <c r="F488" s="567"/>
      <c r="G488" s="289"/>
      <c r="H488" s="285"/>
      <c r="N488" s="306"/>
      <c r="O488" s="332"/>
      <c r="P488" s="307"/>
      <c r="Q488" s="307"/>
      <c r="R488" s="659"/>
      <c r="S488" s="593">
        <f>VLOOKUP("Total",C489:O813,12,FALSE)</f>
        <v>2122</v>
      </c>
      <c r="T488" s="593" t="str">
        <f>VLOOKUP("Total",C489:O813,13,FALSE)</f>
        <v>M</v>
      </c>
      <c r="U488" s="593"/>
      <c r="V488" s="596"/>
      <c r="W488" s="597"/>
      <c r="X488" s="597"/>
      <c r="Y488" s="597"/>
      <c r="Z488" s="597"/>
      <c r="AA488" s="600"/>
      <c r="AB488" s="598"/>
    </row>
    <row r="489" spans="1:28" s="310" customFormat="1" x14ac:dyDescent="0.2">
      <c r="A489" s="668" t="s">
        <v>569</v>
      </c>
      <c r="B489" s="898">
        <v>40696</v>
      </c>
      <c r="C489" s="335" t="str">
        <f>IF(MID(B489,1,2)="LG",VLOOKUP(B489,Composições!J:M,3,FALSE),IF(MID(B489,1,1)="6",VLOOKUP(B489,transp.!$A$4:$K$21,11,FALSE)&amp;" -  XP="&amp;TEXT(T489,"0,000")&amp;" / XR="&amp;TEXT(V489,"0,000"),VLOOKUP(B489,'DER 11-20'!$A$1:$I$1994,2,FALSE)))</f>
        <v>Valeta de proteção de aterro VPA 02 (revestida em concreto)</v>
      </c>
      <c r="D489" s="934" t="s">
        <v>275</v>
      </c>
      <c r="E489" s="935"/>
      <c r="F489" s="936"/>
      <c r="G489" s="934" t="s">
        <v>276</v>
      </c>
      <c r="H489" s="935"/>
      <c r="I489" s="936"/>
      <c r="J489" s="337" t="s">
        <v>266</v>
      </c>
      <c r="K489" s="725"/>
      <c r="L489" s="728"/>
      <c r="M489" s="765"/>
      <c r="N489" s="728" t="str">
        <f>CONCATENATE("Total (",IF(MID(B489,1,2)="LG",VLOOKUP(B489,Composições!J:M,4,FALSE),IF(MID(B489,1,1)="6","t",VLOOKUP(B489,'DER 11-20'!$A$1:$I$1994,3,FALSE))),")")</f>
        <v>Total (M)</v>
      </c>
      <c r="O489" s="305"/>
      <c r="P489" s="307"/>
      <c r="Q489" s="307"/>
      <c r="R489" s="664"/>
      <c r="S489" s="593">
        <f>VLOOKUP("Total",C490:O814,12,FALSE)</f>
        <v>2122</v>
      </c>
      <c r="T489" s="593" t="str">
        <f>VLOOKUP("Total",C490:O814,13,FALSE)</f>
        <v>M</v>
      </c>
      <c r="U489" s="593"/>
      <c r="V489" s="596"/>
      <c r="W489" s="597"/>
      <c r="X489" s="597"/>
      <c r="Y489" s="597"/>
      <c r="Z489" s="597"/>
      <c r="AA489" s="600"/>
      <c r="AB489" s="598"/>
    </row>
    <row r="490" spans="1:28" s="310" customFormat="1" x14ac:dyDescent="0.2">
      <c r="A490" s="655"/>
      <c r="B490" s="751"/>
      <c r="C490" s="342" t="s">
        <v>2</v>
      </c>
      <c r="D490" s="343"/>
      <c r="E490" s="340"/>
      <c r="F490" s="344"/>
      <c r="G490" s="343"/>
      <c r="H490" s="344"/>
      <c r="I490" s="344"/>
      <c r="J490" s="341"/>
      <c r="K490" s="345"/>
      <c r="L490" s="346"/>
      <c r="M490" s="347"/>
      <c r="N490" s="348">
        <v>2122</v>
      </c>
      <c r="O490" s="349" t="str">
        <f>IF(MID(B489,1,2)="LG",VLOOKUP(B489,Composições!J:M,4,FALSE),IF(MID(B489,1,1)="6",VLOOKUP(B489,transp.!$A$6:$K$27,3,FALSE),VLOOKUP(B489,'DER 11-20'!$A$1:$I$1994,3,FALSE)))</f>
        <v>M</v>
      </c>
      <c r="P490" s="350"/>
      <c r="Q490" s="350"/>
      <c r="R490" s="656"/>
      <c r="S490" s="593">
        <f>VLOOKUP("Total",C491:O818,12,FALSE)</f>
        <v>38.5</v>
      </c>
      <c r="T490" s="593" t="str">
        <f>VLOOKUP("Total",C491:O818,13,FALSE)</f>
        <v>M</v>
      </c>
      <c r="U490" s="593"/>
      <c r="V490" s="596"/>
      <c r="W490" s="597"/>
      <c r="X490" s="597"/>
      <c r="Y490" s="597"/>
      <c r="Z490" s="597"/>
      <c r="AA490" s="600"/>
      <c r="AB490" s="598"/>
    </row>
    <row r="491" spans="1:28" s="549" customFormat="1" x14ac:dyDescent="0.2">
      <c r="A491" s="665"/>
      <c r="B491" s="896"/>
      <c r="C491" s="554"/>
      <c r="D491" s="555"/>
      <c r="E491" s="552"/>
      <c r="F491" s="561"/>
      <c r="G491" s="562"/>
      <c r="H491" s="550"/>
      <c r="I491" s="550"/>
      <c r="J491" s="553"/>
      <c r="K491" s="551"/>
      <c r="L491" s="551"/>
      <c r="M491" s="551"/>
      <c r="N491" s="546"/>
      <c r="O491" s="558"/>
      <c r="P491" s="559"/>
      <c r="Q491" s="559"/>
      <c r="R491" s="666"/>
      <c r="S491" s="593">
        <f>VLOOKUP("Total",C492:O863,12,FALSE)</f>
        <v>38.5</v>
      </c>
      <c r="T491" s="593" t="str">
        <f>VLOOKUP("Total",C492:O863,13,FALSE)</f>
        <v>M</v>
      </c>
      <c r="U491" s="593"/>
      <c r="V491" s="596"/>
      <c r="W491" s="597"/>
      <c r="X491" s="597"/>
      <c r="Y491" s="597"/>
      <c r="Z491" s="597"/>
      <c r="AA491" s="600"/>
      <c r="AB491" s="598"/>
    </row>
    <row r="492" spans="1:28" x14ac:dyDescent="0.2">
      <c r="A492" s="668" t="s">
        <v>570</v>
      </c>
      <c r="B492" s="898">
        <v>40676</v>
      </c>
      <c r="C492" s="335" t="str">
        <f>IF(MID(B492,1,2)="LG",VLOOKUP(B492,Composições!J:M,3,FALSE),IF(MID(B492,1,1)="6",VLOOKUP(B492,transp.!$A$4:$K$19,11,FALSE)&amp;" -  XP="&amp;TEXT(T492,"0.000")&amp;" / XR="&amp;TEXT(V492,"0.000"),VLOOKUP(B492,'DER 11-20'!$A$1:$I$1981,2,FALSE)))</f>
        <v>Descida d'água concreto simples (calha) c/ caiação (DSA-01) canal</v>
      </c>
      <c r="D492" s="934" t="s">
        <v>275</v>
      </c>
      <c r="E492" s="935"/>
      <c r="F492" s="936"/>
      <c r="G492" s="934" t="s">
        <v>276</v>
      </c>
      <c r="H492" s="935"/>
      <c r="I492" s="936"/>
      <c r="J492" s="337" t="s">
        <v>266</v>
      </c>
      <c r="K492" s="725"/>
      <c r="L492" s="728"/>
      <c r="M492" s="765"/>
      <c r="N492" s="728" t="str">
        <f>CONCATENATE("Total (",IF(MID(B492,1,2)="LG",VLOOKUP(B492,'[1]Compos lug'!J:M,4,FALSE),IF(MID(B492,1,1)="6","t",VLOOKUP(B492,'[1]DER 06-16'!$A$1:$I$2000,3,FALSE))),")")</f>
        <v>Total (m)</v>
      </c>
      <c r="O492" s="305"/>
      <c r="P492" s="307"/>
      <c r="Q492" s="307"/>
      <c r="R492" s="664"/>
      <c r="S492" s="593">
        <f>VLOOKUP("Total",C493:O864,12,FALSE)</f>
        <v>38.5</v>
      </c>
      <c r="T492" s="593" t="str">
        <f>VLOOKUP("Total",C493:O864,13,FALSE)</f>
        <v>M</v>
      </c>
      <c r="U492" s="593"/>
      <c r="V492" s="596"/>
      <c r="W492" s="597"/>
      <c r="X492" s="597"/>
      <c r="Y492" s="597"/>
      <c r="Z492" s="597"/>
      <c r="AA492" s="600"/>
      <c r="AB492" s="598"/>
    </row>
    <row r="493" spans="1:28" x14ac:dyDescent="0.2">
      <c r="A493" s="655"/>
      <c r="B493" s="751"/>
      <c r="C493" s="342" t="s">
        <v>2</v>
      </c>
      <c r="D493" s="343"/>
      <c r="E493" s="340"/>
      <c r="F493" s="568"/>
      <c r="G493" s="569"/>
      <c r="H493" s="344"/>
      <c r="I493" s="344"/>
      <c r="J493" s="341"/>
      <c r="K493" s="346"/>
      <c r="L493" s="346"/>
      <c r="M493" s="346"/>
      <c r="N493" s="348">
        <v>38.5</v>
      </c>
      <c r="O493" s="349" t="str">
        <f>IF(MID(B492,1,2)="LG",VLOOKUP(B492,Composições!J:M,4,FALSE),IF(MID(B492,1,1)="6",VLOOKUP(B492,transp.!$A$6:$K$35,3,FALSE),VLOOKUP(B492,'DER 11-20'!$A$1:$I$1981,3,FALSE)))</f>
        <v>M</v>
      </c>
      <c r="P493" s="350"/>
      <c r="Q493" s="350"/>
      <c r="R493" s="656"/>
      <c r="S493" s="593">
        <f>VLOOKUP("Total",C494:O875,12,FALSE)</f>
        <v>13</v>
      </c>
      <c r="T493" s="593" t="str">
        <f>VLOOKUP("Total",C494:O875,13,FALSE)</f>
        <v>Ud</v>
      </c>
      <c r="U493" s="593"/>
      <c r="V493" s="596"/>
      <c r="W493" s="597"/>
      <c r="X493" s="597"/>
      <c r="Y493" s="597"/>
      <c r="Z493" s="597"/>
      <c r="AA493" s="600"/>
      <c r="AB493" s="598"/>
    </row>
    <row r="494" spans="1:28" s="549" customFormat="1" x14ac:dyDescent="0.2">
      <c r="A494" s="665"/>
      <c r="B494" s="896"/>
      <c r="C494" s="554"/>
      <c r="D494" s="555"/>
      <c r="E494" s="552"/>
      <c r="F494" s="561"/>
      <c r="G494" s="562"/>
      <c r="H494" s="550"/>
      <c r="I494" s="550"/>
      <c r="J494" s="553"/>
      <c r="K494" s="551"/>
      <c r="L494" s="551"/>
      <c r="M494" s="551"/>
      <c r="N494" s="546"/>
      <c r="O494" s="558"/>
      <c r="P494" s="559"/>
      <c r="Q494" s="559"/>
      <c r="R494" s="666"/>
      <c r="S494" s="593">
        <f>VLOOKUP("Total",C495:O876,12,FALSE)</f>
        <v>13</v>
      </c>
      <c r="T494" s="593" t="str">
        <f>VLOOKUP("Total",C495:O876,13,FALSE)</f>
        <v>Ud</v>
      </c>
      <c r="U494" s="593"/>
      <c r="V494" s="596"/>
      <c r="W494" s="597"/>
      <c r="X494" s="597"/>
      <c r="Y494" s="597"/>
      <c r="Z494" s="597"/>
      <c r="AA494" s="600"/>
      <c r="AB494" s="598"/>
    </row>
    <row r="495" spans="1:28" ht="25.5" x14ac:dyDescent="0.2">
      <c r="A495" s="668" t="s">
        <v>571</v>
      </c>
      <c r="B495" s="898">
        <v>40677</v>
      </c>
      <c r="C495" s="335" t="str">
        <f>IF(MID(B495,1,2)="LG",VLOOKUP(B495,Composições!J:M,3,FALSE),IF(MID(B495,1,1)="6",VLOOKUP(B495,transp.!$A$4:$K$19,11,FALSE)&amp;" -  XP="&amp;TEXT(T495,"0.000")&amp;" / XR="&amp;TEXT(V495,"0.000"),VLOOKUP(B495,'DER 11-20'!$A$1:$I$1981,2,FALSE)))</f>
        <v>Descida d'água concreto simples (calha) c/ caiação (DSA-01) dispersor</v>
      </c>
      <c r="D495" s="934" t="s">
        <v>275</v>
      </c>
      <c r="E495" s="935"/>
      <c r="F495" s="936"/>
      <c r="G495" s="934"/>
      <c r="H495" s="935"/>
      <c r="I495" s="936"/>
      <c r="J495" s="337"/>
      <c r="K495" s="725"/>
      <c r="L495" s="728"/>
      <c r="M495" s="765"/>
      <c r="N495" s="728" t="str">
        <f>CONCATENATE("Total (",IF(MID(B495,1,2)="LG",VLOOKUP(B495,'[1]Compos lug'!J:M,4,FALSE),IF(MID(B495,1,1)="6","t",VLOOKUP(B495,'[1]DER 06-16'!$A$1:$I$2000,3,FALSE))),")")</f>
        <v>Total (un)</v>
      </c>
      <c r="O495" s="305"/>
      <c r="P495" s="307"/>
      <c r="Q495" s="307"/>
      <c r="R495" s="664"/>
      <c r="S495" s="593">
        <f>VLOOKUP("Total",C496:O877,12,FALSE)</f>
        <v>13</v>
      </c>
      <c r="T495" s="593" t="str">
        <f>VLOOKUP("Total",C496:O877,13,FALSE)</f>
        <v>Ud</v>
      </c>
      <c r="U495" s="593"/>
      <c r="V495" s="596"/>
      <c r="W495" s="597"/>
      <c r="X495" s="597"/>
      <c r="Y495" s="597"/>
      <c r="Z495" s="597"/>
      <c r="AA495" s="600"/>
      <c r="AB495" s="598"/>
    </row>
    <row r="496" spans="1:28" x14ac:dyDescent="0.2">
      <c r="A496" s="655"/>
      <c r="B496" s="751"/>
      <c r="C496" s="342" t="s">
        <v>2</v>
      </c>
      <c r="D496" s="343"/>
      <c r="E496" s="340"/>
      <c r="F496" s="568"/>
      <c r="G496" s="569"/>
      <c r="H496" s="344"/>
      <c r="I496" s="344"/>
      <c r="J496" s="341"/>
      <c r="K496" s="346"/>
      <c r="L496" s="346"/>
      <c r="M496" s="346"/>
      <c r="N496" s="348">
        <v>13</v>
      </c>
      <c r="O496" s="349" t="str">
        <f>IF(MID(B495,1,2)="LG",VLOOKUP(B495,Composições!J:M,4,FALSE),IF(MID(B495,1,1)="6",VLOOKUP(B495,transp.!$A$6:$K$35,3,FALSE),VLOOKUP(B495,'DER 11-20'!$A$1:$I$1981,3,FALSE)))</f>
        <v>Ud</v>
      </c>
      <c r="P496" s="350"/>
      <c r="Q496" s="350"/>
      <c r="R496" s="656"/>
      <c r="S496" s="593">
        <f>VLOOKUP("Total",C346:O882,12,FALSE)</f>
        <v>36</v>
      </c>
      <c r="T496" s="593" t="str">
        <f>VLOOKUP("Total",C346:O882,13,FALSE)</f>
        <v>M</v>
      </c>
      <c r="U496" s="593"/>
      <c r="V496" s="596"/>
      <c r="W496" s="597"/>
      <c r="X496" s="597"/>
      <c r="Y496" s="597"/>
      <c r="Z496" s="597"/>
      <c r="AA496" s="600"/>
      <c r="AB496" s="598"/>
    </row>
    <row r="497" spans="1:28" s="549" customFormat="1" x14ac:dyDescent="0.2">
      <c r="A497" s="665"/>
      <c r="B497" s="896"/>
      <c r="C497" s="554"/>
      <c r="D497" s="555"/>
      <c r="E497" s="552"/>
      <c r="F497" s="561"/>
      <c r="G497" s="562"/>
      <c r="H497" s="550"/>
      <c r="I497" s="550"/>
      <c r="J497" s="553"/>
      <c r="K497" s="551"/>
      <c r="L497" s="551"/>
      <c r="M497" s="551"/>
      <c r="N497" s="546"/>
      <c r="O497" s="558"/>
      <c r="P497" s="559"/>
      <c r="Q497" s="559"/>
      <c r="R497" s="666"/>
      <c r="S497" s="593">
        <f>VLOOKUP("Total",C498:O742,12,FALSE)</f>
        <v>13</v>
      </c>
      <c r="T497" s="593" t="str">
        <f>VLOOKUP("Total",C498:O742,13,FALSE)</f>
        <v>Ud</v>
      </c>
      <c r="U497" s="593"/>
      <c r="V497" s="596"/>
      <c r="W497" s="597"/>
      <c r="X497" s="597"/>
      <c r="Y497" s="597"/>
      <c r="Z497" s="597"/>
      <c r="AA497" s="600"/>
      <c r="AB497" s="598"/>
    </row>
    <row r="498" spans="1:28" ht="25.5" x14ac:dyDescent="0.2">
      <c r="A498" s="668" t="s">
        <v>572</v>
      </c>
      <c r="B498" s="898">
        <v>40681</v>
      </c>
      <c r="C498" s="335" t="str">
        <f>IF(MID(B498,1,2)="LG",VLOOKUP(B498,Composições!J:M,3,FALSE),IF(MID(B498,1,1)="6",VLOOKUP(B498,transp.!$A$4:$K$19,11,FALSE)&amp;" -  XP="&amp;TEXT(T498,"0.000")&amp;" / XR="&amp;TEXT(V498,"0.000"),VLOOKUP(B498,'DER 11-20'!$A$1:$I$1981,2,FALSE)))</f>
        <v>Descida d'água concreto simples (degraus) c/ caiação (DSA-03) apoio</v>
      </c>
      <c r="D498" s="934" t="s">
        <v>275</v>
      </c>
      <c r="E498" s="935"/>
      <c r="F498" s="936"/>
      <c r="G498" s="934"/>
      <c r="H498" s="935"/>
      <c r="I498" s="936"/>
      <c r="J498" s="337" t="s">
        <v>266</v>
      </c>
      <c r="K498" s="728"/>
      <c r="L498" s="728"/>
      <c r="M498" s="728"/>
      <c r="N498" s="728" t="str">
        <f>CONCATENATE("Total (",IF(MID(B498,1,2)="LG",VLOOKUP(B498,Composições!J:M,4,FALSE),IF(MID(B498,1,1)="6","t",VLOOKUP(B498,'DER 11-20'!$A$1:$I$1981,3,FALSE))),")")</f>
        <v>Total (Ud)</v>
      </c>
      <c r="O498" s="305"/>
      <c r="P498" s="307"/>
      <c r="Q498" s="307"/>
      <c r="R498" s="664"/>
      <c r="S498" s="593">
        <f>VLOOKUP("Total",C499:O742,12,FALSE)</f>
        <v>13</v>
      </c>
      <c r="T498" s="593" t="str">
        <f>VLOOKUP("Total",C499:O742,13,FALSE)</f>
        <v>Ud</v>
      </c>
      <c r="U498" s="593"/>
      <c r="V498" s="596"/>
      <c r="W498" s="597"/>
      <c r="X498" s="597"/>
      <c r="Y498" s="597"/>
      <c r="Z498" s="597"/>
      <c r="AA498" s="600"/>
      <c r="AB498" s="598"/>
    </row>
    <row r="499" spans="1:28" x14ac:dyDescent="0.2">
      <c r="A499" s="655"/>
      <c r="B499" s="751"/>
      <c r="C499" s="342" t="s">
        <v>2</v>
      </c>
      <c r="D499" s="343"/>
      <c r="E499" s="340"/>
      <c r="F499" s="568"/>
      <c r="G499" s="569"/>
      <c r="H499" s="344"/>
      <c r="I499" s="344"/>
      <c r="J499" s="341"/>
      <c r="K499" s="346"/>
      <c r="L499" s="346"/>
      <c r="M499" s="346"/>
      <c r="N499" s="348">
        <v>13</v>
      </c>
      <c r="O499" s="349" t="str">
        <f>IF(MID(B498,1,2)="LG",VLOOKUP(B498,Composições!J:M,4,FALSE),IF(MID(B498,1,1)="6",VLOOKUP(B498,transp.!$A$6:$K$35,3,FALSE),VLOOKUP(B498,'DER 11-20'!$A$1:$I$1981,3,FALSE)))</f>
        <v>Ud</v>
      </c>
      <c r="P499" s="350"/>
      <c r="Q499" s="350"/>
      <c r="R499" s="656"/>
      <c r="S499" s="593">
        <f>VLOOKUP("Total",C500:O742,12,FALSE)</f>
        <v>223.5</v>
      </c>
      <c r="T499" s="593" t="str">
        <f>VLOOKUP("Total",C500:O742,13,FALSE)</f>
        <v>M</v>
      </c>
      <c r="U499" s="593"/>
      <c r="V499" s="596"/>
      <c r="W499" s="597"/>
      <c r="X499" s="597"/>
      <c r="Y499" s="597"/>
      <c r="Z499" s="597"/>
      <c r="AA499" s="600"/>
      <c r="AB499" s="598"/>
    </row>
    <row r="500" spans="1:28" x14ac:dyDescent="0.2">
      <c r="A500" s="287"/>
      <c r="B500" s="890"/>
      <c r="C500" s="331"/>
      <c r="F500" s="567"/>
      <c r="G500" s="289"/>
      <c r="H500" s="285"/>
      <c r="N500" s="306"/>
      <c r="O500" s="332"/>
      <c r="P500" s="307"/>
      <c r="Q500" s="307"/>
      <c r="R500" s="659"/>
      <c r="S500" s="593">
        <f>VLOOKUP("Total",C501:O825,12,FALSE)</f>
        <v>223.5</v>
      </c>
      <c r="T500" s="593" t="str">
        <f>VLOOKUP("Total",C501:O825,13,FALSE)</f>
        <v>M</v>
      </c>
      <c r="U500" s="593"/>
      <c r="V500" s="596"/>
      <c r="W500" s="597"/>
      <c r="X500" s="597"/>
      <c r="Y500" s="597"/>
      <c r="Z500" s="597"/>
      <c r="AA500" s="600"/>
      <c r="AB500" s="598"/>
    </row>
    <row r="501" spans="1:28" s="310" customFormat="1" ht="25.5" x14ac:dyDescent="0.2">
      <c r="A501" s="668" t="s">
        <v>573</v>
      </c>
      <c r="B501" s="898">
        <v>40680</v>
      </c>
      <c r="C501" s="335" t="str">
        <f>IF(MID(B501,1,2)="LG",VLOOKUP(B501,Composições!J:M,3,FALSE),IF(MID(B501,1,1)="6",VLOOKUP(B501,transp.!$A$4:$K$21,11,FALSE)&amp;" -  XP="&amp;TEXT(T501,"0,000")&amp;" / XR="&amp;TEXT(V501,"0,000"),VLOOKUP(B501,'DER 11-20'!$A$1:$I$1994,2,FALSE)))</f>
        <v>Descida d'água concreto simples (degraus) c/ caiação (DSA-03) degrau</v>
      </c>
      <c r="D501" s="934" t="s">
        <v>275</v>
      </c>
      <c r="E501" s="935"/>
      <c r="F501" s="936"/>
      <c r="G501" s="934" t="s">
        <v>276</v>
      </c>
      <c r="H501" s="935"/>
      <c r="I501" s="936"/>
      <c r="J501" s="337" t="s">
        <v>266</v>
      </c>
      <c r="K501" s="725"/>
      <c r="L501" s="728"/>
      <c r="M501" s="765"/>
      <c r="N501" s="728" t="str">
        <f>CONCATENATE("Total (",IF(MID(B501,1,2)="LG",VLOOKUP(B501,Composições!J:M,4,FALSE),IF(MID(B501,1,1)="6","t",VLOOKUP(B501,'DER 11-20'!$A$1:$I$1994,3,FALSE))),")")</f>
        <v>Total (M)</v>
      </c>
      <c r="O501" s="305"/>
      <c r="P501" s="307"/>
      <c r="Q501" s="307"/>
      <c r="R501" s="664"/>
      <c r="S501" s="593">
        <f>VLOOKUP("Total",C502:O826,12,FALSE)</f>
        <v>223.5</v>
      </c>
      <c r="T501" s="593" t="str">
        <f>VLOOKUP("Total",C502:O826,13,FALSE)</f>
        <v>M</v>
      </c>
      <c r="U501" s="593"/>
      <c r="V501" s="596"/>
      <c r="W501" s="597"/>
      <c r="X501" s="597"/>
      <c r="Y501" s="597"/>
      <c r="Z501" s="597"/>
      <c r="AA501" s="600"/>
      <c r="AB501" s="598"/>
    </row>
    <row r="502" spans="1:28" s="310" customFormat="1" x14ac:dyDescent="0.2">
      <c r="A502" s="655"/>
      <c r="B502" s="751"/>
      <c r="C502" s="342" t="s">
        <v>2</v>
      </c>
      <c r="D502" s="343"/>
      <c r="E502" s="340"/>
      <c r="F502" s="344"/>
      <c r="G502" s="343"/>
      <c r="H502" s="344"/>
      <c r="I502" s="344"/>
      <c r="J502" s="341"/>
      <c r="K502" s="345"/>
      <c r="L502" s="346"/>
      <c r="M502" s="347"/>
      <c r="N502" s="348">
        <v>223.5</v>
      </c>
      <c r="O502" s="349" t="str">
        <f>IF(MID(B501,1,2)="LG",VLOOKUP(B501,Composições!J:M,4,FALSE),IF(MID(B501,1,1)="6",VLOOKUP(B501,transp.!$A$6:$K$27,3,FALSE),VLOOKUP(B501,'DER 11-20'!$A$1:$I$1994,3,FALSE)))</f>
        <v>M</v>
      </c>
      <c r="P502" s="350"/>
      <c r="Q502" s="350"/>
      <c r="R502" s="656"/>
      <c r="S502" s="593">
        <f>VLOOKUP("Total",C503:O830,12,FALSE)</f>
        <v>36</v>
      </c>
      <c r="T502" s="593" t="str">
        <f>VLOOKUP("Total",C503:O830,13,FALSE)</f>
        <v>Ud</v>
      </c>
      <c r="U502" s="593"/>
      <c r="V502" s="596"/>
      <c r="W502" s="597"/>
      <c r="X502" s="597"/>
      <c r="Y502" s="597"/>
      <c r="Z502" s="597"/>
      <c r="AA502" s="600"/>
      <c r="AB502" s="598"/>
    </row>
    <row r="503" spans="1:28" s="549" customFormat="1" x14ac:dyDescent="0.2">
      <c r="A503" s="665"/>
      <c r="B503" s="896"/>
      <c r="C503" s="554"/>
      <c r="D503" s="555"/>
      <c r="E503" s="552"/>
      <c r="F503" s="561"/>
      <c r="G503" s="562"/>
      <c r="H503" s="550"/>
      <c r="I503" s="550"/>
      <c r="J503" s="553"/>
      <c r="K503" s="551"/>
      <c r="L503" s="551"/>
      <c r="M503" s="551"/>
      <c r="N503" s="546"/>
      <c r="O503" s="558"/>
      <c r="P503" s="559"/>
      <c r="Q503" s="559"/>
      <c r="R503" s="666"/>
      <c r="S503" s="593">
        <f>VLOOKUP("Total",C504:O875,12,FALSE)</f>
        <v>36</v>
      </c>
      <c r="T503" s="593" t="str">
        <f>VLOOKUP("Total",C504:O875,13,FALSE)</f>
        <v>Ud</v>
      </c>
      <c r="U503" s="593"/>
      <c r="V503" s="596"/>
      <c r="W503" s="597"/>
      <c r="X503" s="597"/>
      <c r="Y503" s="597"/>
      <c r="Z503" s="597"/>
      <c r="AA503" s="600"/>
      <c r="AB503" s="598"/>
    </row>
    <row r="504" spans="1:28" ht="25.5" x14ac:dyDescent="0.2">
      <c r="A504" s="668" t="s">
        <v>574</v>
      </c>
      <c r="B504" s="898">
        <v>40682</v>
      </c>
      <c r="C504" s="335" t="str">
        <f>IF(MID(B504,1,2)="LG",VLOOKUP(B504,Composições!J:M,3,FALSE),IF(MID(B504,1,1)="6",VLOOKUP(B504,transp.!$A$4:$K$19,11,FALSE)&amp;" -  XP="&amp;TEXT(T504,"0.000")&amp;" / XR="&amp;TEXT(V504,"0.000"),VLOOKUP(B504,'DER 11-20'!$A$1:$I$1981,2,FALSE)))</f>
        <v>Descida d'água concreto simples (degraus) c/ caiação (DSA-03) dispersor</v>
      </c>
      <c r="D504" s="934" t="s">
        <v>275</v>
      </c>
      <c r="E504" s="935"/>
      <c r="F504" s="936"/>
      <c r="G504" s="934" t="s">
        <v>276</v>
      </c>
      <c r="H504" s="935"/>
      <c r="I504" s="936"/>
      <c r="J504" s="337" t="s">
        <v>266</v>
      </c>
      <c r="K504" s="725"/>
      <c r="L504" s="728"/>
      <c r="M504" s="765"/>
      <c r="N504" s="728" t="str">
        <f>CONCATENATE("Total (",IF(MID(B504,1,2)="LG",VLOOKUP(B504,'[1]Compos lug'!J:M,4,FALSE),IF(MID(B504,1,1)="6","t",VLOOKUP(B504,'[1]DER 06-16'!$A$1:$I$2000,3,FALSE))),")")</f>
        <v>Total (un)</v>
      </c>
      <c r="O504" s="305"/>
      <c r="P504" s="307"/>
      <c r="Q504" s="307"/>
      <c r="R504" s="664"/>
      <c r="S504" s="593">
        <f>VLOOKUP("Total",C505:O876,12,FALSE)</f>
        <v>36</v>
      </c>
      <c r="T504" s="593" t="str">
        <f>VLOOKUP("Total",C505:O876,13,FALSE)</f>
        <v>Ud</v>
      </c>
      <c r="U504" s="593"/>
      <c r="V504" s="596"/>
      <c r="W504" s="597"/>
      <c r="X504" s="597"/>
      <c r="Y504" s="597"/>
      <c r="Z504" s="597"/>
      <c r="AA504" s="600"/>
      <c r="AB504" s="598"/>
    </row>
    <row r="505" spans="1:28" x14ac:dyDescent="0.2">
      <c r="A505" s="655"/>
      <c r="B505" s="751"/>
      <c r="C505" s="342" t="s">
        <v>2</v>
      </c>
      <c r="D505" s="343"/>
      <c r="E505" s="340"/>
      <c r="F505" s="568"/>
      <c r="G505" s="569"/>
      <c r="H505" s="344"/>
      <c r="I505" s="344"/>
      <c r="J505" s="341"/>
      <c r="K505" s="346"/>
      <c r="L505" s="346"/>
      <c r="M505" s="346"/>
      <c r="N505" s="348">
        <v>36</v>
      </c>
      <c r="O505" s="349" t="str">
        <f>IF(MID(B504,1,2)="LG",VLOOKUP(B504,Composições!J:M,4,FALSE),IF(MID(B504,1,1)="6",VLOOKUP(B504,transp.!$A$6:$K$35,3,FALSE),VLOOKUP(B504,'DER 11-20'!$A$1:$I$1981,3,FALSE)))</f>
        <v>Ud</v>
      </c>
      <c r="P505" s="350"/>
      <c r="Q505" s="350"/>
      <c r="R505" s="656"/>
      <c r="S505" s="593">
        <f>VLOOKUP("Total",C506:O887,12,FALSE)</f>
        <v>1815</v>
      </c>
      <c r="T505" s="593" t="str">
        <f>VLOOKUP("Total",C506:O887,13,FALSE)</f>
        <v>M</v>
      </c>
      <c r="U505" s="593"/>
      <c r="V505" s="596"/>
      <c r="W505" s="597"/>
      <c r="X505" s="597"/>
      <c r="Y505" s="597"/>
      <c r="Z505" s="597"/>
      <c r="AA505" s="600"/>
      <c r="AB505" s="598"/>
    </row>
    <row r="506" spans="1:28" s="549" customFormat="1" x14ac:dyDescent="0.2">
      <c r="A506" s="665"/>
      <c r="B506" s="896"/>
      <c r="C506" s="554"/>
      <c r="D506" s="555"/>
      <c r="E506" s="552"/>
      <c r="F506" s="561"/>
      <c r="G506" s="562"/>
      <c r="H506" s="550"/>
      <c r="I506" s="550"/>
      <c r="J506" s="553"/>
      <c r="K506" s="551"/>
      <c r="L506" s="551"/>
      <c r="M506" s="551"/>
      <c r="N506" s="546"/>
      <c r="O506" s="558"/>
      <c r="P506" s="559"/>
      <c r="Q506" s="559"/>
      <c r="R506" s="666"/>
      <c r="S506" s="593">
        <f>VLOOKUP("Total",C507:O888,12,FALSE)</f>
        <v>1815</v>
      </c>
      <c r="T506" s="593" t="str">
        <f>VLOOKUP("Total",C507:O888,13,FALSE)</f>
        <v>M</v>
      </c>
      <c r="U506" s="593"/>
      <c r="V506" s="596"/>
      <c r="W506" s="597"/>
      <c r="X506" s="597"/>
      <c r="Y506" s="597"/>
      <c r="Z506" s="597"/>
      <c r="AA506" s="600"/>
      <c r="AB506" s="598"/>
    </row>
    <row r="507" spans="1:28" ht="38.25" x14ac:dyDescent="0.2">
      <c r="A507" s="668" t="s">
        <v>575</v>
      </c>
      <c r="B507" s="898">
        <v>40646</v>
      </c>
      <c r="C507" s="335" t="str">
        <f>IF(MID(B507,1,2)="LG",VLOOKUP(B507,Composições!J:M,3,FALSE),IF(MID(B507,1,1)="6",VLOOKUP(B507,transp.!$A$4:$K$19,11,FALSE)&amp;" -  XP="&amp;TEXT(T507,"0.000")&amp;" / XR="&amp;TEXT(V507,"0.000"),VLOOKUP(B507,'DER 11-20'!$A$1:$I$1981,2,FALSE)))</f>
        <v>Dreno profundo D = 0,20 m com enchimento de areia, escavação em material 1ª categoria ( DPS-01), inclusive transporte da areia e do tubo</v>
      </c>
      <c r="D507" s="934" t="s">
        <v>275</v>
      </c>
      <c r="E507" s="935"/>
      <c r="F507" s="936"/>
      <c r="G507" s="934"/>
      <c r="H507" s="935"/>
      <c r="I507" s="936"/>
      <c r="J507" s="337"/>
      <c r="K507" s="725"/>
      <c r="L507" s="728"/>
      <c r="M507" s="765"/>
      <c r="N507" s="728" t="str">
        <f>CONCATENATE("Total (",IF(MID(B507,1,2)="LG",VLOOKUP(B507,'[1]Compos lug'!J:M,4,FALSE),IF(MID(B507,1,1)="6","t",VLOOKUP(B507,'[1]DER 06-16'!$A$1:$I$2000,3,FALSE))),")")</f>
        <v>Total (m)</v>
      </c>
      <c r="O507" s="305"/>
      <c r="P507" s="307"/>
      <c r="Q507" s="307"/>
      <c r="R507" s="664"/>
      <c r="S507" s="593">
        <f>VLOOKUP("Total",C508:O889,12,FALSE)</f>
        <v>1815</v>
      </c>
      <c r="T507" s="593" t="str">
        <f>VLOOKUP("Total",C508:O889,13,FALSE)</f>
        <v>M</v>
      </c>
      <c r="U507" s="593"/>
      <c r="V507" s="596"/>
      <c r="W507" s="597"/>
      <c r="X507" s="597"/>
      <c r="Y507" s="597"/>
      <c r="Z507" s="597"/>
      <c r="AA507" s="600"/>
      <c r="AB507" s="598"/>
    </row>
    <row r="508" spans="1:28" x14ac:dyDescent="0.2">
      <c r="A508" s="655"/>
      <c r="B508" s="751"/>
      <c r="C508" s="342" t="s">
        <v>2</v>
      </c>
      <c r="D508" s="343"/>
      <c r="E508" s="340"/>
      <c r="F508" s="568"/>
      <c r="G508" s="569"/>
      <c r="H508" s="344"/>
      <c r="I508" s="344"/>
      <c r="J508" s="341"/>
      <c r="K508" s="346"/>
      <c r="L508" s="346"/>
      <c r="M508" s="346"/>
      <c r="N508" s="348">
        <v>1815</v>
      </c>
      <c r="O508" s="349" t="str">
        <f>IF(MID(B507,1,2)="LG",VLOOKUP(B507,Composições!J:M,4,FALSE),IF(MID(B507,1,1)="6",VLOOKUP(B507,transp.!$A$6:$K$35,3,FALSE),VLOOKUP(B507,'DER 11-20'!$A$1:$I$1981,3,FALSE)))</f>
        <v>M</v>
      </c>
      <c r="P508" s="350"/>
      <c r="Q508" s="350"/>
      <c r="R508" s="656"/>
      <c r="S508" s="593">
        <f>VLOOKUP("Total",C358:O894,12,FALSE)</f>
        <v>42</v>
      </c>
      <c r="T508" s="593" t="str">
        <f>VLOOKUP("Total",C358:O894,13,FALSE)</f>
        <v>M</v>
      </c>
      <c r="U508" s="593"/>
      <c r="V508" s="596"/>
      <c r="W508" s="597"/>
      <c r="X508" s="597"/>
      <c r="Y508" s="597"/>
      <c r="Z508" s="597"/>
      <c r="AA508" s="600"/>
      <c r="AB508" s="598"/>
    </row>
    <row r="509" spans="1:28" s="549" customFormat="1" x14ac:dyDescent="0.2">
      <c r="A509" s="665"/>
      <c r="B509" s="896"/>
      <c r="C509" s="554"/>
      <c r="D509" s="555"/>
      <c r="E509" s="552"/>
      <c r="F509" s="561"/>
      <c r="G509" s="562"/>
      <c r="H509" s="550"/>
      <c r="I509" s="550"/>
      <c r="J509" s="553"/>
      <c r="K509" s="551"/>
      <c r="L509" s="551"/>
      <c r="M509" s="551"/>
      <c r="N509" s="546"/>
      <c r="O509" s="558"/>
      <c r="P509" s="559"/>
      <c r="Q509" s="559"/>
      <c r="R509" s="666"/>
      <c r="S509" s="593">
        <f>VLOOKUP("Total",C510:O906,12,FALSE)</f>
        <v>10</v>
      </c>
      <c r="T509" s="593" t="str">
        <f>VLOOKUP("Total",C510:O906,13,FALSE)</f>
        <v>Ud</v>
      </c>
      <c r="U509" s="593"/>
      <c r="V509" s="596"/>
      <c r="W509" s="597"/>
      <c r="X509" s="597"/>
      <c r="Y509" s="597"/>
      <c r="Z509" s="597"/>
      <c r="AA509" s="600"/>
      <c r="AB509" s="598"/>
    </row>
    <row r="510" spans="1:28" x14ac:dyDescent="0.2">
      <c r="A510" s="668" t="s">
        <v>576</v>
      </c>
      <c r="B510" s="898">
        <v>40656</v>
      </c>
      <c r="C510" s="335" t="str">
        <f>IF(MID(B510,1,2)="LG",VLOOKUP(B510,Composições!J:M,3,FALSE),IF(MID(B510,1,1)="6",VLOOKUP(B510,transp.!$A$4:$K$19,11,FALSE)&amp;" -  XP="&amp;TEXT(T510,"0.000")&amp;" / XR="&amp;TEXT(V510,"0.000"),VLOOKUP(B510,'DER 11-20'!$A$1:$I$1981,2,FALSE)))</f>
        <v>Boca de saída de dreno profundo BSD-01</v>
      </c>
      <c r="D510" s="934" t="s">
        <v>275</v>
      </c>
      <c r="E510" s="935"/>
      <c r="F510" s="936"/>
      <c r="G510" s="934"/>
      <c r="H510" s="935"/>
      <c r="I510" s="936"/>
      <c r="J510" s="337"/>
      <c r="K510" s="725"/>
      <c r="L510" s="728"/>
      <c r="M510" s="765"/>
      <c r="N510" s="728" t="str">
        <f>CONCATENATE("Total (",IF(MID(B510,1,2)="LG",VLOOKUP(B510,'[1]Compos lug'!J:M,4,FALSE),IF(MID(B510,1,1)="6","t",VLOOKUP(B510,'[1]DER 06-16'!$A$1:$I$2000,3,FALSE))),")")</f>
        <v>Total (un)</v>
      </c>
      <c r="O510" s="305"/>
      <c r="P510" s="307"/>
      <c r="Q510" s="307"/>
      <c r="R510" s="664"/>
      <c r="S510" s="593">
        <f>VLOOKUP("Total",C511:O907,12,FALSE)</f>
        <v>10</v>
      </c>
      <c r="T510" s="593" t="str">
        <f>VLOOKUP("Total",C511:O907,13,FALSE)</f>
        <v>Ud</v>
      </c>
      <c r="U510" s="593"/>
      <c r="V510" s="596"/>
      <c r="W510" s="597"/>
      <c r="X510" s="597"/>
      <c r="Y510" s="597"/>
      <c r="Z510" s="597"/>
      <c r="AA510" s="600"/>
      <c r="AB510" s="598"/>
    </row>
    <row r="511" spans="1:28" x14ac:dyDescent="0.2">
      <c r="A511" s="655"/>
      <c r="B511" s="751"/>
      <c r="C511" s="342" t="s">
        <v>2</v>
      </c>
      <c r="D511" s="343"/>
      <c r="E511" s="340"/>
      <c r="F511" s="568"/>
      <c r="G511" s="569"/>
      <c r="H511" s="344"/>
      <c r="I511" s="344"/>
      <c r="J511" s="341"/>
      <c r="K511" s="346"/>
      <c r="L511" s="346"/>
      <c r="M511" s="346"/>
      <c r="N511" s="348">
        <v>10</v>
      </c>
      <c r="O511" s="349" t="str">
        <f>IF(MID(B510,1,2)="LG",VLOOKUP(B510,Composições!J:M,4,FALSE),IF(MID(B510,1,1)="6",VLOOKUP(B510,transp.!$A$6:$K$35,3,FALSE),VLOOKUP(B510,'DER 11-20'!$A$1:$I$1981,3,FALSE)))</f>
        <v>Ud</v>
      </c>
      <c r="P511" s="350"/>
      <c r="Q511" s="350"/>
      <c r="R511" s="656"/>
      <c r="S511" s="593">
        <f>VLOOKUP("Total",C376:O912,12,FALSE)</f>
        <v>7</v>
      </c>
      <c r="T511" s="593" t="str">
        <f>VLOOKUP("Total",C376:O912,13,FALSE)</f>
        <v>Ud</v>
      </c>
      <c r="U511" s="593"/>
      <c r="V511" s="596"/>
      <c r="W511" s="597"/>
      <c r="X511" s="597"/>
      <c r="Y511" s="597"/>
      <c r="Z511" s="597"/>
      <c r="AA511" s="600"/>
      <c r="AB511" s="598"/>
    </row>
    <row r="512" spans="1:28" x14ac:dyDescent="0.2">
      <c r="A512" s="287"/>
      <c r="B512" s="890"/>
      <c r="C512" s="331"/>
      <c r="F512" s="567"/>
      <c r="G512" s="289"/>
      <c r="H512" s="285"/>
      <c r="K512" s="291"/>
      <c r="L512" s="292"/>
      <c r="M512" s="291"/>
      <c r="N512" s="306"/>
      <c r="O512" s="332"/>
      <c r="P512" s="307"/>
      <c r="Q512" s="307"/>
      <c r="R512" s="659"/>
      <c r="S512" s="593"/>
      <c r="T512" s="593"/>
      <c r="U512" s="593"/>
      <c r="V512" s="596"/>
      <c r="W512" s="597"/>
      <c r="X512" s="597"/>
      <c r="Y512" s="597"/>
      <c r="Z512" s="597"/>
      <c r="AA512" s="600"/>
      <c r="AB512" s="598"/>
    </row>
    <row r="513" spans="1:28" x14ac:dyDescent="0.2">
      <c r="A513" s="652" t="s">
        <v>577</v>
      </c>
      <c r="B513" s="891" t="s">
        <v>681</v>
      </c>
      <c r="C513" s="335" t="s">
        <v>580</v>
      </c>
      <c r="D513" s="934" t="s">
        <v>275</v>
      </c>
      <c r="E513" s="935"/>
      <c r="F513" s="936"/>
      <c r="G513" s="934" t="s">
        <v>276</v>
      </c>
      <c r="H513" s="935"/>
      <c r="I513" s="936"/>
      <c r="J513" s="337" t="s">
        <v>266</v>
      </c>
      <c r="K513" s="728"/>
      <c r="L513" s="765"/>
      <c r="M513" s="728"/>
      <c r="N513" s="728" t="s">
        <v>533</v>
      </c>
      <c r="O513" s="339"/>
      <c r="P513" s="937"/>
      <c r="Q513" s="938"/>
      <c r="R513" s="658"/>
      <c r="S513" s="593">
        <f>VLOOKUP("Total",C514:O1413,12,FALSE)</f>
        <v>1</v>
      </c>
      <c r="T513" s="593" t="str">
        <f>VLOOKUP("Total",C514:O1413,13,FALSE)</f>
        <v>Um</v>
      </c>
      <c r="U513" s="593"/>
      <c r="V513" s="596"/>
      <c r="W513" s="597"/>
      <c r="X513" s="597"/>
      <c r="Y513" s="597"/>
      <c r="Z513" s="597"/>
      <c r="AA513" s="600"/>
      <c r="AB513" s="598"/>
    </row>
    <row r="514" spans="1:28" x14ac:dyDescent="0.2">
      <c r="A514" s="655"/>
      <c r="B514" s="751"/>
      <c r="C514" s="342" t="s">
        <v>2</v>
      </c>
      <c r="D514" s="343"/>
      <c r="E514" s="340"/>
      <c r="F514" s="344"/>
      <c r="G514" s="343"/>
      <c r="H514" s="344"/>
      <c r="I514" s="344"/>
      <c r="J514" s="341"/>
      <c r="K514" s="345"/>
      <c r="L514" s="346"/>
      <c r="M514" s="347"/>
      <c r="N514" s="348">
        <v>1</v>
      </c>
      <c r="O514" s="349" t="s">
        <v>532</v>
      </c>
      <c r="P514" s="673"/>
      <c r="Q514" s="673"/>
      <c r="R514" s="656"/>
      <c r="S514" s="593">
        <f>VLOOKUP("Total",C535:O1447,12,FALSE)</f>
        <v>4.4000000000000004</v>
      </c>
      <c r="T514" s="593" t="str">
        <f>VLOOKUP("Total",C535:O1447,13,FALSE)</f>
        <v>M2</v>
      </c>
      <c r="U514" s="593"/>
      <c r="V514" s="596"/>
      <c r="W514" s="597"/>
      <c r="X514" s="597"/>
      <c r="Y514" s="597"/>
      <c r="Z514" s="597"/>
      <c r="AA514" s="600"/>
      <c r="AB514" s="598"/>
    </row>
    <row r="515" spans="1:28" x14ac:dyDescent="0.2">
      <c r="A515" s="287"/>
      <c r="B515" s="890"/>
      <c r="C515" s="331"/>
      <c r="F515" s="567"/>
      <c r="G515" s="289"/>
      <c r="H515" s="285"/>
      <c r="K515" s="291"/>
      <c r="L515" s="292"/>
      <c r="M515" s="291"/>
      <c r="N515" s="306"/>
      <c r="O515" s="332"/>
      <c r="P515" s="307"/>
      <c r="Q515" s="307"/>
      <c r="R515" s="659"/>
      <c r="S515" s="593"/>
      <c r="T515" s="593"/>
      <c r="U515" s="593"/>
      <c r="V515" s="596"/>
      <c r="W515" s="597"/>
      <c r="X515" s="597"/>
      <c r="Y515" s="597"/>
      <c r="Z515" s="597"/>
      <c r="AA515" s="600"/>
      <c r="AB515" s="598"/>
    </row>
    <row r="516" spans="1:28" x14ac:dyDescent="0.2">
      <c r="A516" s="652" t="s">
        <v>578</v>
      </c>
      <c r="B516" s="891" t="s">
        <v>682</v>
      </c>
      <c r="C516" s="335" t="s">
        <v>581</v>
      </c>
      <c r="D516" s="934" t="s">
        <v>275</v>
      </c>
      <c r="E516" s="935"/>
      <c r="F516" s="936"/>
      <c r="G516" s="934" t="s">
        <v>276</v>
      </c>
      <c r="H516" s="935"/>
      <c r="I516" s="936"/>
      <c r="J516" s="337" t="s">
        <v>266</v>
      </c>
      <c r="K516" s="728"/>
      <c r="L516" s="765"/>
      <c r="M516" s="728"/>
      <c r="N516" s="728" t="s">
        <v>559</v>
      </c>
      <c r="O516" s="339"/>
      <c r="P516" s="937"/>
      <c r="Q516" s="938"/>
      <c r="R516" s="658"/>
      <c r="S516" s="593">
        <f>VLOOKUP("Total",C517:O1416,12,FALSE)</f>
        <v>3</v>
      </c>
      <c r="T516" s="593" t="str">
        <f>VLOOKUP("Total",C517:O1416,13,FALSE)</f>
        <v>M</v>
      </c>
      <c r="U516" s="593"/>
      <c r="V516" s="596"/>
      <c r="W516" s="597"/>
      <c r="X516" s="597"/>
      <c r="Y516" s="597"/>
      <c r="Z516" s="597"/>
      <c r="AA516" s="600"/>
      <c r="AB516" s="598"/>
    </row>
    <row r="517" spans="1:28" x14ac:dyDescent="0.2">
      <c r="A517" s="655"/>
      <c r="B517" s="751"/>
      <c r="C517" s="342" t="s">
        <v>2</v>
      </c>
      <c r="D517" s="343"/>
      <c r="E517" s="340"/>
      <c r="F517" s="344"/>
      <c r="G517" s="343"/>
      <c r="H517" s="344"/>
      <c r="I517" s="344"/>
      <c r="J517" s="341"/>
      <c r="K517" s="345"/>
      <c r="L517" s="346"/>
      <c r="M517" s="347"/>
      <c r="N517" s="348">
        <v>3</v>
      </c>
      <c r="O517" s="349" t="s">
        <v>397</v>
      </c>
      <c r="P517" s="673"/>
      <c r="Q517" s="673"/>
      <c r="R517" s="656"/>
      <c r="S517" s="593">
        <f>VLOOKUP("Total",C535:O1450,12,FALSE)</f>
        <v>4.4000000000000004</v>
      </c>
      <c r="T517" s="593" t="str">
        <f>VLOOKUP("Total",C535:O1450,13,FALSE)</f>
        <v>M2</v>
      </c>
      <c r="U517" s="593"/>
      <c r="V517" s="596"/>
      <c r="W517" s="597"/>
      <c r="X517" s="597"/>
      <c r="Y517" s="597"/>
      <c r="Z517" s="597"/>
      <c r="AA517" s="600"/>
      <c r="AB517" s="598"/>
    </row>
    <row r="518" spans="1:28" x14ac:dyDescent="0.2">
      <c r="A518" s="287"/>
      <c r="B518" s="890"/>
      <c r="C518" s="331"/>
      <c r="F518" s="567"/>
      <c r="G518" s="289"/>
      <c r="H518" s="285"/>
      <c r="K518" s="291"/>
      <c r="L518" s="292"/>
      <c r="M518" s="291"/>
      <c r="N518" s="306"/>
      <c r="O518" s="332"/>
      <c r="P518" s="307"/>
      <c r="Q518" s="307"/>
      <c r="R518" s="659"/>
      <c r="S518" s="593"/>
      <c r="T518" s="593"/>
      <c r="U518" s="593"/>
      <c r="V518" s="596"/>
      <c r="W518" s="597"/>
      <c r="X518" s="597"/>
      <c r="Y518" s="597"/>
      <c r="Z518" s="597"/>
      <c r="AA518" s="600"/>
      <c r="AB518" s="598"/>
    </row>
    <row r="519" spans="1:28" x14ac:dyDescent="0.2">
      <c r="A519" s="652" t="s">
        <v>579</v>
      </c>
      <c r="B519" s="891" t="s">
        <v>683</v>
      </c>
      <c r="C519" s="335" t="s">
        <v>582</v>
      </c>
      <c r="D519" s="934" t="s">
        <v>275</v>
      </c>
      <c r="E519" s="935"/>
      <c r="F519" s="936"/>
      <c r="G519" s="934" t="s">
        <v>276</v>
      </c>
      <c r="H519" s="935"/>
      <c r="I519" s="936"/>
      <c r="J519" s="337" t="s">
        <v>266</v>
      </c>
      <c r="K519" s="728"/>
      <c r="L519" s="765"/>
      <c r="M519" s="728"/>
      <c r="N519" s="728" t="s">
        <v>559</v>
      </c>
      <c r="O519" s="339"/>
      <c r="P519" s="937"/>
      <c r="Q519" s="938"/>
      <c r="R519" s="658"/>
      <c r="S519" s="593">
        <f>VLOOKUP("Total",C520:O1419,12,FALSE)</f>
        <v>30</v>
      </c>
      <c r="T519" s="593" t="str">
        <f>VLOOKUP("Total",C520:O1419,13,FALSE)</f>
        <v>M</v>
      </c>
      <c r="U519" s="593"/>
      <c r="V519" s="596"/>
      <c r="W519" s="597"/>
      <c r="X519" s="597"/>
      <c r="Y519" s="597"/>
      <c r="Z519" s="597"/>
      <c r="AA519" s="600"/>
      <c r="AB519" s="598"/>
    </row>
    <row r="520" spans="1:28" x14ac:dyDescent="0.2">
      <c r="A520" s="655"/>
      <c r="B520" s="751"/>
      <c r="C520" s="342" t="s">
        <v>2</v>
      </c>
      <c r="D520" s="343"/>
      <c r="E520" s="340"/>
      <c r="F520" s="344"/>
      <c r="G520" s="343"/>
      <c r="H520" s="344"/>
      <c r="I520" s="344"/>
      <c r="J520" s="341"/>
      <c r="K520" s="345"/>
      <c r="L520" s="346"/>
      <c r="M520" s="347"/>
      <c r="N520" s="348">
        <v>30</v>
      </c>
      <c r="O520" s="349" t="s">
        <v>397</v>
      </c>
      <c r="P520" s="673"/>
      <c r="Q520" s="673"/>
      <c r="R520" s="656"/>
      <c r="S520" s="593">
        <f>VLOOKUP("Total",C535:O1453,12,FALSE)</f>
        <v>4.4000000000000004</v>
      </c>
      <c r="T520" s="593" t="str">
        <f>VLOOKUP("Total",C535:O1453,13,FALSE)</f>
        <v>M2</v>
      </c>
      <c r="U520" s="593"/>
      <c r="V520" s="596"/>
      <c r="W520" s="597"/>
      <c r="X520" s="597"/>
      <c r="Y520" s="597"/>
      <c r="Z520" s="597"/>
      <c r="AA520" s="600"/>
      <c r="AB520" s="598"/>
    </row>
    <row r="521" spans="1:28" x14ac:dyDescent="0.2">
      <c r="A521" s="287"/>
      <c r="B521" s="890"/>
      <c r="C521" s="331"/>
      <c r="H521" s="285"/>
      <c r="N521" s="306"/>
      <c r="O521" s="332"/>
      <c r="P521" s="307"/>
      <c r="Q521" s="307"/>
      <c r="R521" s="659"/>
      <c r="S521" s="593">
        <f>VLOOKUP("Total",C522:O1387,12,FALSE)</f>
        <v>7944.34</v>
      </c>
      <c r="T521" s="593" t="str">
        <f>VLOOKUP("Total",C522:O1387,13,FALSE)</f>
        <v>M</v>
      </c>
      <c r="U521" s="593"/>
      <c r="V521" s="596"/>
      <c r="W521" s="597"/>
      <c r="X521" s="597"/>
      <c r="Y521" s="597"/>
      <c r="Z521" s="597"/>
      <c r="AA521" s="600"/>
      <c r="AB521" s="598"/>
    </row>
    <row r="522" spans="1:28" x14ac:dyDescent="0.2">
      <c r="A522" s="661">
        <v>6</v>
      </c>
      <c r="B522" s="752"/>
      <c r="C522" s="375" t="s">
        <v>279</v>
      </c>
      <c r="D522" s="376"/>
      <c r="E522" s="377"/>
      <c r="F522" s="378"/>
      <c r="G522" s="376"/>
      <c r="H522" s="377"/>
      <c r="I522" s="378"/>
      <c r="J522" s="379"/>
      <c r="K522" s="380"/>
      <c r="L522" s="381"/>
      <c r="M522" s="382"/>
      <c r="N522" s="381"/>
      <c r="O522" s="379"/>
      <c r="P522" s="383"/>
      <c r="Q522" s="383"/>
      <c r="R522" s="662"/>
      <c r="S522" s="593">
        <f>VLOOKUP("Total",C535:O1388,12,FALSE)</f>
        <v>4.4000000000000004</v>
      </c>
      <c r="T522" s="593" t="str">
        <f>VLOOKUP("Total",C535:O1388,13,FALSE)</f>
        <v>M2</v>
      </c>
      <c r="U522" s="593"/>
      <c r="V522" s="596"/>
      <c r="W522" s="597"/>
      <c r="X522" s="597"/>
      <c r="Y522" s="597"/>
      <c r="Z522" s="597"/>
      <c r="AA522" s="600"/>
      <c r="AB522" s="598"/>
    </row>
    <row r="523" spans="1:28" x14ac:dyDescent="0.2">
      <c r="A523" s="287"/>
      <c r="B523" s="890"/>
      <c r="C523" s="331"/>
      <c r="F523" s="567"/>
      <c r="G523" s="289"/>
      <c r="H523" s="285"/>
      <c r="K523" s="291"/>
      <c r="L523" s="292"/>
      <c r="M523" s="291"/>
      <c r="N523" s="306"/>
      <c r="O523" s="332"/>
      <c r="P523" s="307"/>
      <c r="Q523" s="307"/>
      <c r="R523" s="659"/>
      <c r="S523" s="593"/>
      <c r="T523" s="593"/>
      <c r="U523" s="593"/>
      <c r="V523" s="596"/>
      <c r="W523" s="597"/>
      <c r="X523" s="597"/>
      <c r="Y523" s="597"/>
      <c r="Z523" s="597"/>
      <c r="AA523" s="600"/>
      <c r="AB523" s="598"/>
    </row>
    <row r="524" spans="1:28" ht="25.5" x14ac:dyDescent="0.2">
      <c r="A524" s="652" t="s">
        <v>139</v>
      </c>
      <c r="B524" s="891" t="s">
        <v>684</v>
      </c>
      <c r="C524" s="335" t="s">
        <v>584</v>
      </c>
      <c r="D524" s="934" t="s">
        <v>275</v>
      </c>
      <c r="E524" s="935"/>
      <c r="F524" s="936"/>
      <c r="G524" s="934" t="s">
        <v>276</v>
      </c>
      <c r="H524" s="935"/>
      <c r="I524" s="936"/>
      <c r="J524" s="337" t="s">
        <v>266</v>
      </c>
      <c r="K524" s="728"/>
      <c r="L524" s="769"/>
      <c r="M524" s="728"/>
      <c r="N524" s="728" t="s">
        <v>559</v>
      </c>
      <c r="O524" s="339"/>
      <c r="P524" s="937"/>
      <c r="Q524" s="938"/>
      <c r="R524" s="658"/>
      <c r="S524" s="593">
        <f>VLOOKUP("Total",C525:O1445,12,FALSE)</f>
        <v>7944.34</v>
      </c>
      <c r="T524" s="593" t="str">
        <f>VLOOKUP("Total",C525:O1445,13,FALSE)</f>
        <v>M</v>
      </c>
      <c r="U524" s="593"/>
      <c r="V524" s="596"/>
      <c r="W524" s="597"/>
      <c r="X524" s="597"/>
      <c r="Y524" s="597"/>
      <c r="Z524" s="597"/>
      <c r="AA524" s="600"/>
      <c r="AB524" s="598"/>
    </row>
    <row r="525" spans="1:28" x14ac:dyDescent="0.2">
      <c r="A525" s="655"/>
      <c r="B525" s="751"/>
      <c r="C525" s="342" t="s">
        <v>2</v>
      </c>
      <c r="D525" s="343"/>
      <c r="E525" s="340"/>
      <c r="F525" s="344"/>
      <c r="G525" s="343"/>
      <c r="H525" s="344"/>
      <c r="I525" s="344"/>
      <c r="J525" s="341"/>
      <c r="K525" s="345"/>
      <c r="L525" s="346"/>
      <c r="M525" s="347"/>
      <c r="N525" s="348">
        <v>7944.34</v>
      </c>
      <c r="O525" s="349" t="s">
        <v>397</v>
      </c>
      <c r="P525" s="770"/>
      <c r="Q525" s="350"/>
      <c r="R525" s="656"/>
      <c r="S525" s="593" t="e">
        <f>VLOOKUP("Total",C621:O1479,12,FALSE)</f>
        <v>#N/A</v>
      </c>
      <c r="T525" s="593" t="e">
        <f>VLOOKUP("Total",C621:O1479,13,FALSE)</f>
        <v>#N/A</v>
      </c>
      <c r="U525" s="593"/>
      <c r="V525" s="596"/>
      <c r="W525" s="597"/>
      <c r="X525" s="597"/>
      <c r="Y525" s="597"/>
      <c r="Z525" s="597"/>
      <c r="AA525" s="600"/>
      <c r="AB525" s="598"/>
    </row>
    <row r="526" spans="1:28" x14ac:dyDescent="0.2">
      <c r="A526" s="287"/>
      <c r="B526" s="890"/>
      <c r="C526" s="331"/>
      <c r="H526" s="285"/>
      <c r="N526" s="306"/>
      <c r="O526" s="332"/>
      <c r="P526" s="307"/>
      <c r="Q526" s="307"/>
      <c r="R526" s="659"/>
      <c r="S526" s="593">
        <f>VLOOKUP("Total",C527:O1537,12,FALSE)</f>
        <v>2260</v>
      </c>
      <c r="T526" s="593" t="str">
        <f>VLOOKUP("Total",C527:O1537,13,FALSE)</f>
        <v>M</v>
      </c>
      <c r="U526" s="593"/>
      <c r="V526" s="596"/>
      <c r="W526" s="597"/>
      <c r="X526" s="597"/>
      <c r="Y526" s="597"/>
      <c r="Z526" s="597"/>
      <c r="AA526" s="600"/>
      <c r="AB526" s="598"/>
    </row>
    <row r="527" spans="1:28" ht="24" customHeight="1" x14ac:dyDescent="0.2">
      <c r="A527" s="668" t="s">
        <v>141</v>
      </c>
      <c r="B527" s="891">
        <v>40929</v>
      </c>
      <c r="C527" s="335" t="str">
        <f>IF(MID(B527,1,2)="LG",VLOOKUP(B527,Composições!J:M,3,FALSE),IF(MID(B527,1,1)="6",VLOOKUP(B527,transp.!$A$4:$K$19,11,FALSE)&amp;" -  XP="&amp;TEXT(#REF!,"0.000")&amp;" / XR="&amp;TEXT(#REF!,"0.000"),VLOOKUP(B527,'DER 11-20'!$A$1:$I$1981,2,FALSE)))</f>
        <v>Defensa metálica (1 lâmina com espessura = 3 mm), fornecimento e colocação</v>
      </c>
      <c r="D527" s="934" t="s">
        <v>275</v>
      </c>
      <c r="E527" s="935"/>
      <c r="F527" s="936"/>
      <c r="G527" s="934" t="s">
        <v>276</v>
      </c>
      <c r="H527" s="935"/>
      <c r="I527" s="936"/>
      <c r="J527" s="337" t="s">
        <v>266</v>
      </c>
      <c r="K527" s="728" t="s">
        <v>274</v>
      </c>
      <c r="L527" s="728"/>
      <c r="M527" s="769"/>
      <c r="N527" s="728" t="str">
        <f>CONCATENATE("Total (",IF(MID(B527,1,2)="LG",VLOOKUP(B527,Composições!J:M,4,FALSE),IF(MID(B527,1,1)="6","t",VLOOKUP(B527,'DER 11-20'!$A$1:$I$1981,3,FALSE))),")")</f>
        <v>Total (M)</v>
      </c>
      <c r="O527" s="305"/>
      <c r="P527" s="937" t="s">
        <v>277</v>
      </c>
      <c r="Q527" s="938"/>
      <c r="R527" s="664"/>
      <c r="S527" s="593">
        <f>VLOOKUP("Total",C528:O1538,12,FALSE)</f>
        <v>2260</v>
      </c>
      <c r="T527" s="593" t="str">
        <f>VLOOKUP("Total",C528:O1538,13,FALSE)</f>
        <v>M</v>
      </c>
      <c r="U527" s="593"/>
      <c r="V527" s="596"/>
      <c r="W527" s="597"/>
      <c r="X527" s="597"/>
      <c r="Y527" s="597"/>
      <c r="Z527" s="597"/>
      <c r="AA527" s="600"/>
      <c r="AB527" s="598"/>
    </row>
    <row r="528" spans="1:28" x14ac:dyDescent="0.2">
      <c r="A528" s="655"/>
      <c r="B528" s="751"/>
      <c r="C528" s="342" t="s">
        <v>2</v>
      </c>
      <c r="D528" s="343"/>
      <c r="E528" s="340"/>
      <c r="F528" s="344"/>
      <c r="G528" s="343"/>
      <c r="H528" s="344"/>
      <c r="I528" s="344"/>
      <c r="J528" s="341"/>
      <c r="K528" s="345"/>
      <c r="L528" s="346"/>
      <c r="M528" s="347"/>
      <c r="N528" s="348">
        <v>2260</v>
      </c>
      <c r="O528" s="349" t="str">
        <f>IF(MID(B527,1,2)="LG",VLOOKUP(B527,Composições!J:M,4,FALSE),IF(MID(B527,1,1)="6",VLOOKUP(B527,transp.!$A$6:$K$35,3,FALSE),VLOOKUP(B527,'DER 11-20'!$A$1:$I$1981,3,FALSE)))</f>
        <v>M</v>
      </c>
      <c r="P528" s="350"/>
      <c r="Q528" s="350"/>
      <c r="R528" s="656"/>
      <c r="S528" s="593">
        <f>VLOOKUP("Total",C529:O1558,12,FALSE)</f>
        <v>6669.34</v>
      </c>
      <c r="T528" s="593" t="str">
        <f>VLOOKUP("Total",C529:O1558,13,FALSE)</f>
        <v>M</v>
      </c>
      <c r="U528" s="593"/>
      <c r="V528" s="596"/>
      <c r="W528" s="597"/>
      <c r="X528" s="597"/>
      <c r="Y528" s="597"/>
      <c r="Z528" s="597"/>
      <c r="AA528" s="600"/>
      <c r="AB528" s="598"/>
    </row>
    <row r="529" spans="1:28" x14ac:dyDescent="0.2">
      <c r="A529" s="287"/>
      <c r="B529" s="890"/>
      <c r="C529" s="331"/>
      <c r="H529" s="285"/>
      <c r="N529" s="306"/>
      <c r="O529" s="332"/>
      <c r="P529" s="307"/>
      <c r="Q529" s="307"/>
      <c r="R529" s="659"/>
      <c r="S529" s="593">
        <f>VLOOKUP("Total",C530:O1559,12,FALSE)</f>
        <v>6669.34</v>
      </c>
      <c r="T529" s="593" t="str">
        <f>VLOOKUP("Total",C530:O1559,13,FALSE)</f>
        <v>M</v>
      </c>
      <c r="U529" s="593"/>
      <c r="V529" s="596"/>
      <c r="W529" s="597"/>
      <c r="X529" s="597"/>
      <c r="Y529" s="597"/>
      <c r="Z529" s="597"/>
      <c r="AA529" s="600"/>
      <c r="AB529" s="598"/>
    </row>
    <row r="530" spans="1:28" x14ac:dyDescent="0.2">
      <c r="A530" s="668" t="s">
        <v>583</v>
      </c>
      <c r="B530" s="891">
        <v>41109</v>
      </c>
      <c r="C530" s="335" t="str">
        <f>IF(MID(B530,1,2)="LG",VLOOKUP(B530,Composições!J:M,3,FALSE),IF(MID(B530,1,1)="6",VLOOKUP(B530,transp.!$A$4:$K$19,11,FALSE)&amp;" -  XP="&amp;TEXT(#REF!,"0.000")&amp;" / XR="&amp;TEXT(#REF!,"0.000"),VLOOKUP(B530,'DER 11-20'!$A$1:$I$1981,2,FALSE)))</f>
        <v>Demolição de cerca de madeira com 4 fios</v>
      </c>
      <c r="D530" s="934" t="s">
        <v>275</v>
      </c>
      <c r="E530" s="935"/>
      <c r="F530" s="936"/>
      <c r="G530" s="934" t="s">
        <v>276</v>
      </c>
      <c r="H530" s="935"/>
      <c r="I530" s="936"/>
      <c r="J530" s="337" t="s">
        <v>266</v>
      </c>
      <c r="K530" s="728" t="s">
        <v>274</v>
      </c>
      <c r="L530" s="728"/>
      <c r="M530" s="769"/>
      <c r="N530" s="728" t="str">
        <f>CONCATENATE("Total (",IF(MID(B530,1,2)="LG",VLOOKUP(B530,Composições!J:M,4,FALSE),IF(MID(B530,1,1)="6","t",VLOOKUP(B530,'DER 11-20'!$A$1:$I$1981,3,FALSE))),")")</f>
        <v>Total (M)</v>
      </c>
      <c r="O530" s="305"/>
      <c r="P530" s="937" t="s">
        <v>277</v>
      </c>
      <c r="Q530" s="938"/>
      <c r="R530" s="664"/>
      <c r="S530" s="593">
        <f>VLOOKUP("Total",C531:O1560,12,FALSE)</f>
        <v>6669.34</v>
      </c>
      <c r="T530" s="593" t="str">
        <f>VLOOKUP("Total",C531:O1560,13,FALSE)</f>
        <v>M</v>
      </c>
      <c r="U530" s="593"/>
      <c r="V530" s="596"/>
      <c r="W530" s="597"/>
      <c r="X530" s="597"/>
      <c r="Y530" s="597"/>
      <c r="Z530" s="597"/>
      <c r="AA530" s="600"/>
      <c r="AB530" s="598"/>
    </row>
    <row r="531" spans="1:28" x14ac:dyDescent="0.2">
      <c r="A531" s="655"/>
      <c r="B531" s="751"/>
      <c r="C531" s="342" t="s">
        <v>2</v>
      </c>
      <c r="D531" s="343"/>
      <c r="E531" s="340"/>
      <c r="F531" s="344"/>
      <c r="G531" s="343"/>
      <c r="H531" s="344"/>
      <c r="I531" s="344"/>
      <c r="J531" s="341"/>
      <c r="K531" s="345"/>
      <c r="L531" s="346"/>
      <c r="M531" s="347"/>
      <c r="N531" s="348">
        <v>6669.34</v>
      </c>
      <c r="O531" s="349" t="str">
        <f>IF(MID(B530,1,2)="LG",VLOOKUP(B530,Composições!J:M,4,FALSE),IF(MID(B530,1,1)="6",VLOOKUP(B530,transp.!$A$6:$K$35,3,FALSE),VLOOKUP(B530,'DER 11-20'!$A$1:$I$1981,3,FALSE)))</f>
        <v>M</v>
      </c>
      <c r="P531" s="350"/>
      <c r="Q531" s="350"/>
      <c r="R531" s="656"/>
      <c r="S531" s="593">
        <f>VLOOKUP("Total",C532:O1590,12,FALSE)</f>
        <v>1187.7</v>
      </c>
      <c r="T531" s="593" t="str">
        <f>VLOOKUP("Total",C532:O1590,13,FALSE)</f>
        <v>M2</v>
      </c>
      <c r="U531" s="593"/>
      <c r="V531" s="596"/>
      <c r="W531" s="597"/>
      <c r="X531" s="597"/>
      <c r="Y531" s="597"/>
      <c r="Z531" s="597"/>
      <c r="AA531" s="600"/>
      <c r="AB531" s="598"/>
    </row>
    <row r="532" spans="1:28" x14ac:dyDescent="0.2">
      <c r="A532" s="287"/>
      <c r="B532" s="890"/>
      <c r="C532" s="331"/>
      <c r="H532" s="285"/>
      <c r="N532" s="306"/>
      <c r="O532" s="332"/>
      <c r="P532" s="307"/>
      <c r="Q532" s="307"/>
      <c r="R532" s="659"/>
      <c r="S532" s="593">
        <f>VLOOKUP("Total",C533:O1591,12,FALSE)</f>
        <v>1187.7</v>
      </c>
      <c r="T532" s="593" t="str">
        <f>VLOOKUP("Total",C533:O1591,13,FALSE)</f>
        <v>M2</v>
      </c>
      <c r="U532" s="593"/>
      <c r="V532" s="596"/>
      <c r="W532" s="597"/>
      <c r="X532" s="597"/>
      <c r="Y532" s="597"/>
      <c r="Z532" s="597"/>
      <c r="AA532" s="600"/>
      <c r="AB532" s="598"/>
    </row>
    <row r="533" spans="1:28" ht="38.25" x14ac:dyDescent="0.2">
      <c r="A533" s="668" t="s">
        <v>585</v>
      </c>
      <c r="B533" s="891">
        <v>40915</v>
      </c>
      <c r="C533" s="335" t="str">
        <f>IF(MID(B533,1,2)="LG",VLOOKUP(B533,Composições!J:M,3,FALSE),IF(MID(B533,1,1)="6",VLOOKUP(B533,transp.!$A$4:$K$19,11,FALSE)&amp;" -  XP="&amp;TEXT(#REF!,"0.000")&amp;" / XR="&amp;TEXT(#REF!,"0.000"),VLOOKUP(B533,'DER 11-20'!$A$1:$I$1981,2,FALSE)))</f>
        <v>Calçada de concreto fck=15 MP, camurçado c/ argam. cimento e areia 1:4, lastro de brita e 8 cm de concreto, incl. preparo da caixa e transp. da brita</v>
      </c>
      <c r="D533" s="934" t="s">
        <v>275</v>
      </c>
      <c r="E533" s="935"/>
      <c r="F533" s="936"/>
      <c r="G533" s="934" t="s">
        <v>276</v>
      </c>
      <c r="H533" s="935"/>
      <c r="I533" s="936"/>
      <c r="J533" s="337" t="s">
        <v>266</v>
      </c>
      <c r="K533" s="728" t="s">
        <v>274</v>
      </c>
      <c r="L533" s="728"/>
      <c r="M533" s="769"/>
      <c r="N533" s="728" t="str">
        <f>CONCATENATE("Total (",IF(MID(B533,1,2)="LG",VLOOKUP(B533,Composições!J:M,4,FALSE),IF(MID(B533,1,1)="6","t",VLOOKUP(B533,'DER 11-20'!$A$1:$I$1981,3,FALSE))),")")</f>
        <v>Total (M2)</v>
      </c>
      <c r="O533" s="305"/>
      <c r="P533" s="937" t="s">
        <v>277</v>
      </c>
      <c r="Q533" s="938"/>
      <c r="R533" s="664"/>
      <c r="S533" s="593">
        <f>VLOOKUP("Total",C534:O1592,12,FALSE)</f>
        <v>1187.7</v>
      </c>
      <c r="T533" s="593" t="str">
        <f>VLOOKUP("Total",C534:O1592,13,FALSE)</f>
        <v>M2</v>
      </c>
      <c r="U533" s="593"/>
      <c r="V533" s="596"/>
      <c r="W533" s="597"/>
      <c r="X533" s="597"/>
      <c r="Y533" s="597"/>
      <c r="Z533" s="597"/>
      <c r="AA533" s="600"/>
      <c r="AB533" s="598"/>
    </row>
    <row r="534" spans="1:28" x14ac:dyDescent="0.2">
      <c r="A534" s="655"/>
      <c r="B534" s="751"/>
      <c r="C534" s="342" t="s">
        <v>2</v>
      </c>
      <c r="D534" s="343"/>
      <c r="E534" s="340"/>
      <c r="F534" s="344"/>
      <c r="G534" s="343"/>
      <c r="H534" s="344"/>
      <c r="I534" s="344"/>
      <c r="J534" s="341"/>
      <c r="K534" s="345"/>
      <c r="L534" s="346"/>
      <c r="M534" s="347"/>
      <c r="N534" s="348">
        <v>1187.7</v>
      </c>
      <c r="O534" s="349" t="str">
        <f>IF(MID(B533,1,2)="LG",VLOOKUP(B533,Composições!J:M,4,FALSE),IF(MID(B533,1,1)="6",VLOOKUP(B533,transp.!$A$6:$K$35,3,FALSE),VLOOKUP(B533,'DER 11-20'!$A$1:$I$1981,3,FALSE)))</f>
        <v>M2</v>
      </c>
      <c r="P534" s="350"/>
      <c r="Q534" s="350"/>
      <c r="R534" s="656"/>
      <c r="S534" s="593">
        <f>VLOOKUP("Total",C535:O1596,12,FALSE)</f>
        <v>4.4000000000000004</v>
      </c>
      <c r="T534" s="593" t="str">
        <f>VLOOKUP("Total",C535:O1596,13,FALSE)</f>
        <v>M2</v>
      </c>
      <c r="U534" s="593"/>
      <c r="V534" s="596"/>
      <c r="W534" s="597"/>
      <c r="X534" s="597"/>
      <c r="Y534" s="597"/>
      <c r="Z534" s="597"/>
      <c r="AA534" s="600"/>
      <c r="AB534" s="598"/>
    </row>
    <row r="535" spans="1:28" x14ac:dyDescent="0.2">
      <c r="A535" s="651"/>
      <c r="B535" s="898">
        <v>40936</v>
      </c>
      <c r="C535" s="375" t="s">
        <v>603</v>
      </c>
      <c r="H535" s="285"/>
      <c r="N535" s="306"/>
      <c r="O535" s="332"/>
      <c r="P535" s="307"/>
      <c r="Q535" s="307"/>
      <c r="R535" s="659"/>
      <c r="S535" s="593">
        <f>VLOOKUP("Total",C537:O1862,12,FALSE)</f>
        <v>4.4000000000000004</v>
      </c>
      <c r="T535" s="593" t="str">
        <f>VLOOKUP("Total",C537:O1862,13,FALSE)</f>
        <v>M2</v>
      </c>
      <c r="U535" s="593"/>
      <c r="V535" s="596"/>
      <c r="W535" s="597"/>
      <c r="X535" s="597"/>
      <c r="Y535" s="597"/>
      <c r="Z535" s="597"/>
      <c r="AA535" s="600"/>
      <c r="AB535" s="598"/>
    </row>
    <row r="536" spans="1:28" x14ac:dyDescent="0.2">
      <c r="A536" s="651"/>
      <c r="B536" s="890"/>
      <c r="C536" s="594"/>
      <c r="H536" s="285"/>
      <c r="N536" s="306"/>
      <c r="O536" s="332"/>
      <c r="P536" s="307"/>
      <c r="Q536" s="307"/>
      <c r="R536" s="659"/>
      <c r="S536" s="593"/>
      <c r="T536" s="593"/>
      <c r="U536" s="593"/>
      <c r="V536" s="596"/>
      <c r="W536" s="597"/>
      <c r="X536" s="597"/>
      <c r="Y536" s="597"/>
      <c r="Z536" s="597"/>
      <c r="AA536" s="600"/>
      <c r="AB536" s="598"/>
    </row>
    <row r="537" spans="1:28" x14ac:dyDescent="0.2">
      <c r="A537" s="652" t="s">
        <v>586</v>
      </c>
      <c r="B537" s="891"/>
      <c r="C537" s="335" t="s">
        <v>604</v>
      </c>
      <c r="D537" s="934"/>
      <c r="E537" s="935"/>
      <c r="F537" s="936"/>
      <c r="G537" s="766"/>
      <c r="H537" s="767"/>
      <c r="I537" s="386"/>
      <c r="J537" s="337"/>
      <c r="K537" s="725"/>
      <c r="L537" s="728"/>
      <c r="M537" s="769"/>
      <c r="N537" s="728" t="s">
        <v>437</v>
      </c>
      <c r="O537" s="339"/>
      <c r="P537" s="768"/>
      <c r="Q537" s="768"/>
      <c r="R537" s="658"/>
      <c r="S537" s="593">
        <f>VLOOKUP("Total",C538:O1863,12,FALSE)</f>
        <v>4.4000000000000004</v>
      </c>
      <c r="T537" s="593" t="str">
        <f>VLOOKUP("Total",C538:O1863,13,FALSE)</f>
        <v>M2</v>
      </c>
      <c r="U537" s="593"/>
      <c r="V537" s="596"/>
      <c r="W537" s="597"/>
      <c r="X537" s="597"/>
      <c r="Y537" s="597"/>
      <c r="Z537" s="597"/>
      <c r="AA537" s="600"/>
      <c r="AB537" s="598"/>
    </row>
    <row r="538" spans="1:28" x14ac:dyDescent="0.2">
      <c r="A538" s="655"/>
      <c r="B538" s="751"/>
      <c r="C538" s="342" t="s">
        <v>2</v>
      </c>
      <c r="D538" s="343"/>
      <c r="E538" s="340"/>
      <c r="F538" s="344"/>
      <c r="G538" s="343"/>
      <c r="H538" s="344"/>
      <c r="I538" s="344"/>
      <c r="J538" s="341"/>
      <c r="K538" s="345"/>
      <c r="L538" s="346"/>
      <c r="M538" s="347"/>
      <c r="N538" s="348">
        <v>4.4000000000000004</v>
      </c>
      <c r="O538" s="349" t="s">
        <v>394</v>
      </c>
      <c r="P538" s="350"/>
      <c r="Q538" s="350"/>
      <c r="R538" s="656"/>
      <c r="S538" s="593">
        <f>VLOOKUP("Total",C539:O1868,12,FALSE)</f>
        <v>10.44</v>
      </c>
      <c r="T538" s="593" t="str">
        <f>VLOOKUP("Total",C539:O1868,13,FALSE)</f>
        <v>M2</v>
      </c>
      <c r="U538" s="593"/>
      <c r="V538" s="596"/>
      <c r="W538" s="597"/>
      <c r="X538" s="597"/>
      <c r="Y538" s="597"/>
      <c r="Z538" s="597"/>
      <c r="AA538" s="600"/>
      <c r="AB538" s="598"/>
    </row>
    <row r="539" spans="1:28" x14ac:dyDescent="0.2">
      <c r="A539" s="287"/>
      <c r="B539" s="890"/>
      <c r="C539" s="331"/>
      <c r="H539" s="285"/>
      <c r="N539" s="306"/>
      <c r="O539" s="332"/>
      <c r="P539" s="307"/>
      <c r="Q539" s="307"/>
      <c r="R539" s="659"/>
      <c r="S539" s="593">
        <f>VLOOKUP("Total",C540:O1869,12,FALSE)</f>
        <v>10.44</v>
      </c>
      <c r="T539" s="593" t="str">
        <f>VLOOKUP("Total",C540:O1869,13,FALSE)</f>
        <v>M2</v>
      </c>
      <c r="U539" s="593"/>
      <c r="V539" s="596"/>
      <c r="W539" s="597"/>
      <c r="X539" s="597"/>
      <c r="Y539" s="597"/>
      <c r="Z539" s="597"/>
      <c r="AA539" s="600"/>
      <c r="AB539" s="598"/>
    </row>
    <row r="540" spans="1:28" x14ac:dyDescent="0.2">
      <c r="A540" s="652" t="s">
        <v>587</v>
      </c>
      <c r="B540" s="891"/>
      <c r="C540" s="335" t="s">
        <v>605</v>
      </c>
      <c r="D540" s="934"/>
      <c r="E540" s="935"/>
      <c r="F540" s="936"/>
      <c r="G540" s="766"/>
      <c r="H540" s="767"/>
      <c r="I540" s="386"/>
      <c r="J540" s="337"/>
      <c r="K540" s="725"/>
      <c r="L540" s="728"/>
      <c r="M540" s="769"/>
      <c r="N540" s="728" t="s">
        <v>437</v>
      </c>
      <c r="O540" s="339"/>
      <c r="P540" s="768"/>
      <c r="Q540" s="768"/>
      <c r="R540" s="658"/>
      <c r="S540" s="593">
        <f>VLOOKUP("Total",C541:O1870,12,FALSE)</f>
        <v>10.44</v>
      </c>
      <c r="T540" s="593" t="str">
        <f>VLOOKUP("Total",C541:O1870,13,FALSE)</f>
        <v>M2</v>
      </c>
      <c r="U540" s="593"/>
      <c r="V540" s="596"/>
      <c r="W540" s="597"/>
      <c r="X540" s="597"/>
      <c r="Y540" s="597"/>
      <c r="Z540" s="597"/>
      <c r="AA540" s="600"/>
      <c r="AB540" s="598"/>
    </row>
    <row r="541" spans="1:28" x14ac:dyDescent="0.2">
      <c r="A541" s="655"/>
      <c r="B541" s="751"/>
      <c r="C541" s="342" t="s">
        <v>2</v>
      </c>
      <c r="D541" s="343"/>
      <c r="E541" s="340"/>
      <c r="F541" s="344"/>
      <c r="G541" s="343"/>
      <c r="H541" s="344"/>
      <c r="I541" s="344"/>
      <c r="J541" s="341"/>
      <c r="K541" s="345"/>
      <c r="L541" s="346"/>
      <c r="M541" s="347"/>
      <c r="N541" s="348">
        <v>10.44</v>
      </c>
      <c r="O541" s="349" t="s">
        <v>394</v>
      </c>
      <c r="P541" s="350"/>
      <c r="Q541" s="350"/>
      <c r="R541" s="656"/>
      <c r="S541" s="593">
        <f>VLOOKUP("Total",C542:O1875,12,FALSE)</f>
        <v>1</v>
      </c>
      <c r="T541" s="593" t="str">
        <f>VLOOKUP("Total",C542:O1875,13,FALSE)</f>
        <v>M2</v>
      </c>
      <c r="U541" s="593"/>
      <c r="V541" s="596"/>
      <c r="W541" s="597"/>
      <c r="X541" s="597"/>
      <c r="Y541" s="597"/>
      <c r="Z541" s="597"/>
      <c r="AA541" s="600"/>
      <c r="AB541" s="598"/>
    </row>
    <row r="542" spans="1:28" x14ac:dyDescent="0.2">
      <c r="A542" s="287"/>
      <c r="B542" s="890"/>
      <c r="C542" s="331"/>
      <c r="H542" s="285"/>
      <c r="N542" s="306"/>
      <c r="O542" s="332"/>
      <c r="P542" s="307"/>
      <c r="Q542" s="307"/>
      <c r="R542" s="659"/>
      <c r="S542" s="593">
        <f>VLOOKUP("Total",C543:O1876,12,FALSE)</f>
        <v>1</v>
      </c>
      <c r="T542" s="593" t="str">
        <f>VLOOKUP("Total",C543:O1876,13,FALSE)</f>
        <v>M2</v>
      </c>
      <c r="U542" s="593"/>
      <c r="V542" s="596"/>
      <c r="W542" s="597"/>
      <c r="X542" s="597"/>
      <c r="Y542" s="597"/>
      <c r="Z542" s="597"/>
      <c r="AA542" s="600"/>
      <c r="AB542" s="598"/>
    </row>
    <row r="543" spans="1:28" x14ac:dyDescent="0.2">
      <c r="A543" s="652" t="s">
        <v>588</v>
      </c>
      <c r="B543" s="891"/>
      <c r="C543" s="335" t="s">
        <v>606</v>
      </c>
      <c r="D543" s="934"/>
      <c r="E543" s="935"/>
      <c r="F543" s="936"/>
      <c r="G543" s="766"/>
      <c r="H543" s="767"/>
      <c r="I543" s="386"/>
      <c r="J543" s="337"/>
      <c r="K543" s="728"/>
      <c r="L543" s="769"/>
      <c r="M543" s="728"/>
      <c r="N543" s="728" t="s">
        <v>437</v>
      </c>
      <c r="O543" s="339"/>
      <c r="P543" s="768"/>
      <c r="Q543" s="768"/>
      <c r="R543" s="658"/>
      <c r="S543" s="593">
        <f>VLOOKUP("Total",C544:O1877,12,FALSE)</f>
        <v>1</v>
      </c>
      <c r="T543" s="593" t="str">
        <f>VLOOKUP("Total",C544:O1877,13,FALSE)</f>
        <v>M2</v>
      </c>
      <c r="U543" s="593"/>
      <c r="V543" s="596"/>
      <c r="W543" s="597"/>
      <c r="X543" s="597"/>
      <c r="Y543" s="597"/>
      <c r="Z543" s="597"/>
      <c r="AA543" s="600"/>
      <c r="AB543" s="598"/>
    </row>
    <row r="544" spans="1:28" x14ac:dyDescent="0.2">
      <c r="A544" s="655"/>
      <c r="B544" s="751"/>
      <c r="C544" s="342" t="s">
        <v>2</v>
      </c>
      <c r="D544" s="343"/>
      <c r="E544" s="340"/>
      <c r="F544" s="344"/>
      <c r="G544" s="343"/>
      <c r="H544" s="344"/>
      <c r="I544" s="344"/>
      <c r="J544" s="341"/>
      <c r="K544" s="345"/>
      <c r="L544" s="346"/>
      <c r="M544" s="347"/>
      <c r="N544" s="348">
        <v>1</v>
      </c>
      <c r="O544" s="349" t="s">
        <v>394</v>
      </c>
      <c r="P544" s="350"/>
      <c r="Q544" s="350"/>
      <c r="R544" s="656"/>
      <c r="S544" s="593" t="e">
        <f>VLOOKUP("Total",C631:O1882,12,FALSE)</f>
        <v>#N/A</v>
      </c>
      <c r="T544" s="593" t="e">
        <f>VLOOKUP("Total",C631:O1882,13,FALSE)</f>
        <v>#N/A</v>
      </c>
      <c r="U544" s="593"/>
      <c r="V544" s="596"/>
      <c r="W544" s="597"/>
      <c r="X544" s="597"/>
      <c r="Y544" s="597"/>
      <c r="Z544" s="597"/>
      <c r="AA544" s="600"/>
      <c r="AB544" s="598"/>
    </row>
    <row r="545" spans="1:28" x14ac:dyDescent="0.2">
      <c r="A545" s="651"/>
      <c r="B545" s="890"/>
      <c r="C545" s="594"/>
      <c r="H545" s="285"/>
      <c r="N545" s="306"/>
      <c r="O545" s="332"/>
      <c r="P545" s="307"/>
      <c r="Q545" s="307"/>
      <c r="R545" s="659"/>
      <c r="S545" s="593"/>
      <c r="T545" s="593"/>
      <c r="U545" s="593"/>
      <c r="V545" s="596"/>
      <c r="W545" s="597"/>
      <c r="X545" s="597"/>
      <c r="Y545" s="597"/>
      <c r="Z545" s="597"/>
      <c r="AA545" s="600"/>
      <c r="AB545" s="598"/>
    </row>
    <row r="546" spans="1:28" x14ac:dyDescent="0.2">
      <c r="A546" s="652" t="s">
        <v>589</v>
      </c>
      <c r="B546" s="891"/>
      <c r="C546" s="335" t="s">
        <v>607</v>
      </c>
      <c r="D546" s="934"/>
      <c r="E546" s="935"/>
      <c r="F546" s="936"/>
      <c r="G546" s="766"/>
      <c r="H546" s="767"/>
      <c r="I546" s="386"/>
      <c r="J546" s="337"/>
      <c r="K546" s="725"/>
      <c r="L546" s="728"/>
      <c r="M546" s="769"/>
      <c r="N546" s="728" t="s">
        <v>437</v>
      </c>
      <c r="O546" s="339"/>
      <c r="P546" s="768"/>
      <c r="Q546" s="768"/>
      <c r="R546" s="658"/>
      <c r="S546" s="593">
        <f>VLOOKUP("Total",C547:O1872,12,FALSE)</f>
        <v>12</v>
      </c>
      <c r="T546" s="593" t="str">
        <f>VLOOKUP("Total",C547:O1872,13,FALSE)</f>
        <v>M2</v>
      </c>
      <c r="U546" s="593"/>
      <c r="V546" s="596"/>
      <c r="W546" s="597"/>
      <c r="X546" s="597"/>
      <c r="Y546" s="597"/>
      <c r="Z546" s="597"/>
      <c r="AA546" s="600"/>
      <c r="AB546" s="598"/>
    </row>
    <row r="547" spans="1:28" x14ac:dyDescent="0.2">
      <c r="A547" s="655"/>
      <c r="B547" s="751"/>
      <c r="C547" s="342" t="s">
        <v>2</v>
      </c>
      <c r="D547" s="343"/>
      <c r="E547" s="340"/>
      <c r="F547" s="344"/>
      <c r="G547" s="343"/>
      <c r="H547" s="344"/>
      <c r="I547" s="344"/>
      <c r="J547" s="341"/>
      <c r="K547" s="345"/>
      <c r="L547" s="346"/>
      <c r="M547" s="347"/>
      <c r="N547" s="348">
        <v>12</v>
      </c>
      <c r="O547" s="349" t="s">
        <v>394</v>
      </c>
      <c r="P547" s="350"/>
      <c r="Q547" s="350"/>
      <c r="R547" s="656"/>
      <c r="S547" s="593">
        <f>VLOOKUP("Total",C602:O1877,12,FALSE)</f>
        <v>82</v>
      </c>
      <c r="T547" s="593" t="str">
        <f>VLOOKUP("Total",C602:O1877,13,FALSE)</f>
        <v>Ud</v>
      </c>
      <c r="U547" s="593"/>
      <c r="V547" s="596"/>
      <c r="W547" s="597"/>
      <c r="X547" s="597"/>
      <c r="Y547" s="597"/>
      <c r="Z547" s="597"/>
      <c r="AA547" s="600"/>
      <c r="AB547" s="598"/>
    </row>
    <row r="548" spans="1:28" x14ac:dyDescent="0.2">
      <c r="A548" s="287"/>
      <c r="B548" s="890"/>
      <c r="C548" s="331"/>
      <c r="H548" s="285"/>
      <c r="N548" s="306"/>
      <c r="O548" s="332"/>
      <c r="P548" s="307"/>
      <c r="Q548" s="307"/>
      <c r="R548" s="659"/>
      <c r="S548" s="593">
        <f>VLOOKUP("Total",C549:O1882,12,FALSE)</f>
        <v>2.5</v>
      </c>
      <c r="T548" s="593" t="str">
        <f>VLOOKUP("Total",C549:O1882,13,FALSE)</f>
        <v>M2</v>
      </c>
      <c r="U548" s="593"/>
      <c r="V548" s="596"/>
      <c r="W548" s="597"/>
      <c r="X548" s="597"/>
      <c r="Y548" s="597"/>
      <c r="Z548" s="597"/>
      <c r="AA548" s="600"/>
      <c r="AB548" s="598"/>
    </row>
    <row r="549" spans="1:28" x14ac:dyDescent="0.2">
      <c r="A549" s="652" t="s">
        <v>590</v>
      </c>
      <c r="B549" s="891"/>
      <c r="C549" s="335" t="s">
        <v>608</v>
      </c>
      <c r="D549" s="934"/>
      <c r="E549" s="935"/>
      <c r="F549" s="936"/>
      <c r="G549" s="766"/>
      <c r="H549" s="767"/>
      <c r="I549" s="386"/>
      <c r="J549" s="337"/>
      <c r="K549" s="728"/>
      <c r="L549" s="769"/>
      <c r="M549" s="728"/>
      <c r="N549" s="728" t="s">
        <v>437</v>
      </c>
      <c r="O549" s="339"/>
      <c r="P549" s="768"/>
      <c r="Q549" s="768"/>
      <c r="R549" s="658"/>
      <c r="S549" s="593">
        <f>VLOOKUP("Total",C550:O1883,12,FALSE)</f>
        <v>2.5</v>
      </c>
      <c r="T549" s="593" t="str">
        <f>VLOOKUP("Total",C550:O1883,13,FALSE)</f>
        <v>M2</v>
      </c>
      <c r="U549" s="593"/>
      <c r="V549" s="596"/>
      <c r="W549" s="597"/>
      <c r="X549" s="597"/>
      <c r="Y549" s="597"/>
      <c r="Z549" s="597"/>
      <c r="AA549" s="600"/>
      <c r="AB549" s="598"/>
    </row>
    <row r="550" spans="1:28" x14ac:dyDescent="0.2">
      <c r="A550" s="655"/>
      <c r="B550" s="751"/>
      <c r="C550" s="342" t="s">
        <v>2</v>
      </c>
      <c r="D550" s="343"/>
      <c r="E550" s="340"/>
      <c r="F550" s="344"/>
      <c r="G550" s="343"/>
      <c r="H550" s="344"/>
      <c r="I550" s="344"/>
      <c r="J550" s="341"/>
      <c r="K550" s="345"/>
      <c r="L550" s="346"/>
      <c r="M550" s="347"/>
      <c r="N550" s="348">
        <v>2.5</v>
      </c>
      <c r="O550" s="349" t="s">
        <v>394</v>
      </c>
      <c r="P550" s="350"/>
      <c r="Q550" s="350"/>
      <c r="R550" s="656"/>
      <c r="S550" s="593" t="e">
        <f>VLOOKUP("Total",C637:O1888,12,FALSE)</f>
        <v>#N/A</v>
      </c>
      <c r="T550" s="593" t="e">
        <f>VLOOKUP("Total",C637:O1888,13,FALSE)</f>
        <v>#N/A</v>
      </c>
      <c r="U550" s="593"/>
      <c r="V550" s="596"/>
      <c r="W550" s="597"/>
      <c r="X550" s="597"/>
      <c r="Y550" s="597"/>
      <c r="Z550" s="597"/>
      <c r="AA550" s="600"/>
      <c r="AB550" s="598"/>
    </row>
    <row r="551" spans="1:28" x14ac:dyDescent="0.2">
      <c r="A551" s="651"/>
      <c r="B551" s="890"/>
      <c r="C551" s="594"/>
      <c r="H551" s="285"/>
      <c r="N551" s="306"/>
      <c r="O551" s="332"/>
      <c r="P551" s="307"/>
      <c r="Q551" s="307"/>
      <c r="R551" s="659"/>
      <c r="S551" s="593"/>
      <c r="T551" s="593"/>
      <c r="U551" s="593"/>
      <c r="V551" s="596"/>
      <c r="W551" s="597"/>
      <c r="X551" s="597"/>
      <c r="Y551" s="597"/>
      <c r="Z551" s="597"/>
      <c r="AA551" s="600"/>
      <c r="AB551" s="598"/>
    </row>
    <row r="552" spans="1:28" x14ac:dyDescent="0.2">
      <c r="A552" s="652" t="s">
        <v>591</v>
      </c>
      <c r="B552" s="891"/>
      <c r="C552" s="335" t="s">
        <v>609</v>
      </c>
      <c r="D552" s="934"/>
      <c r="E552" s="935"/>
      <c r="F552" s="936"/>
      <c r="G552" s="766"/>
      <c r="H552" s="767"/>
      <c r="I552" s="386"/>
      <c r="J552" s="337"/>
      <c r="K552" s="725"/>
      <c r="L552" s="728"/>
      <c r="M552" s="769"/>
      <c r="N552" s="728" t="s">
        <v>437</v>
      </c>
      <c r="O552" s="339"/>
      <c r="P552" s="768"/>
      <c r="Q552" s="768"/>
      <c r="R552" s="658"/>
      <c r="S552" s="593">
        <f>VLOOKUP("Total",C553:O1878,12,FALSE)</f>
        <v>3.2</v>
      </c>
      <c r="T552" s="593" t="str">
        <f>VLOOKUP("Total",C553:O1878,13,FALSE)</f>
        <v>M2</v>
      </c>
      <c r="U552" s="593"/>
      <c r="V552" s="596"/>
      <c r="W552" s="597"/>
      <c r="X552" s="597"/>
      <c r="Y552" s="597"/>
      <c r="Z552" s="597"/>
      <c r="AA552" s="600"/>
      <c r="AB552" s="598"/>
    </row>
    <row r="553" spans="1:28" x14ac:dyDescent="0.2">
      <c r="A553" s="655"/>
      <c r="B553" s="751"/>
      <c r="C553" s="342" t="s">
        <v>2</v>
      </c>
      <c r="D553" s="343"/>
      <c r="E553" s="340"/>
      <c r="F553" s="344"/>
      <c r="G553" s="343"/>
      <c r="H553" s="344"/>
      <c r="I553" s="344"/>
      <c r="J553" s="341"/>
      <c r="K553" s="345"/>
      <c r="L553" s="346"/>
      <c r="M553" s="347"/>
      <c r="N553" s="348">
        <v>3.2</v>
      </c>
      <c r="O553" s="349" t="s">
        <v>394</v>
      </c>
      <c r="P553" s="350"/>
      <c r="Q553" s="350"/>
      <c r="R553" s="656"/>
      <c r="S553" s="593">
        <f>VLOOKUP("Total",C602:O1883,12,FALSE)</f>
        <v>82</v>
      </c>
      <c r="T553" s="593" t="str">
        <f>VLOOKUP("Total",C602:O1883,13,FALSE)</f>
        <v>Ud</v>
      </c>
      <c r="U553" s="593"/>
      <c r="V553" s="596"/>
      <c r="W553" s="597"/>
      <c r="X553" s="597"/>
      <c r="Y553" s="597"/>
      <c r="Z553" s="597"/>
      <c r="AA553" s="600"/>
      <c r="AB553" s="598"/>
    </row>
    <row r="554" spans="1:28" x14ac:dyDescent="0.2">
      <c r="A554" s="651"/>
      <c r="B554" s="890"/>
      <c r="C554" s="594"/>
      <c r="H554" s="285"/>
      <c r="N554" s="306"/>
      <c r="O554" s="332"/>
      <c r="P554" s="307"/>
      <c r="Q554" s="307"/>
      <c r="R554" s="659"/>
      <c r="S554" s="593"/>
      <c r="T554" s="593"/>
      <c r="U554" s="593"/>
      <c r="V554" s="596"/>
      <c r="W554" s="597"/>
      <c r="X554" s="597"/>
      <c r="Y554" s="597"/>
      <c r="Z554" s="597"/>
      <c r="AA554" s="600"/>
      <c r="AB554" s="598"/>
    </row>
    <row r="555" spans="1:28" x14ac:dyDescent="0.2">
      <c r="A555" s="652" t="s">
        <v>592</v>
      </c>
      <c r="B555" s="891"/>
      <c r="C555" s="335" t="s">
        <v>613</v>
      </c>
      <c r="D555" s="934"/>
      <c r="E555" s="935"/>
      <c r="F555" s="936"/>
      <c r="G555" s="766"/>
      <c r="H555" s="767"/>
      <c r="I555" s="386"/>
      <c r="J555" s="337"/>
      <c r="K555" s="725"/>
      <c r="L555" s="728"/>
      <c r="M555" s="769"/>
      <c r="N555" s="728" t="s">
        <v>437</v>
      </c>
      <c r="O555" s="339"/>
      <c r="P555" s="768"/>
      <c r="Q555" s="768"/>
      <c r="R555" s="658"/>
      <c r="S555" s="593">
        <f>VLOOKUP("Total",C556:O1881,12,FALSE)</f>
        <v>1.77</v>
      </c>
      <c r="T555" s="593" t="str">
        <f>VLOOKUP("Total",C556:O1881,13,FALSE)</f>
        <v>M2</v>
      </c>
      <c r="U555" s="593"/>
      <c r="V555" s="596"/>
      <c r="W555" s="597"/>
      <c r="X555" s="597"/>
      <c r="Y555" s="597"/>
      <c r="Z555" s="597"/>
      <c r="AA555" s="600"/>
      <c r="AB555" s="598"/>
    </row>
    <row r="556" spans="1:28" x14ac:dyDescent="0.2">
      <c r="A556" s="655"/>
      <c r="B556" s="751"/>
      <c r="C556" s="342" t="s">
        <v>2</v>
      </c>
      <c r="D556" s="343"/>
      <c r="E556" s="340"/>
      <c r="F556" s="344"/>
      <c r="G556" s="343"/>
      <c r="H556" s="344"/>
      <c r="I556" s="344"/>
      <c r="J556" s="341"/>
      <c r="K556" s="345"/>
      <c r="L556" s="346"/>
      <c r="M556" s="347"/>
      <c r="N556" s="348">
        <v>1.77</v>
      </c>
      <c r="O556" s="349" t="s">
        <v>394</v>
      </c>
      <c r="P556" s="350"/>
      <c r="Q556" s="350"/>
      <c r="R556" s="656"/>
      <c r="S556" s="593">
        <f>VLOOKUP("Total",C608:O1886,12,FALSE)</f>
        <v>59574</v>
      </c>
      <c r="T556" s="593" t="str">
        <f>VLOOKUP("Total",C608:O1886,13,FALSE)</f>
        <v>M2</v>
      </c>
      <c r="U556" s="593"/>
      <c r="V556" s="596"/>
      <c r="W556" s="597"/>
      <c r="X556" s="597"/>
      <c r="Y556" s="597"/>
      <c r="Z556" s="597"/>
      <c r="AA556" s="600"/>
      <c r="AB556" s="598"/>
    </row>
    <row r="557" spans="1:28" x14ac:dyDescent="0.2">
      <c r="A557" s="287"/>
      <c r="B557" s="890"/>
      <c r="C557" s="331"/>
      <c r="H557" s="285"/>
      <c r="N557" s="306"/>
      <c r="O557" s="332"/>
      <c r="P557" s="307"/>
      <c r="Q557" s="307"/>
      <c r="R557" s="659"/>
      <c r="S557" s="593">
        <f>VLOOKUP("Total",C558:O1891,12,FALSE)</f>
        <v>1.08</v>
      </c>
      <c r="T557" s="593" t="str">
        <f>VLOOKUP("Total",C558:O1891,13,FALSE)</f>
        <v>M2</v>
      </c>
      <c r="U557" s="593"/>
      <c r="V557" s="596"/>
      <c r="W557" s="597"/>
      <c r="X557" s="597"/>
      <c r="Y557" s="597"/>
      <c r="Z557" s="597"/>
      <c r="AA557" s="600"/>
      <c r="AB557" s="598"/>
    </row>
    <row r="558" spans="1:28" x14ac:dyDescent="0.2">
      <c r="A558" s="652" t="s">
        <v>593</v>
      </c>
      <c r="B558" s="891"/>
      <c r="C558" s="335" t="s">
        <v>614</v>
      </c>
      <c r="D558" s="934"/>
      <c r="E558" s="935"/>
      <c r="F558" s="936"/>
      <c r="G558" s="766"/>
      <c r="H558" s="767"/>
      <c r="I558" s="386"/>
      <c r="J558" s="337"/>
      <c r="K558" s="728"/>
      <c r="L558" s="769"/>
      <c r="M558" s="728"/>
      <c r="N558" s="728" t="s">
        <v>437</v>
      </c>
      <c r="O558" s="339"/>
      <c r="P558" s="768"/>
      <c r="Q558" s="768"/>
      <c r="R558" s="658"/>
      <c r="S558" s="593">
        <f>VLOOKUP("Total",C559:O1892,12,FALSE)</f>
        <v>1.08</v>
      </c>
      <c r="T558" s="593" t="str">
        <f>VLOOKUP("Total",C559:O1892,13,FALSE)</f>
        <v>M2</v>
      </c>
      <c r="U558" s="593"/>
      <c r="V558" s="596"/>
      <c r="W558" s="597"/>
      <c r="X558" s="597"/>
      <c r="Y558" s="597"/>
      <c r="Z558" s="597"/>
      <c r="AA558" s="600"/>
      <c r="AB558" s="598"/>
    </row>
    <row r="559" spans="1:28" x14ac:dyDescent="0.2">
      <c r="A559" s="655"/>
      <c r="B559" s="751"/>
      <c r="C559" s="342" t="s">
        <v>2</v>
      </c>
      <c r="D559" s="343"/>
      <c r="E559" s="340"/>
      <c r="F559" s="344"/>
      <c r="G559" s="343"/>
      <c r="H559" s="344"/>
      <c r="I559" s="344"/>
      <c r="J559" s="341"/>
      <c r="K559" s="345"/>
      <c r="L559" s="346"/>
      <c r="M559" s="347"/>
      <c r="N559" s="348">
        <v>1.08</v>
      </c>
      <c r="O559" s="349" t="s">
        <v>394</v>
      </c>
      <c r="P559" s="350"/>
      <c r="Q559" s="350"/>
      <c r="R559" s="656"/>
      <c r="S559" s="593" t="e">
        <f>VLOOKUP("Total",C646:O1897,12,FALSE)</f>
        <v>#N/A</v>
      </c>
      <c r="T559" s="593" t="e">
        <f>VLOOKUP("Total",C646:O1897,13,FALSE)</f>
        <v>#N/A</v>
      </c>
      <c r="U559" s="593"/>
      <c r="V559" s="596"/>
      <c r="W559" s="597"/>
      <c r="X559" s="597"/>
      <c r="Y559" s="597"/>
      <c r="Z559" s="597"/>
      <c r="AA559" s="600"/>
      <c r="AB559" s="598"/>
    </row>
    <row r="560" spans="1:28" x14ac:dyDescent="0.2">
      <c r="A560" s="651"/>
      <c r="B560" s="890"/>
      <c r="C560" s="594"/>
      <c r="H560" s="285"/>
      <c r="N560" s="306"/>
      <c r="O560" s="332"/>
      <c r="P560" s="307"/>
      <c r="Q560" s="307"/>
      <c r="R560" s="659"/>
      <c r="S560" s="593"/>
      <c r="T560" s="593"/>
      <c r="U560" s="593"/>
      <c r="V560" s="596"/>
      <c r="W560" s="597"/>
      <c r="X560" s="597"/>
      <c r="Y560" s="597"/>
      <c r="Z560" s="597"/>
      <c r="AA560" s="600"/>
      <c r="AB560" s="598"/>
    </row>
    <row r="561" spans="1:28" x14ac:dyDescent="0.2">
      <c r="A561" s="652" t="s">
        <v>594</v>
      </c>
      <c r="B561" s="891"/>
      <c r="C561" s="335" t="s">
        <v>615</v>
      </c>
      <c r="D561" s="934"/>
      <c r="E561" s="935"/>
      <c r="F561" s="936"/>
      <c r="G561" s="766"/>
      <c r="H561" s="767"/>
      <c r="I561" s="386"/>
      <c r="J561" s="337"/>
      <c r="K561" s="725"/>
      <c r="L561" s="728"/>
      <c r="M561" s="769"/>
      <c r="N561" s="728" t="s">
        <v>437</v>
      </c>
      <c r="O561" s="339"/>
      <c r="P561" s="768"/>
      <c r="Q561" s="768"/>
      <c r="R561" s="658"/>
      <c r="S561" s="593">
        <f>VLOOKUP("Total",C562:O1887,12,FALSE)</f>
        <v>44.4</v>
      </c>
      <c r="T561" s="593" t="str">
        <f>VLOOKUP("Total",C562:O1887,13,FALSE)</f>
        <v>M2</v>
      </c>
      <c r="U561" s="593"/>
      <c r="V561" s="596"/>
      <c r="W561" s="597"/>
      <c r="X561" s="597"/>
      <c r="Y561" s="597"/>
      <c r="Z561" s="597"/>
      <c r="AA561" s="600"/>
      <c r="AB561" s="598"/>
    </row>
    <row r="562" spans="1:28" x14ac:dyDescent="0.2">
      <c r="A562" s="655"/>
      <c r="B562" s="751"/>
      <c r="C562" s="342" t="s">
        <v>2</v>
      </c>
      <c r="D562" s="343"/>
      <c r="E562" s="340"/>
      <c r="F562" s="344"/>
      <c r="G562" s="343"/>
      <c r="H562" s="344"/>
      <c r="I562" s="344"/>
      <c r="J562" s="341"/>
      <c r="K562" s="345"/>
      <c r="L562" s="346"/>
      <c r="M562" s="347"/>
      <c r="N562" s="348">
        <v>44.4</v>
      </c>
      <c r="O562" s="349" t="s">
        <v>394</v>
      </c>
      <c r="P562" s="350"/>
      <c r="Q562" s="350"/>
      <c r="R562" s="656"/>
      <c r="S562" s="593" t="e">
        <f>VLOOKUP("Total",C615:O1892,12,FALSE)</f>
        <v>#N/A</v>
      </c>
      <c r="T562" s="593" t="e">
        <f>VLOOKUP("Total",C615:O1892,13,FALSE)</f>
        <v>#N/A</v>
      </c>
      <c r="U562" s="593"/>
      <c r="V562" s="596"/>
      <c r="W562" s="597"/>
      <c r="X562" s="597"/>
      <c r="Y562" s="597"/>
      <c r="Z562" s="597"/>
      <c r="AA562" s="600"/>
      <c r="AB562" s="598"/>
    </row>
    <row r="563" spans="1:28" x14ac:dyDescent="0.2">
      <c r="A563" s="651"/>
      <c r="B563" s="898">
        <v>40926</v>
      </c>
      <c r="C563" s="375" t="s">
        <v>616</v>
      </c>
      <c r="H563" s="285"/>
      <c r="N563" s="306"/>
      <c r="O563" s="332"/>
      <c r="P563" s="307"/>
      <c r="Q563" s="307"/>
      <c r="R563" s="659"/>
      <c r="S563" s="593">
        <f>VLOOKUP("Total",C565:O1890,12,FALSE)</f>
        <v>890.93</v>
      </c>
      <c r="T563" s="593" t="str">
        <f>VLOOKUP("Total",C565:O1890,13,FALSE)</f>
        <v>M2</v>
      </c>
      <c r="U563" s="593"/>
      <c r="V563" s="596"/>
      <c r="W563" s="597"/>
      <c r="X563" s="597"/>
      <c r="Y563" s="597"/>
      <c r="Z563" s="597"/>
      <c r="AA563" s="600"/>
      <c r="AB563" s="598"/>
    </row>
    <row r="564" spans="1:28" x14ac:dyDescent="0.2">
      <c r="A564" s="651"/>
      <c r="B564" s="890"/>
      <c r="C564" s="594"/>
      <c r="H564" s="285"/>
      <c r="N564" s="306"/>
      <c r="O564" s="332"/>
      <c r="P564" s="307"/>
      <c r="Q564" s="307"/>
      <c r="R564" s="659"/>
      <c r="S564" s="593"/>
      <c r="T564" s="593"/>
      <c r="U564" s="593"/>
      <c r="V564" s="596"/>
      <c r="W564" s="597"/>
      <c r="X564" s="597"/>
      <c r="Y564" s="597"/>
      <c r="Z564" s="597"/>
      <c r="AA564" s="600"/>
      <c r="AB564" s="598"/>
    </row>
    <row r="565" spans="1:28" x14ac:dyDescent="0.2">
      <c r="A565" s="652" t="s">
        <v>595</v>
      </c>
      <c r="B565" s="891"/>
      <c r="C565" s="335" t="s">
        <v>618</v>
      </c>
      <c r="D565" s="934"/>
      <c r="E565" s="935"/>
      <c r="F565" s="936"/>
      <c r="G565" s="766"/>
      <c r="H565" s="767"/>
      <c r="I565" s="386"/>
      <c r="J565" s="337"/>
      <c r="K565" s="725"/>
      <c r="L565" s="728"/>
      <c r="M565" s="769"/>
      <c r="N565" s="728" t="s">
        <v>437</v>
      </c>
      <c r="O565" s="339"/>
      <c r="P565" s="768"/>
      <c r="Q565" s="768"/>
      <c r="R565" s="658"/>
      <c r="S565" s="593">
        <f>VLOOKUP("Total",C566:O1891,12,FALSE)</f>
        <v>890.93</v>
      </c>
      <c r="T565" s="593" t="str">
        <f>VLOOKUP("Total",C566:O1891,13,FALSE)</f>
        <v>M2</v>
      </c>
      <c r="U565" s="593"/>
      <c r="V565" s="596"/>
      <c r="W565" s="597"/>
      <c r="X565" s="597"/>
      <c r="Y565" s="597"/>
      <c r="Z565" s="597"/>
      <c r="AA565" s="600"/>
      <c r="AB565" s="598"/>
    </row>
    <row r="566" spans="1:28" x14ac:dyDescent="0.2">
      <c r="A566" s="655"/>
      <c r="B566" s="751"/>
      <c r="C566" s="342" t="s">
        <v>2</v>
      </c>
      <c r="D566" s="343"/>
      <c r="E566" s="340"/>
      <c r="F566" s="344"/>
      <c r="G566" s="343"/>
      <c r="H566" s="344"/>
      <c r="I566" s="344"/>
      <c r="J566" s="341"/>
      <c r="K566" s="345"/>
      <c r="L566" s="346"/>
      <c r="M566" s="347"/>
      <c r="N566" s="348">
        <v>890.93</v>
      </c>
      <c r="O566" s="349" t="s">
        <v>394</v>
      </c>
      <c r="P566" s="350"/>
      <c r="Q566" s="350"/>
      <c r="R566" s="656"/>
      <c r="S566" s="593">
        <f>VLOOKUP("Total",C567:O1896,12,FALSE)</f>
        <v>887.02</v>
      </c>
      <c r="T566" s="593" t="str">
        <f>VLOOKUP("Total",C567:O1896,13,FALSE)</f>
        <v>M2</v>
      </c>
      <c r="U566" s="593"/>
      <c r="V566" s="596"/>
      <c r="W566" s="597"/>
      <c r="X566" s="597"/>
      <c r="Y566" s="597"/>
      <c r="Z566" s="597"/>
      <c r="AA566" s="600"/>
      <c r="AB566" s="598"/>
    </row>
    <row r="567" spans="1:28" x14ac:dyDescent="0.2">
      <c r="A567" s="287"/>
      <c r="B567" s="890"/>
      <c r="C567" s="331"/>
      <c r="H567" s="285"/>
      <c r="N567" s="306"/>
      <c r="O567" s="332"/>
      <c r="P567" s="307"/>
      <c r="Q567" s="307"/>
      <c r="R567" s="659"/>
      <c r="S567" s="593">
        <f>VLOOKUP("Total",C568:O1897,12,FALSE)</f>
        <v>887.02</v>
      </c>
      <c r="T567" s="593" t="str">
        <f>VLOOKUP("Total",C568:O1897,13,FALSE)</f>
        <v>M2</v>
      </c>
      <c r="U567" s="593"/>
      <c r="V567" s="596"/>
      <c r="W567" s="597"/>
      <c r="X567" s="597"/>
      <c r="Y567" s="597"/>
      <c r="Z567" s="597"/>
      <c r="AA567" s="600"/>
      <c r="AB567" s="598"/>
    </row>
    <row r="568" spans="1:28" x14ac:dyDescent="0.2">
      <c r="A568" s="652" t="s">
        <v>596</v>
      </c>
      <c r="B568" s="891"/>
      <c r="C568" s="335" t="s">
        <v>619</v>
      </c>
      <c r="D568" s="934"/>
      <c r="E568" s="935"/>
      <c r="F568" s="936"/>
      <c r="G568" s="766"/>
      <c r="H568" s="767"/>
      <c r="I568" s="386"/>
      <c r="J568" s="337"/>
      <c r="K568" s="725"/>
      <c r="L568" s="728"/>
      <c r="M568" s="769"/>
      <c r="N568" s="728" t="s">
        <v>437</v>
      </c>
      <c r="O568" s="339"/>
      <c r="P568" s="768"/>
      <c r="Q568" s="768"/>
      <c r="R568" s="658"/>
      <c r="S568" s="593">
        <f>VLOOKUP("Total",C569:O1898,12,FALSE)</f>
        <v>887.02</v>
      </c>
      <c r="T568" s="593" t="str">
        <f>VLOOKUP("Total",C569:O1898,13,FALSE)</f>
        <v>M2</v>
      </c>
      <c r="U568" s="593"/>
      <c r="V568" s="596"/>
      <c r="W568" s="597"/>
      <c r="X568" s="597"/>
      <c r="Y568" s="597"/>
      <c r="Z568" s="597"/>
      <c r="AA568" s="600"/>
      <c r="AB568" s="598"/>
    </row>
    <row r="569" spans="1:28" x14ac:dyDescent="0.2">
      <c r="A569" s="655"/>
      <c r="B569" s="751"/>
      <c r="C569" s="342" t="s">
        <v>2</v>
      </c>
      <c r="D569" s="343"/>
      <c r="E569" s="340"/>
      <c r="F569" s="344"/>
      <c r="G569" s="343"/>
      <c r="H569" s="344"/>
      <c r="I569" s="344"/>
      <c r="J569" s="341"/>
      <c r="K569" s="345"/>
      <c r="L569" s="346"/>
      <c r="M569" s="347"/>
      <c r="N569" s="348">
        <v>887.02</v>
      </c>
      <c r="O569" s="349" t="s">
        <v>394</v>
      </c>
      <c r="P569" s="350"/>
      <c r="Q569" s="350"/>
      <c r="R569" s="656"/>
      <c r="S569" s="593">
        <f>VLOOKUP("Total",C570:O1903,12,FALSE)</f>
        <v>16.96</v>
      </c>
      <c r="T569" s="593" t="str">
        <f>VLOOKUP("Total",C570:O1903,13,FALSE)</f>
        <v>M2</v>
      </c>
      <c r="U569" s="593"/>
      <c r="V569" s="596"/>
      <c r="W569" s="597"/>
      <c r="X569" s="597"/>
      <c r="Y569" s="597"/>
      <c r="Z569" s="597"/>
      <c r="AA569" s="600"/>
      <c r="AB569" s="598"/>
    </row>
    <row r="570" spans="1:28" x14ac:dyDescent="0.2">
      <c r="A570" s="287"/>
      <c r="B570" s="890"/>
      <c r="C570" s="331"/>
      <c r="H570" s="285"/>
      <c r="N570" s="306"/>
      <c r="O570" s="332"/>
      <c r="P570" s="307"/>
      <c r="Q570" s="307"/>
      <c r="R570" s="659"/>
      <c r="S570" s="593">
        <f>VLOOKUP("Total",C571:O1904,12,FALSE)</f>
        <v>16.96</v>
      </c>
      <c r="T570" s="593" t="str">
        <f>VLOOKUP("Total",C571:O1904,13,FALSE)</f>
        <v>M2</v>
      </c>
      <c r="U570" s="593"/>
      <c r="V570" s="596"/>
      <c r="W570" s="597"/>
      <c r="X570" s="597"/>
      <c r="Y570" s="597"/>
      <c r="Z570" s="597"/>
      <c r="AA570" s="600"/>
      <c r="AB570" s="598"/>
    </row>
    <row r="571" spans="1:28" x14ac:dyDescent="0.2">
      <c r="A571" s="652" t="s">
        <v>597</v>
      </c>
      <c r="B571" s="891"/>
      <c r="C571" s="335" t="s">
        <v>620</v>
      </c>
      <c r="D571" s="934"/>
      <c r="E571" s="935"/>
      <c r="F571" s="936"/>
      <c r="G571" s="766"/>
      <c r="H571" s="767"/>
      <c r="I571" s="386"/>
      <c r="J571" s="337"/>
      <c r="K571" s="728"/>
      <c r="L571" s="769"/>
      <c r="M571" s="728"/>
      <c r="N571" s="728" t="s">
        <v>437</v>
      </c>
      <c r="O571" s="339"/>
      <c r="P571" s="768"/>
      <c r="Q571" s="768"/>
      <c r="R571" s="658"/>
      <c r="S571" s="593">
        <f>VLOOKUP("Total",C572:O1905,12,FALSE)</f>
        <v>16.96</v>
      </c>
      <c r="T571" s="593" t="str">
        <f>VLOOKUP("Total",C572:O1905,13,FALSE)</f>
        <v>M2</v>
      </c>
      <c r="U571" s="593"/>
      <c r="V571" s="596"/>
      <c r="W571" s="597"/>
      <c r="X571" s="597"/>
      <c r="Y571" s="597"/>
      <c r="Z571" s="597"/>
      <c r="AA571" s="600"/>
      <c r="AB571" s="598"/>
    </row>
    <row r="572" spans="1:28" x14ac:dyDescent="0.2">
      <c r="A572" s="655"/>
      <c r="B572" s="751"/>
      <c r="C572" s="342" t="s">
        <v>2</v>
      </c>
      <c r="D572" s="343"/>
      <c r="E572" s="340"/>
      <c r="F572" s="344"/>
      <c r="G572" s="343"/>
      <c r="H572" s="344"/>
      <c r="I572" s="344"/>
      <c r="J572" s="341"/>
      <c r="K572" s="345"/>
      <c r="L572" s="346"/>
      <c r="M572" s="347"/>
      <c r="N572" s="348">
        <v>16.96</v>
      </c>
      <c r="O572" s="349" t="s">
        <v>394</v>
      </c>
      <c r="P572" s="350"/>
      <c r="Q572" s="350"/>
      <c r="R572" s="656"/>
      <c r="S572" s="593" t="e">
        <f>VLOOKUP("Total",C659:O1910,12,FALSE)</f>
        <v>#N/A</v>
      </c>
      <c r="T572" s="593" t="e">
        <f>VLOOKUP("Total",C659:O1910,13,FALSE)</f>
        <v>#N/A</v>
      </c>
      <c r="U572" s="593"/>
      <c r="V572" s="596"/>
      <c r="W572" s="597"/>
      <c r="X572" s="597"/>
      <c r="Y572" s="597"/>
      <c r="Z572" s="597"/>
      <c r="AA572" s="600"/>
      <c r="AB572" s="598"/>
    </row>
    <row r="573" spans="1:28" x14ac:dyDescent="0.2">
      <c r="A573" s="651"/>
      <c r="B573" s="890"/>
      <c r="C573" s="594"/>
      <c r="H573" s="285"/>
      <c r="N573" s="306"/>
      <c r="O573" s="332"/>
      <c r="P573" s="307"/>
      <c r="Q573" s="307"/>
      <c r="R573" s="659"/>
      <c r="S573" s="593"/>
      <c r="T573" s="593"/>
      <c r="U573" s="593"/>
      <c r="V573" s="596"/>
      <c r="W573" s="597"/>
      <c r="X573" s="597"/>
      <c r="Y573" s="597"/>
      <c r="Z573" s="597"/>
      <c r="AA573" s="600"/>
      <c r="AB573" s="598"/>
    </row>
    <row r="574" spans="1:28" x14ac:dyDescent="0.2">
      <c r="A574" s="652" t="s">
        <v>598</v>
      </c>
      <c r="B574" s="891"/>
      <c r="C574" s="335" t="s">
        <v>621</v>
      </c>
      <c r="D574" s="934"/>
      <c r="E574" s="935"/>
      <c r="F574" s="936"/>
      <c r="G574" s="766"/>
      <c r="H574" s="767"/>
      <c r="I574" s="386"/>
      <c r="J574" s="337"/>
      <c r="K574" s="725"/>
      <c r="L574" s="728"/>
      <c r="M574" s="769"/>
      <c r="N574" s="728" t="s">
        <v>437</v>
      </c>
      <c r="O574" s="339"/>
      <c r="P574" s="768"/>
      <c r="Q574" s="768"/>
      <c r="R574" s="658"/>
      <c r="S574" s="593">
        <f>VLOOKUP("Total",C575:O1900,12,FALSE)</f>
        <v>6.07</v>
      </c>
      <c r="T574" s="593" t="str">
        <f>VLOOKUP("Total",C575:O1900,13,FALSE)</f>
        <v>M2</v>
      </c>
      <c r="U574" s="593"/>
      <c r="V574" s="596"/>
      <c r="W574" s="597"/>
      <c r="X574" s="597"/>
      <c r="Y574" s="597"/>
      <c r="Z574" s="597"/>
      <c r="AA574" s="600"/>
      <c r="AB574" s="598"/>
    </row>
    <row r="575" spans="1:28" x14ac:dyDescent="0.2">
      <c r="A575" s="655"/>
      <c r="B575" s="751"/>
      <c r="C575" s="342" t="s">
        <v>2</v>
      </c>
      <c r="D575" s="343"/>
      <c r="E575" s="340"/>
      <c r="F575" s="344"/>
      <c r="G575" s="343"/>
      <c r="H575" s="344"/>
      <c r="I575" s="344"/>
      <c r="J575" s="341"/>
      <c r="K575" s="345"/>
      <c r="L575" s="346"/>
      <c r="M575" s="347"/>
      <c r="N575" s="348">
        <v>6.07</v>
      </c>
      <c r="O575" s="349" t="s">
        <v>394</v>
      </c>
      <c r="P575" s="350"/>
      <c r="Q575" s="350"/>
      <c r="R575" s="656"/>
      <c r="S575" s="593" t="e">
        <f>VLOOKUP("Total",C628:O1905,12,FALSE)</f>
        <v>#N/A</v>
      </c>
      <c r="T575" s="593" t="e">
        <f>VLOOKUP("Total",C628:O1905,13,FALSE)</f>
        <v>#N/A</v>
      </c>
      <c r="U575" s="593"/>
      <c r="V575" s="596"/>
      <c r="W575" s="597"/>
      <c r="X575" s="597"/>
      <c r="Y575" s="597"/>
      <c r="Z575" s="597"/>
      <c r="AA575" s="600"/>
      <c r="AB575" s="598"/>
    </row>
    <row r="576" spans="1:28" x14ac:dyDescent="0.2">
      <c r="A576" s="287"/>
      <c r="B576" s="890"/>
      <c r="C576" s="331"/>
      <c r="H576" s="285"/>
      <c r="N576" s="306"/>
      <c r="O576" s="332"/>
      <c r="P576" s="307"/>
      <c r="Q576" s="307"/>
      <c r="R576" s="659"/>
      <c r="S576" s="593">
        <f>VLOOKUP("Total",C577:O1910,12,FALSE)</f>
        <v>64.540000000000006</v>
      </c>
      <c r="T576" s="593" t="str">
        <f>VLOOKUP("Total",C577:O1910,13,FALSE)</f>
        <v>M2</v>
      </c>
      <c r="U576" s="593"/>
      <c r="V576" s="596"/>
      <c r="W576" s="597"/>
      <c r="X576" s="597"/>
      <c r="Y576" s="597"/>
      <c r="Z576" s="597"/>
      <c r="AA576" s="600"/>
      <c r="AB576" s="598"/>
    </row>
    <row r="577" spans="1:28" x14ac:dyDescent="0.2">
      <c r="A577" s="872" t="s">
        <v>599</v>
      </c>
      <c r="B577" s="891"/>
      <c r="C577" s="335" t="s">
        <v>622</v>
      </c>
      <c r="D577" s="934"/>
      <c r="E577" s="935"/>
      <c r="F577" s="936"/>
      <c r="G577" s="766"/>
      <c r="H577" s="767"/>
      <c r="I577" s="386"/>
      <c r="J577" s="337"/>
      <c r="K577" s="728"/>
      <c r="L577" s="769"/>
      <c r="M577" s="728"/>
      <c r="N577" s="728" t="s">
        <v>437</v>
      </c>
      <c r="O577" s="339"/>
      <c r="P577" s="768"/>
      <c r="Q577" s="768"/>
      <c r="R577" s="658"/>
      <c r="S577" s="593">
        <f>VLOOKUP("Total",C578:O1911,12,FALSE)</f>
        <v>64.540000000000006</v>
      </c>
      <c r="T577" s="593" t="str">
        <f>VLOOKUP("Total",C578:O1911,13,FALSE)</f>
        <v>M2</v>
      </c>
      <c r="U577" s="593"/>
      <c r="V577" s="596"/>
      <c r="W577" s="597"/>
      <c r="X577" s="597"/>
      <c r="Y577" s="597"/>
      <c r="Z577" s="597"/>
      <c r="AA577" s="600"/>
      <c r="AB577" s="598"/>
    </row>
    <row r="578" spans="1:28" x14ac:dyDescent="0.2">
      <c r="A578" s="655"/>
      <c r="B578" s="751"/>
      <c r="C578" s="342" t="s">
        <v>2</v>
      </c>
      <c r="D578" s="343"/>
      <c r="E578" s="340"/>
      <c r="F578" s="344"/>
      <c r="G578" s="343"/>
      <c r="H578" s="344"/>
      <c r="I578" s="344"/>
      <c r="J578" s="341"/>
      <c r="K578" s="345"/>
      <c r="L578" s="346"/>
      <c r="M578" s="347"/>
      <c r="N578" s="348">
        <v>64.540000000000006</v>
      </c>
      <c r="O578" s="349" t="s">
        <v>394</v>
      </c>
      <c r="P578" s="350"/>
      <c r="Q578" s="350"/>
      <c r="R578" s="656"/>
      <c r="S578" s="593" t="e">
        <f>VLOOKUP("Total",C665:O1916,12,FALSE)</f>
        <v>#N/A</v>
      </c>
      <c r="T578" s="593" t="e">
        <f>VLOOKUP("Total",C665:O1916,13,FALSE)</f>
        <v>#N/A</v>
      </c>
      <c r="U578" s="593"/>
      <c r="V578" s="596"/>
      <c r="W578" s="597"/>
      <c r="X578" s="597"/>
      <c r="Y578" s="597"/>
      <c r="Z578" s="597"/>
      <c r="AA578" s="600"/>
      <c r="AB578" s="598"/>
    </row>
    <row r="579" spans="1:28" x14ac:dyDescent="0.2">
      <c r="A579" s="651"/>
      <c r="B579" s="890"/>
      <c r="C579" s="594"/>
      <c r="H579" s="285"/>
      <c r="N579" s="306"/>
      <c r="O579" s="332"/>
      <c r="P579" s="307"/>
      <c r="Q579" s="307"/>
      <c r="R579" s="659"/>
      <c r="S579" s="593"/>
      <c r="T579" s="593"/>
      <c r="U579" s="593"/>
      <c r="V579" s="596"/>
      <c r="W579" s="597"/>
      <c r="X579" s="597"/>
      <c r="Y579" s="597"/>
      <c r="Z579" s="597"/>
      <c r="AA579" s="600"/>
      <c r="AB579" s="598"/>
    </row>
    <row r="580" spans="1:28" x14ac:dyDescent="0.2">
      <c r="A580" s="652" t="s">
        <v>600</v>
      </c>
      <c r="B580" s="891"/>
      <c r="C580" s="335" t="s">
        <v>623</v>
      </c>
      <c r="D580" s="934"/>
      <c r="E580" s="935"/>
      <c r="F580" s="936"/>
      <c r="G580" s="766"/>
      <c r="H580" s="767"/>
      <c r="I580" s="386"/>
      <c r="J580" s="337"/>
      <c r="K580" s="725"/>
      <c r="L580" s="728"/>
      <c r="M580" s="769"/>
      <c r="N580" s="728" t="s">
        <v>437</v>
      </c>
      <c r="O580" s="339"/>
      <c r="P580" s="768"/>
      <c r="Q580" s="768"/>
      <c r="R580" s="658"/>
      <c r="S580" s="593">
        <f>VLOOKUP("Total",C581:O1906,12,FALSE)</f>
        <v>22.91</v>
      </c>
      <c r="T580" s="593" t="str">
        <f>VLOOKUP("Total",C581:O1906,13,FALSE)</f>
        <v>M2</v>
      </c>
      <c r="U580" s="593"/>
      <c r="V580" s="596"/>
      <c r="W580" s="597"/>
      <c r="X580" s="597"/>
      <c r="Y580" s="597"/>
      <c r="Z580" s="597"/>
      <c r="AA580" s="600"/>
      <c r="AB580" s="598"/>
    </row>
    <row r="581" spans="1:28" x14ac:dyDescent="0.2">
      <c r="A581" s="655"/>
      <c r="B581" s="751"/>
      <c r="C581" s="342" t="s">
        <v>2</v>
      </c>
      <c r="D581" s="343"/>
      <c r="E581" s="340"/>
      <c r="F581" s="344"/>
      <c r="G581" s="343"/>
      <c r="H581" s="344"/>
      <c r="I581" s="344"/>
      <c r="J581" s="341"/>
      <c r="K581" s="345"/>
      <c r="L581" s="346"/>
      <c r="M581" s="347"/>
      <c r="N581" s="348">
        <v>22.91</v>
      </c>
      <c r="O581" s="349" t="s">
        <v>394</v>
      </c>
      <c r="P581" s="350"/>
      <c r="Q581" s="350"/>
      <c r="R581" s="656"/>
      <c r="S581" s="593" t="e">
        <f>VLOOKUP("Total",C634:O1911,12,FALSE)</f>
        <v>#N/A</v>
      </c>
      <c r="T581" s="593" t="e">
        <f>VLOOKUP("Total",C634:O1911,13,FALSE)</f>
        <v>#N/A</v>
      </c>
      <c r="U581" s="593"/>
      <c r="V581" s="596"/>
      <c r="W581" s="597"/>
      <c r="X581" s="597"/>
      <c r="Y581" s="597"/>
      <c r="Z581" s="597"/>
      <c r="AA581" s="600"/>
      <c r="AB581" s="598"/>
    </row>
    <row r="582" spans="1:28" x14ac:dyDescent="0.2">
      <c r="A582" s="651"/>
      <c r="B582" s="890"/>
      <c r="C582" s="594"/>
      <c r="H582" s="285"/>
      <c r="N582" s="306"/>
      <c r="O582" s="332"/>
      <c r="P582" s="307"/>
      <c r="Q582" s="307"/>
      <c r="R582" s="659"/>
      <c r="S582" s="593"/>
      <c r="T582" s="593"/>
      <c r="U582" s="593"/>
      <c r="V582" s="596"/>
      <c r="W582" s="597"/>
      <c r="X582" s="597"/>
      <c r="Y582" s="597"/>
      <c r="Z582" s="597"/>
      <c r="AA582" s="600"/>
      <c r="AB582" s="598"/>
    </row>
    <row r="583" spans="1:28" x14ac:dyDescent="0.2">
      <c r="A583" s="652" t="s">
        <v>601</v>
      </c>
      <c r="B583" s="891"/>
      <c r="C583" s="335" t="s">
        <v>624</v>
      </c>
      <c r="D583" s="934"/>
      <c r="E583" s="935"/>
      <c r="F583" s="936"/>
      <c r="G583" s="766"/>
      <c r="H583" s="767"/>
      <c r="I583" s="386"/>
      <c r="J583" s="337"/>
      <c r="K583" s="725"/>
      <c r="L583" s="728"/>
      <c r="M583" s="769"/>
      <c r="N583" s="728" t="s">
        <v>437</v>
      </c>
      <c r="O583" s="339"/>
      <c r="P583" s="768"/>
      <c r="Q583" s="768"/>
      <c r="R583" s="658"/>
      <c r="S583" s="593">
        <f>VLOOKUP("Total",C584:O1909,12,FALSE)</f>
        <v>18.03</v>
      </c>
      <c r="T583" s="593" t="str">
        <f>VLOOKUP("Total",C584:O1909,13,FALSE)</f>
        <v>M2</v>
      </c>
      <c r="U583" s="593"/>
      <c r="V583" s="596"/>
      <c r="W583" s="597"/>
      <c r="X583" s="597"/>
      <c r="Y583" s="597"/>
      <c r="Z583" s="597"/>
      <c r="AA583" s="600"/>
      <c r="AB583" s="598"/>
    </row>
    <row r="584" spans="1:28" x14ac:dyDescent="0.2">
      <c r="A584" s="655"/>
      <c r="B584" s="751"/>
      <c r="C584" s="342" t="s">
        <v>2</v>
      </c>
      <c r="D584" s="343"/>
      <c r="E584" s="340"/>
      <c r="F584" s="344"/>
      <c r="G584" s="343"/>
      <c r="H584" s="344"/>
      <c r="I584" s="344"/>
      <c r="J584" s="341"/>
      <c r="K584" s="345"/>
      <c r="L584" s="346"/>
      <c r="M584" s="347"/>
      <c r="N584" s="348">
        <v>18.03</v>
      </c>
      <c r="O584" s="349" t="s">
        <v>394</v>
      </c>
      <c r="P584" s="350"/>
      <c r="Q584" s="350"/>
      <c r="R584" s="656"/>
      <c r="S584" s="593" t="e">
        <f>VLOOKUP("Total",C637:O1914,12,FALSE)</f>
        <v>#N/A</v>
      </c>
      <c r="T584" s="593" t="e">
        <f>VLOOKUP("Total",C637:O1914,13,FALSE)</f>
        <v>#N/A</v>
      </c>
      <c r="U584" s="593"/>
      <c r="V584" s="596"/>
      <c r="W584" s="597"/>
      <c r="X584" s="597"/>
      <c r="Y584" s="597"/>
      <c r="Z584" s="597"/>
      <c r="AA584" s="600"/>
      <c r="AB584" s="598"/>
    </row>
    <row r="585" spans="1:28" x14ac:dyDescent="0.2">
      <c r="A585" s="651"/>
      <c r="B585" s="898">
        <v>40932</v>
      </c>
      <c r="C585" s="375" t="s">
        <v>399</v>
      </c>
      <c r="H585" s="285"/>
      <c r="N585" s="306"/>
      <c r="O585" s="332"/>
      <c r="P585" s="307"/>
      <c r="Q585" s="307"/>
      <c r="R585" s="659"/>
      <c r="S585" s="593">
        <f>VLOOKUP("Total",C587:O1912,12,FALSE)</f>
        <v>20</v>
      </c>
      <c r="T585" s="593" t="str">
        <f>VLOOKUP("Total",C587:O1912,13,FALSE)</f>
        <v>Ud</v>
      </c>
      <c r="U585" s="593"/>
      <c r="V585" s="596"/>
      <c r="W585" s="597"/>
      <c r="X585" s="597"/>
      <c r="Y585" s="597"/>
      <c r="Z585" s="597"/>
      <c r="AA585" s="600"/>
      <c r="AB585" s="598"/>
    </row>
    <row r="586" spans="1:28" x14ac:dyDescent="0.2">
      <c r="A586" s="651"/>
      <c r="B586" s="890"/>
      <c r="C586" s="594"/>
      <c r="H586" s="285"/>
      <c r="N586" s="306"/>
      <c r="O586" s="332"/>
      <c r="P586" s="307"/>
      <c r="Q586" s="307"/>
      <c r="R586" s="659"/>
      <c r="S586" s="593"/>
      <c r="T586" s="593"/>
      <c r="U586" s="593"/>
      <c r="V586" s="596"/>
      <c r="W586" s="597"/>
      <c r="X586" s="597"/>
      <c r="Y586" s="597"/>
      <c r="Z586" s="597"/>
      <c r="AA586" s="600"/>
      <c r="AB586" s="598"/>
    </row>
    <row r="587" spans="1:28" x14ac:dyDescent="0.2">
      <c r="A587" s="652" t="s">
        <v>602</v>
      </c>
      <c r="B587" s="891"/>
      <c r="C587" s="335" t="s">
        <v>625</v>
      </c>
      <c r="D587" s="934"/>
      <c r="E587" s="935"/>
      <c r="F587" s="936"/>
      <c r="G587" s="766"/>
      <c r="H587" s="767"/>
      <c r="I587" s="386"/>
      <c r="J587" s="337"/>
      <c r="K587" s="725"/>
      <c r="L587" s="728"/>
      <c r="M587" s="769"/>
      <c r="N587" s="728" t="s">
        <v>533</v>
      </c>
      <c r="O587" s="339"/>
      <c r="P587" s="768"/>
      <c r="Q587" s="768"/>
      <c r="R587" s="658"/>
      <c r="S587" s="593">
        <f>VLOOKUP("Total",C588:O1913,12,FALSE)</f>
        <v>20</v>
      </c>
      <c r="T587" s="593" t="str">
        <f>VLOOKUP("Total",C588:O1913,13,FALSE)</f>
        <v>Ud</v>
      </c>
      <c r="U587" s="593"/>
      <c r="V587" s="596"/>
      <c r="W587" s="597"/>
      <c r="X587" s="597"/>
      <c r="Y587" s="597"/>
      <c r="Z587" s="597"/>
      <c r="AA587" s="600"/>
      <c r="AB587" s="598"/>
    </row>
    <row r="588" spans="1:28" x14ac:dyDescent="0.2">
      <c r="A588" s="655"/>
      <c r="B588" s="751"/>
      <c r="C588" s="342" t="s">
        <v>2</v>
      </c>
      <c r="D588" s="343"/>
      <c r="E588" s="340"/>
      <c r="F588" s="344"/>
      <c r="G588" s="343"/>
      <c r="H588" s="344"/>
      <c r="I588" s="344"/>
      <c r="J588" s="341"/>
      <c r="K588" s="345"/>
      <c r="L588" s="346"/>
      <c r="M588" s="347"/>
      <c r="N588" s="348">
        <v>20</v>
      </c>
      <c r="O588" s="349" t="s">
        <v>396</v>
      </c>
      <c r="P588" s="350"/>
      <c r="Q588" s="350"/>
      <c r="R588" s="656"/>
      <c r="S588" s="593">
        <f>VLOOKUP("Total",C593:O1918,12,FALSE)</f>
        <v>619</v>
      </c>
      <c r="T588" s="593" t="str">
        <f>VLOOKUP("Total",C593:O1918,13,FALSE)</f>
        <v>M2</v>
      </c>
      <c r="U588" s="593"/>
      <c r="V588" s="596"/>
      <c r="W588" s="597"/>
      <c r="X588" s="597"/>
      <c r="Y588" s="597"/>
      <c r="Z588" s="597"/>
      <c r="AA588" s="600"/>
      <c r="AB588" s="598"/>
    </row>
    <row r="589" spans="1:28" x14ac:dyDescent="0.2">
      <c r="A589" s="651"/>
      <c r="B589" s="898">
        <v>40934</v>
      </c>
      <c r="C589" s="375" t="s">
        <v>261</v>
      </c>
      <c r="H589" s="285"/>
      <c r="N589" s="306"/>
      <c r="O589" s="332"/>
      <c r="P589" s="307"/>
      <c r="Q589" s="307"/>
      <c r="R589" s="659"/>
      <c r="S589" s="593">
        <f>VLOOKUP("Total",C591:O1916,12,FALSE)</f>
        <v>1154</v>
      </c>
      <c r="T589" s="593" t="str">
        <f>VLOOKUP("Total",C591:O1916,13,FALSE)</f>
        <v>Ud</v>
      </c>
      <c r="U589" s="593"/>
      <c r="V589" s="596"/>
      <c r="W589" s="597"/>
      <c r="X589" s="597"/>
      <c r="Y589" s="597"/>
      <c r="Z589" s="597"/>
      <c r="AA589" s="600"/>
      <c r="AB589" s="598"/>
    </row>
    <row r="590" spans="1:28" x14ac:dyDescent="0.2">
      <c r="A590" s="651"/>
      <c r="B590" s="890"/>
      <c r="C590" s="594"/>
      <c r="H590" s="285"/>
      <c r="N590" s="306"/>
      <c r="O590" s="332"/>
      <c r="P590" s="307"/>
      <c r="Q590" s="307"/>
      <c r="R590" s="659"/>
      <c r="S590" s="593"/>
      <c r="T590" s="593"/>
      <c r="U590" s="593"/>
      <c r="V590" s="596"/>
      <c r="W590" s="597"/>
      <c r="X590" s="597"/>
      <c r="Y590" s="597"/>
      <c r="Z590" s="597"/>
      <c r="AA590" s="600"/>
      <c r="AB590" s="598"/>
    </row>
    <row r="591" spans="1:28" x14ac:dyDescent="0.2">
      <c r="A591" s="652" t="s">
        <v>610</v>
      </c>
      <c r="B591" s="891"/>
      <c r="C591" s="335" t="s">
        <v>618</v>
      </c>
      <c r="D591" s="934"/>
      <c r="E591" s="935"/>
      <c r="F591" s="936"/>
      <c r="G591" s="766"/>
      <c r="H591" s="767"/>
      <c r="I591" s="386"/>
      <c r="J591" s="337"/>
      <c r="K591" s="725"/>
      <c r="L591" s="728"/>
      <c r="M591" s="769"/>
      <c r="N591" s="728" t="s">
        <v>533</v>
      </c>
      <c r="O591" s="339"/>
      <c r="P591" s="768"/>
      <c r="Q591" s="768"/>
      <c r="R591" s="658"/>
      <c r="S591" s="593">
        <f>VLOOKUP("Total",C592:O1917,12,FALSE)</f>
        <v>1154</v>
      </c>
      <c r="T591" s="593" t="str">
        <f>VLOOKUP("Total",C592:O1917,13,FALSE)</f>
        <v>Ud</v>
      </c>
      <c r="U591" s="593"/>
      <c r="V591" s="596"/>
      <c r="W591" s="597"/>
      <c r="X591" s="597"/>
      <c r="Y591" s="597"/>
      <c r="Z591" s="597"/>
      <c r="AA591" s="600"/>
      <c r="AB591" s="598"/>
    </row>
    <row r="592" spans="1:28" x14ac:dyDescent="0.2">
      <c r="A592" s="655"/>
      <c r="B592" s="751"/>
      <c r="C592" s="342" t="s">
        <v>2</v>
      </c>
      <c r="D592" s="343"/>
      <c r="E592" s="340"/>
      <c r="F592" s="344"/>
      <c r="G592" s="343"/>
      <c r="H592" s="344"/>
      <c r="I592" s="344"/>
      <c r="J592" s="341"/>
      <c r="K592" s="345"/>
      <c r="L592" s="346"/>
      <c r="M592" s="347"/>
      <c r="N592" s="348">
        <v>1154</v>
      </c>
      <c r="O592" s="349" t="s">
        <v>396</v>
      </c>
      <c r="P592" s="350"/>
      <c r="Q592" s="350"/>
      <c r="R592" s="656"/>
      <c r="S592" s="593">
        <f>VLOOKUP("Total",C597:O1922,12,FALSE)</f>
        <v>9</v>
      </c>
      <c r="T592" s="593" t="str">
        <f>VLOOKUP("Total",C597:O1922,13,FALSE)</f>
        <v>M2</v>
      </c>
      <c r="U592" s="593"/>
      <c r="V592" s="596"/>
      <c r="W592" s="597"/>
      <c r="X592" s="597"/>
      <c r="Y592" s="597"/>
      <c r="Z592" s="597"/>
      <c r="AA592" s="600"/>
      <c r="AB592" s="598"/>
    </row>
    <row r="593" spans="1:28" x14ac:dyDescent="0.2">
      <c r="A593" s="287"/>
      <c r="B593" s="890"/>
      <c r="C593" s="331"/>
      <c r="H593" s="285"/>
      <c r="N593" s="306"/>
      <c r="O593" s="332"/>
      <c r="P593" s="307"/>
      <c r="Q593" s="307"/>
      <c r="R593" s="659"/>
      <c r="S593" s="593">
        <f>VLOOKUP("Total",C594:O1919,12,FALSE)</f>
        <v>619</v>
      </c>
      <c r="T593" s="593" t="str">
        <f>VLOOKUP("Total",C594:O1919,13,FALSE)</f>
        <v>M2</v>
      </c>
      <c r="U593" s="593"/>
      <c r="V593" s="596"/>
      <c r="W593" s="597"/>
      <c r="X593" s="597"/>
      <c r="Y593" s="597"/>
      <c r="Z593" s="597"/>
      <c r="AA593" s="600"/>
      <c r="AB593" s="598"/>
    </row>
    <row r="594" spans="1:28" x14ac:dyDescent="0.2">
      <c r="A594" s="652" t="s">
        <v>611</v>
      </c>
      <c r="B594" s="891"/>
      <c r="C594" s="335" t="s">
        <v>619</v>
      </c>
      <c r="D594" s="934"/>
      <c r="E594" s="935"/>
      <c r="F594" s="936"/>
      <c r="G594" s="766"/>
      <c r="H594" s="767"/>
      <c r="I594" s="386"/>
      <c r="J594" s="337"/>
      <c r="K594" s="728"/>
      <c r="L594" s="769"/>
      <c r="M594" s="728"/>
      <c r="N594" s="728" t="s">
        <v>437</v>
      </c>
      <c r="O594" s="339"/>
      <c r="P594" s="768"/>
      <c r="Q594" s="768"/>
      <c r="R594" s="658"/>
      <c r="S594" s="593">
        <f>VLOOKUP("Total",C595:O1920,12,FALSE)</f>
        <v>619</v>
      </c>
      <c r="T594" s="593" t="str">
        <f>VLOOKUP("Total",C595:O1920,13,FALSE)</f>
        <v>M2</v>
      </c>
      <c r="U594" s="593"/>
      <c r="V594" s="596"/>
      <c r="W594" s="597"/>
      <c r="X594" s="597"/>
      <c r="Y594" s="597"/>
      <c r="Z594" s="597"/>
      <c r="AA594" s="600"/>
      <c r="AB594" s="598"/>
    </row>
    <row r="595" spans="1:28" x14ac:dyDescent="0.2">
      <c r="A595" s="655"/>
      <c r="B595" s="751"/>
      <c r="C595" s="342" t="s">
        <v>2</v>
      </c>
      <c r="D595" s="343"/>
      <c r="E595" s="340"/>
      <c r="F595" s="344"/>
      <c r="G595" s="343"/>
      <c r="H595" s="344"/>
      <c r="I595" s="344"/>
      <c r="J595" s="341"/>
      <c r="K595" s="345"/>
      <c r="L595" s="346"/>
      <c r="M595" s="347"/>
      <c r="N595" s="348">
        <v>619</v>
      </c>
      <c r="O595" s="349" t="s">
        <v>394</v>
      </c>
      <c r="P595" s="350"/>
      <c r="Q595" s="350"/>
      <c r="R595" s="656"/>
      <c r="S595" s="593" t="e">
        <f>VLOOKUP("Total",C674:O1925,12,FALSE)</f>
        <v>#N/A</v>
      </c>
      <c r="T595" s="593" t="e">
        <f>VLOOKUP("Total",C674:O1925,13,FALSE)</f>
        <v>#N/A</v>
      </c>
      <c r="U595" s="593"/>
      <c r="V595" s="596"/>
      <c r="W595" s="597"/>
      <c r="X595" s="597"/>
      <c r="Y595" s="597"/>
      <c r="Z595" s="597"/>
      <c r="AA595" s="600"/>
      <c r="AB595" s="598"/>
    </row>
    <row r="596" spans="1:28" x14ac:dyDescent="0.2">
      <c r="A596" s="651"/>
      <c r="B596" s="890"/>
      <c r="C596" s="594"/>
      <c r="H596" s="285"/>
      <c r="N596" s="306"/>
      <c r="O596" s="332"/>
      <c r="P596" s="307"/>
      <c r="Q596" s="307"/>
      <c r="R596" s="659"/>
      <c r="S596" s="593"/>
      <c r="T596" s="593"/>
      <c r="U596" s="593"/>
      <c r="V596" s="596"/>
      <c r="W596" s="597"/>
      <c r="X596" s="597"/>
      <c r="Y596" s="597"/>
      <c r="Z596" s="597"/>
      <c r="AA596" s="600"/>
      <c r="AB596" s="598"/>
    </row>
    <row r="597" spans="1:28" x14ac:dyDescent="0.2">
      <c r="A597" s="652" t="s">
        <v>612</v>
      </c>
      <c r="B597" s="891"/>
      <c r="C597" s="335" t="s">
        <v>626</v>
      </c>
      <c r="D597" s="934"/>
      <c r="E597" s="935"/>
      <c r="F597" s="936"/>
      <c r="G597" s="766"/>
      <c r="H597" s="767"/>
      <c r="I597" s="386"/>
      <c r="J597" s="337"/>
      <c r="K597" s="725"/>
      <c r="L597" s="728"/>
      <c r="M597" s="769"/>
      <c r="N597" s="728" t="s">
        <v>437</v>
      </c>
      <c r="O597" s="339"/>
      <c r="P597" s="768"/>
      <c r="Q597" s="768"/>
      <c r="R597" s="658"/>
      <c r="S597" s="593">
        <f>VLOOKUP("Total",C598:O1915,12,FALSE)</f>
        <v>9</v>
      </c>
      <c r="T597" s="593" t="str">
        <f>VLOOKUP("Total",C598:O1915,13,FALSE)</f>
        <v>M2</v>
      </c>
      <c r="U597" s="593"/>
      <c r="V597" s="596"/>
      <c r="W597" s="597"/>
      <c r="X597" s="597"/>
      <c r="Y597" s="597"/>
      <c r="Z597" s="597"/>
      <c r="AA597" s="600"/>
      <c r="AB597" s="598"/>
    </row>
    <row r="598" spans="1:28" x14ac:dyDescent="0.2">
      <c r="A598" s="655"/>
      <c r="B598" s="751"/>
      <c r="C598" s="342" t="s">
        <v>2</v>
      </c>
      <c r="D598" s="343"/>
      <c r="E598" s="340"/>
      <c r="F598" s="344"/>
      <c r="G598" s="343"/>
      <c r="H598" s="344"/>
      <c r="I598" s="344"/>
      <c r="J598" s="341"/>
      <c r="K598" s="345"/>
      <c r="L598" s="346"/>
      <c r="M598" s="347"/>
      <c r="N598" s="348">
        <v>9</v>
      </c>
      <c r="O598" s="349" t="s">
        <v>394</v>
      </c>
      <c r="P598" s="350"/>
      <c r="Q598" s="350"/>
      <c r="R598" s="656"/>
      <c r="S598" s="593" t="e">
        <f>VLOOKUP("Total",C643:O1920,12,FALSE)</f>
        <v>#N/A</v>
      </c>
      <c r="T598" s="593" t="e">
        <f>VLOOKUP("Total",C643:O1920,13,FALSE)</f>
        <v>#N/A</v>
      </c>
      <c r="U598" s="593"/>
      <c r="V598" s="596"/>
      <c r="W598" s="597"/>
      <c r="X598" s="597"/>
      <c r="Y598" s="597"/>
      <c r="Z598" s="597"/>
      <c r="AA598" s="600"/>
      <c r="AB598" s="598"/>
    </row>
    <row r="599" spans="1:28" x14ac:dyDescent="0.2">
      <c r="A599" s="651"/>
      <c r="B599" s="890"/>
      <c r="C599" s="594"/>
      <c r="H599" s="285"/>
      <c r="N599" s="306"/>
      <c r="O599" s="332"/>
      <c r="P599" s="307"/>
      <c r="Q599" s="307"/>
      <c r="R599" s="659"/>
      <c r="S599" s="593"/>
      <c r="T599" s="593"/>
      <c r="U599" s="593"/>
      <c r="V599" s="596"/>
      <c r="W599" s="597"/>
      <c r="X599" s="597"/>
      <c r="Y599" s="597"/>
      <c r="Z599" s="597"/>
      <c r="AA599" s="600"/>
      <c r="AB599" s="598"/>
    </row>
    <row r="600" spans="1:28" x14ac:dyDescent="0.2">
      <c r="A600" s="652" t="s">
        <v>617</v>
      </c>
      <c r="B600" s="891"/>
      <c r="C600" s="335" t="s">
        <v>625</v>
      </c>
      <c r="D600" s="934"/>
      <c r="E600" s="935"/>
      <c r="F600" s="936"/>
      <c r="G600" s="766"/>
      <c r="H600" s="767"/>
      <c r="I600" s="386"/>
      <c r="J600" s="337"/>
      <c r="K600" s="725"/>
      <c r="L600" s="728"/>
      <c r="M600" s="769"/>
      <c r="N600" s="728" t="s">
        <v>437</v>
      </c>
      <c r="O600" s="339"/>
      <c r="P600" s="768"/>
      <c r="Q600" s="768"/>
      <c r="R600" s="658"/>
      <c r="S600" s="593">
        <f>VLOOKUP("Total",C601:O1918,12,FALSE)</f>
        <v>23</v>
      </c>
      <c r="T600" s="593" t="str">
        <f>VLOOKUP("Total",C601:O1918,13,FALSE)</f>
        <v>M2</v>
      </c>
      <c r="U600" s="593"/>
      <c r="V600" s="596"/>
      <c r="W600" s="597"/>
      <c r="X600" s="597"/>
      <c r="Y600" s="597"/>
      <c r="Z600" s="597"/>
      <c r="AA600" s="600"/>
      <c r="AB600" s="598"/>
    </row>
    <row r="601" spans="1:28" x14ac:dyDescent="0.2">
      <c r="A601" s="655"/>
      <c r="B601" s="751"/>
      <c r="C601" s="342" t="s">
        <v>2</v>
      </c>
      <c r="D601" s="343"/>
      <c r="E601" s="340"/>
      <c r="F601" s="344"/>
      <c r="G601" s="343"/>
      <c r="H601" s="344"/>
      <c r="I601" s="344"/>
      <c r="J601" s="341"/>
      <c r="K601" s="345"/>
      <c r="L601" s="346"/>
      <c r="M601" s="347"/>
      <c r="N601" s="348">
        <v>23</v>
      </c>
      <c r="O601" s="349" t="s">
        <v>394</v>
      </c>
      <c r="P601" s="350"/>
      <c r="Q601" s="350"/>
      <c r="R601" s="656"/>
      <c r="S601" s="593" t="e">
        <f>VLOOKUP("Total",C646:O1923,12,FALSE)</f>
        <v>#N/A</v>
      </c>
      <c r="T601" s="593" t="e">
        <f>VLOOKUP("Total",C646:O1923,13,FALSE)</f>
        <v>#N/A</v>
      </c>
      <c r="U601" s="593"/>
      <c r="V601" s="596"/>
      <c r="W601" s="597"/>
      <c r="X601" s="597"/>
      <c r="Y601" s="597"/>
      <c r="Z601" s="597"/>
      <c r="AA601" s="600"/>
      <c r="AB601" s="598"/>
    </row>
    <row r="602" spans="1:28" x14ac:dyDescent="0.2">
      <c r="A602" s="661">
        <v>7</v>
      </c>
      <c r="B602" s="752"/>
      <c r="C602" s="375" t="s">
        <v>305</v>
      </c>
      <c r="D602" s="376"/>
      <c r="E602" s="377"/>
      <c r="F602" s="378"/>
      <c r="G602" s="376"/>
      <c r="H602" s="377"/>
      <c r="I602" s="378"/>
      <c r="J602" s="379"/>
      <c r="K602" s="380"/>
      <c r="L602" s="381"/>
      <c r="M602" s="382"/>
      <c r="N602" s="381"/>
      <c r="O602" s="379"/>
      <c r="P602" s="383"/>
      <c r="Q602" s="383"/>
      <c r="R602" s="662"/>
      <c r="S602" s="593">
        <f>VLOOKUP("Total",C605:O1858,12,FALSE)</f>
        <v>82</v>
      </c>
      <c r="T602" s="593" t="str">
        <f>VLOOKUP("Total",C605:O1858,13,FALSE)</f>
        <v>Ud</v>
      </c>
      <c r="U602" s="593"/>
      <c r="V602" s="596"/>
      <c r="W602" s="597"/>
      <c r="X602" s="597"/>
      <c r="Y602" s="597"/>
      <c r="Z602" s="597"/>
      <c r="AA602" s="600"/>
      <c r="AB602" s="598"/>
    </row>
    <row r="603" spans="1:28" x14ac:dyDescent="0.2">
      <c r="A603" s="651"/>
      <c r="B603" s="890"/>
      <c r="C603" s="375" t="s">
        <v>627</v>
      </c>
      <c r="H603" s="285"/>
      <c r="N603" s="306"/>
      <c r="O603" s="332"/>
      <c r="P603" s="307"/>
      <c r="Q603" s="307"/>
      <c r="R603" s="659"/>
      <c r="S603" s="593">
        <f>VLOOKUP("Total",C605:O1930,12,FALSE)</f>
        <v>82</v>
      </c>
      <c r="T603" s="593" t="str">
        <f>VLOOKUP("Total",C605:O1930,13,FALSE)</f>
        <v>Ud</v>
      </c>
      <c r="U603" s="593"/>
      <c r="V603" s="596"/>
      <c r="W603" s="597"/>
      <c r="X603" s="597"/>
      <c r="Y603" s="597"/>
      <c r="Z603" s="597"/>
      <c r="AA603" s="600"/>
      <c r="AB603" s="598"/>
    </row>
    <row r="604" spans="1:28" x14ac:dyDescent="0.2">
      <c r="A604" s="651"/>
      <c r="B604" s="890"/>
      <c r="C604" s="594"/>
      <c r="H604" s="285"/>
      <c r="N604" s="306"/>
      <c r="O604" s="332"/>
      <c r="P604" s="307"/>
      <c r="Q604" s="307"/>
      <c r="R604" s="659"/>
      <c r="S604" s="593"/>
      <c r="T604" s="593"/>
      <c r="U604" s="593"/>
      <c r="V604" s="596"/>
      <c r="W604" s="597"/>
      <c r="X604" s="597"/>
      <c r="Y604" s="597"/>
      <c r="Z604" s="597"/>
      <c r="AA604" s="600"/>
      <c r="AB604" s="598"/>
    </row>
    <row r="605" spans="1:28" s="311" customFormat="1" ht="25.5" x14ac:dyDescent="0.2">
      <c r="A605" s="652" t="s">
        <v>220</v>
      </c>
      <c r="B605" s="891">
        <v>40171</v>
      </c>
      <c r="C605" s="335" t="str">
        <f>IF(MID(B605,1,2)="LG",VLOOKUP(B605,Composições!J:M,3,FALSE),IF(MID(B605,1,1)="6",VLOOKUP(B605,transp.!$A$4:$K$19,11,FALSE)&amp;" -  XP="&amp;TEXT(#REF!,"0.000")&amp;" / XR="&amp;TEXT(#REF!,"0.000"),VLOOKUP(B605,'DER 11-20'!$A$1:$I$1981,2,FALSE)))</f>
        <v>Destocamento de árvores com diâmetro de 15 a 30 cm, com trator de esteira</v>
      </c>
      <c r="D605" s="934" t="s">
        <v>7</v>
      </c>
      <c r="E605" s="935"/>
      <c r="F605" s="936"/>
      <c r="G605" s="934"/>
      <c r="H605" s="935"/>
      <c r="I605" s="936"/>
      <c r="J605" s="337" t="s">
        <v>266</v>
      </c>
      <c r="K605" s="644"/>
      <c r="L605" s="291"/>
      <c r="M605" s="292"/>
      <c r="N605" s="641" t="str">
        <f>CONCATENATE("Total (",IF(MID(B605,1,2)="LG",VLOOKUP(B605,Composições!J:M,4,FALSE),IF(MID(B605,1,1)="6","t",VLOOKUP(B605,'DER 11-20'!$A$1:$I$1981,3,FALSE))),")")</f>
        <v>Total (Ud)</v>
      </c>
      <c r="O605" s="339"/>
      <c r="P605" s="937"/>
      <c r="Q605" s="938"/>
      <c r="R605" s="658"/>
      <c r="S605" s="593">
        <f>VLOOKUP("Total",C606:O1859,12,FALSE)</f>
        <v>82</v>
      </c>
      <c r="T605" s="593" t="str">
        <f>VLOOKUP("Total",C606:O1859,13,FALSE)</f>
        <v>Ud</v>
      </c>
      <c r="U605" s="593"/>
      <c r="V605" s="596"/>
      <c r="W605" s="597"/>
      <c r="X605" s="597"/>
      <c r="Y605" s="597"/>
      <c r="Z605" s="597"/>
      <c r="AA605" s="600"/>
      <c r="AB605" s="598"/>
    </row>
    <row r="606" spans="1:28" x14ac:dyDescent="0.2">
      <c r="A606" s="655"/>
      <c r="B606" s="751"/>
      <c r="C606" s="342" t="s">
        <v>2</v>
      </c>
      <c r="D606" s="343"/>
      <c r="E606" s="340"/>
      <c r="F606" s="344"/>
      <c r="G606" s="343"/>
      <c r="H606" s="344"/>
      <c r="I606" s="344"/>
      <c r="J606" s="341"/>
      <c r="K606" s="345"/>
      <c r="L606" s="346"/>
      <c r="M606" s="347"/>
      <c r="N606" s="348">
        <v>82</v>
      </c>
      <c r="O606" s="349" t="str">
        <f>IF(MID(B605,1,2)="LG",VLOOKUP(B605,Composições!J:M,4,FALSE),IF(MID(B605,1,1)="6",VLOOKUP(B605,transp.!$A$6:$K$35,3,FALSE),VLOOKUP(B605,'DER 11-20'!$A$1:$I$1981,3,FALSE)))</f>
        <v>Ud</v>
      </c>
      <c r="P606" s="350"/>
      <c r="Q606" s="350"/>
      <c r="R606" s="656"/>
      <c r="S606" s="593">
        <f>VLOOKUP("Total",C608:O1871,12,FALSE)</f>
        <v>59574</v>
      </c>
      <c r="T606" s="593" t="str">
        <f>VLOOKUP("Total",C608:O1871,13,FALSE)</f>
        <v>M2</v>
      </c>
      <c r="U606" s="593"/>
      <c r="V606" s="596"/>
      <c r="W606" s="597"/>
      <c r="X606" s="597"/>
      <c r="Y606" s="597"/>
      <c r="Z606" s="597"/>
      <c r="AA606" s="600"/>
      <c r="AB606" s="598"/>
    </row>
    <row r="607" spans="1:28" x14ac:dyDescent="0.2">
      <c r="A607" s="651"/>
      <c r="B607" s="890"/>
      <c r="C607" s="375" t="s">
        <v>628</v>
      </c>
      <c r="H607" s="285"/>
      <c r="N607" s="306"/>
      <c r="O607" s="332"/>
      <c r="P607" s="307"/>
      <c r="Q607" s="307"/>
      <c r="R607" s="659"/>
      <c r="S607" s="593">
        <f>VLOOKUP("Total",C609:O1934,12,FALSE)</f>
        <v>59574</v>
      </c>
      <c r="T607" s="593" t="str">
        <f>VLOOKUP("Total",C609:O1934,13,FALSE)</f>
        <v>M2</v>
      </c>
      <c r="U607" s="593"/>
      <c r="V607" s="596"/>
      <c r="W607" s="597"/>
      <c r="X607" s="597"/>
      <c r="Y607" s="597"/>
      <c r="Z607" s="597"/>
      <c r="AA607" s="600"/>
      <c r="AB607" s="598"/>
    </row>
    <row r="608" spans="1:28" x14ac:dyDescent="0.2">
      <c r="A608" s="287"/>
      <c r="B608" s="890"/>
      <c r="C608" s="331"/>
      <c r="H608" s="285"/>
      <c r="N608" s="306"/>
      <c r="O608" s="332"/>
      <c r="P608" s="307"/>
      <c r="Q608" s="307"/>
      <c r="R608" s="659"/>
      <c r="S608" s="593">
        <f>VLOOKUP("Total",C609:O1872,12,FALSE)</f>
        <v>59574</v>
      </c>
      <c r="T608" s="593" t="str">
        <f>VLOOKUP("Total",C609:O1872,13,FALSE)</f>
        <v>M2</v>
      </c>
      <c r="U608" s="593"/>
      <c r="V608" s="596"/>
      <c r="W608" s="597"/>
      <c r="X608" s="597"/>
      <c r="Y608" s="597"/>
      <c r="Z608" s="597"/>
      <c r="AA608" s="600"/>
      <c r="AB608" s="598"/>
    </row>
    <row r="609" spans="1:28" s="311" customFormat="1" x14ac:dyDescent="0.2">
      <c r="A609" s="652" t="s">
        <v>221</v>
      </c>
      <c r="B609" s="891">
        <v>42200</v>
      </c>
      <c r="C609" s="335" t="str">
        <f>IF(MID(B609,1,2)="LG",VLOOKUP(B609,Composições!J:M,3,FALSE),IF(MID(B609,1,1)="6",VLOOKUP(B609,transp.!$A$4:$K$19,11,FALSE)&amp;" -  XP="&amp;TEXT(#REF!,"0.000")&amp;" / XR="&amp;TEXT(#REF!,"0.000"),VLOOKUP(B609,'DER 11-20'!$A$1:$I$1981,2,FALSE)))</f>
        <v>Hidrossemeadura simples em taludes</v>
      </c>
      <c r="D609" s="934" t="s">
        <v>7</v>
      </c>
      <c r="E609" s="935"/>
      <c r="F609" s="936"/>
      <c r="G609" s="934"/>
      <c r="H609" s="935"/>
      <c r="I609" s="936"/>
      <c r="J609" s="337" t="s">
        <v>266</v>
      </c>
      <c r="K609" s="644"/>
      <c r="L609" s="291"/>
      <c r="M609" s="292"/>
      <c r="N609" s="641" t="str">
        <f>CONCATENATE("Total (",IF(MID(B609,1,2)="LG",VLOOKUP(B609,Composições!J:M,4,FALSE),IF(MID(B609,1,1)="6","t",VLOOKUP(B609,'DER 11-20'!$A$1:$I$1981,3,FALSE))),")")</f>
        <v>Total (M2)</v>
      </c>
      <c r="O609" s="339"/>
      <c r="P609" s="937"/>
      <c r="Q609" s="938"/>
      <c r="R609" s="658"/>
      <c r="S609" s="593">
        <f>VLOOKUP("Total",C610:O1873,12,FALSE)</f>
        <v>59574</v>
      </c>
      <c r="T609" s="593" t="str">
        <f>VLOOKUP("Total",C610:O1873,13,FALSE)</f>
        <v>M2</v>
      </c>
      <c r="U609" s="593"/>
      <c r="V609" s="596"/>
      <c r="W609" s="597"/>
      <c r="X609" s="597"/>
      <c r="Y609" s="597"/>
      <c r="Z609" s="597"/>
      <c r="AA609" s="600"/>
      <c r="AB609" s="598"/>
    </row>
    <row r="610" spans="1:28" x14ac:dyDescent="0.2">
      <c r="A610" s="655"/>
      <c r="B610" s="751"/>
      <c r="C610" s="342" t="s">
        <v>2</v>
      </c>
      <c r="D610" s="343"/>
      <c r="E610" s="340"/>
      <c r="F610" s="344"/>
      <c r="G610" s="343"/>
      <c r="H610" s="344"/>
      <c r="I610" s="344"/>
      <c r="J610" s="341"/>
      <c r="K610" s="345"/>
      <c r="L610" s="346"/>
      <c r="M610" s="347"/>
      <c r="N610" s="348">
        <v>59574</v>
      </c>
      <c r="O610" s="349" t="str">
        <f>IF(MID(B609,1,2)="LG",VLOOKUP(B609,Composições!J:M,4,FALSE),IF(MID(B609,1,1)="6",VLOOKUP(B609,transp.!$A$6:$K$35,3,FALSE),VLOOKUP(B609,'DER 11-20'!$A$1:$I$1981,3,FALSE)))</f>
        <v>M2</v>
      </c>
      <c r="P610" s="350"/>
      <c r="Q610" s="350"/>
      <c r="R610" s="656"/>
      <c r="S610" s="593">
        <f>VLOOKUP("Total",C612:O1880,12,FALSE)</f>
        <v>2</v>
      </c>
      <c r="T610" s="593" t="str">
        <f>VLOOKUP("Total",C612:O1880,13,FALSE)</f>
        <v>Ud</v>
      </c>
      <c r="U610" s="593"/>
      <c r="V610" s="596"/>
      <c r="W610" s="597"/>
      <c r="X610" s="597"/>
      <c r="Y610" s="597"/>
      <c r="Z610" s="597"/>
      <c r="AA610" s="600"/>
      <c r="AB610" s="598"/>
    </row>
    <row r="611" spans="1:28" x14ac:dyDescent="0.2">
      <c r="A611" s="287"/>
      <c r="B611" s="890"/>
      <c r="C611" s="331"/>
      <c r="H611" s="285"/>
      <c r="N611" s="306"/>
      <c r="O611" s="332"/>
      <c r="P611" s="307"/>
      <c r="Q611" s="307"/>
      <c r="R611" s="659"/>
      <c r="S611" s="593"/>
      <c r="T611" s="593"/>
      <c r="U611" s="593"/>
      <c r="V611" s="596"/>
      <c r="W611" s="597"/>
      <c r="X611" s="597"/>
      <c r="Y611" s="597"/>
      <c r="Z611" s="597"/>
      <c r="AA611" s="600"/>
      <c r="AB611" s="598"/>
    </row>
    <row r="612" spans="1:28" s="311" customFormat="1" ht="15" customHeight="1" x14ac:dyDescent="0.2">
      <c r="A612" s="652" t="s">
        <v>308</v>
      </c>
      <c r="B612" s="891">
        <v>42044</v>
      </c>
      <c r="C612" s="335" t="str">
        <f>IF(MID(B612,1,2)="LG",VLOOKUP(B612,Composições!J:M,3,FALSE),IF(MID(B612,1,1)="6",VLOOKUP(B612,transp.!$A$4:$K$19,11,FALSE)&amp;" -  XP="&amp;TEXT(#REF!,"0.000")&amp;" / XR="&amp;TEXT(#REF!,"0.000"),VLOOKUP(B612,'DER 11-20'!$A$1:$I$1981,2,FALSE)))</f>
        <v>Reunião de Comunicação Social inclusive material de consumo</v>
      </c>
      <c r="D612" s="934" t="s">
        <v>7</v>
      </c>
      <c r="E612" s="935"/>
      <c r="F612" s="936"/>
      <c r="G612" s="934"/>
      <c r="H612" s="935"/>
      <c r="I612" s="936"/>
      <c r="J612" s="337" t="s">
        <v>266</v>
      </c>
      <c r="K612" s="644"/>
      <c r="L612" s="291"/>
      <c r="M612" s="292"/>
      <c r="N612" s="641" t="str">
        <f>CONCATENATE("Total (",IF(MID(B612,1,2)="LG",VLOOKUP(B612,Composições!J:M,4,FALSE),IF(MID(B612,1,1)="6","t",VLOOKUP(B612,'DER 11-20'!$A$1:$I$1981,3,FALSE))),")")</f>
        <v>Total (Ud)</v>
      </c>
      <c r="O612" s="339"/>
      <c r="P612" s="937"/>
      <c r="Q612" s="938"/>
      <c r="R612" s="658"/>
      <c r="S612" s="593">
        <f>VLOOKUP("Total",C613:O1887,12,FALSE)</f>
        <v>2</v>
      </c>
      <c r="T612" s="593" t="str">
        <f>VLOOKUP("Total",C613:O1887,13,FALSE)</f>
        <v>Ud</v>
      </c>
      <c r="U612" s="593"/>
      <c r="V612" s="596"/>
      <c r="W612" s="597"/>
      <c r="X612" s="597"/>
      <c r="Y612" s="597"/>
      <c r="Z612" s="597"/>
      <c r="AA612" s="600"/>
      <c r="AB612" s="598"/>
    </row>
    <row r="613" spans="1:28" x14ac:dyDescent="0.2">
      <c r="A613" s="655"/>
      <c r="B613" s="751"/>
      <c r="C613" s="342" t="s">
        <v>2</v>
      </c>
      <c r="D613" s="343"/>
      <c r="E613" s="340"/>
      <c r="F613" s="344"/>
      <c r="G613" s="343"/>
      <c r="H613" s="344"/>
      <c r="I613" s="344"/>
      <c r="J613" s="341"/>
      <c r="K613" s="345"/>
      <c r="L613" s="346"/>
      <c r="M613" s="347"/>
      <c r="N613" s="348">
        <v>2</v>
      </c>
      <c r="O613" s="349" t="str">
        <f>IF(MID(B612,1,2)="LG",VLOOKUP(B612,Composições!J:M,4,FALSE),IF(MID(B612,1,1)="6",VLOOKUP(B612,transp.!$A$6:$K$35,3,FALSE),VLOOKUP(B612,'DER 11-20'!$A$1:$I$1981,3,FALSE)))</f>
        <v>Ud</v>
      </c>
      <c r="P613" s="350"/>
      <c r="Q613" s="350"/>
      <c r="R613" s="656"/>
      <c r="S613" s="593">
        <f>VLOOKUP("Total",C19:O1890,12,FALSE)</f>
        <v>1000</v>
      </c>
      <c r="T613" s="593" t="str">
        <f>VLOOKUP("Total",C19:O1890,13,FALSE)</f>
        <v>M2</v>
      </c>
      <c r="U613" s="593"/>
      <c r="V613" s="596"/>
      <c r="W613" s="597"/>
      <c r="X613" s="597"/>
      <c r="Y613" s="597"/>
      <c r="Z613" s="597"/>
      <c r="AA613" s="600"/>
      <c r="AB613" s="598"/>
    </row>
    <row r="614" spans="1:28" x14ac:dyDescent="0.2">
      <c r="B614" s="890"/>
      <c r="S614" s="593"/>
      <c r="T614" s="593"/>
      <c r="U614" s="593"/>
      <c r="V614" s="596"/>
      <c r="W614" s="597"/>
      <c r="X614" s="597"/>
      <c r="Y614" s="597"/>
      <c r="Z614" s="597"/>
      <c r="AA614" s="600"/>
      <c r="AB614" s="598"/>
    </row>
    <row r="615" spans="1:28" s="282" customFormat="1" x14ac:dyDescent="0.2">
      <c r="A615" s="284"/>
      <c r="B615" s="890"/>
      <c r="C615" s="283"/>
      <c r="D615" s="283"/>
      <c r="E615" s="284"/>
      <c r="F615" s="285"/>
      <c r="G615" s="283"/>
      <c r="H615" s="284"/>
      <c r="I615" s="285"/>
      <c r="J615" s="286"/>
      <c r="K615" s="290"/>
      <c r="L615" s="291"/>
      <c r="M615" s="292"/>
      <c r="N615" s="541"/>
      <c r="O615" s="288"/>
      <c r="P615" s="294"/>
      <c r="Q615" s="294"/>
      <c r="R615" s="289"/>
      <c r="S615" s="593"/>
      <c r="T615" s="593"/>
      <c r="U615" s="593"/>
      <c r="V615" s="596"/>
      <c r="W615" s="597"/>
      <c r="X615" s="597"/>
      <c r="Y615" s="597"/>
      <c r="Z615" s="597"/>
      <c r="AA615" s="600"/>
      <c r="AB615" s="598"/>
    </row>
    <row r="616" spans="1:28" x14ac:dyDescent="0.2">
      <c r="B616" s="890"/>
      <c r="S616" s="593"/>
      <c r="T616" s="593"/>
      <c r="U616" s="593"/>
      <c r="V616" s="596"/>
      <c r="W616" s="597"/>
      <c r="X616" s="597"/>
      <c r="Y616" s="597"/>
      <c r="Z616" s="597"/>
      <c r="AA616" s="600"/>
      <c r="AB616" s="598"/>
    </row>
    <row r="617" spans="1:28" x14ac:dyDescent="0.2">
      <c r="B617" s="890"/>
      <c r="S617" s="593"/>
      <c r="T617" s="593"/>
      <c r="U617" s="593"/>
      <c r="V617" s="596"/>
      <c r="W617" s="597"/>
      <c r="X617" s="597"/>
      <c r="Y617" s="597"/>
      <c r="Z617" s="597"/>
      <c r="AA617" s="600"/>
      <c r="AB617" s="598"/>
    </row>
    <row r="618" spans="1:28" x14ac:dyDescent="0.2">
      <c r="B618" s="890"/>
      <c r="S618" s="593"/>
      <c r="T618" s="593"/>
      <c r="U618" s="593"/>
      <c r="V618" s="596"/>
      <c r="W618" s="597"/>
      <c r="X618" s="597"/>
      <c r="Y618" s="597"/>
      <c r="Z618" s="597"/>
      <c r="AA618" s="600"/>
      <c r="AB618" s="598"/>
    </row>
    <row r="619" spans="1:28" s="282" customFormat="1" x14ac:dyDescent="0.2">
      <c r="A619" s="284"/>
      <c r="B619" s="890"/>
      <c r="C619" s="283"/>
      <c r="D619" s="283"/>
      <c r="E619" s="284"/>
      <c r="F619" s="285"/>
      <c r="G619" s="283"/>
      <c r="H619" s="284"/>
      <c r="I619" s="285"/>
      <c r="J619" s="286"/>
      <c r="K619" s="290"/>
      <c r="L619" s="291"/>
      <c r="M619" s="292"/>
      <c r="N619" s="541"/>
      <c r="O619" s="288"/>
      <c r="P619" s="294"/>
      <c r="Q619" s="294"/>
      <c r="R619" s="289"/>
      <c r="S619" s="593"/>
      <c r="T619" s="593"/>
      <c r="U619" s="593"/>
      <c r="V619" s="596"/>
      <c r="W619" s="597"/>
      <c r="X619" s="597"/>
      <c r="Y619" s="597"/>
      <c r="Z619" s="597"/>
      <c r="AA619" s="600"/>
      <c r="AB619" s="598"/>
    </row>
    <row r="620" spans="1:28" x14ac:dyDescent="0.2">
      <c r="B620" s="890"/>
      <c r="S620" s="593"/>
      <c r="T620" s="593"/>
      <c r="U620" s="593"/>
      <c r="V620" s="596"/>
      <c r="W620" s="597"/>
      <c r="X620" s="597"/>
      <c r="Y620" s="597"/>
      <c r="Z620" s="597"/>
      <c r="AA620" s="600"/>
      <c r="AB620" s="598"/>
    </row>
    <row r="621" spans="1:28" x14ac:dyDescent="0.2">
      <c r="B621" s="890"/>
      <c r="S621" s="593"/>
      <c r="T621" s="593"/>
      <c r="U621" s="593"/>
      <c r="V621" s="596"/>
      <c r="W621" s="597"/>
      <c r="X621" s="597"/>
      <c r="Y621" s="597"/>
      <c r="Z621" s="597"/>
      <c r="AA621" s="600"/>
      <c r="AB621" s="598"/>
    </row>
    <row r="622" spans="1:28" x14ac:dyDescent="0.2">
      <c r="B622" s="890"/>
      <c r="S622" s="593"/>
      <c r="T622" s="593"/>
      <c r="U622" s="593"/>
      <c r="V622" s="596"/>
      <c r="W622" s="597"/>
      <c r="X622" s="597"/>
      <c r="Y622" s="597"/>
      <c r="Z622" s="597"/>
      <c r="AA622" s="600"/>
      <c r="AB622" s="598"/>
    </row>
    <row r="623" spans="1:28" s="282" customFormat="1" x14ac:dyDescent="0.2">
      <c r="A623" s="284"/>
      <c r="B623" s="890"/>
      <c r="C623" s="283"/>
      <c r="D623" s="283"/>
      <c r="E623" s="284"/>
      <c r="F623" s="285"/>
      <c r="G623" s="283"/>
      <c r="H623" s="284"/>
      <c r="I623" s="285"/>
      <c r="J623" s="286"/>
      <c r="K623" s="290"/>
      <c r="L623" s="291"/>
      <c r="M623" s="292"/>
      <c r="N623" s="541"/>
      <c r="O623" s="288"/>
      <c r="P623" s="294"/>
      <c r="Q623" s="294"/>
      <c r="R623" s="289"/>
      <c r="S623" s="593"/>
      <c r="T623" s="593"/>
      <c r="U623" s="593"/>
      <c r="V623" s="596"/>
      <c r="W623" s="597"/>
      <c r="X623" s="597"/>
      <c r="Y623" s="597"/>
      <c r="Z623" s="597"/>
      <c r="AA623" s="600"/>
      <c r="AB623" s="598"/>
    </row>
    <row r="624" spans="1:28" x14ac:dyDescent="0.2">
      <c r="B624" s="890"/>
      <c r="S624" s="593"/>
      <c r="T624" s="593"/>
      <c r="U624" s="593"/>
      <c r="V624" s="596"/>
      <c r="W624" s="597"/>
      <c r="X624" s="597"/>
      <c r="Y624" s="597"/>
      <c r="Z624" s="597"/>
      <c r="AA624" s="600"/>
      <c r="AB624" s="598"/>
    </row>
    <row r="625" spans="1:28" x14ac:dyDescent="0.2">
      <c r="B625" s="890"/>
      <c r="S625" s="593"/>
      <c r="T625" s="593"/>
      <c r="U625" s="593"/>
      <c r="V625" s="596"/>
      <c r="W625" s="597"/>
      <c r="X625" s="597"/>
      <c r="Y625" s="597"/>
      <c r="Z625" s="597"/>
      <c r="AA625" s="600"/>
      <c r="AB625" s="598"/>
    </row>
    <row r="626" spans="1:28" x14ac:dyDescent="0.2">
      <c r="B626" s="890"/>
      <c r="S626" s="593"/>
      <c r="T626" s="593"/>
      <c r="U626" s="593"/>
      <c r="V626" s="596"/>
      <c r="W626" s="597"/>
      <c r="X626" s="597"/>
      <c r="Y626" s="597"/>
      <c r="Z626" s="597"/>
      <c r="AA626" s="600"/>
      <c r="AB626" s="598"/>
    </row>
    <row r="627" spans="1:28" x14ac:dyDescent="0.2">
      <c r="B627" s="890"/>
      <c r="S627" s="593"/>
      <c r="T627" s="593"/>
      <c r="U627" s="593"/>
      <c r="V627" s="596"/>
      <c r="W627" s="597"/>
      <c r="X627" s="597"/>
      <c r="Y627" s="597"/>
      <c r="Z627" s="597"/>
      <c r="AA627" s="600"/>
      <c r="AB627" s="598"/>
    </row>
    <row r="628" spans="1:28" x14ac:dyDescent="0.2">
      <c r="B628" s="890"/>
      <c r="S628" s="593"/>
      <c r="T628" s="593"/>
      <c r="U628" s="593"/>
      <c r="V628" s="596"/>
      <c r="W628" s="597"/>
      <c r="X628" s="597"/>
      <c r="Y628" s="597"/>
      <c r="Z628" s="597"/>
      <c r="AA628" s="600"/>
      <c r="AB628" s="598"/>
    </row>
    <row r="629" spans="1:28" x14ac:dyDescent="0.2">
      <c r="B629" s="890"/>
      <c r="S629" s="593"/>
      <c r="T629" s="593"/>
      <c r="U629" s="593"/>
      <c r="V629" s="596"/>
      <c r="W629" s="597"/>
      <c r="X629" s="597"/>
      <c r="Y629" s="597"/>
      <c r="Z629" s="597"/>
      <c r="AA629" s="600"/>
      <c r="AB629" s="598"/>
    </row>
    <row r="630" spans="1:28" x14ac:dyDescent="0.2">
      <c r="B630" s="890"/>
      <c r="S630" s="593"/>
      <c r="T630" s="593"/>
    </row>
    <row r="631" spans="1:28" x14ac:dyDescent="0.2">
      <c r="B631" s="890"/>
      <c r="S631" s="593"/>
      <c r="T631" s="593"/>
    </row>
    <row r="632" spans="1:28" x14ac:dyDescent="0.2">
      <c r="B632" s="890"/>
      <c r="S632" s="593"/>
      <c r="T632" s="593"/>
    </row>
    <row r="633" spans="1:28" x14ac:dyDescent="0.2">
      <c r="B633" s="890"/>
      <c r="S633" s="593"/>
      <c r="T633" s="593"/>
    </row>
    <row r="634" spans="1:28" s="282" customFormat="1" x14ac:dyDescent="0.2">
      <c r="A634" s="284"/>
      <c r="B634" s="890"/>
      <c r="C634" s="283"/>
      <c r="D634" s="283"/>
      <c r="E634" s="284"/>
      <c r="F634" s="285"/>
      <c r="G634" s="283"/>
      <c r="H634" s="284"/>
      <c r="I634" s="285"/>
      <c r="J634" s="286"/>
      <c r="K634" s="290"/>
      <c r="L634" s="291"/>
      <c r="M634" s="292"/>
      <c r="N634" s="541"/>
      <c r="O634" s="288"/>
      <c r="P634" s="294"/>
      <c r="Q634" s="294"/>
      <c r="R634" s="289"/>
      <c r="S634" s="593"/>
      <c r="T634" s="593"/>
      <c r="W634" s="582"/>
      <c r="X634" s="582"/>
      <c r="Y634" s="582"/>
      <c r="Z634" s="582"/>
      <c r="AA634" s="582"/>
      <c r="AB634" s="582"/>
    </row>
    <row r="635" spans="1:28" x14ac:dyDescent="0.2">
      <c r="B635" s="890"/>
      <c r="S635" s="593"/>
      <c r="T635" s="593"/>
    </row>
    <row r="636" spans="1:28" x14ac:dyDescent="0.2">
      <c r="B636" s="890"/>
      <c r="S636" s="593"/>
      <c r="T636" s="593"/>
    </row>
    <row r="637" spans="1:28" x14ac:dyDescent="0.2">
      <c r="B637" s="890"/>
      <c r="S637" s="593"/>
      <c r="T637" s="593"/>
    </row>
    <row r="638" spans="1:28" x14ac:dyDescent="0.2">
      <c r="B638" s="890"/>
      <c r="S638" s="593"/>
      <c r="T638" s="593"/>
    </row>
    <row r="639" spans="1:28" x14ac:dyDescent="0.2">
      <c r="B639" s="890"/>
      <c r="S639" s="593"/>
      <c r="T639" s="593"/>
    </row>
    <row r="640" spans="1:28" s="282" customFormat="1" x14ac:dyDescent="0.2">
      <c r="A640" s="284"/>
      <c r="B640" s="890"/>
      <c r="C640" s="283"/>
      <c r="D640" s="283"/>
      <c r="E640" s="284"/>
      <c r="F640" s="285"/>
      <c r="G640" s="283"/>
      <c r="H640" s="284"/>
      <c r="I640" s="285"/>
      <c r="J640" s="286"/>
      <c r="K640" s="290"/>
      <c r="L640" s="291"/>
      <c r="M640" s="292"/>
      <c r="N640" s="541"/>
      <c r="O640" s="288"/>
      <c r="P640" s="294"/>
      <c r="Q640" s="294"/>
      <c r="R640" s="289"/>
      <c r="S640" s="593"/>
      <c r="T640" s="593"/>
      <c r="W640" s="582"/>
      <c r="X640" s="582"/>
      <c r="Y640" s="582"/>
      <c r="Z640" s="582"/>
      <c r="AA640" s="582"/>
      <c r="AB640" s="582"/>
    </row>
    <row r="641" spans="1:28" x14ac:dyDescent="0.2">
      <c r="S641" s="593"/>
      <c r="T641" s="593"/>
    </row>
    <row r="642" spans="1:28" x14ac:dyDescent="0.2">
      <c r="S642" s="593"/>
      <c r="T642" s="593"/>
    </row>
    <row r="643" spans="1:28" x14ac:dyDescent="0.2">
      <c r="S643" s="593"/>
      <c r="T643" s="593"/>
    </row>
    <row r="644" spans="1:28" s="282" customFormat="1" x14ac:dyDescent="0.2">
      <c r="A644" s="284"/>
      <c r="B644" s="900"/>
      <c r="C644" s="283"/>
      <c r="D644" s="283"/>
      <c r="E644" s="284"/>
      <c r="F644" s="285"/>
      <c r="G644" s="283"/>
      <c r="H644" s="284"/>
      <c r="I644" s="285"/>
      <c r="J644" s="286"/>
      <c r="K644" s="290"/>
      <c r="L644" s="291"/>
      <c r="M644" s="292"/>
      <c r="N644" s="541"/>
      <c r="O644" s="288"/>
      <c r="P644" s="294"/>
      <c r="Q644" s="294"/>
      <c r="R644" s="289"/>
      <c r="S644" s="593"/>
      <c r="T644" s="593"/>
      <c r="W644" s="582"/>
      <c r="X644" s="582"/>
      <c r="Y644" s="582"/>
      <c r="Z644" s="582"/>
      <c r="AA644" s="582"/>
      <c r="AB644" s="582"/>
    </row>
    <row r="645" spans="1:28" x14ac:dyDescent="0.2">
      <c r="S645" s="593"/>
      <c r="T645" s="593"/>
    </row>
    <row r="646" spans="1:28" x14ac:dyDescent="0.2">
      <c r="S646" s="593"/>
      <c r="T646" s="593"/>
    </row>
    <row r="647" spans="1:28" x14ac:dyDescent="0.2">
      <c r="S647" s="593"/>
      <c r="T647" s="593"/>
    </row>
    <row r="648" spans="1:28" s="282" customFormat="1" x14ac:dyDescent="0.2">
      <c r="A648" s="284"/>
      <c r="B648" s="900"/>
      <c r="C648" s="283"/>
      <c r="D648" s="283"/>
      <c r="E648" s="284"/>
      <c r="F648" s="285"/>
      <c r="G648" s="283"/>
      <c r="H648" s="284"/>
      <c r="I648" s="285"/>
      <c r="J648" s="286"/>
      <c r="K648" s="290"/>
      <c r="L648" s="291"/>
      <c r="M648" s="292"/>
      <c r="N648" s="541"/>
      <c r="O648" s="288"/>
      <c r="P648" s="294"/>
      <c r="Q648" s="294"/>
      <c r="R648" s="289"/>
      <c r="S648" s="593"/>
      <c r="T648" s="593"/>
      <c r="W648" s="582"/>
      <c r="X648" s="582"/>
      <c r="Y648" s="582"/>
      <c r="Z648" s="582"/>
      <c r="AA648" s="582"/>
      <c r="AB648" s="582"/>
    </row>
    <row r="649" spans="1:28" x14ac:dyDescent="0.2">
      <c r="S649" s="593"/>
      <c r="T649" s="593"/>
    </row>
    <row r="650" spans="1:28" x14ac:dyDescent="0.2">
      <c r="S650" s="593"/>
      <c r="T650" s="593"/>
    </row>
    <row r="651" spans="1:28" x14ac:dyDescent="0.2">
      <c r="S651" s="593"/>
      <c r="T651" s="593"/>
    </row>
    <row r="652" spans="1:28" s="282" customFormat="1" x14ac:dyDescent="0.2">
      <c r="A652" s="284"/>
      <c r="B652" s="900"/>
      <c r="C652" s="283"/>
      <c r="D652" s="283"/>
      <c r="E652" s="284"/>
      <c r="F652" s="285"/>
      <c r="G652" s="283"/>
      <c r="H652" s="284"/>
      <c r="I652" s="285"/>
      <c r="J652" s="286"/>
      <c r="K652" s="290"/>
      <c r="L652" s="291"/>
      <c r="M652" s="292"/>
      <c r="N652" s="541"/>
      <c r="O652" s="288"/>
      <c r="P652" s="294"/>
      <c r="Q652" s="294"/>
      <c r="R652" s="289"/>
      <c r="S652" s="593"/>
      <c r="T652" s="593"/>
      <c r="W652" s="582"/>
      <c r="X652" s="582"/>
      <c r="Y652" s="582"/>
      <c r="Z652" s="582"/>
      <c r="AA652" s="582"/>
      <c r="AB652" s="582"/>
    </row>
    <row r="653" spans="1:28" x14ac:dyDescent="0.2">
      <c r="S653" s="593"/>
      <c r="T653" s="593"/>
    </row>
    <row r="654" spans="1:28" x14ac:dyDescent="0.2">
      <c r="S654" s="593"/>
      <c r="T654" s="593"/>
    </row>
    <row r="655" spans="1:28" x14ac:dyDescent="0.2">
      <c r="S655" s="593"/>
      <c r="T655" s="593"/>
    </row>
    <row r="656" spans="1:28" s="282" customFormat="1" x14ac:dyDescent="0.2">
      <c r="A656" s="284"/>
      <c r="B656" s="900"/>
      <c r="C656" s="283"/>
      <c r="D656" s="283"/>
      <c r="E656" s="284"/>
      <c r="F656" s="285"/>
      <c r="G656" s="283"/>
      <c r="H656" s="284"/>
      <c r="I656" s="285"/>
      <c r="J656" s="286"/>
      <c r="K656" s="290"/>
      <c r="L656" s="291"/>
      <c r="M656" s="292"/>
      <c r="N656" s="541"/>
      <c r="O656" s="288"/>
      <c r="P656" s="294"/>
      <c r="Q656" s="294"/>
      <c r="R656" s="289"/>
      <c r="S656" s="593"/>
      <c r="T656" s="593"/>
      <c r="W656" s="582"/>
      <c r="X656" s="582"/>
      <c r="Y656" s="582"/>
      <c r="Z656" s="582"/>
      <c r="AA656" s="582"/>
      <c r="AB656" s="582"/>
    </row>
    <row r="657" spans="1:28" x14ac:dyDescent="0.2">
      <c r="S657" s="593"/>
      <c r="T657" s="593"/>
    </row>
    <row r="658" spans="1:28" x14ac:dyDescent="0.2">
      <c r="S658" s="593"/>
      <c r="T658" s="593"/>
    </row>
    <row r="659" spans="1:28" x14ac:dyDescent="0.2">
      <c r="S659" s="593"/>
      <c r="T659" s="593"/>
    </row>
    <row r="660" spans="1:28" x14ac:dyDescent="0.2">
      <c r="S660" s="593"/>
      <c r="T660" s="593"/>
    </row>
    <row r="661" spans="1:28" s="282" customFormat="1" x14ac:dyDescent="0.2">
      <c r="A661" s="284"/>
      <c r="B661" s="900"/>
      <c r="C661" s="283"/>
      <c r="D661" s="283"/>
      <c r="E661" s="284"/>
      <c r="F661" s="285"/>
      <c r="G661" s="283"/>
      <c r="H661" s="284"/>
      <c r="I661" s="285"/>
      <c r="J661" s="286"/>
      <c r="K661" s="290"/>
      <c r="L661" s="291"/>
      <c r="M661" s="292"/>
      <c r="N661" s="541"/>
      <c r="O661" s="288"/>
      <c r="P661" s="294"/>
      <c r="Q661" s="294"/>
      <c r="R661" s="289"/>
      <c r="S661" s="593"/>
      <c r="T661" s="593"/>
      <c r="W661" s="582"/>
      <c r="X661" s="582"/>
      <c r="Y661" s="582"/>
      <c r="Z661" s="582"/>
      <c r="AA661" s="582"/>
      <c r="AB661" s="582"/>
    </row>
    <row r="662" spans="1:28" x14ac:dyDescent="0.2">
      <c r="S662" s="593"/>
      <c r="T662" s="593"/>
    </row>
    <row r="663" spans="1:28" x14ac:dyDescent="0.2">
      <c r="S663" s="593"/>
      <c r="T663" s="593"/>
    </row>
    <row r="664" spans="1:28" x14ac:dyDescent="0.2">
      <c r="S664" s="593"/>
      <c r="T664" s="593"/>
    </row>
    <row r="665" spans="1:28" s="282" customFormat="1" x14ac:dyDescent="0.2">
      <c r="A665" s="284"/>
      <c r="B665" s="900"/>
      <c r="C665" s="283"/>
      <c r="D665" s="283"/>
      <c r="E665" s="284"/>
      <c r="F665" s="285"/>
      <c r="G665" s="283"/>
      <c r="H665" s="284"/>
      <c r="I665" s="285"/>
      <c r="J665" s="286"/>
      <c r="K665" s="290"/>
      <c r="L665" s="291"/>
      <c r="M665" s="292"/>
      <c r="N665" s="541"/>
      <c r="O665" s="288"/>
      <c r="P665" s="294"/>
      <c r="Q665" s="294"/>
      <c r="R665" s="289"/>
      <c r="S665" s="593"/>
      <c r="T665" s="593"/>
      <c r="W665" s="582"/>
      <c r="X665" s="582"/>
      <c r="Y665" s="582"/>
      <c r="Z665" s="582"/>
      <c r="AA665" s="582"/>
      <c r="AB665" s="582"/>
    </row>
    <row r="666" spans="1:28" x14ac:dyDescent="0.2">
      <c r="S666" s="593"/>
      <c r="T666" s="593"/>
    </row>
    <row r="667" spans="1:28" x14ac:dyDescent="0.2">
      <c r="S667" s="593"/>
      <c r="T667" s="593"/>
    </row>
    <row r="668" spans="1:28" x14ac:dyDescent="0.2">
      <c r="S668" s="593"/>
      <c r="T668" s="593"/>
    </row>
    <row r="669" spans="1:28" x14ac:dyDescent="0.2">
      <c r="S669" s="593"/>
      <c r="T669" s="593"/>
    </row>
    <row r="670" spans="1:28" x14ac:dyDescent="0.2">
      <c r="S670" s="593"/>
      <c r="T670" s="593"/>
    </row>
    <row r="671" spans="1:28" x14ac:dyDescent="0.2">
      <c r="S671" s="593"/>
      <c r="T671" s="593"/>
      <c r="W671" s="281"/>
      <c r="X671" s="281"/>
      <c r="Y671" s="281"/>
      <c r="Z671" s="281"/>
      <c r="AA671" s="281"/>
      <c r="AB671" s="281"/>
    </row>
    <row r="672" spans="1:28" x14ac:dyDescent="0.2">
      <c r="S672" s="593"/>
      <c r="T672" s="593"/>
      <c r="W672" s="281"/>
      <c r="X672" s="281"/>
      <c r="Y672" s="281"/>
      <c r="Z672" s="281"/>
      <c r="AA672" s="281"/>
      <c r="AB672" s="281"/>
    </row>
    <row r="673" spans="1:28" x14ac:dyDescent="0.2">
      <c r="S673" s="593"/>
      <c r="T673" s="593"/>
      <c r="W673" s="281"/>
      <c r="X673" s="281"/>
      <c r="Y673" s="281"/>
      <c r="Z673" s="281"/>
      <c r="AA673" s="281"/>
      <c r="AB673" s="281"/>
    </row>
    <row r="674" spans="1:28" x14ac:dyDescent="0.2">
      <c r="S674" s="593"/>
      <c r="T674" s="593"/>
      <c r="W674" s="281"/>
      <c r="X674" s="281"/>
      <c r="Y674" s="281"/>
      <c r="Z674" s="281"/>
      <c r="AA674" s="281"/>
      <c r="AB674" s="281"/>
    </row>
    <row r="675" spans="1:28" x14ac:dyDescent="0.2">
      <c r="A675" s="284">
        <v>1</v>
      </c>
      <c r="B675" s="900">
        <f>+A675+1</f>
        <v>2</v>
      </c>
      <c r="C675" s="287">
        <f t="shared" ref="C675:V675" si="8">+B675+1</f>
        <v>3</v>
      </c>
      <c r="D675" s="287">
        <f t="shared" si="8"/>
        <v>4</v>
      </c>
      <c r="E675" s="287">
        <f t="shared" si="8"/>
        <v>5</v>
      </c>
      <c r="F675" s="287">
        <f t="shared" si="8"/>
        <v>6</v>
      </c>
      <c r="G675" s="287">
        <f t="shared" si="8"/>
        <v>7</v>
      </c>
      <c r="H675" s="287">
        <f t="shared" si="8"/>
        <v>8</v>
      </c>
      <c r="I675" s="287">
        <f t="shared" si="8"/>
        <v>9</v>
      </c>
      <c r="J675" s="287">
        <f t="shared" si="8"/>
        <v>10</v>
      </c>
      <c r="K675" s="287">
        <f t="shared" si="8"/>
        <v>11</v>
      </c>
      <c r="L675" s="287">
        <f t="shared" si="8"/>
        <v>12</v>
      </c>
      <c r="M675" s="287">
        <f t="shared" si="8"/>
        <v>13</v>
      </c>
      <c r="N675" s="287">
        <f t="shared" si="8"/>
        <v>14</v>
      </c>
      <c r="O675" s="287">
        <f t="shared" si="8"/>
        <v>15</v>
      </c>
      <c r="P675" s="287">
        <f t="shared" si="8"/>
        <v>16</v>
      </c>
      <c r="Q675" s="287">
        <f t="shared" si="8"/>
        <v>17</v>
      </c>
      <c r="R675" s="287">
        <f t="shared" si="8"/>
        <v>18</v>
      </c>
      <c r="S675" s="287">
        <f t="shared" si="8"/>
        <v>19</v>
      </c>
      <c r="T675" s="287">
        <f t="shared" si="8"/>
        <v>20</v>
      </c>
      <c r="U675" s="287">
        <f t="shared" si="8"/>
        <v>21</v>
      </c>
      <c r="V675" s="287">
        <f t="shared" si="8"/>
        <v>22</v>
      </c>
      <c r="W675" s="281"/>
      <c r="X675" s="281"/>
      <c r="Y675" s="281"/>
      <c r="Z675" s="281"/>
      <c r="AA675" s="281"/>
      <c r="AB675" s="281"/>
    </row>
  </sheetData>
  <mergeCells count="356">
    <mergeCell ref="D524:F524"/>
    <mergeCell ref="D568:F568"/>
    <mergeCell ref="G524:I524"/>
    <mergeCell ref="D571:F571"/>
    <mergeCell ref="P524:Q524"/>
    <mergeCell ref="D537:F537"/>
    <mergeCell ref="D543:F543"/>
    <mergeCell ref="D549:F549"/>
    <mergeCell ref="D513:F513"/>
    <mergeCell ref="G513:I513"/>
    <mergeCell ref="P513:Q513"/>
    <mergeCell ref="D516:F516"/>
    <mergeCell ref="G516:I516"/>
    <mergeCell ref="P516:Q516"/>
    <mergeCell ref="D519:F519"/>
    <mergeCell ref="G519:I519"/>
    <mergeCell ref="P519:Q519"/>
    <mergeCell ref="D574:F574"/>
    <mergeCell ref="D577:F577"/>
    <mergeCell ref="D580:F580"/>
    <mergeCell ref="D527:F527"/>
    <mergeCell ref="G527:I527"/>
    <mergeCell ref="P527:Q527"/>
    <mergeCell ref="D530:F530"/>
    <mergeCell ref="G530:I530"/>
    <mergeCell ref="P530:Q530"/>
    <mergeCell ref="D533:F533"/>
    <mergeCell ref="G533:I533"/>
    <mergeCell ref="P533:Q533"/>
    <mergeCell ref="D540:F540"/>
    <mergeCell ref="D546:F546"/>
    <mergeCell ref="D552:F552"/>
    <mergeCell ref="D555:F555"/>
    <mergeCell ref="D558:F558"/>
    <mergeCell ref="D561:F561"/>
    <mergeCell ref="D565:F565"/>
    <mergeCell ref="G501:I501"/>
    <mergeCell ref="D504:F504"/>
    <mergeCell ref="G504:I504"/>
    <mergeCell ref="D486:F486"/>
    <mergeCell ref="G486:I486"/>
    <mergeCell ref="D507:F507"/>
    <mergeCell ref="G507:I507"/>
    <mergeCell ref="D510:F510"/>
    <mergeCell ref="G510:I510"/>
    <mergeCell ref="D489:F489"/>
    <mergeCell ref="G489:I489"/>
    <mergeCell ref="D492:F492"/>
    <mergeCell ref="G492:I492"/>
    <mergeCell ref="D495:F495"/>
    <mergeCell ref="G495:I495"/>
    <mergeCell ref="D498:F498"/>
    <mergeCell ref="G498:I498"/>
    <mergeCell ref="D501:F501"/>
    <mergeCell ref="D443:F443"/>
    <mergeCell ref="G443:I443"/>
    <mergeCell ref="D446:F446"/>
    <mergeCell ref="G446:I446"/>
    <mergeCell ref="D450:F450"/>
    <mergeCell ref="G450:I450"/>
    <mergeCell ref="D453:F453"/>
    <mergeCell ref="G453:I453"/>
    <mergeCell ref="D456:F456"/>
    <mergeCell ref="G456:I456"/>
    <mergeCell ref="D459:F459"/>
    <mergeCell ref="G459:I459"/>
    <mergeCell ref="D462:F462"/>
    <mergeCell ref="G462:I462"/>
    <mergeCell ref="D471:F471"/>
    <mergeCell ref="G471:I471"/>
    <mergeCell ref="D474:F474"/>
    <mergeCell ref="G474:I474"/>
    <mergeCell ref="D483:F483"/>
    <mergeCell ref="G483:I483"/>
    <mergeCell ref="D465:F465"/>
    <mergeCell ref="G465:I465"/>
    <mergeCell ref="D468:F468"/>
    <mergeCell ref="G468:I468"/>
    <mergeCell ref="D477:F477"/>
    <mergeCell ref="G477:I477"/>
    <mergeCell ref="D480:F480"/>
    <mergeCell ref="G480:I480"/>
    <mergeCell ref="D428:F428"/>
    <mergeCell ref="G428:I428"/>
    <mergeCell ref="D431:F431"/>
    <mergeCell ref="G431:I431"/>
    <mergeCell ref="D434:F434"/>
    <mergeCell ref="G434:I434"/>
    <mergeCell ref="D437:F437"/>
    <mergeCell ref="G437:I437"/>
    <mergeCell ref="D440:F440"/>
    <mergeCell ref="G440:I440"/>
    <mergeCell ref="P404:Q404"/>
    <mergeCell ref="D419:F419"/>
    <mergeCell ref="G419:I419"/>
    <mergeCell ref="P419:Q419"/>
    <mergeCell ref="D422:F422"/>
    <mergeCell ref="G422:I422"/>
    <mergeCell ref="P422:Q422"/>
    <mergeCell ref="D425:F425"/>
    <mergeCell ref="G425:I425"/>
    <mergeCell ref="P425:Q425"/>
    <mergeCell ref="D407:F407"/>
    <mergeCell ref="G407:I407"/>
    <mergeCell ref="P407:Q407"/>
    <mergeCell ref="D410:F410"/>
    <mergeCell ref="G410:I410"/>
    <mergeCell ref="P410:Q410"/>
    <mergeCell ref="D413:F413"/>
    <mergeCell ref="G413:I413"/>
    <mergeCell ref="P413:Q413"/>
    <mergeCell ref="D416:F416"/>
    <mergeCell ref="G416:I416"/>
    <mergeCell ref="P416:Q416"/>
    <mergeCell ref="D392:F392"/>
    <mergeCell ref="G392:I392"/>
    <mergeCell ref="D395:F395"/>
    <mergeCell ref="G395:I395"/>
    <mergeCell ref="D398:F398"/>
    <mergeCell ref="G398:I398"/>
    <mergeCell ref="D401:F401"/>
    <mergeCell ref="G401:I401"/>
    <mergeCell ref="D404:F404"/>
    <mergeCell ref="G404:I404"/>
    <mergeCell ref="D377:F377"/>
    <mergeCell ref="G377:I377"/>
    <mergeCell ref="D380:F380"/>
    <mergeCell ref="G380:I380"/>
    <mergeCell ref="D383:F383"/>
    <mergeCell ref="G383:I383"/>
    <mergeCell ref="D386:F386"/>
    <mergeCell ref="G386:I386"/>
    <mergeCell ref="D389:F389"/>
    <mergeCell ref="G389:I389"/>
    <mergeCell ref="P119:Q119"/>
    <mergeCell ref="G231:I231"/>
    <mergeCell ref="D292:F292"/>
    <mergeCell ref="G292:I292"/>
    <mergeCell ref="G284:I284"/>
    <mergeCell ref="D296:F296"/>
    <mergeCell ref="G296:I296"/>
    <mergeCell ref="D284:F284"/>
    <mergeCell ref="D122:F122"/>
    <mergeCell ref="G122:I122"/>
    <mergeCell ref="D125:F125"/>
    <mergeCell ref="G125:I125"/>
    <mergeCell ref="D128:F128"/>
    <mergeCell ref="G128:I128"/>
    <mergeCell ref="D131:F131"/>
    <mergeCell ref="G131:I131"/>
    <mergeCell ref="D134:F134"/>
    <mergeCell ref="G134:I134"/>
    <mergeCell ref="D137:F137"/>
    <mergeCell ref="G137:I137"/>
    <mergeCell ref="D288:F288"/>
    <mergeCell ref="G288:I288"/>
    <mergeCell ref="D281:F281"/>
    <mergeCell ref="G281:I281"/>
    <mergeCell ref="A1:R1"/>
    <mergeCell ref="A2:R2"/>
    <mergeCell ref="C3:R4"/>
    <mergeCell ref="D113:F113"/>
    <mergeCell ref="G113:I113"/>
    <mergeCell ref="G116:I116"/>
    <mergeCell ref="A3:B3"/>
    <mergeCell ref="D116:F116"/>
    <mergeCell ref="P112:R112"/>
    <mergeCell ref="P113:R113"/>
    <mergeCell ref="D64:F64"/>
    <mergeCell ref="D68:F68"/>
    <mergeCell ref="D71:F71"/>
    <mergeCell ref="D74:F74"/>
    <mergeCell ref="D77:F77"/>
    <mergeCell ref="D81:F81"/>
    <mergeCell ref="D84:F84"/>
    <mergeCell ref="D87:F87"/>
    <mergeCell ref="D12:F12"/>
    <mergeCell ref="D16:F16"/>
    <mergeCell ref="D8:F8"/>
    <mergeCell ref="D61:F61"/>
    <mergeCell ref="D344:F344"/>
    <mergeCell ref="G344:I344"/>
    <mergeCell ref="D338:F338"/>
    <mergeCell ref="G338:I338"/>
    <mergeCell ref="D341:F341"/>
    <mergeCell ref="G341:I341"/>
    <mergeCell ref="D319:F319"/>
    <mergeCell ref="G319:I319"/>
    <mergeCell ref="D323:F323"/>
    <mergeCell ref="G323:I323"/>
    <mergeCell ref="D326:F326"/>
    <mergeCell ref="G326:I326"/>
    <mergeCell ref="D329:F329"/>
    <mergeCell ref="G329:I329"/>
    <mergeCell ref="D332:F332"/>
    <mergeCell ref="G332:I332"/>
    <mergeCell ref="D300:F300"/>
    <mergeCell ref="G300:I300"/>
    <mergeCell ref="D311:F311"/>
    <mergeCell ref="G311:I311"/>
    <mergeCell ref="D315:F315"/>
    <mergeCell ref="G315:I315"/>
    <mergeCell ref="D210:F210"/>
    <mergeCell ref="G210:I210"/>
    <mergeCell ref="D213:F213"/>
    <mergeCell ref="G213:I213"/>
    <mergeCell ref="D226:F226"/>
    <mergeCell ref="G226:I226"/>
    <mergeCell ref="D257:F257"/>
    <mergeCell ref="G257:I257"/>
    <mergeCell ref="D260:F260"/>
    <mergeCell ref="G260:I260"/>
    <mergeCell ref="D270:F270"/>
    <mergeCell ref="G270:I270"/>
    <mergeCell ref="D254:F254"/>
    <mergeCell ref="G254:I254"/>
    <mergeCell ref="D241:F241"/>
    <mergeCell ref="G241:I241"/>
    <mergeCell ref="D244:F244"/>
    <mergeCell ref="G244:I244"/>
    <mergeCell ref="D359:F359"/>
    <mergeCell ref="G359:I359"/>
    <mergeCell ref="D347:F347"/>
    <mergeCell ref="G347:I347"/>
    <mergeCell ref="D350:F350"/>
    <mergeCell ref="G350:I350"/>
    <mergeCell ref="D353:F353"/>
    <mergeCell ref="G353:I353"/>
    <mergeCell ref="D356:F356"/>
    <mergeCell ref="G356:I356"/>
    <mergeCell ref="D246:F246"/>
    <mergeCell ref="G246:I246"/>
    <mergeCell ref="D216:F216"/>
    <mergeCell ref="G216:I216"/>
    <mergeCell ref="D219:F219"/>
    <mergeCell ref="G219:I219"/>
    <mergeCell ref="D223:F223"/>
    <mergeCell ref="G223:I223"/>
    <mergeCell ref="D228:F228"/>
    <mergeCell ref="G228:I228"/>
    <mergeCell ref="P371:Q371"/>
    <mergeCell ref="D374:F374"/>
    <mergeCell ref="G374:I374"/>
    <mergeCell ref="P374:Q374"/>
    <mergeCell ref="D263:F263"/>
    <mergeCell ref="G263:I263"/>
    <mergeCell ref="D267:F267"/>
    <mergeCell ref="G267:I267"/>
    <mergeCell ref="D276:F276"/>
    <mergeCell ref="G276:I276"/>
    <mergeCell ref="D365:F365"/>
    <mergeCell ref="G365:I365"/>
    <mergeCell ref="P365:Q365"/>
    <mergeCell ref="D362:F362"/>
    <mergeCell ref="G362:I362"/>
    <mergeCell ref="P296:Q296"/>
    <mergeCell ref="P300:Q300"/>
    <mergeCell ref="D335:F335"/>
    <mergeCell ref="G335:I335"/>
    <mergeCell ref="L335:M335"/>
    <mergeCell ref="D304:F304"/>
    <mergeCell ref="G304:I304"/>
    <mergeCell ref="P307:Q307"/>
    <mergeCell ref="D273:F273"/>
    <mergeCell ref="G146:I146"/>
    <mergeCell ref="D119:F119"/>
    <mergeCell ref="G119:I119"/>
    <mergeCell ref="D91:F91"/>
    <mergeCell ref="D94:F94"/>
    <mergeCell ref="D97:F97"/>
    <mergeCell ref="D101:F101"/>
    <mergeCell ref="D104:F104"/>
    <mergeCell ref="D107:F107"/>
    <mergeCell ref="D110:F110"/>
    <mergeCell ref="D152:F152"/>
    <mergeCell ref="D605:F605"/>
    <mergeCell ref="G605:I605"/>
    <mergeCell ref="P605:Q605"/>
    <mergeCell ref="D583:F583"/>
    <mergeCell ref="D594:F594"/>
    <mergeCell ref="D597:F597"/>
    <mergeCell ref="D587:F587"/>
    <mergeCell ref="D591:F591"/>
    <mergeCell ref="D600:F600"/>
    <mergeCell ref="G152:I152"/>
    <mergeCell ref="D155:F155"/>
    <mergeCell ref="G155:I155"/>
    <mergeCell ref="D158:F158"/>
    <mergeCell ref="G158:I158"/>
    <mergeCell ref="D161:F161"/>
    <mergeCell ref="G161:I161"/>
    <mergeCell ref="D164:F164"/>
    <mergeCell ref="G164:I164"/>
    <mergeCell ref="D368:F368"/>
    <mergeCell ref="G368:I368"/>
    <mergeCell ref="P368:Q368"/>
    <mergeCell ref="D371:F371"/>
    <mergeCell ref="G371:I371"/>
    <mergeCell ref="D609:F609"/>
    <mergeCell ref="G609:I609"/>
    <mergeCell ref="P609:Q609"/>
    <mergeCell ref="D612:F612"/>
    <mergeCell ref="G612:I612"/>
    <mergeCell ref="P612:Q612"/>
    <mergeCell ref="D22:F22"/>
    <mergeCell ref="D25:F25"/>
    <mergeCell ref="D28:F28"/>
    <mergeCell ref="D31:F31"/>
    <mergeCell ref="D34:F34"/>
    <mergeCell ref="D37:F37"/>
    <mergeCell ref="D41:F41"/>
    <mergeCell ref="D45:F45"/>
    <mergeCell ref="D49:F49"/>
    <mergeCell ref="D53:F53"/>
    <mergeCell ref="D57:F57"/>
    <mergeCell ref="D140:F140"/>
    <mergeCell ref="G140:I140"/>
    <mergeCell ref="D143:F143"/>
    <mergeCell ref="G143:I143"/>
    <mergeCell ref="D146:F146"/>
    <mergeCell ref="D149:F149"/>
    <mergeCell ref="G149:I149"/>
    <mergeCell ref="D167:F167"/>
    <mergeCell ref="G167:I167"/>
    <mergeCell ref="D170:F170"/>
    <mergeCell ref="G170:I170"/>
    <mergeCell ref="D173:F173"/>
    <mergeCell ref="G173:I173"/>
    <mergeCell ref="D177:F177"/>
    <mergeCell ref="G177:I177"/>
    <mergeCell ref="D180:F180"/>
    <mergeCell ref="G180:I180"/>
    <mergeCell ref="G273:I273"/>
    <mergeCell ref="D183:F183"/>
    <mergeCell ref="G183:I183"/>
    <mergeCell ref="D202:F202"/>
    <mergeCell ref="G202:I202"/>
    <mergeCell ref="D206:F206"/>
    <mergeCell ref="G206:I206"/>
    <mergeCell ref="D186:F186"/>
    <mergeCell ref="G186:I186"/>
    <mergeCell ref="D189:F189"/>
    <mergeCell ref="G189:I189"/>
    <mergeCell ref="D192:F192"/>
    <mergeCell ref="G192:I192"/>
    <mergeCell ref="D195:F195"/>
    <mergeCell ref="G195:I195"/>
    <mergeCell ref="D199:F199"/>
    <mergeCell ref="G199:I199"/>
    <mergeCell ref="D235:F235"/>
    <mergeCell ref="G235:I235"/>
    <mergeCell ref="D249:F249"/>
    <mergeCell ref="G249:I249"/>
    <mergeCell ref="D231:F231"/>
    <mergeCell ref="D238:F238"/>
    <mergeCell ref="G238:I238"/>
  </mergeCells>
  <conditionalFormatting sqref="K268 N268 K277 N277">
    <cfRule type="expression" dxfId="13" priority="31">
      <formula>$A268&lt;&gt;0</formula>
    </cfRule>
    <cfRule type="expression" dxfId="12" priority="32">
      <formula>$C268="Total"</formula>
    </cfRule>
  </conditionalFormatting>
  <conditionalFormatting sqref="K367 N367">
    <cfRule type="expression" dxfId="11" priority="21">
      <formula>$A367&lt;&gt;0</formula>
    </cfRule>
    <cfRule type="expression" dxfId="10" priority="22">
      <formula>$C367="Total"</formula>
    </cfRule>
  </conditionalFormatting>
  <conditionalFormatting sqref="K370 N370">
    <cfRule type="expression" dxfId="9" priority="19">
      <formula>$A370&lt;&gt;0</formula>
    </cfRule>
    <cfRule type="expression" dxfId="8" priority="20">
      <formula>$C370="Total"</formula>
    </cfRule>
  </conditionalFormatting>
  <conditionalFormatting sqref="K418 N418">
    <cfRule type="expression" dxfId="7" priority="7">
      <formula>$A418&lt;&gt;0</formula>
    </cfRule>
    <cfRule type="expression" dxfId="6" priority="8">
      <formula>$C418="Total"</formula>
    </cfRule>
  </conditionalFormatting>
  <conditionalFormatting sqref="K421 N421">
    <cfRule type="expression" dxfId="5" priority="5">
      <formula>$A421&lt;&gt;0</formula>
    </cfRule>
    <cfRule type="expression" dxfId="4" priority="6">
      <formula>$C421="Total"</formula>
    </cfRule>
  </conditionalFormatting>
  <conditionalFormatting sqref="K271 N271">
    <cfRule type="expression" dxfId="3" priority="3">
      <formula>$A271&lt;&gt;0</formula>
    </cfRule>
    <cfRule type="expression" dxfId="2" priority="4">
      <formula>$C271="Total"</formula>
    </cfRule>
  </conditionalFormatting>
  <conditionalFormatting sqref="K274 N274">
    <cfRule type="expression" dxfId="1" priority="1">
      <formula>$A274&lt;&gt;0</formula>
    </cfRule>
    <cfRule type="expression" dxfId="0" priority="2">
      <formula>$C274="Total"</formula>
    </cfRule>
  </conditionalFormatting>
  <printOptions horizontalCentered="1" gridLines="1"/>
  <pageMargins left="0.39370078740157483" right="0.39370078740157483" top="0.98425196850393704" bottom="0.98425196850393704" header="0.51181102362204722" footer="0.51181102362204722"/>
  <pageSetup paperSize="9" scale="63" firstPageNumber="32" fitToHeight="0" orientation="landscape" useFirstPageNumber="1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1650"/>
  <sheetViews>
    <sheetView topLeftCell="A336" zoomScale="81" zoomScaleNormal="85" workbookViewId="0">
      <selection activeCell="F355" sqref="F355"/>
    </sheetView>
  </sheetViews>
  <sheetFormatPr defaultColWidth="9" defaultRowHeight="14.25" x14ac:dyDescent="0.2"/>
  <cols>
    <col min="1" max="1" width="9" style="628"/>
    <col min="2" max="2" width="91.25" style="629" customWidth="1"/>
    <col min="3" max="3" width="9.75" style="630" customWidth="1"/>
    <col min="4" max="4" width="9.75" style="625" customWidth="1"/>
    <col min="5" max="5" width="9.75" style="630" customWidth="1"/>
    <col min="6" max="6" width="21.625" style="201" customWidth="1"/>
    <col min="7" max="7" width="12.375" style="198" bestFit="1" customWidth="1"/>
    <col min="8" max="16384" width="9" style="198"/>
  </cols>
  <sheetData>
    <row r="1" spans="1:7" ht="15" x14ac:dyDescent="0.25">
      <c r="A1" s="1131" t="s">
        <v>708</v>
      </c>
      <c r="B1" s="617"/>
      <c r="C1" s="617"/>
      <c r="D1" s="617"/>
      <c r="E1" s="617"/>
      <c r="F1" s="202" t="s">
        <v>215</v>
      </c>
    </row>
    <row r="2" spans="1:7" x14ac:dyDescent="0.2">
      <c r="A2" s="1131" t="s">
        <v>709</v>
      </c>
      <c r="B2" s="617"/>
      <c r="C2" s="617"/>
      <c r="D2" s="617"/>
      <c r="E2" s="617"/>
    </row>
    <row r="3" spans="1:7" x14ac:dyDescent="0.2">
      <c r="A3" s="1132" t="s">
        <v>710</v>
      </c>
      <c r="B3" s="617"/>
      <c r="C3" s="617"/>
      <c r="D3" s="617"/>
      <c r="E3" s="617"/>
      <c r="F3" s="473">
        <f>IF(E3="*",VLOOKUP(A3,'[2]Compos DER'!$J:$K,2,FALSE),D3)</f>
        <v>0</v>
      </c>
    </row>
    <row r="4" spans="1:7" ht="18" x14ac:dyDescent="0.2">
      <c r="A4" s="1133" t="s">
        <v>711</v>
      </c>
      <c r="B4" s="1133" t="s">
        <v>712</v>
      </c>
      <c r="C4" s="1133" t="s">
        <v>713</v>
      </c>
      <c r="D4" s="1133" t="s">
        <v>714</v>
      </c>
      <c r="E4" s="1133" t="s">
        <v>715</v>
      </c>
    </row>
    <row r="5" spans="1:7" x14ac:dyDescent="0.2">
      <c r="A5" s="1134">
        <v>43339</v>
      </c>
      <c r="B5" s="616" t="s">
        <v>716</v>
      </c>
      <c r="C5" s="614" t="s">
        <v>717</v>
      </c>
      <c r="D5" s="1135">
        <v>0.75</v>
      </c>
      <c r="E5" s="1136"/>
      <c r="F5" s="201" t="e">
        <f>VLOOKUP(A5,'Compos DER'!J:K,2,FALSE)</f>
        <v>#N/A</v>
      </c>
      <c r="G5" s="198" t="e">
        <f>+F5/D5</f>
        <v>#N/A</v>
      </c>
    </row>
    <row r="6" spans="1:7" x14ac:dyDescent="0.2">
      <c r="A6" s="1134">
        <v>41099</v>
      </c>
      <c r="B6" s="616" t="s">
        <v>718</v>
      </c>
      <c r="C6" s="614" t="s">
        <v>719</v>
      </c>
      <c r="D6" s="1135">
        <v>6.16</v>
      </c>
      <c r="E6" s="1136"/>
      <c r="F6" s="201" t="e">
        <f>VLOOKUP(A6,'Compos DER'!J:K,2,FALSE)</f>
        <v>#N/A</v>
      </c>
      <c r="G6" s="198" t="e">
        <f t="shared" ref="G6:G69" si="0">+F6/D6</f>
        <v>#N/A</v>
      </c>
    </row>
    <row r="7" spans="1:7" x14ac:dyDescent="0.2">
      <c r="A7" s="1134">
        <v>40224</v>
      </c>
      <c r="B7" s="616" t="s">
        <v>720</v>
      </c>
      <c r="C7" s="614" t="s">
        <v>719</v>
      </c>
      <c r="D7" s="1135">
        <v>3.2</v>
      </c>
      <c r="E7" s="1136"/>
      <c r="F7" s="201" t="e">
        <f>VLOOKUP(A7,'Compos DER'!J:K,2,FALSE)</f>
        <v>#N/A</v>
      </c>
      <c r="G7" s="198" t="e">
        <f t="shared" si="0"/>
        <v>#N/A</v>
      </c>
    </row>
    <row r="8" spans="1:7" x14ac:dyDescent="0.2">
      <c r="A8" s="1134">
        <v>40225</v>
      </c>
      <c r="B8" s="616" t="s">
        <v>721</v>
      </c>
      <c r="C8" s="614" t="s">
        <v>719</v>
      </c>
      <c r="D8" s="1135">
        <v>4.13</v>
      </c>
      <c r="E8" s="1136"/>
      <c r="F8" s="201" t="e">
        <f>VLOOKUP(A8,'Compos DER'!J:K,2,FALSE)</f>
        <v>#N/A</v>
      </c>
      <c r="G8" s="198" t="e">
        <f t="shared" si="0"/>
        <v>#N/A</v>
      </c>
    </row>
    <row r="9" spans="1:7" x14ac:dyDescent="0.2">
      <c r="A9" s="1134">
        <v>40226</v>
      </c>
      <c r="B9" s="616" t="s">
        <v>722</v>
      </c>
      <c r="C9" s="614" t="s">
        <v>719</v>
      </c>
      <c r="D9" s="1135">
        <v>6.16</v>
      </c>
      <c r="E9" s="1136"/>
      <c r="F9" s="201" t="e">
        <f>VLOOKUP(A9,'Compos DER'!J:K,2,FALSE)</f>
        <v>#N/A</v>
      </c>
      <c r="G9" s="198" t="e">
        <f t="shared" si="0"/>
        <v>#N/A</v>
      </c>
    </row>
    <row r="10" spans="1:7" x14ac:dyDescent="0.2">
      <c r="A10" s="1134">
        <v>40229</v>
      </c>
      <c r="B10" s="616" t="s">
        <v>723</v>
      </c>
      <c r="C10" s="614" t="s">
        <v>719</v>
      </c>
      <c r="D10" s="1135">
        <v>6.54</v>
      </c>
      <c r="E10" s="1136"/>
      <c r="F10" s="201">
        <f>VLOOKUP(A10,'Compos DER'!J:K,2,FALSE)</f>
        <v>6.55</v>
      </c>
      <c r="G10" s="198">
        <f t="shared" si="0"/>
        <v>1.00152905198777</v>
      </c>
    </row>
    <row r="11" spans="1:7" x14ac:dyDescent="0.2">
      <c r="A11" s="1134">
        <v>43340</v>
      </c>
      <c r="B11" s="616" t="s">
        <v>724</v>
      </c>
      <c r="C11" s="614" t="s">
        <v>719</v>
      </c>
      <c r="D11" s="1135">
        <v>6.46</v>
      </c>
      <c r="E11" s="1136"/>
      <c r="F11" s="201">
        <f>VLOOKUP(A11,'Compos DER'!J:K,2,FALSE)</f>
        <v>6.46</v>
      </c>
      <c r="G11" s="198">
        <f t="shared" si="0"/>
        <v>1</v>
      </c>
    </row>
    <row r="12" spans="1:7" x14ac:dyDescent="0.2">
      <c r="A12" s="1134">
        <v>40228</v>
      </c>
      <c r="B12" s="616" t="s">
        <v>725</v>
      </c>
      <c r="C12" s="614" t="s">
        <v>719</v>
      </c>
      <c r="D12" s="1135">
        <v>5</v>
      </c>
      <c r="E12" s="1136"/>
      <c r="F12" s="201">
        <f>VLOOKUP(A12,'Compos DER'!J:K,2,FALSE)</f>
        <v>5.01</v>
      </c>
      <c r="G12" s="198">
        <f t="shared" si="0"/>
        <v>1.002</v>
      </c>
    </row>
    <row r="13" spans="1:7" x14ac:dyDescent="0.2">
      <c r="A13" s="1134">
        <v>42227</v>
      </c>
      <c r="B13" s="616" t="s">
        <v>726</v>
      </c>
      <c r="C13" s="614" t="s">
        <v>719</v>
      </c>
      <c r="D13" s="1135">
        <v>4.7300000000000004</v>
      </c>
      <c r="E13" s="1136"/>
      <c r="F13" s="201" t="e">
        <f>VLOOKUP(A13,'Compos DER'!J:K,2,FALSE)</f>
        <v>#N/A</v>
      </c>
      <c r="G13" s="198" t="e">
        <f t="shared" si="0"/>
        <v>#N/A</v>
      </c>
    </row>
    <row r="14" spans="1:7" x14ac:dyDescent="0.2">
      <c r="A14" s="1134">
        <v>40994</v>
      </c>
      <c r="B14" s="616" t="s">
        <v>727</v>
      </c>
      <c r="C14" s="614" t="s">
        <v>719</v>
      </c>
      <c r="D14" s="1135">
        <v>5.57</v>
      </c>
      <c r="E14" s="1136"/>
      <c r="F14" s="201" t="e">
        <f>VLOOKUP(A14,'Compos DER'!J:K,2,FALSE)</f>
        <v>#N/A</v>
      </c>
      <c r="G14" s="198" t="e">
        <f t="shared" si="0"/>
        <v>#N/A</v>
      </c>
    </row>
    <row r="15" spans="1:7" x14ac:dyDescent="0.2">
      <c r="A15" s="1134">
        <v>42940</v>
      </c>
      <c r="B15" s="616" t="s">
        <v>728</v>
      </c>
      <c r="C15" s="614" t="s">
        <v>729</v>
      </c>
      <c r="D15" s="1135">
        <v>239.29</v>
      </c>
      <c r="E15" s="1136"/>
      <c r="F15" s="201" t="e">
        <f>VLOOKUP(A15,'Compos DER'!J:K,2,FALSE)</f>
        <v>#N/A</v>
      </c>
      <c r="G15" s="198" t="e">
        <f t="shared" si="0"/>
        <v>#N/A</v>
      </c>
    </row>
    <row r="16" spans="1:7" x14ac:dyDescent="0.2">
      <c r="A16" s="1134">
        <v>41047</v>
      </c>
      <c r="B16" s="616" t="s">
        <v>730</v>
      </c>
      <c r="C16" s="614" t="s">
        <v>719</v>
      </c>
      <c r="D16" s="1135">
        <v>510.16</v>
      </c>
      <c r="E16" s="1136"/>
      <c r="F16" s="201" t="e">
        <f>VLOOKUP(A16,'Compos DER'!J:K,2,FALSE)</f>
        <v>#N/A</v>
      </c>
      <c r="G16" s="198" t="e">
        <f t="shared" si="0"/>
        <v>#N/A</v>
      </c>
    </row>
    <row r="17" spans="1:7" x14ac:dyDescent="0.2">
      <c r="A17" s="1134">
        <v>41048</v>
      </c>
      <c r="B17" s="616" t="s">
        <v>731</v>
      </c>
      <c r="C17" s="614" t="s">
        <v>719</v>
      </c>
      <c r="D17" s="1135">
        <v>450.45</v>
      </c>
      <c r="E17" s="1136"/>
      <c r="F17" s="201" t="e">
        <f>VLOOKUP(A17,'Compos DER'!J:K,2,FALSE)</f>
        <v>#N/A</v>
      </c>
      <c r="G17" s="198" t="e">
        <f t="shared" si="0"/>
        <v>#N/A</v>
      </c>
    </row>
    <row r="18" spans="1:7" x14ac:dyDescent="0.2">
      <c r="A18" s="1134">
        <v>40217</v>
      </c>
      <c r="B18" s="616" t="s">
        <v>732</v>
      </c>
      <c r="C18" s="614" t="s">
        <v>719</v>
      </c>
      <c r="D18" s="1135">
        <v>37.409999999999997</v>
      </c>
      <c r="E18" s="1136"/>
      <c r="F18" s="201" t="e">
        <f>VLOOKUP(A18,'Compos DER'!J:K,2,FALSE)</f>
        <v>#N/A</v>
      </c>
      <c r="G18" s="198" t="e">
        <f t="shared" si="0"/>
        <v>#N/A</v>
      </c>
    </row>
    <row r="19" spans="1:7" x14ac:dyDescent="0.2">
      <c r="A19" s="1134">
        <v>40172</v>
      </c>
      <c r="B19" s="616" t="s">
        <v>733</v>
      </c>
      <c r="C19" s="614" t="s">
        <v>734</v>
      </c>
      <c r="D19" s="1135">
        <v>25.83</v>
      </c>
      <c r="E19" s="1136"/>
      <c r="F19" s="201" t="e">
        <f>VLOOKUP(A19,'Compos DER'!J:K,2,FALSE)</f>
        <v>#N/A</v>
      </c>
      <c r="G19" s="198" t="e">
        <f t="shared" si="0"/>
        <v>#N/A</v>
      </c>
    </row>
    <row r="20" spans="1:7" x14ac:dyDescent="0.2">
      <c r="A20" s="1134">
        <v>40171</v>
      </c>
      <c r="B20" s="616" t="s">
        <v>735</v>
      </c>
      <c r="C20" s="614" t="s">
        <v>734</v>
      </c>
      <c r="D20" s="1135">
        <v>12.91</v>
      </c>
      <c r="E20" s="1136"/>
      <c r="F20" s="201">
        <f>VLOOKUP(A20,'Compos DER'!J:K,2,FALSE)</f>
        <v>12.91</v>
      </c>
      <c r="G20" s="198">
        <f t="shared" si="0"/>
        <v>1</v>
      </c>
    </row>
    <row r="21" spans="1:7" x14ac:dyDescent="0.2">
      <c r="A21" s="1134">
        <v>42225</v>
      </c>
      <c r="B21" s="616" t="s">
        <v>736</v>
      </c>
      <c r="C21" s="614" t="s">
        <v>719</v>
      </c>
      <c r="D21" s="1135">
        <v>7.89</v>
      </c>
      <c r="E21" s="1136"/>
      <c r="F21" s="201" t="e">
        <f>VLOOKUP(A21,'Compos DER'!J:K,2,FALSE)</f>
        <v>#N/A</v>
      </c>
      <c r="G21" s="198" t="e">
        <f t="shared" si="0"/>
        <v>#N/A</v>
      </c>
    </row>
    <row r="22" spans="1:7" x14ac:dyDescent="0.2">
      <c r="A22" s="1134">
        <v>40178</v>
      </c>
      <c r="B22" s="616" t="s">
        <v>737</v>
      </c>
      <c r="C22" s="614" t="s">
        <v>719</v>
      </c>
      <c r="D22" s="1135">
        <v>7.04</v>
      </c>
      <c r="E22" s="1136"/>
      <c r="F22" s="201" t="e">
        <f>VLOOKUP(A22,'Compos DER'!J:K,2,FALSE)</f>
        <v>#N/A</v>
      </c>
      <c r="G22" s="198" t="e">
        <f t="shared" si="0"/>
        <v>#N/A</v>
      </c>
    </row>
    <row r="23" spans="1:7" x14ac:dyDescent="0.2">
      <c r="A23" s="1134">
        <v>40179</v>
      </c>
      <c r="B23" s="616" t="s">
        <v>738</v>
      </c>
      <c r="C23" s="614" t="s">
        <v>719</v>
      </c>
      <c r="D23" s="1135">
        <v>15.61</v>
      </c>
      <c r="E23" s="1136"/>
      <c r="F23" s="201" t="e">
        <f>VLOOKUP(A23,'Compos DER'!J:K,2,FALSE)</f>
        <v>#N/A</v>
      </c>
      <c r="G23" s="198" t="e">
        <f t="shared" si="0"/>
        <v>#N/A</v>
      </c>
    </row>
    <row r="24" spans="1:7" x14ac:dyDescent="0.2">
      <c r="A24" s="1134">
        <v>40184</v>
      </c>
      <c r="B24" s="616" t="s">
        <v>739</v>
      </c>
      <c r="C24" s="614" t="s">
        <v>719</v>
      </c>
      <c r="D24" s="1135">
        <v>28.07</v>
      </c>
      <c r="E24" s="1136"/>
      <c r="F24" s="201" t="e">
        <f>VLOOKUP(A24,'Compos DER'!J:K,2,FALSE)</f>
        <v>#N/A</v>
      </c>
      <c r="G24" s="198" t="e">
        <f t="shared" si="0"/>
        <v>#N/A</v>
      </c>
    </row>
    <row r="25" spans="1:7" x14ac:dyDescent="0.2">
      <c r="A25" s="1134">
        <v>40180</v>
      </c>
      <c r="B25" s="616" t="s">
        <v>740</v>
      </c>
      <c r="C25" s="614" t="s">
        <v>719</v>
      </c>
      <c r="D25" s="1135">
        <v>18.38</v>
      </c>
      <c r="E25" s="1136"/>
      <c r="F25" s="201" t="e">
        <f>VLOOKUP(A25,'Compos DER'!J:K,2,FALSE)</f>
        <v>#N/A</v>
      </c>
      <c r="G25" s="198" t="e">
        <f t="shared" si="0"/>
        <v>#N/A</v>
      </c>
    </row>
    <row r="26" spans="1:7" x14ac:dyDescent="0.2">
      <c r="A26" s="1134">
        <v>40181</v>
      </c>
      <c r="B26" s="616" t="s">
        <v>741</v>
      </c>
      <c r="C26" s="614" t="s">
        <v>719</v>
      </c>
      <c r="D26" s="1135">
        <v>20.64</v>
      </c>
      <c r="E26" s="1136"/>
      <c r="F26" s="201" t="e">
        <f>VLOOKUP(A26,'Compos DER'!J:K,2,FALSE)</f>
        <v>#N/A</v>
      </c>
      <c r="G26" s="198" t="e">
        <f t="shared" si="0"/>
        <v>#N/A</v>
      </c>
    </row>
    <row r="27" spans="1:7" x14ac:dyDescent="0.2">
      <c r="A27" s="1134">
        <v>40182</v>
      </c>
      <c r="B27" s="616" t="s">
        <v>742</v>
      </c>
      <c r="C27" s="614" t="s">
        <v>719</v>
      </c>
      <c r="D27" s="1135">
        <v>24.08</v>
      </c>
      <c r="E27" s="1136"/>
      <c r="F27" s="201" t="e">
        <f>VLOOKUP(A27,'Compos DER'!J:K,2,FALSE)</f>
        <v>#N/A</v>
      </c>
      <c r="G27" s="198" t="e">
        <f t="shared" si="0"/>
        <v>#N/A</v>
      </c>
    </row>
    <row r="28" spans="1:7" x14ac:dyDescent="0.2">
      <c r="A28" s="1134">
        <v>40183</v>
      </c>
      <c r="B28" s="616" t="s">
        <v>743</v>
      </c>
      <c r="C28" s="614" t="s">
        <v>719</v>
      </c>
      <c r="D28" s="1135">
        <v>25.24</v>
      </c>
      <c r="E28" s="1136"/>
      <c r="F28" s="201" t="e">
        <f>VLOOKUP(A28,'Compos DER'!J:K,2,FALSE)</f>
        <v>#N/A</v>
      </c>
      <c r="G28" s="198" t="e">
        <f t="shared" si="0"/>
        <v>#N/A</v>
      </c>
    </row>
    <row r="29" spans="1:7" x14ac:dyDescent="0.2">
      <c r="A29" s="1134">
        <v>40191</v>
      </c>
      <c r="B29" s="616" t="s">
        <v>744</v>
      </c>
      <c r="C29" s="614" t="s">
        <v>719</v>
      </c>
      <c r="D29" s="1135">
        <v>23.34</v>
      </c>
      <c r="E29" s="1136"/>
      <c r="F29" s="201" t="e">
        <f>VLOOKUP(A29,'Compos DER'!J:K,2,FALSE)</f>
        <v>#N/A</v>
      </c>
      <c r="G29" s="198" t="e">
        <f t="shared" si="0"/>
        <v>#N/A</v>
      </c>
    </row>
    <row r="30" spans="1:7" x14ac:dyDescent="0.2">
      <c r="A30" s="1134">
        <v>40196</v>
      </c>
      <c r="B30" s="616" t="s">
        <v>745</v>
      </c>
      <c r="C30" s="614" t="s">
        <v>719</v>
      </c>
      <c r="D30" s="1135">
        <v>38.58</v>
      </c>
      <c r="E30" s="1136"/>
      <c r="F30" s="201" t="e">
        <f>VLOOKUP(A30,'Compos DER'!J:K,2,FALSE)</f>
        <v>#N/A</v>
      </c>
      <c r="G30" s="198" t="e">
        <f t="shared" si="0"/>
        <v>#N/A</v>
      </c>
    </row>
    <row r="31" spans="1:7" x14ac:dyDescent="0.2">
      <c r="A31" s="1134">
        <v>40192</v>
      </c>
      <c r="B31" s="616" t="s">
        <v>746</v>
      </c>
      <c r="C31" s="614" t="s">
        <v>719</v>
      </c>
      <c r="D31" s="1135">
        <v>25.99</v>
      </c>
      <c r="E31" s="1136"/>
      <c r="F31" s="201" t="e">
        <f>VLOOKUP(A31,'Compos DER'!J:K,2,FALSE)</f>
        <v>#N/A</v>
      </c>
      <c r="G31" s="198" t="e">
        <f t="shared" si="0"/>
        <v>#N/A</v>
      </c>
    </row>
    <row r="32" spans="1:7" x14ac:dyDescent="0.2">
      <c r="A32" s="1134">
        <v>40193</v>
      </c>
      <c r="B32" s="616" t="s">
        <v>747</v>
      </c>
      <c r="C32" s="614" t="s">
        <v>719</v>
      </c>
      <c r="D32" s="1135">
        <v>28.42</v>
      </c>
      <c r="E32" s="1136"/>
      <c r="F32" s="201" t="e">
        <f>VLOOKUP(A32,'Compos DER'!J:K,2,FALSE)</f>
        <v>#N/A</v>
      </c>
      <c r="G32" s="198" t="e">
        <f t="shared" si="0"/>
        <v>#N/A</v>
      </c>
    </row>
    <row r="33" spans="1:7" x14ac:dyDescent="0.2">
      <c r="A33" s="1134">
        <v>40194</v>
      </c>
      <c r="B33" s="616" t="s">
        <v>748</v>
      </c>
      <c r="C33" s="614" t="s">
        <v>719</v>
      </c>
      <c r="D33" s="1135">
        <v>33.090000000000003</v>
      </c>
      <c r="E33" s="1136"/>
      <c r="F33" s="201" t="e">
        <f>VLOOKUP(A33,'Compos DER'!J:K,2,FALSE)</f>
        <v>#N/A</v>
      </c>
      <c r="G33" s="198" t="e">
        <f t="shared" si="0"/>
        <v>#N/A</v>
      </c>
    </row>
    <row r="34" spans="1:7" x14ac:dyDescent="0.2">
      <c r="A34" s="1134">
        <v>40195</v>
      </c>
      <c r="B34" s="616" t="s">
        <v>749</v>
      </c>
      <c r="C34" s="614" t="s">
        <v>719</v>
      </c>
      <c r="D34" s="1135">
        <v>35.36</v>
      </c>
      <c r="E34" s="1136"/>
      <c r="F34" s="201" t="e">
        <f>VLOOKUP(A34,'Compos DER'!J:K,2,FALSE)</f>
        <v>#N/A</v>
      </c>
      <c r="G34" s="198" t="e">
        <f t="shared" si="0"/>
        <v>#N/A</v>
      </c>
    </row>
    <row r="35" spans="1:7" x14ac:dyDescent="0.2">
      <c r="A35" s="1134">
        <v>40220</v>
      </c>
      <c r="B35" s="616" t="s">
        <v>750</v>
      </c>
      <c r="C35" s="614" t="s">
        <v>719</v>
      </c>
      <c r="D35" s="1135">
        <v>8.76</v>
      </c>
      <c r="E35" s="1136"/>
      <c r="F35" s="201" t="e">
        <f>VLOOKUP(A35,'Compos DER'!J:K,2,FALSE)</f>
        <v>#N/A</v>
      </c>
      <c r="G35" s="198" t="e">
        <f t="shared" si="0"/>
        <v>#N/A</v>
      </c>
    </row>
    <row r="36" spans="1:7" x14ac:dyDescent="0.2">
      <c r="A36" s="1134">
        <v>40230</v>
      </c>
      <c r="B36" s="616" t="s">
        <v>751</v>
      </c>
      <c r="C36" s="614" t="s">
        <v>719</v>
      </c>
      <c r="D36" s="1135">
        <v>3.3</v>
      </c>
      <c r="E36" s="1136"/>
      <c r="F36" s="201">
        <f>VLOOKUP(A36,'Compos DER'!J:K,2,FALSE)</f>
        <v>3.3</v>
      </c>
      <c r="G36" s="198">
        <f t="shared" si="0"/>
        <v>1</v>
      </c>
    </row>
    <row r="37" spans="1:7" x14ac:dyDescent="0.2">
      <c r="A37" s="1134">
        <v>40221</v>
      </c>
      <c r="B37" s="616" t="s">
        <v>752</v>
      </c>
      <c r="C37" s="614" t="s">
        <v>719</v>
      </c>
      <c r="D37" s="1135">
        <v>8.11</v>
      </c>
      <c r="E37" s="1136"/>
      <c r="F37" s="201">
        <f>VLOOKUP(A37,'Compos DER'!J:K,2,FALSE)</f>
        <v>8.11</v>
      </c>
      <c r="G37" s="198">
        <f t="shared" si="0"/>
        <v>1</v>
      </c>
    </row>
    <row r="38" spans="1:7" x14ac:dyDescent="0.2">
      <c r="A38" s="1134">
        <v>40231</v>
      </c>
      <c r="B38" s="616" t="s">
        <v>753</v>
      </c>
      <c r="C38" s="614" t="s">
        <v>719</v>
      </c>
      <c r="D38" s="1135">
        <v>4.88</v>
      </c>
      <c r="E38" s="1136"/>
      <c r="F38" s="201" t="e">
        <f>VLOOKUP(A38,'Compos DER'!J:K,2,FALSE)</f>
        <v>#N/A</v>
      </c>
      <c r="G38" s="198" t="e">
        <f t="shared" si="0"/>
        <v>#N/A</v>
      </c>
    </row>
    <row r="39" spans="1:7" x14ac:dyDescent="0.2">
      <c r="A39" s="1134">
        <v>40222</v>
      </c>
      <c r="B39" s="616" t="s">
        <v>754</v>
      </c>
      <c r="C39" s="614" t="s">
        <v>719</v>
      </c>
      <c r="D39" s="1135">
        <v>11.66</v>
      </c>
      <c r="E39" s="1136"/>
      <c r="F39" s="201" t="e">
        <f>VLOOKUP(A39,'Compos DER'!J:K,2,FALSE)</f>
        <v>#N/A</v>
      </c>
      <c r="G39" s="198" t="e">
        <f t="shared" si="0"/>
        <v>#N/A</v>
      </c>
    </row>
    <row r="40" spans="1:7" x14ac:dyDescent="0.2">
      <c r="A40" s="1134">
        <v>40216</v>
      </c>
      <c r="B40" s="616" t="s">
        <v>755</v>
      </c>
      <c r="C40" s="614" t="s">
        <v>719</v>
      </c>
      <c r="D40" s="1135">
        <v>94.79</v>
      </c>
      <c r="E40" s="1136"/>
      <c r="F40" s="201" t="e">
        <f>VLOOKUP(A40,'Compos DER'!J:K,2,FALSE)</f>
        <v>#N/A</v>
      </c>
      <c r="G40" s="198" t="e">
        <f t="shared" si="0"/>
        <v>#N/A</v>
      </c>
    </row>
    <row r="41" spans="1:7" x14ac:dyDescent="0.2">
      <c r="A41" s="1134">
        <v>40223</v>
      </c>
      <c r="B41" s="616" t="s">
        <v>756</v>
      </c>
      <c r="C41" s="614" t="s">
        <v>719</v>
      </c>
      <c r="D41" s="1135">
        <v>41.69</v>
      </c>
      <c r="E41" s="1136"/>
      <c r="F41" s="201" t="e">
        <f>VLOOKUP(A41,'Compos DER'!J:K,2,FALSE)</f>
        <v>#N/A</v>
      </c>
      <c r="G41" s="198" t="e">
        <f t="shared" si="0"/>
        <v>#N/A</v>
      </c>
    </row>
    <row r="42" spans="1:7" x14ac:dyDescent="0.2">
      <c r="A42" s="1134">
        <v>43335</v>
      </c>
      <c r="B42" s="616" t="s">
        <v>757</v>
      </c>
      <c r="C42" s="614" t="s">
        <v>719</v>
      </c>
      <c r="D42" s="1135">
        <v>2.7</v>
      </c>
      <c r="E42" s="1136"/>
      <c r="F42" s="201" t="e">
        <f>VLOOKUP(A42,'Compos DER'!J:K,2,FALSE)</f>
        <v>#N/A</v>
      </c>
      <c r="G42" s="198" t="e">
        <f t="shared" si="0"/>
        <v>#N/A</v>
      </c>
    </row>
    <row r="43" spans="1:7" x14ac:dyDescent="0.2">
      <c r="A43" s="1134">
        <v>42547</v>
      </c>
      <c r="B43" s="616" t="s">
        <v>758</v>
      </c>
      <c r="C43" s="614" t="s">
        <v>719</v>
      </c>
      <c r="D43" s="1135">
        <v>1.67</v>
      </c>
      <c r="E43" s="1136"/>
      <c r="F43" s="201">
        <f>VLOOKUP(A43,'Compos DER'!J:K,2,FALSE)</f>
        <v>1.68</v>
      </c>
      <c r="G43" s="198">
        <f t="shared" si="0"/>
        <v>1.0059880239521</v>
      </c>
    </row>
    <row r="44" spans="1:7" x14ac:dyDescent="0.2">
      <c r="A44" s="1134">
        <v>40177</v>
      </c>
      <c r="B44" s="616" t="s">
        <v>759</v>
      </c>
      <c r="C44" s="614" t="s">
        <v>719</v>
      </c>
      <c r="D44" s="1135">
        <v>4.5</v>
      </c>
      <c r="E44" s="1136"/>
      <c r="F44" s="201">
        <f>VLOOKUP(A44,'Compos DER'!J:K,2,FALSE)</f>
        <v>4.5</v>
      </c>
      <c r="G44" s="198">
        <f t="shared" si="0"/>
        <v>1</v>
      </c>
    </row>
    <row r="45" spans="1:7" x14ac:dyDescent="0.2">
      <c r="A45" s="1134">
        <v>41056</v>
      </c>
      <c r="B45" s="616" t="s">
        <v>760</v>
      </c>
      <c r="C45" s="614" t="s">
        <v>719</v>
      </c>
      <c r="D45" s="1135">
        <v>105.64</v>
      </c>
      <c r="E45" s="1136"/>
      <c r="F45" s="201" t="e">
        <f>VLOOKUP(A45,'Compos DER'!J:K,2,FALSE)</f>
        <v>#N/A</v>
      </c>
      <c r="G45" s="198" t="e">
        <f t="shared" si="0"/>
        <v>#N/A</v>
      </c>
    </row>
    <row r="46" spans="1:7" x14ac:dyDescent="0.2">
      <c r="A46" s="1134">
        <v>40218</v>
      </c>
      <c r="B46" s="616" t="s">
        <v>761</v>
      </c>
      <c r="C46" s="614" t="s">
        <v>719</v>
      </c>
      <c r="D46" s="1135">
        <v>51.67</v>
      </c>
      <c r="E46" s="1136"/>
      <c r="F46" s="201" t="e">
        <f>VLOOKUP(A46,'Compos DER'!J:K,2,FALSE)</f>
        <v>#N/A</v>
      </c>
      <c r="G46" s="198" t="e">
        <f t="shared" si="0"/>
        <v>#N/A</v>
      </c>
    </row>
    <row r="47" spans="1:7" x14ac:dyDescent="0.2">
      <c r="A47" s="1134">
        <v>40170</v>
      </c>
      <c r="B47" s="616" t="s">
        <v>762</v>
      </c>
      <c r="C47" s="614" t="s">
        <v>717</v>
      </c>
      <c r="D47" s="1135">
        <v>0.71</v>
      </c>
      <c r="E47" s="1136"/>
      <c r="F47" s="201" t="e">
        <f>VLOOKUP(A47,'Compos DER'!J:K,2,FALSE)</f>
        <v>#N/A</v>
      </c>
      <c r="G47" s="198" t="e">
        <f t="shared" si="0"/>
        <v>#N/A</v>
      </c>
    </row>
    <row r="48" spans="1:7" x14ac:dyDescent="0.2">
      <c r="A48" s="1134">
        <v>40167</v>
      </c>
      <c r="B48" s="616" t="s">
        <v>763</v>
      </c>
      <c r="C48" s="614" t="s">
        <v>717</v>
      </c>
      <c r="D48" s="1135">
        <v>0.49</v>
      </c>
      <c r="E48" s="1136"/>
      <c r="F48" s="201">
        <f>VLOOKUP(A48,'Compos DER'!J:K,2,FALSE)</f>
        <v>0.49</v>
      </c>
      <c r="G48" s="198">
        <f t="shared" si="0"/>
        <v>1</v>
      </c>
    </row>
    <row r="49" spans="1:7" x14ac:dyDescent="0.2">
      <c r="A49" s="1134">
        <v>40168</v>
      </c>
      <c r="B49" s="616" t="s">
        <v>764</v>
      </c>
      <c r="C49" s="614" t="s">
        <v>717</v>
      </c>
      <c r="D49" s="1135">
        <v>2.82</v>
      </c>
      <c r="E49" s="1136"/>
      <c r="F49" s="201" t="e">
        <f>VLOOKUP(A49,'Compos DER'!J:K,2,FALSE)</f>
        <v>#N/A</v>
      </c>
      <c r="G49" s="198" t="e">
        <f t="shared" si="0"/>
        <v>#N/A</v>
      </c>
    </row>
    <row r="50" spans="1:7" x14ac:dyDescent="0.2">
      <c r="A50" s="1134">
        <v>40169</v>
      </c>
      <c r="B50" s="616" t="s">
        <v>765</v>
      </c>
      <c r="C50" s="614" t="s">
        <v>717</v>
      </c>
      <c r="D50" s="1135">
        <v>9.44</v>
      </c>
      <c r="E50" s="1136"/>
      <c r="F50" s="201" t="e">
        <f>VLOOKUP(A50,'Compos DER'!J:K,2,FALSE)</f>
        <v>#N/A</v>
      </c>
      <c r="G50" s="198" t="e">
        <f t="shared" si="0"/>
        <v>#N/A</v>
      </c>
    </row>
    <row r="51" spans="1:7" x14ac:dyDescent="0.2">
      <c r="A51" s="1134">
        <v>102069</v>
      </c>
      <c r="B51" s="616" t="s">
        <v>766</v>
      </c>
      <c r="C51" s="614" t="s">
        <v>767</v>
      </c>
      <c r="D51" s="1135">
        <v>3.84</v>
      </c>
      <c r="E51" s="1136"/>
      <c r="F51" s="201" t="e">
        <f>VLOOKUP(A51,'Compos DER'!J:K,2,FALSE)</f>
        <v>#N/A</v>
      </c>
      <c r="G51" s="198" t="e">
        <f t="shared" si="0"/>
        <v>#N/A</v>
      </c>
    </row>
    <row r="52" spans="1:7" x14ac:dyDescent="0.2">
      <c r="A52" s="1134">
        <v>40219</v>
      </c>
      <c r="B52" s="616" t="s">
        <v>768</v>
      </c>
      <c r="C52" s="614" t="s">
        <v>717</v>
      </c>
      <c r="D52" s="1135">
        <v>33.19</v>
      </c>
      <c r="E52" s="1136"/>
      <c r="F52" s="201" t="e">
        <f>VLOOKUP(A52,'Compos DER'!J:K,2,FALSE)</f>
        <v>#N/A</v>
      </c>
      <c r="G52" s="198" t="e">
        <f t="shared" si="0"/>
        <v>#N/A</v>
      </c>
    </row>
    <row r="53" spans="1:7" x14ac:dyDescent="0.2">
      <c r="A53" s="1134">
        <v>41095</v>
      </c>
      <c r="B53" s="616" t="s">
        <v>769</v>
      </c>
      <c r="C53" s="614" t="s">
        <v>719</v>
      </c>
      <c r="D53" s="1135">
        <v>27.71</v>
      </c>
      <c r="E53" s="1136"/>
      <c r="F53" s="201">
        <f>VLOOKUP(A53,'Compos DER'!J:K,2,FALSE)</f>
        <v>27.71</v>
      </c>
      <c r="G53" s="198">
        <f t="shared" si="0"/>
        <v>1</v>
      </c>
    </row>
    <row r="54" spans="1:7" x14ac:dyDescent="0.2">
      <c r="A54" s="1134">
        <v>43352</v>
      </c>
      <c r="B54" s="616" t="s">
        <v>770</v>
      </c>
      <c r="C54" s="614" t="s">
        <v>717</v>
      </c>
      <c r="D54" s="1135">
        <v>0.61</v>
      </c>
      <c r="E54" s="1136"/>
      <c r="F54" s="201" t="e">
        <f>VLOOKUP(A54,'Compos DER'!J:K,2,FALSE)</f>
        <v>#N/A</v>
      </c>
      <c r="G54" s="198" t="e">
        <f t="shared" si="0"/>
        <v>#N/A</v>
      </c>
    </row>
    <row r="55" spans="1:7" x14ac:dyDescent="0.2">
      <c r="A55" s="1134">
        <v>43338</v>
      </c>
      <c r="B55" s="616" t="s">
        <v>771</v>
      </c>
      <c r="C55" s="614" t="s">
        <v>717</v>
      </c>
      <c r="D55" s="1135">
        <v>0.51</v>
      </c>
      <c r="E55" s="1136"/>
      <c r="F55" s="201" t="e">
        <f>VLOOKUP(A55,'Compos DER'!J:K,2,FALSE)</f>
        <v>#N/A</v>
      </c>
      <c r="G55" s="198" t="e">
        <f t="shared" si="0"/>
        <v>#N/A</v>
      </c>
    </row>
    <row r="56" spans="1:7" x14ac:dyDescent="0.2">
      <c r="A56" s="1134">
        <v>40166</v>
      </c>
      <c r="B56" s="616" t="s">
        <v>772</v>
      </c>
      <c r="C56" s="614" t="s">
        <v>717</v>
      </c>
      <c r="D56" s="1135">
        <v>0.18</v>
      </c>
      <c r="E56" s="1136"/>
      <c r="F56" s="201" t="e">
        <f>VLOOKUP(A56,'Compos DER'!J:K,2,FALSE)</f>
        <v>#N/A</v>
      </c>
      <c r="G56" s="198" t="e">
        <f t="shared" si="0"/>
        <v>#N/A</v>
      </c>
    </row>
    <row r="57" spans="1:7" x14ac:dyDescent="0.2">
      <c r="A57" s="1132" t="s">
        <v>773</v>
      </c>
      <c r="B57" s="617"/>
      <c r="C57" s="617"/>
      <c r="D57" s="617"/>
      <c r="E57" s="617"/>
      <c r="F57" s="201" t="e">
        <f>VLOOKUP(A57,'Compos DER'!J:K,2,FALSE)</f>
        <v>#N/A</v>
      </c>
      <c r="G57" s="198" t="e">
        <f t="shared" si="0"/>
        <v>#N/A</v>
      </c>
    </row>
    <row r="58" spans="1:7" x14ac:dyDescent="0.2">
      <c r="A58" s="1131" t="s">
        <v>708</v>
      </c>
      <c r="B58" s="617"/>
      <c r="C58" s="617"/>
      <c r="D58" s="617"/>
      <c r="E58" s="617"/>
    </row>
    <row r="59" spans="1:7" x14ac:dyDescent="0.2">
      <c r="A59" s="1131" t="s">
        <v>709</v>
      </c>
      <c r="B59" s="617"/>
      <c r="C59" s="617"/>
      <c r="D59" s="617"/>
      <c r="E59" s="617"/>
      <c r="F59" s="201" t="e">
        <f>VLOOKUP(A59,'Compos DER'!J:K,2,FALSE)</f>
        <v>#N/A</v>
      </c>
      <c r="G59" s="198" t="e">
        <f t="shared" si="0"/>
        <v>#N/A</v>
      </c>
    </row>
    <row r="60" spans="1:7" x14ac:dyDescent="0.2">
      <c r="A60" s="1132" t="s">
        <v>710</v>
      </c>
      <c r="B60" s="617"/>
      <c r="C60" s="617"/>
      <c r="D60" s="617"/>
      <c r="E60" s="617"/>
      <c r="F60" s="201" t="e">
        <f>VLOOKUP(A60,'Compos DER'!J:K,2,FALSE)</f>
        <v>#N/A</v>
      </c>
      <c r="G60" s="198" t="e">
        <f t="shared" si="0"/>
        <v>#N/A</v>
      </c>
    </row>
    <row r="61" spans="1:7" ht="18" x14ac:dyDescent="0.2">
      <c r="A61" s="1133" t="s">
        <v>711</v>
      </c>
      <c r="B61" s="1133" t="s">
        <v>712</v>
      </c>
      <c r="C61" s="1133" t="s">
        <v>713</v>
      </c>
      <c r="D61" s="1133" t="s">
        <v>714</v>
      </c>
      <c r="E61" s="1133" t="s">
        <v>715</v>
      </c>
      <c r="F61" s="201" t="e">
        <f>VLOOKUP(A61,'Compos DER'!J:K,2,FALSE)</f>
        <v>#N/A</v>
      </c>
      <c r="G61" s="198" t="e">
        <f t="shared" si="0"/>
        <v>#N/A</v>
      </c>
    </row>
    <row r="62" spans="1:7" x14ac:dyDescent="0.2">
      <c r="A62" s="1134">
        <v>41326</v>
      </c>
      <c r="B62" s="616" t="s">
        <v>774</v>
      </c>
      <c r="C62" s="614" t="s">
        <v>719</v>
      </c>
      <c r="D62" s="1135">
        <v>5.27</v>
      </c>
      <c r="E62" s="1136"/>
      <c r="F62" s="201" t="e">
        <f>VLOOKUP(A62,'Compos DER'!J:K,2,FALSE)</f>
        <v>#N/A</v>
      </c>
      <c r="G62" s="198" t="e">
        <f t="shared" si="0"/>
        <v>#N/A</v>
      </c>
    </row>
    <row r="63" spans="1:7" x14ac:dyDescent="0.2">
      <c r="A63" s="1132" t="s">
        <v>775</v>
      </c>
      <c r="B63" s="617"/>
      <c r="C63" s="617"/>
      <c r="D63" s="617"/>
      <c r="E63" s="617"/>
      <c r="F63" s="201" t="e">
        <f>VLOOKUP(A63,'Compos DER'!J:K,2,FALSE)</f>
        <v>#N/A</v>
      </c>
      <c r="G63" s="198" t="e">
        <f t="shared" si="0"/>
        <v>#N/A</v>
      </c>
    </row>
    <row r="64" spans="1:7" ht="18" x14ac:dyDescent="0.2">
      <c r="A64" s="1133" t="s">
        <v>711</v>
      </c>
      <c r="B64" s="1133" t="s">
        <v>712</v>
      </c>
      <c r="C64" s="1133" t="s">
        <v>713</v>
      </c>
      <c r="D64" s="1133" t="s">
        <v>714</v>
      </c>
      <c r="E64" s="1133" t="s">
        <v>715</v>
      </c>
      <c r="F64" s="201" t="e">
        <f>VLOOKUP(A64,'Compos DER'!J:K,2,FALSE)</f>
        <v>#N/A</v>
      </c>
      <c r="G64" s="198" t="e">
        <f t="shared" si="0"/>
        <v>#N/A</v>
      </c>
    </row>
    <row r="65" spans="1:7" x14ac:dyDescent="0.2">
      <c r="A65" s="1134">
        <v>40801</v>
      </c>
      <c r="B65" s="616" t="s">
        <v>776</v>
      </c>
      <c r="C65" s="614" t="s">
        <v>719</v>
      </c>
      <c r="D65" s="1135">
        <v>81.66</v>
      </c>
      <c r="E65" s="616" t="s">
        <v>777</v>
      </c>
      <c r="F65" s="201" t="e">
        <f>VLOOKUP(A65,'Compos DER'!J:K,2,FALSE)</f>
        <v>#N/A</v>
      </c>
      <c r="G65" s="198" t="e">
        <f t="shared" si="0"/>
        <v>#N/A</v>
      </c>
    </row>
    <row r="66" spans="1:7" x14ac:dyDescent="0.2">
      <c r="A66" s="1134">
        <v>40799</v>
      </c>
      <c r="B66" s="616" t="s">
        <v>778</v>
      </c>
      <c r="C66" s="614" t="s">
        <v>719</v>
      </c>
      <c r="D66" s="1135">
        <v>62.47</v>
      </c>
      <c r="E66" s="616" t="s">
        <v>777</v>
      </c>
      <c r="F66" s="201" t="e">
        <f>VLOOKUP(A66,'Compos DER'!J:K,2,FALSE)</f>
        <v>#N/A</v>
      </c>
      <c r="G66" s="198" t="e">
        <f t="shared" si="0"/>
        <v>#N/A</v>
      </c>
    </row>
    <row r="67" spans="1:7" x14ac:dyDescent="0.2">
      <c r="A67" s="1134">
        <v>40793</v>
      </c>
      <c r="B67" s="616" t="s">
        <v>779</v>
      </c>
      <c r="C67" s="614" t="s">
        <v>719</v>
      </c>
      <c r="D67" s="1135">
        <v>101.7</v>
      </c>
      <c r="E67" s="616" t="s">
        <v>777</v>
      </c>
      <c r="F67" s="201" t="e">
        <f>VLOOKUP(A67,'Compos DER'!J:K,2,FALSE)</f>
        <v>#N/A</v>
      </c>
      <c r="G67" s="198" t="e">
        <f t="shared" si="0"/>
        <v>#N/A</v>
      </c>
    </row>
    <row r="68" spans="1:7" x14ac:dyDescent="0.2">
      <c r="A68" s="1134">
        <v>40797</v>
      </c>
      <c r="B68" s="616" t="s">
        <v>780</v>
      </c>
      <c r="C68" s="614" t="s">
        <v>719</v>
      </c>
      <c r="D68" s="1135">
        <v>38.11</v>
      </c>
      <c r="E68" s="616" t="s">
        <v>777</v>
      </c>
      <c r="F68" s="201" t="e">
        <f>VLOOKUP(A68,'Compos DER'!J:K,2,FALSE)</f>
        <v>#N/A</v>
      </c>
      <c r="G68" s="198" t="e">
        <f t="shared" si="0"/>
        <v>#N/A</v>
      </c>
    </row>
    <row r="69" spans="1:7" x14ac:dyDescent="0.2">
      <c r="A69" s="1134">
        <v>41157</v>
      </c>
      <c r="B69" s="616" t="s">
        <v>781</v>
      </c>
      <c r="C69" s="614" t="s">
        <v>719</v>
      </c>
      <c r="D69" s="1135">
        <v>49.46</v>
      </c>
      <c r="E69" s="1136"/>
      <c r="F69" s="201" t="e">
        <f>VLOOKUP(A69,'Compos DER'!J:K,2,FALSE)</f>
        <v>#N/A</v>
      </c>
      <c r="G69" s="198" t="e">
        <f t="shared" si="0"/>
        <v>#N/A</v>
      </c>
    </row>
    <row r="70" spans="1:7" x14ac:dyDescent="0.2">
      <c r="A70" s="1134">
        <v>40795</v>
      </c>
      <c r="B70" s="616" t="s">
        <v>782</v>
      </c>
      <c r="C70" s="614" t="s">
        <v>719</v>
      </c>
      <c r="D70" s="1135">
        <v>41.73</v>
      </c>
      <c r="E70" s="616" t="s">
        <v>777</v>
      </c>
      <c r="F70" s="201" t="e">
        <f>VLOOKUP(A70,'Compos DER'!J:K,2,FALSE)</f>
        <v>#N/A</v>
      </c>
      <c r="G70" s="198" t="e">
        <f t="shared" ref="G70:G132" si="1">+F70/D70</f>
        <v>#N/A</v>
      </c>
    </row>
    <row r="71" spans="1:7" x14ac:dyDescent="0.2">
      <c r="A71" s="1134">
        <v>40787</v>
      </c>
      <c r="B71" s="616" t="s">
        <v>783</v>
      </c>
      <c r="C71" s="614" t="s">
        <v>719</v>
      </c>
      <c r="D71" s="1135">
        <v>97.87</v>
      </c>
      <c r="E71" s="616" t="s">
        <v>777</v>
      </c>
      <c r="F71" s="201" t="e">
        <f>VLOOKUP(A71,'Compos DER'!J:K,2,FALSE)</f>
        <v>#N/A</v>
      </c>
      <c r="G71" s="198" t="e">
        <f t="shared" si="1"/>
        <v>#N/A</v>
      </c>
    </row>
    <row r="72" spans="1:7" x14ac:dyDescent="0.2">
      <c r="A72" s="1134">
        <v>40812</v>
      </c>
      <c r="B72" s="616" t="s">
        <v>784</v>
      </c>
      <c r="C72" s="614" t="s">
        <v>719</v>
      </c>
      <c r="D72" s="1135">
        <v>97.87</v>
      </c>
      <c r="E72" s="1136"/>
      <c r="F72" s="201" t="e">
        <f>VLOOKUP(A72,'Compos DER'!J:K,2,FALSE)</f>
        <v>#N/A</v>
      </c>
      <c r="G72" s="198" t="e">
        <f t="shared" si="1"/>
        <v>#N/A</v>
      </c>
    </row>
    <row r="73" spans="1:7" x14ac:dyDescent="0.2">
      <c r="A73" s="1134">
        <v>42673</v>
      </c>
      <c r="B73" s="616" t="s">
        <v>785</v>
      </c>
      <c r="C73" s="614" t="s">
        <v>719</v>
      </c>
      <c r="D73" s="1135">
        <v>136.46</v>
      </c>
      <c r="E73" s="1136"/>
      <c r="F73" s="201" t="e">
        <f>VLOOKUP(A73,'Compos DER'!J:K,2,FALSE)</f>
        <v>#N/A</v>
      </c>
      <c r="G73" s="198" t="e">
        <f t="shared" si="1"/>
        <v>#N/A</v>
      </c>
    </row>
    <row r="74" spans="1:7" x14ac:dyDescent="0.2">
      <c r="A74" s="1134">
        <v>40803</v>
      </c>
      <c r="B74" s="616" t="s">
        <v>786</v>
      </c>
      <c r="C74" s="614" t="s">
        <v>719</v>
      </c>
      <c r="D74" s="1135">
        <v>64.430000000000007</v>
      </c>
      <c r="E74" s="616" t="s">
        <v>777</v>
      </c>
      <c r="F74" s="201" t="e">
        <f>VLOOKUP(A74,'Compos DER'!J:K,2,FALSE)</f>
        <v>#N/A</v>
      </c>
      <c r="G74" s="198" t="e">
        <f t="shared" si="1"/>
        <v>#N/A</v>
      </c>
    </row>
    <row r="75" spans="1:7" x14ac:dyDescent="0.2">
      <c r="A75" s="1134">
        <v>41406</v>
      </c>
      <c r="B75" s="616" t="s">
        <v>787</v>
      </c>
      <c r="C75" s="614" t="s">
        <v>719</v>
      </c>
      <c r="D75" s="1135">
        <v>57.5</v>
      </c>
      <c r="E75" s="616" t="s">
        <v>777</v>
      </c>
      <c r="F75" s="201" t="e">
        <f>VLOOKUP(A75,'Compos DER'!J:K,2,FALSE)</f>
        <v>#N/A</v>
      </c>
      <c r="G75" s="198" t="e">
        <f t="shared" si="1"/>
        <v>#N/A</v>
      </c>
    </row>
    <row r="76" spans="1:7" x14ac:dyDescent="0.2">
      <c r="A76" s="1134">
        <v>41100</v>
      </c>
      <c r="B76" s="616" t="s">
        <v>788</v>
      </c>
      <c r="C76" s="614" t="s">
        <v>719</v>
      </c>
      <c r="D76" s="1135">
        <v>55.55</v>
      </c>
      <c r="E76" s="1136"/>
      <c r="F76" s="201" t="e">
        <f>VLOOKUP(A76,'Compos DER'!J:K,2,FALSE)</f>
        <v>#N/A</v>
      </c>
      <c r="G76" s="198" t="e">
        <f t="shared" si="1"/>
        <v>#N/A</v>
      </c>
    </row>
    <row r="77" spans="1:7" x14ac:dyDescent="0.2">
      <c r="A77" s="1134">
        <v>40979</v>
      </c>
      <c r="B77" s="616" t="s">
        <v>789</v>
      </c>
      <c r="C77" s="614" t="s">
        <v>719</v>
      </c>
      <c r="D77" s="1135">
        <v>46.92</v>
      </c>
      <c r="E77" s="1136"/>
      <c r="F77" s="201" t="e">
        <f>VLOOKUP(A77,'Compos DER'!J:K,2,FALSE)</f>
        <v>#N/A</v>
      </c>
      <c r="G77" s="198" t="e">
        <f t="shared" si="1"/>
        <v>#N/A</v>
      </c>
    </row>
    <row r="78" spans="1:7" x14ac:dyDescent="0.2">
      <c r="A78" s="1134">
        <v>40815</v>
      </c>
      <c r="B78" s="616" t="s">
        <v>790</v>
      </c>
      <c r="C78" s="614" t="s">
        <v>719</v>
      </c>
      <c r="D78" s="1135">
        <v>57.15</v>
      </c>
      <c r="E78" s="1136"/>
      <c r="F78" s="201" t="e">
        <f>VLOOKUP(A78,'Compos DER'!J:K,2,FALSE)</f>
        <v>#N/A</v>
      </c>
      <c r="G78" s="198" t="e">
        <f t="shared" si="1"/>
        <v>#N/A</v>
      </c>
    </row>
    <row r="79" spans="1:7" x14ac:dyDescent="0.2">
      <c r="A79" s="1134">
        <v>40809</v>
      </c>
      <c r="B79" s="616" t="s">
        <v>791</v>
      </c>
      <c r="C79" s="614" t="s">
        <v>719</v>
      </c>
      <c r="D79" s="1135">
        <v>65.510000000000005</v>
      </c>
      <c r="E79" s="1136"/>
      <c r="F79" s="201" t="e">
        <f>VLOOKUP(A79,'Compos DER'!J:K,2,FALSE)</f>
        <v>#N/A</v>
      </c>
      <c r="G79" s="198" t="e">
        <f t="shared" si="1"/>
        <v>#N/A</v>
      </c>
    </row>
    <row r="80" spans="1:7" x14ac:dyDescent="0.2">
      <c r="A80" s="1134">
        <v>40810</v>
      </c>
      <c r="B80" s="616" t="s">
        <v>792</v>
      </c>
      <c r="C80" s="614" t="s">
        <v>719</v>
      </c>
      <c r="D80" s="1135">
        <v>82.31</v>
      </c>
      <c r="E80" s="1136"/>
      <c r="F80" s="201" t="e">
        <f>VLOOKUP(A80,'Compos DER'!J:K,2,FALSE)</f>
        <v>#N/A</v>
      </c>
      <c r="G80" s="198" t="e">
        <f t="shared" si="1"/>
        <v>#N/A</v>
      </c>
    </row>
    <row r="81" spans="1:7" x14ac:dyDescent="0.2">
      <c r="A81" s="1134">
        <v>41097</v>
      </c>
      <c r="B81" s="616" t="s">
        <v>793</v>
      </c>
      <c r="C81" s="614" t="s">
        <v>719</v>
      </c>
      <c r="D81" s="1135">
        <v>92.46</v>
      </c>
      <c r="E81" s="616" t="s">
        <v>777</v>
      </c>
      <c r="F81" s="201" t="e">
        <f>VLOOKUP(A81,'Compos DER'!J:K,2,FALSE)</f>
        <v>#N/A</v>
      </c>
      <c r="G81" s="198" t="e">
        <f t="shared" si="1"/>
        <v>#N/A</v>
      </c>
    </row>
    <row r="82" spans="1:7" x14ac:dyDescent="0.2">
      <c r="A82" s="1134">
        <v>41364</v>
      </c>
      <c r="B82" s="616" t="s">
        <v>794</v>
      </c>
      <c r="C82" s="614" t="s">
        <v>719</v>
      </c>
      <c r="D82" s="1135">
        <v>57.5</v>
      </c>
      <c r="E82" s="1136"/>
      <c r="F82" s="201" t="e">
        <f>VLOOKUP(A82,'Compos DER'!J:K,2,FALSE)</f>
        <v>#N/A</v>
      </c>
      <c r="G82" s="198" t="e">
        <f t="shared" si="1"/>
        <v>#N/A</v>
      </c>
    </row>
    <row r="83" spans="1:7" x14ac:dyDescent="0.2">
      <c r="A83" s="1134">
        <v>40777</v>
      </c>
      <c r="B83" s="616" t="s">
        <v>795</v>
      </c>
      <c r="C83" s="614" t="s">
        <v>719</v>
      </c>
      <c r="D83" s="1135">
        <v>40.880000000000003</v>
      </c>
      <c r="E83" s="616" t="s">
        <v>777</v>
      </c>
      <c r="F83" s="201" t="e">
        <f>VLOOKUP(A83,'Compos DER'!J:K,2,FALSE)</f>
        <v>#N/A</v>
      </c>
      <c r="G83" s="198" t="e">
        <f t="shared" si="1"/>
        <v>#N/A</v>
      </c>
    </row>
    <row r="84" spans="1:7" x14ac:dyDescent="0.2">
      <c r="A84" s="1134">
        <v>40779</v>
      </c>
      <c r="B84" s="616" t="s">
        <v>796</v>
      </c>
      <c r="C84" s="614" t="s">
        <v>719</v>
      </c>
      <c r="D84" s="1135">
        <v>46.46</v>
      </c>
      <c r="E84" s="616" t="s">
        <v>777</v>
      </c>
      <c r="F84" s="201" t="e">
        <f>VLOOKUP(A84,'Compos DER'!J:K,2,FALSE)</f>
        <v>#N/A</v>
      </c>
      <c r="G84" s="198" t="e">
        <f t="shared" si="1"/>
        <v>#N/A</v>
      </c>
    </row>
    <row r="85" spans="1:7" x14ac:dyDescent="0.2">
      <c r="A85" s="1134">
        <v>40781</v>
      </c>
      <c r="B85" s="616" t="s">
        <v>797</v>
      </c>
      <c r="C85" s="614" t="s">
        <v>719</v>
      </c>
      <c r="D85" s="1135">
        <v>65.510000000000005</v>
      </c>
      <c r="E85" s="616" t="s">
        <v>777</v>
      </c>
      <c r="F85" s="201" t="e">
        <f>VLOOKUP(A85,'Compos DER'!J:K,2,FALSE)</f>
        <v>#N/A</v>
      </c>
      <c r="G85" s="198" t="e">
        <f t="shared" si="1"/>
        <v>#N/A</v>
      </c>
    </row>
    <row r="86" spans="1:7" x14ac:dyDescent="0.2">
      <c r="A86" s="1134">
        <v>40783</v>
      </c>
      <c r="B86" s="616" t="s">
        <v>798</v>
      </c>
      <c r="C86" s="614" t="s">
        <v>719</v>
      </c>
      <c r="D86" s="1135">
        <v>82.31</v>
      </c>
      <c r="E86" s="616" t="s">
        <v>777</v>
      </c>
      <c r="F86" s="201" t="e">
        <f>VLOOKUP(A86,'Compos DER'!J:K,2,FALSE)</f>
        <v>#N/A</v>
      </c>
      <c r="G86" s="198" t="e">
        <f t="shared" si="1"/>
        <v>#N/A</v>
      </c>
    </row>
    <row r="87" spans="1:7" x14ac:dyDescent="0.2">
      <c r="A87" s="1134">
        <v>41366</v>
      </c>
      <c r="B87" s="616" t="s">
        <v>799</v>
      </c>
      <c r="C87" s="614" t="s">
        <v>719</v>
      </c>
      <c r="D87" s="1135">
        <v>92.46</v>
      </c>
      <c r="E87" s="1136"/>
      <c r="F87" s="201" t="e">
        <f>VLOOKUP(A87,'Compos DER'!J:K,2,FALSE)</f>
        <v>#N/A</v>
      </c>
      <c r="G87" s="198" t="e">
        <f t="shared" si="1"/>
        <v>#N/A</v>
      </c>
    </row>
    <row r="88" spans="1:7" x14ac:dyDescent="0.2">
      <c r="A88" s="1134">
        <v>40834</v>
      </c>
      <c r="B88" s="616" t="s">
        <v>800</v>
      </c>
      <c r="C88" s="614" t="s">
        <v>717</v>
      </c>
      <c r="D88" s="1135">
        <v>1.91</v>
      </c>
      <c r="E88" s="616" t="s">
        <v>777</v>
      </c>
      <c r="F88" s="201" t="e">
        <f>VLOOKUP(A88,'Compos DER'!J:K,2,FALSE)</f>
        <v>#N/A</v>
      </c>
      <c r="G88" s="198" t="e">
        <f t="shared" si="1"/>
        <v>#N/A</v>
      </c>
    </row>
    <row r="89" spans="1:7" x14ac:dyDescent="0.2">
      <c r="A89" s="1134">
        <v>40835</v>
      </c>
      <c r="B89" s="616" t="s">
        <v>801</v>
      </c>
      <c r="C89" s="614" t="s">
        <v>717</v>
      </c>
      <c r="D89" s="1135">
        <v>3.56</v>
      </c>
      <c r="E89" s="616" t="s">
        <v>777</v>
      </c>
      <c r="F89" s="201" t="e">
        <f>VLOOKUP(A89,'Compos DER'!J:K,2,FALSE)</f>
        <v>#N/A</v>
      </c>
      <c r="G89" s="198" t="e">
        <f t="shared" si="1"/>
        <v>#N/A</v>
      </c>
    </row>
    <row r="90" spans="1:7" x14ac:dyDescent="0.2">
      <c r="A90" s="1134">
        <v>40841</v>
      </c>
      <c r="B90" s="616" t="s">
        <v>802</v>
      </c>
      <c r="C90" s="614" t="s">
        <v>803</v>
      </c>
      <c r="D90" s="1135">
        <v>111.86</v>
      </c>
      <c r="E90" s="616" t="s">
        <v>777</v>
      </c>
      <c r="F90" s="201" t="e">
        <f>VLOOKUP(A90,'Compos DER'!J:K,2,FALSE)</f>
        <v>#N/A</v>
      </c>
      <c r="G90" s="198" t="e">
        <f t="shared" si="1"/>
        <v>#N/A</v>
      </c>
    </row>
    <row r="91" spans="1:7" x14ac:dyDescent="0.2">
      <c r="A91" s="1134">
        <v>40842</v>
      </c>
      <c r="B91" s="616" t="s">
        <v>804</v>
      </c>
      <c r="C91" s="614" t="s">
        <v>803</v>
      </c>
      <c r="D91" s="1135">
        <v>372.21</v>
      </c>
      <c r="E91" s="616" t="s">
        <v>777</v>
      </c>
      <c r="F91" s="201" t="e">
        <f>VLOOKUP(A91,'Compos DER'!J:K,2,FALSE)</f>
        <v>#N/A</v>
      </c>
      <c r="G91" s="198" t="e">
        <f t="shared" si="1"/>
        <v>#N/A</v>
      </c>
    </row>
    <row r="92" spans="1:7" x14ac:dyDescent="0.2">
      <c r="A92" s="1134">
        <v>40843</v>
      </c>
      <c r="B92" s="616" t="s">
        <v>805</v>
      </c>
      <c r="C92" s="614" t="s">
        <v>803</v>
      </c>
      <c r="D92" s="1135">
        <v>115.35</v>
      </c>
      <c r="E92" s="616" t="s">
        <v>777</v>
      </c>
      <c r="F92" s="201">
        <f>VLOOKUP(A92,'Compos DER'!J:K,2,FALSE)</f>
        <v>131.96</v>
      </c>
      <c r="G92" s="198">
        <f t="shared" si="1"/>
        <v>1.1439965322930199</v>
      </c>
    </row>
    <row r="93" spans="1:7" x14ac:dyDescent="0.2">
      <c r="A93" s="1134">
        <v>40844</v>
      </c>
      <c r="B93" s="616" t="s">
        <v>806</v>
      </c>
      <c r="C93" s="614" t="s">
        <v>803</v>
      </c>
      <c r="D93" s="1135">
        <v>377.65</v>
      </c>
      <c r="E93" s="616" t="s">
        <v>777</v>
      </c>
      <c r="F93" s="201" t="e">
        <f>VLOOKUP(A93,'Compos DER'!J:K,2,FALSE)</f>
        <v>#N/A</v>
      </c>
      <c r="G93" s="198" t="e">
        <f t="shared" si="1"/>
        <v>#N/A</v>
      </c>
    </row>
    <row r="94" spans="1:7" x14ac:dyDescent="0.2">
      <c r="A94" s="1134">
        <v>41112</v>
      </c>
      <c r="B94" s="616" t="s">
        <v>807</v>
      </c>
      <c r="C94" s="614" t="s">
        <v>803</v>
      </c>
      <c r="D94" s="1135">
        <v>110.17</v>
      </c>
      <c r="E94" s="616" t="s">
        <v>777</v>
      </c>
      <c r="F94" s="201" t="e">
        <f>VLOOKUP(A94,'Compos DER'!J:K,2,FALSE)</f>
        <v>#N/A</v>
      </c>
      <c r="G94" s="198" t="e">
        <f t="shared" si="1"/>
        <v>#N/A</v>
      </c>
    </row>
    <row r="95" spans="1:7" x14ac:dyDescent="0.2">
      <c r="A95" s="1134">
        <v>43342</v>
      </c>
      <c r="B95" s="616" t="s">
        <v>808</v>
      </c>
      <c r="C95" s="614" t="s">
        <v>803</v>
      </c>
      <c r="D95" s="1135">
        <v>116.58</v>
      </c>
      <c r="E95" s="616" t="s">
        <v>777</v>
      </c>
      <c r="F95" s="201" t="e">
        <f>VLOOKUP(A95,'Compos DER'!J:K,2,FALSE)</f>
        <v>#N/A</v>
      </c>
      <c r="G95" s="198" t="e">
        <f t="shared" si="1"/>
        <v>#N/A</v>
      </c>
    </row>
    <row r="96" spans="1:7" x14ac:dyDescent="0.2">
      <c r="A96" s="1134">
        <v>40878</v>
      </c>
      <c r="B96" s="616" t="s">
        <v>809</v>
      </c>
      <c r="C96" s="614" t="s">
        <v>803</v>
      </c>
      <c r="D96" s="1135">
        <v>115.32</v>
      </c>
      <c r="E96" s="616" t="s">
        <v>777</v>
      </c>
      <c r="F96" s="201" t="e">
        <f>VLOOKUP(A96,'Compos DER'!J:K,2,FALSE)</f>
        <v>#N/A</v>
      </c>
      <c r="G96" s="198" t="e">
        <f t="shared" si="1"/>
        <v>#N/A</v>
      </c>
    </row>
    <row r="97" spans="1:9" x14ac:dyDescent="0.2">
      <c r="A97" s="1134">
        <v>40845</v>
      </c>
      <c r="B97" s="616" t="s">
        <v>810</v>
      </c>
      <c r="C97" s="614" t="s">
        <v>803</v>
      </c>
      <c r="D97" s="1135">
        <v>91.89</v>
      </c>
      <c r="E97" s="616" t="s">
        <v>777</v>
      </c>
      <c r="F97" s="201" t="e">
        <f>VLOOKUP(A97,'Compos DER'!J:K,2,FALSE)</f>
        <v>#N/A</v>
      </c>
      <c r="G97" s="198" t="e">
        <f t="shared" si="1"/>
        <v>#N/A</v>
      </c>
    </row>
    <row r="98" spans="1:9" s="617" customFormat="1" x14ac:dyDescent="0.2">
      <c r="A98" s="1134">
        <v>40846</v>
      </c>
      <c r="B98" s="616" t="s">
        <v>811</v>
      </c>
      <c r="C98" s="614" t="s">
        <v>803</v>
      </c>
      <c r="D98" s="1135">
        <v>354.19</v>
      </c>
      <c r="E98" s="616" t="s">
        <v>777</v>
      </c>
      <c r="F98" s="201" t="e">
        <f>VLOOKUP(A98,'Compos DER'!J:K,2,FALSE)</f>
        <v>#N/A</v>
      </c>
      <c r="G98" s="198" t="e">
        <f t="shared" si="1"/>
        <v>#N/A</v>
      </c>
      <c r="I98" s="626">
        <f>A98-H99</f>
        <v>40846</v>
      </c>
    </row>
    <row r="99" spans="1:9" x14ac:dyDescent="0.2">
      <c r="A99" s="1134">
        <v>40879</v>
      </c>
      <c r="B99" s="616" t="s">
        <v>812</v>
      </c>
      <c r="C99" s="614" t="s">
        <v>803</v>
      </c>
      <c r="D99" s="1135">
        <v>91.87</v>
      </c>
      <c r="E99" s="1136"/>
      <c r="F99" s="201" t="e">
        <f>VLOOKUP(A99,'Compos DER'!J:K,2,FALSE)</f>
        <v>#N/A</v>
      </c>
      <c r="G99" s="198" t="e">
        <f t="shared" si="1"/>
        <v>#N/A</v>
      </c>
    </row>
    <row r="100" spans="1:9" ht="20.25" customHeight="1" x14ac:dyDescent="0.2">
      <c r="A100" s="1134">
        <v>40877</v>
      </c>
      <c r="B100" s="616" t="s">
        <v>813</v>
      </c>
      <c r="C100" s="614" t="s">
        <v>803</v>
      </c>
      <c r="D100" s="1135">
        <v>129.43</v>
      </c>
      <c r="E100" s="616" t="s">
        <v>777</v>
      </c>
      <c r="F100" s="201" t="e">
        <f>VLOOKUP(A100,'Compos DER'!J:K,2,FALSE)</f>
        <v>#N/A</v>
      </c>
      <c r="G100" s="198" t="e">
        <f t="shared" si="1"/>
        <v>#N/A</v>
      </c>
    </row>
    <row r="101" spans="1:9" x14ac:dyDescent="0.2">
      <c r="A101" s="1134">
        <v>43341</v>
      </c>
      <c r="B101" s="616" t="s">
        <v>814</v>
      </c>
      <c r="C101" s="614" t="s">
        <v>803</v>
      </c>
      <c r="D101" s="1135">
        <v>129.74</v>
      </c>
      <c r="E101" s="616" t="s">
        <v>777</v>
      </c>
      <c r="F101" s="201" t="e">
        <f>VLOOKUP(A101,'Compos DER'!J:K,2,FALSE)</f>
        <v>#N/A</v>
      </c>
      <c r="G101" s="198" t="e">
        <f t="shared" si="1"/>
        <v>#N/A</v>
      </c>
    </row>
    <row r="102" spans="1:9" x14ac:dyDescent="0.2">
      <c r="A102" s="1134">
        <v>40867</v>
      </c>
      <c r="B102" s="616" t="s">
        <v>815</v>
      </c>
      <c r="C102" s="614" t="s">
        <v>717</v>
      </c>
      <c r="D102" s="1135">
        <v>2.76</v>
      </c>
      <c r="E102" s="1136"/>
      <c r="F102" s="201" t="e">
        <f>VLOOKUP(A102,'Compos DER'!J:K,2,FALSE)</f>
        <v>#N/A</v>
      </c>
      <c r="G102" s="198" t="e">
        <f t="shared" si="1"/>
        <v>#N/A</v>
      </c>
    </row>
    <row r="103" spans="1:9" x14ac:dyDescent="0.2">
      <c r="A103" s="1134">
        <v>40763</v>
      </c>
      <c r="B103" s="616" t="s">
        <v>816</v>
      </c>
      <c r="C103" s="614" t="s">
        <v>717</v>
      </c>
      <c r="D103" s="1135">
        <v>0.85</v>
      </c>
      <c r="E103" s="1136"/>
      <c r="F103" s="201" t="e">
        <f>VLOOKUP(A103,'Compos DER'!J:K,2,FALSE)</f>
        <v>#N/A</v>
      </c>
      <c r="G103" s="198" t="e">
        <f t="shared" si="1"/>
        <v>#N/A</v>
      </c>
    </row>
    <row r="104" spans="1:9" x14ac:dyDescent="0.2">
      <c r="A104" s="1134">
        <v>40765</v>
      </c>
      <c r="B104" s="616" t="s">
        <v>817</v>
      </c>
      <c r="C104" s="614" t="s">
        <v>717</v>
      </c>
      <c r="D104" s="1135">
        <v>6.17</v>
      </c>
      <c r="E104" s="1136"/>
      <c r="F104" s="201" t="e">
        <f>VLOOKUP(A104,'Compos DER'!J:K,2,FALSE)</f>
        <v>#N/A</v>
      </c>
      <c r="G104" s="198" t="e">
        <f t="shared" si="1"/>
        <v>#N/A</v>
      </c>
    </row>
    <row r="105" spans="1:9" x14ac:dyDescent="0.2">
      <c r="A105" s="1134">
        <v>40757</v>
      </c>
      <c r="B105" s="616" t="s">
        <v>818</v>
      </c>
      <c r="C105" s="614" t="s">
        <v>719</v>
      </c>
      <c r="D105" s="1135">
        <v>19.329999999999998</v>
      </c>
      <c r="E105" s="1136"/>
      <c r="F105" s="201" t="e">
        <f>VLOOKUP(A105,'Compos DER'!J:K,2,FALSE)</f>
        <v>#N/A</v>
      </c>
      <c r="G105" s="198" t="e">
        <f t="shared" si="1"/>
        <v>#N/A</v>
      </c>
    </row>
    <row r="106" spans="1:9" x14ac:dyDescent="0.2">
      <c r="A106" s="1134">
        <v>40758</v>
      </c>
      <c r="B106" s="616" t="s">
        <v>819</v>
      </c>
      <c r="C106" s="614" t="s">
        <v>719</v>
      </c>
      <c r="D106" s="1135">
        <v>20.81</v>
      </c>
      <c r="E106" s="1136"/>
      <c r="F106" s="201" t="e">
        <f>VLOOKUP(A106,'Compos DER'!J:K,2,FALSE)</f>
        <v>#N/A</v>
      </c>
      <c r="G106" s="198" t="e">
        <f t="shared" si="1"/>
        <v>#N/A</v>
      </c>
    </row>
    <row r="107" spans="1:9" x14ac:dyDescent="0.2">
      <c r="A107" s="1134">
        <v>40761</v>
      </c>
      <c r="B107" s="616" t="s">
        <v>820</v>
      </c>
      <c r="C107" s="614" t="s">
        <v>719</v>
      </c>
      <c r="D107" s="1135">
        <v>42.2</v>
      </c>
      <c r="E107" s="1136"/>
      <c r="F107" s="201" t="e">
        <f>VLOOKUP(A107,'Compos DER'!J:K,2,FALSE)</f>
        <v>#N/A</v>
      </c>
      <c r="G107" s="198" t="e">
        <f t="shared" si="1"/>
        <v>#N/A</v>
      </c>
    </row>
    <row r="108" spans="1:9" x14ac:dyDescent="0.2">
      <c r="A108" s="1134">
        <v>40759</v>
      </c>
      <c r="B108" s="616" t="s">
        <v>821</v>
      </c>
      <c r="C108" s="614" t="s">
        <v>719</v>
      </c>
      <c r="D108" s="1135">
        <v>21.22</v>
      </c>
      <c r="E108" s="1136"/>
      <c r="F108" s="201" t="e">
        <f>VLOOKUP(A108,'Compos DER'!J:K,2,FALSE)</f>
        <v>#N/A</v>
      </c>
      <c r="G108" s="198" t="e">
        <f t="shared" si="1"/>
        <v>#N/A</v>
      </c>
    </row>
    <row r="109" spans="1:9" x14ac:dyDescent="0.2">
      <c r="A109" s="1134">
        <v>40760</v>
      </c>
      <c r="B109" s="616" t="s">
        <v>822</v>
      </c>
      <c r="C109" s="614" t="s">
        <v>719</v>
      </c>
      <c r="D109" s="1135">
        <v>21.81</v>
      </c>
      <c r="E109" s="1136"/>
      <c r="F109" s="201" t="e">
        <f>VLOOKUP(A109,'Compos DER'!J:K,2,FALSE)</f>
        <v>#N/A</v>
      </c>
      <c r="G109" s="198" t="e">
        <f t="shared" si="1"/>
        <v>#N/A</v>
      </c>
    </row>
    <row r="110" spans="1:9" x14ac:dyDescent="0.2">
      <c r="A110" s="1134">
        <v>41069</v>
      </c>
      <c r="B110" s="616" t="s">
        <v>823</v>
      </c>
      <c r="C110" s="614" t="s">
        <v>717</v>
      </c>
      <c r="D110" s="1135">
        <v>12.29</v>
      </c>
      <c r="E110" s="1136"/>
      <c r="F110" s="201" t="e">
        <f>VLOOKUP(A110,'Compos DER'!J:K,2,FALSE)</f>
        <v>#N/A</v>
      </c>
      <c r="G110" s="198" t="e">
        <f t="shared" si="1"/>
        <v>#N/A</v>
      </c>
    </row>
    <row r="111" spans="1:9" x14ac:dyDescent="0.2">
      <c r="A111" s="1132" t="s">
        <v>773</v>
      </c>
      <c r="B111" s="617"/>
      <c r="C111" s="617"/>
      <c r="D111" s="617"/>
      <c r="E111" s="617"/>
      <c r="F111" s="201" t="e">
        <f>VLOOKUP(A111,'Compos DER'!J:K,2,FALSE)</f>
        <v>#N/A</v>
      </c>
      <c r="G111" s="198" t="e">
        <f t="shared" si="1"/>
        <v>#N/A</v>
      </c>
    </row>
    <row r="112" spans="1:9" x14ac:dyDescent="0.2">
      <c r="A112" s="1131" t="s">
        <v>708</v>
      </c>
      <c r="B112" s="617"/>
      <c r="C112" s="617"/>
      <c r="D112" s="617"/>
      <c r="E112" s="617"/>
      <c r="F112" s="201" t="e">
        <f>VLOOKUP(A112,'Compos DER'!J:K,2,FALSE)</f>
        <v>#N/A</v>
      </c>
      <c r="G112" s="198" t="e">
        <f t="shared" si="1"/>
        <v>#N/A</v>
      </c>
    </row>
    <row r="113" spans="1:7" x14ac:dyDescent="0.2">
      <c r="A113" s="1131" t="s">
        <v>709</v>
      </c>
      <c r="B113" s="617"/>
      <c r="C113" s="617"/>
      <c r="D113" s="617"/>
      <c r="E113" s="617"/>
      <c r="F113" s="201" t="e">
        <f>VLOOKUP(A113,'Compos DER'!J:K,2,FALSE)</f>
        <v>#N/A</v>
      </c>
      <c r="G113" s="198" t="e">
        <f t="shared" si="1"/>
        <v>#N/A</v>
      </c>
    </row>
    <row r="114" spans="1:7" x14ac:dyDescent="0.2">
      <c r="A114" s="1132" t="s">
        <v>775</v>
      </c>
      <c r="B114" s="617"/>
      <c r="C114" s="617"/>
      <c r="D114" s="617"/>
      <c r="E114" s="617"/>
      <c r="F114" s="201" t="e">
        <f>VLOOKUP(A114,'Compos DER'!J:K,2,FALSE)</f>
        <v>#N/A</v>
      </c>
      <c r="G114" s="198" t="e">
        <f t="shared" si="1"/>
        <v>#N/A</v>
      </c>
    </row>
    <row r="115" spans="1:7" ht="18" x14ac:dyDescent="0.2">
      <c r="A115" s="1133" t="s">
        <v>711</v>
      </c>
      <c r="B115" s="1133" t="s">
        <v>712</v>
      </c>
      <c r="C115" s="1133" t="s">
        <v>713</v>
      </c>
      <c r="D115" s="1133" t="s">
        <v>714</v>
      </c>
      <c r="E115" s="1133" t="s">
        <v>715</v>
      </c>
      <c r="F115" s="201" t="e">
        <f>VLOOKUP(A115,'Compos DER'!J:K,2,FALSE)</f>
        <v>#N/A</v>
      </c>
      <c r="G115" s="198" t="e">
        <f t="shared" si="1"/>
        <v>#N/A</v>
      </c>
    </row>
    <row r="116" spans="1:7" x14ac:dyDescent="0.2">
      <c r="A116" s="1134">
        <v>40985</v>
      </c>
      <c r="B116" s="616" t="s">
        <v>824</v>
      </c>
      <c r="C116" s="614" t="s">
        <v>717</v>
      </c>
      <c r="D116" s="1135">
        <v>10.65</v>
      </c>
      <c r="E116" s="1136"/>
      <c r="F116" s="201" t="e">
        <f>VLOOKUP(A116,'Compos DER'!J:K,2,FALSE)</f>
        <v>#N/A</v>
      </c>
      <c r="G116" s="198" t="e">
        <f t="shared" si="1"/>
        <v>#N/A</v>
      </c>
    </row>
    <row r="117" spans="1:7" x14ac:dyDescent="0.2">
      <c r="A117" s="1134">
        <v>40868</v>
      </c>
      <c r="B117" s="616" t="s">
        <v>825</v>
      </c>
      <c r="C117" s="614" t="s">
        <v>717</v>
      </c>
      <c r="D117" s="1135">
        <v>15.61</v>
      </c>
      <c r="E117" s="1136"/>
      <c r="F117" s="201" t="e">
        <f>VLOOKUP(A117,'Compos DER'!J:K,2,FALSE)</f>
        <v>#N/A</v>
      </c>
      <c r="G117" s="198" t="e">
        <f t="shared" si="1"/>
        <v>#N/A</v>
      </c>
    </row>
    <row r="118" spans="1:7" x14ac:dyDescent="0.2">
      <c r="A118" s="1134">
        <v>40816</v>
      </c>
      <c r="B118" s="616" t="s">
        <v>826</v>
      </c>
      <c r="C118" s="614" t="s">
        <v>717</v>
      </c>
      <c r="D118" s="1135">
        <v>0.87</v>
      </c>
      <c r="E118" s="1136"/>
      <c r="F118" s="201">
        <f>VLOOKUP(A118,'Compos DER'!J:K,2,FALSE)</f>
        <v>0.88</v>
      </c>
      <c r="G118" s="198">
        <f t="shared" si="1"/>
        <v>1.01149425287356</v>
      </c>
    </row>
    <row r="119" spans="1:7" x14ac:dyDescent="0.2">
      <c r="A119" s="1134">
        <v>40817</v>
      </c>
      <c r="B119" s="616" t="s">
        <v>827</v>
      </c>
      <c r="C119" s="614" t="s">
        <v>717</v>
      </c>
      <c r="D119" s="1135">
        <v>8.8699999999999992</v>
      </c>
      <c r="E119" s="616" t="s">
        <v>777</v>
      </c>
      <c r="F119" s="201" t="e">
        <f>VLOOKUP(A119,'Compos DER'!J:K,2,FALSE)</f>
        <v>#N/A</v>
      </c>
      <c r="G119" s="198" t="e">
        <f t="shared" si="1"/>
        <v>#N/A</v>
      </c>
    </row>
    <row r="120" spans="1:7" x14ac:dyDescent="0.2">
      <c r="A120" s="1134">
        <v>40850</v>
      </c>
      <c r="B120" s="616" t="s">
        <v>828</v>
      </c>
      <c r="C120" s="614" t="s">
        <v>717</v>
      </c>
      <c r="D120" s="1135">
        <v>1.73</v>
      </c>
      <c r="E120" s="616" t="s">
        <v>777</v>
      </c>
      <c r="F120" s="201" t="e">
        <f>VLOOKUP(A120,'Compos DER'!J:K,2,FALSE)</f>
        <v>#N/A</v>
      </c>
      <c r="G120" s="198" t="e">
        <f t="shared" si="1"/>
        <v>#N/A</v>
      </c>
    </row>
    <row r="121" spans="1:7" x14ac:dyDescent="0.2">
      <c r="A121" s="1134">
        <v>40851</v>
      </c>
      <c r="B121" s="616" t="s">
        <v>829</v>
      </c>
      <c r="C121" s="614" t="s">
        <v>717</v>
      </c>
      <c r="D121" s="1135">
        <v>4.1100000000000003</v>
      </c>
      <c r="E121" s="616" t="s">
        <v>777</v>
      </c>
      <c r="F121" s="201" t="e">
        <f>VLOOKUP(A121,'Compos DER'!J:K,2,FALSE)</f>
        <v>#N/A</v>
      </c>
      <c r="G121" s="198" t="e">
        <f t="shared" si="1"/>
        <v>#N/A</v>
      </c>
    </row>
    <row r="122" spans="1:7" x14ac:dyDescent="0.2">
      <c r="A122" s="1134">
        <v>40852</v>
      </c>
      <c r="B122" s="616" t="s">
        <v>830</v>
      </c>
      <c r="C122" s="614" t="s">
        <v>717</v>
      </c>
      <c r="D122" s="1135">
        <v>1.88</v>
      </c>
      <c r="E122" s="616" t="s">
        <v>777</v>
      </c>
      <c r="F122" s="201" t="e">
        <f>VLOOKUP(A122,'Compos DER'!J:K,2,FALSE)</f>
        <v>#N/A</v>
      </c>
      <c r="G122" s="198" t="e">
        <f t="shared" si="1"/>
        <v>#N/A</v>
      </c>
    </row>
    <row r="123" spans="1:7" x14ac:dyDescent="0.2">
      <c r="A123" s="1134">
        <v>40853</v>
      </c>
      <c r="B123" s="616" t="s">
        <v>831</v>
      </c>
      <c r="C123" s="614" t="s">
        <v>717</v>
      </c>
      <c r="D123" s="1135">
        <v>5.62</v>
      </c>
      <c r="E123" s="616" t="s">
        <v>777</v>
      </c>
      <c r="F123" s="201" t="e">
        <f>VLOOKUP(A123,'Compos DER'!J:K,2,FALSE)</f>
        <v>#N/A</v>
      </c>
      <c r="G123" s="198" t="e">
        <f t="shared" si="1"/>
        <v>#N/A</v>
      </c>
    </row>
    <row r="124" spans="1:7" x14ac:dyDescent="0.2">
      <c r="A124" s="1134">
        <v>40854</v>
      </c>
      <c r="B124" s="616" t="s">
        <v>832</v>
      </c>
      <c r="C124" s="614" t="s">
        <v>717</v>
      </c>
      <c r="D124" s="1135">
        <v>1.98</v>
      </c>
      <c r="E124" s="616" t="s">
        <v>777</v>
      </c>
      <c r="F124" s="201" t="e">
        <f>VLOOKUP(A124,'Compos DER'!J:K,2,FALSE)</f>
        <v>#N/A</v>
      </c>
      <c r="G124" s="198" t="e">
        <f t="shared" si="1"/>
        <v>#N/A</v>
      </c>
    </row>
    <row r="125" spans="1:7" x14ac:dyDescent="0.2">
      <c r="A125" s="1134">
        <v>40855</v>
      </c>
      <c r="B125" s="616" t="s">
        <v>833</v>
      </c>
      <c r="C125" s="614" t="s">
        <v>717</v>
      </c>
      <c r="D125" s="1135">
        <v>7.42</v>
      </c>
      <c r="E125" s="616" t="s">
        <v>777</v>
      </c>
      <c r="F125" s="201" t="e">
        <f>VLOOKUP(A125,'Compos DER'!J:K,2,FALSE)</f>
        <v>#N/A</v>
      </c>
      <c r="G125" s="198" t="e">
        <f t="shared" si="1"/>
        <v>#N/A</v>
      </c>
    </row>
    <row r="126" spans="1:7" x14ac:dyDescent="0.2">
      <c r="A126" s="1134">
        <v>40856</v>
      </c>
      <c r="B126" s="616" t="s">
        <v>834</v>
      </c>
      <c r="C126" s="614" t="s">
        <v>717</v>
      </c>
      <c r="D126" s="1135">
        <v>2.33</v>
      </c>
      <c r="E126" s="616" t="s">
        <v>777</v>
      </c>
      <c r="F126" s="201" t="e">
        <f>VLOOKUP(A126,'Compos DER'!J:K,2,FALSE)</f>
        <v>#N/A</v>
      </c>
      <c r="G126" s="198" t="e">
        <f t="shared" si="1"/>
        <v>#N/A</v>
      </c>
    </row>
    <row r="127" spans="1:7" x14ac:dyDescent="0.2">
      <c r="A127" s="1134">
        <v>40857</v>
      </c>
      <c r="B127" s="616" t="s">
        <v>835</v>
      </c>
      <c r="C127" s="614" t="s">
        <v>717</v>
      </c>
      <c r="D127" s="1135">
        <v>9.8000000000000007</v>
      </c>
      <c r="E127" s="616" t="s">
        <v>777</v>
      </c>
      <c r="F127" s="201" t="e">
        <f>VLOOKUP(A127,'Compos DER'!J:K,2,FALSE)</f>
        <v>#N/A</v>
      </c>
      <c r="G127" s="198" t="e">
        <f t="shared" si="1"/>
        <v>#N/A</v>
      </c>
    </row>
    <row r="128" spans="1:7" x14ac:dyDescent="0.2">
      <c r="A128" s="1134">
        <v>42229</v>
      </c>
      <c r="B128" s="616" t="s">
        <v>836</v>
      </c>
      <c r="C128" s="614" t="s">
        <v>719</v>
      </c>
      <c r="D128" s="1135">
        <v>19.899999999999999</v>
      </c>
      <c r="E128" s="1136"/>
      <c r="F128" s="201">
        <f>VLOOKUP(A128,'Compos DER'!J:K,2,FALSE)</f>
        <v>19.989999999999998</v>
      </c>
      <c r="G128" s="198">
        <f t="shared" si="1"/>
        <v>1.00452261306533</v>
      </c>
    </row>
    <row r="129" spans="1:7" x14ac:dyDescent="0.2">
      <c r="A129" s="1134">
        <v>40894</v>
      </c>
      <c r="B129" s="616" t="s">
        <v>837</v>
      </c>
      <c r="C129" s="614" t="s">
        <v>838</v>
      </c>
      <c r="D129" s="1135">
        <v>33.25</v>
      </c>
      <c r="E129" s="1136"/>
      <c r="F129" s="201" t="e">
        <f>VLOOKUP(A129,'Compos DER'!J:K,2,FALSE)</f>
        <v>#N/A</v>
      </c>
      <c r="G129" s="198" t="e">
        <f t="shared" si="1"/>
        <v>#N/A</v>
      </c>
    </row>
    <row r="130" spans="1:7" x14ac:dyDescent="0.2">
      <c r="A130" s="1134">
        <v>40895</v>
      </c>
      <c r="B130" s="616" t="s">
        <v>839</v>
      </c>
      <c r="C130" s="614" t="s">
        <v>838</v>
      </c>
      <c r="D130" s="1135">
        <v>59.52</v>
      </c>
      <c r="E130" s="1136"/>
      <c r="F130" s="201" t="e">
        <f>VLOOKUP(A130,'Compos DER'!J:K,2,FALSE)</f>
        <v>#N/A</v>
      </c>
      <c r="G130" s="198" t="e">
        <f t="shared" si="1"/>
        <v>#N/A</v>
      </c>
    </row>
    <row r="131" spans="1:7" x14ac:dyDescent="0.2">
      <c r="A131" s="1134">
        <v>40869</v>
      </c>
      <c r="B131" s="616" t="s">
        <v>840</v>
      </c>
      <c r="C131" s="614" t="s">
        <v>717</v>
      </c>
      <c r="D131" s="1135">
        <v>6.36</v>
      </c>
      <c r="E131" s="616" t="s">
        <v>777</v>
      </c>
      <c r="F131" s="201" t="e">
        <f>VLOOKUP(A131,'Compos DER'!J:K,2,FALSE)</f>
        <v>#N/A</v>
      </c>
      <c r="G131" s="198" t="e">
        <f t="shared" si="1"/>
        <v>#N/A</v>
      </c>
    </row>
    <row r="132" spans="1:7" x14ac:dyDescent="0.2">
      <c r="A132" s="1134">
        <v>40881</v>
      </c>
      <c r="B132" s="616" t="s">
        <v>841</v>
      </c>
      <c r="C132" s="614" t="s">
        <v>717</v>
      </c>
      <c r="D132" s="1135">
        <v>6.36</v>
      </c>
      <c r="E132" s="1136"/>
      <c r="F132" s="201" t="e">
        <f>VLOOKUP(A132,'Compos DER'!J:K,2,FALSE)</f>
        <v>#N/A</v>
      </c>
      <c r="G132" s="198" t="e">
        <f t="shared" si="1"/>
        <v>#N/A</v>
      </c>
    </row>
    <row r="133" spans="1:7" x14ac:dyDescent="0.2">
      <c r="A133" s="1134">
        <v>40870</v>
      </c>
      <c r="B133" s="616" t="s">
        <v>842</v>
      </c>
      <c r="C133" s="614" t="s">
        <v>717</v>
      </c>
      <c r="D133" s="1135">
        <v>16.05</v>
      </c>
      <c r="E133" s="616" t="s">
        <v>777</v>
      </c>
      <c r="F133" s="201" t="e">
        <f>VLOOKUP(A133,'Compos DER'!J:K,2,FALSE)</f>
        <v>#N/A</v>
      </c>
      <c r="G133" s="198" t="e">
        <f t="shared" ref="G133:G196" si="2">+F133/D133</f>
        <v>#N/A</v>
      </c>
    </row>
    <row r="134" spans="1:7" x14ac:dyDescent="0.2">
      <c r="A134" s="1134">
        <v>40860</v>
      </c>
      <c r="B134" s="616" t="s">
        <v>843</v>
      </c>
      <c r="C134" s="614" t="s">
        <v>717</v>
      </c>
      <c r="D134" s="1135">
        <v>46.18</v>
      </c>
      <c r="E134" s="616" t="s">
        <v>777</v>
      </c>
      <c r="F134" s="201" t="e">
        <f>VLOOKUP(A134,'Compos DER'!J:K,2,FALSE)</f>
        <v>#N/A</v>
      </c>
      <c r="G134" s="198" t="e">
        <f t="shared" si="2"/>
        <v>#N/A</v>
      </c>
    </row>
    <row r="135" spans="1:7" x14ac:dyDescent="0.2">
      <c r="A135" s="1134">
        <v>40864</v>
      </c>
      <c r="B135" s="616" t="s">
        <v>844</v>
      </c>
      <c r="C135" s="614" t="s">
        <v>803</v>
      </c>
      <c r="D135" s="1135">
        <v>475.34</v>
      </c>
      <c r="E135" s="616" t="s">
        <v>777</v>
      </c>
      <c r="F135" s="201" t="e">
        <f>VLOOKUP(A135,'Compos DER'!J:K,2,FALSE)</f>
        <v>#N/A</v>
      </c>
      <c r="G135" s="198" t="e">
        <f t="shared" si="2"/>
        <v>#N/A</v>
      </c>
    </row>
    <row r="136" spans="1:7" x14ac:dyDescent="0.2">
      <c r="A136" s="1134">
        <v>40861</v>
      </c>
      <c r="B136" s="616" t="s">
        <v>845</v>
      </c>
      <c r="C136" s="614" t="s">
        <v>717</v>
      </c>
      <c r="D136" s="1135">
        <v>73.489999999999995</v>
      </c>
      <c r="E136" s="616" t="s">
        <v>777</v>
      </c>
      <c r="F136" s="201" t="e">
        <f>VLOOKUP(A136,'Compos DER'!J:K,2,FALSE)</f>
        <v>#N/A</v>
      </c>
      <c r="G136" s="198" t="e">
        <f t="shared" si="2"/>
        <v>#N/A</v>
      </c>
    </row>
    <row r="137" spans="1:7" x14ac:dyDescent="0.2">
      <c r="A137" s="1134">
        <v>40865</v>
      </c>
      <c r="B137" s="616" t="s">
        <v>846</v>
      </c>
      <c r="C137" s="614" t="s">
        <v>803</v>
      </c>
      <c r="D137" s="1135">
        <v>775.28</v>
      </c>
      <c r="E137" s="616" t="s">
        <v>777</v>
      </c>
      <c r="F137" s="201" t="e">
        <f>VLOOKUP(A137,'Compos DER'!J:K,2,FALSE)</f>
        <v>#N/A</v>
      </c>
      <c r="G137" s="198" t="e">
        <f t="shared" si="2"/>
        <v>#N/A</v>
      </c>
    </row>
    <row r="138" spans="1:7" x14ac:dyDescent="0.2">
      <c r="A138" s="1134">
        <v>40880</v>
      </c>
      <c r="B138" s="616" t="s">
        <v>847</v>
      </c>
      <c r="C138" s="614" t="s">
        <v>717</v>
      </c>
      <c r="D138" s="1135">
        <v>50.11</v>
      </c>
      <c r="E138" s="1136"/>
      <c r="F138" s="201" t="e">
        <f>VLOOKUP(A138,'Compos DER'!J:K,2,FALSE)</f>
        <v>#N/A</v>
      </c>
      <c r="G138" s="198" t="e">
        <f t="shared" si="2"/>
        <v>#N/A</v>
      </c>
    </row>
    <row r="139" spans="1:7" x14ac:dyDescent="0.2">
      <c r="A139" s="1134">
        <v>40858</v>
      </c>
      <c r="B139" s="616" t="s">
        <v>848</v>
      </c>
      <c r="C139" s="614" t="s">
        <v>717</v>
      </c>
      <c r="D139" s="1135">
        <v>41.95</v>
      </c>
      <c r="E139" s="616" t="s">
        <v>777</v>
      </c>
      <c r="F139" s="201" t="e">
        <f>VLOOKUP(A139,'Compos DER'!J:K,2,FALSE)</f>
        <v>#N/A</v>
      </c>
      <c r="G139" s="198" t="e">
        <f t="shared" si="2"/>
        <v>#N/A</v>
      </c>
    </row>
    <row r="140" spans="1:7" x14ac:dyDescent="0.2">
      <c r="A140" s="1134">
        <v>40862</v>
      </c>
      <c r="B140" s="616" t="s">
        <v>849</v>
      </c>
      <c r="C140" s="614" t="s">
        <v>803</v>
      </c>
      <c r="D140" s="1135">
        <v>431.26</v>
      </c>
      <c r="E140" s="616" t="s">
        <v>777</v>
      </c>
      <c r="F140" s="201" t="e">
        <f>VLOOKUP(A140,'Compos DER'!J:K,2,FALSE)</f>
        <v>#N/A</v>
      </c>
      <c r="G140" s="198" t="e">
        <f t="shared" si="2"/>
        <v>#N/A</v>
      </c>
    </row>
    <row r="141" spans="1:7" x14ac:dyDescent="0.2">
      <c r="A141" s="1134">
        <v>40859</v>
      </c>
      <c r="B141" s="616" t="s">
        <v>850</v>
      </c>
      <c r="C141" s="614" t="s">
        <v>717</v>
      </c>
      <c r="D141" s="1135">
        <v>70.36</v>
      </c>
      <c r="E141" s="616" t="s">
        <v>777</v>
      </c>
      <c r="F141" s="201" t="e">
        <f>VLOOKUP(A141,'Compos DER'!J:K,2,FALSE)</f>
        <v>#N/A</v>
      </c>
      <c r="G141" s="198" t="e">
        <f t="shared" si="2"/>
        <v>#N/A</v>
      </c>
    </row>
    <row r="142" spans="1:7" x14ac:dyDescent="0.2">
      <c r="A142" s="1134">
        <v>40863</v>
      </c>
      <c r="B142" s="616" t="s">
        <v>851</v>
      </c>
      <c r="C142" s="614" t="s">
        <v>803</v>
      </c>
      <c r="D142" s="1135">
        <v>731.28</v>
      </c>
      <c r="E142" s="616" t="s">
        <v>777</v>
      </c>
      <c r="F142" s="201" t="e">
        <f>VLOOKUP(A142,'Compos DER'!J:K,2,FALSE)</f>
        <v>#N/A</v>
      </c>
      <c r="G142" s="198" t="e">
        <f t="shared" si="2"/>
        <v>#N/A</v>
      </c>
    </row>
    <row r="143" spans="1:7" x14ac:dyDescent="0.2">
      <c r="A143" s="1134">
        <v>40883</v>
      </c>
      <c r="B143" s="616" t="s">
        <v>852</v>
      </c>
      <c r="C143" s="614" t="s">
        <v>717</v>
      </c>
      <c r="D143" s="1135">
        <v>77.290000000000006</v>
      </c>
      <c r="E143" s="616" t="s">
        <v>777</v>
      </c>
      <c r="F143" s="201" t="e">
        <f>VLOOKUP(A143,'Compos DER'!J:K,2,FALSE)</f>
        <v>#N/A</v>
      </c>
      <c r="G143" s="198" t="e">
        <f t="shared" si="2"/>
        <v>#N/A</v>
      </c>
    </row>
    <row r="144" spans="1:7" ht="18" x14ac:dyDescent="0.2">
      <c r="A144" s="1134">
        <v>40885</v>
      </c>
      <c r="B144" s="1136" t="s">
        <v>853</v>
      </c>
      <c r="C144" s="614" t="s">
        <v>717</v>
      </c>
      <c r="D144" s="1135">
        <v>97.26</v>
      </c>
      <c r="E144" s="616" t="s">
        <v>777</v>
      </c>
      <c r="F144" s="201" t="e">
        <f>VLOOKUP(A144,'Compos DER'!J:K,2,FALSE)</f>
        <v>#N/A</v>
      </c>
      <c r="G144" s="198" t="e">
        <f t="shared" si="2"/>
        <v>#N/A</v>
      </c>
    </row>
    <row r="145" spans="1:7" x14ac:dyDescent="0.2">
      <c r="A145" s="1134">
        <v>40897</v>
      </c>
      <c r="B145" s="616" t="s">
        <v>854</v>
      </c>
      <c r="C145" s="614" t="s">
        <v>717</v>
      </c>
      <c r="D145" s="1135">
        <v>77.290000000000006</v>
      </c>
      <c r="E145" s="1136"/>
      <c r="F145" s="201" t="e">
        <f>VLOOKUP(A145,'Compos DER'!J:K,2,FALSE)</f>
        <v>#N/A</v>
      </c>
      <c r="G145" s="198" t="e">
        <f t="shared" si="2"/>
        <v>#N/A</v>
      </c>
    </row>
    <row r="146" spans="1:7" x14ac:dyDescent="0.2">
      <c r="A146" s="1134">
        <v>40884</v>
      </c>
      <c r="B146" s="616" t="s">
        <v>855</v>
      </c>
      <c r="C146" s="614" t="s">
        <v>717</v>
      </c>
      <c r="D146" s="1135">
        <v>91.98</v>
      </c>
      <c r="E146" s="616" t="s">
        <v>777</v>
      </c>
      <c r="F146" s="201" t="e">
        <f>VLOOKUP(A146,'Compos DER'!J:K,2,FALSE)</f>
        <v>#N/A</v>
      </c>
      <c r="G146" s="198" t="e">
        <f t="shared" si="2"/>
        <v>#N/A</v>
      </c>
    </row>
    <row r="147" spans="1:7" x14ac:dyDescent="0.2">
      <c r="A147" s="1134">
        <v>40898</v>
      </c>
      <c r="B147" s="616" t="s">
        <v>856</v>
      </c>
      <c r="C147" s="614" t="s">
        <v>717</v>
      </c>
      <c r="D147" s="1135">
        <v>91.98</v>
      </c>
      <c r="E147" s="1136"/>
      <c r="F147" s="201">
        <f>VLOOKUP(A147,'Compos DER'!J:K,2,FALSE)</f>
        <v>91.98</v>
      </c>
      <c r="G147" s="198">
        <f t="shared" si="2"/>
        <v>1</v>
      </c>
    </row>
    <row r="148" spans="1:7" x14ac:dyDescent="0.2">
      <c r="A148" s="1134">
        <v>40896</v>
      </c>
      <c r="B148" s="616" t="s">
        <v>857</v>
      </c>
      <c r="C148" s="614" t="s">
        <v>717</v>
      </c>
      <c r="D148" s="1135">
        <v>97.26</v>
      </c>
      <c r="E148" s="1136"/>
      <c r="F148" s="201" t="e">
        <f>VLOOKUP(A148,'Compos DER'!J:K,2,FALSE)</f>
        <v>#N/A</v>
      </c>
      <c r="G148" s="198" t="e">
        <f t="shared" si="2"/>
        <v>#N/A</v>
      </c>
    </row>
    <row r="149" spans="1:7" x14ac:dyDescent="0.2">
      <c r="A149" s="1134">
        <v>40886</v>
      </c>
      <c r="B149" s="616" t="s">
        <v>858</v>
      </c>
      <c r="C149" s="614" t="s">
        <v>717</v>
      </c>
      <c r="D149" s="1135">
        <v>36.630000000000003</v>
      </c>
      <c r="E149" s="616" t="s">
        <v>777</v>
      </c>
      <c r="F149" s="201" t="e">
        <f>VLOOKUP(A149,'Compos DER'!J:K,2,FALSE)</f>
        <v>#N/A</v>
      </c>
      <c r="G149" s="198" t="e">
        <f t="shared" si="2"/>
        <v>#N/A</v>
      </c>
    </row>
    <row r="150" spans="1:7" x14ac:dyDescent="0.2">
      <c r="A150" s="1134">
        <v>40887</v>
      </c>
      <c r="B150" s="616" t="s">
        <v>859</v>
      </c>
      <c r="C150" s="614" t="s">
        <v>717</v>
      </c>
      <c r="D150" s="1135">
        <v>119.87</v>
      </c>
      <c r="E150" s="616" t="s">
        <v>777</v>
      </c>
      <c r="F150" s="201" t="e">
        <f>VLOOKUP(A150,'Compos DER'!J:K,2,FALSE)</f>
        <v>#N/A</v>
      </c>
      <c r="G150" s="198" t="e">
        <f t="shared" si="2"/>
        <v>#N/A</v>
      </c>
    </row>
    <row r="151" spans="1:7" x14ac:dyDescent="0.2">
      <c r="A151" s="1134">
        <v>40888</v>
      </c>
      <c r="B151" s="616" t="s">
        <v>860</v>
      </c>
      <c r="C151" s="614" t="s">
        <v>717</v>
      </c>
      <c r="D151" s="1135">
        <v>119.31</v>
      </c>
      <c r="E151" s="616" t="s">
        <v>777</v>
      </c>
      <c r="F151" s="201" t="e">
        <f>VLOOKUP(A151,'Compos DER'!J:K,2,FALSE)</f>
        <v>#N/A</v>
      </c>
      <c r="G151" s="198" t="e">
        <f t="shared" si="2"/>
        <v>#N/A</v>
      </c>
    </row>
    <row r="152" spans="1:7" x14ac:dyDescent="0.2">
      <c r="A152" s="1134">
        <v>40889</v>
      </c>
      <c r="B152" s="616" t="s">
        <v>861</v>
      </c>
      <c r="C152" s="614" t="s">
        <v>717</v>
      </c>
      <c r="D152" s="1135">
        <v>131.94</v>
      </c>
      <c r="E152" s="616" t="s">
        <v>777</v>
      </c>
      <c r="F152" s="201" t="e">
        <f>VLOOKUP(A152,'Compos DER'!J:K,2,FALSE)</f>
        <v>#N/A</v>
      </c>
      <c r="G152" s="198" t="e">
        <f t="shared" si="2"/>
        <v>#N/A</v>
      </c>
    </row>
    <row r="153" spans="1:7" x14ac:dyDescent="0.2">
      <c r="A153" s="1134">
        <v>40818</v>
      </c>
      <c r="B153" s="616" t="s">
        <v>862</v>
      </c>
      <c r="C153" s="614" t="s">
        <v>717</v>
      </c>
      <c r="D153" s="1135">
        <v>0.72</v>
      </c>
      <c r="E153" s="1136"/>
      <c r="F153" s="201" t="e">
        <f>VLOOKUP(A153,'Compos DER'!J:K,2,FALSE)</f>
        <v>#N/A</v>
      </c>
      <c r="G153" s="198" t="e">
        <f t="shared" si="2"/>
        <v>#N/A</v>
      </c>
    </row>
    <row r="154" spans="1:7" x14ac:dyDescent="0.2">
      <c r="A154" s="1134">
        <v>40819</v>
      </c>
      <c r="B154" s="616" t="s">
        <v>863</v>
      </c>
      <c r="C154" s="614" t="s">
        <v>717</v>
      </c>
      <c r="D154" s="1135">
        <v>2.34</v>
      </c>
      <c r="E154" s="616" t="s">
        <v>777</v>
      </c>
      <c r="F154" s="201" t="e">
        <f>VLOOKUP(A154,'Compos DER'!J:K,2,FALSE)</f>
        <v>#N/A</v>
      </c>
      <c r="G154" s="198" t="e">
        <f t="shared" si="2"/>
        <v>#N/A</v>
      </c>
    </row>
    <row r="155" spans="1:7" x14ac:dyDescent="0.2">
      <c r="A155" s="1134">
        <v>40872</v>
      </c>
      <c r="B155" s="616" t="s">
        <v>864</v>
      </c>
      <c r="C155" s="614" t="s">
        <v>803</v>
      </c>
      <c r="D155" s="1135">
        <v>69.260000000000005</v>
      </c>
      <c r="E155" s="616" t="s">
        <v>777</v>
      </c>
      <c r="F155" s="201" t="e">
        <f>VLOOKUP(A155,'Compos DER'!J:K,2,FALSE)</f>
        <v>#N/A</v>
      </c>
      <c r="G155" s="198" t="e">
        <f t="shared" si="2"/>
        <v>#N/A</v>
      </c>
    </row>
    <row r="156" spans="1:7" x14ac:dyDescent="0.2">
      <c r="A156" s="1134">
        <v>40836</v>
      </c>
      <c r="B156" s="616" t="s">
        <v>865</v>
      </c>
      <c r="C156" s="614" t="s">
        <v>803</v>
      </c>
      <c r="D156" s="1135">
        <v>47.81</v>
      </c>
      <c r="E156" s="616" t="s">
        <v>777</v>
      </c>
      <c r="F156" s="201" t="e">
        <f>VLOOKUP(A156,'Compos DER'!J:K,2,FALSE)</f>
        <v>#N/A</v>
      </c>
      <c r="G156" s="198" t="e">
        <f t="shared" si="2"/>
        <v>#N/A</v>
      </c>
    </row>
    <row r="157" spans="1:7" x14ac:dyDescent="0.2">
      <c r="A157" s="1134">
        <v>40837</v>
      </c>
      <c r="B157" s="616" t="s">
        <v>866</v>
      </c>
      <c r="C157" s="614" t="s">
        <v>803</v>
      </c>
      <c r="D157" s="1135">
        <v>310.19</v>
      </c>
      <c r="E157" s="616" t="s">
        <v>777</v>
      </c>
      <c r="F157" s="201" t="e">
        <f>VLOOKUP(A157,'Compos DER'!J:K,2,FALSE)</f>
        <v>#N/A</v>
      </c>
      <c r="G157" s="198" t="e">
        <f t="shared" si="2"/>
        <v>#N/A</v>
      </c>
    </row>
    <row r="158" spans="1:7" x14ac:dyDescent="0.2">
      <c r="A158" s="1134">
        <v>41076</v>
      </c>
      <c r="B158" s="616" t="s">
        <v>867</v>
      </c>
      <c r="C158" s="614" t="s">
        <v>719</v>
      </c>
      <c r="D158" s="1135">
        <v>62.73</v>
      </c>
      <c r="E158" s="1136"/>
      <c r="F158" s="201" t="e">
        <f>VLOOKUP(A158,'Compos DER'!J:K,2,FALSE)</f>
        <v>#N/A</v>
      </c>
      <c r="G158" s="198" t="e">
        <f t="shared" si="2"/>
        <v>#N/A</v>
      </c>
    </row>
    <row r="159" spans="1:7" x14ac:dyDescent="0.2">
      <c r="A159" s="1134">
        <v>41556</v>
      </c>
      <c r="B159" s="616" t="s">
        <v>868</v>
      </c>
      <c r="C159" s="614" t="s">
        <v>719</v>
      </c>
      <c r="D159" s="1135">
        <v>67.23</v>
      </c>
      <c r="E159" s="616" t="s">
        <v>777</v>
      </c>
      <c r="F159" s="201" t="e">
        <f>VLOOKUP(A159,'Compos DER'!J:K,2,FALSE)</f>
        <v>#N/A</v>
      </c>
      <c r="G159" s="198" t="e">
        <f t="shared" si="2"/>
        <v>#N/A</v>
      </c>
    </row>
    <row r="160" spans="1:7" x14ac:dyDescent="0.2">
      <c r="A160" s="1134">
        <v>43345</v>
      </c>
      <c r="B160" s="616" t="s">
        <v>869</v>
      </c>
      <c r="C160" s="614" t="s">
        <v>719</v>
      </c>
      <c r="D160" s="1135">
        <v>35.61</v>
      </c>
      <c r="E160" s="1136"/>
      <c r="F160" s="201" t="e">
        <f>VLOOKUP(A160,'Compos DER'!J:K,2,FALSE)</f>
        <v>#N/A</v>
      </c>
      <c r="G160" s="198" t="e">
        <f t="shared" si="2"/>
        <v>#N/A</v>
      </c>
    </row>
    <row r="161" spans="1:7" x14ac:dyDescent="0.2">
      <c r="A161" s="1134">
        <v>40720</v>
      </c>
      <c r="B161" s="616" t="s">
        <v>870</v>
      </c>
      <c r="C161" s="614" t="s">
        <v>719</v>
      </c>
      <c r="D161" s="1135">
        <v>73.56</v>
      </c>
      <c r="E161" s="1136"/>
      <c r="F161" s="201" t="e">
        <f>VLOOKUP(A161,'Compos DER'!J:K,2,FALSE)</f>
        <v>#N/A</v>
      </c>
      <c r="G161" s="198" t="e">
        <f t="shared" si="2"/>
        <v>#N/A</v>
      </c>
    </row>
    <row r="162" spans="1:7" x14ac:dyDescent="0.2">
      <c r="A162" s="1134">
        <v>41070</v>
      </c>
      <c r="B162" s="616" t="s">
        <v>871</v>
      </c>
      <c r="C162" s="614" t="s">
        <v>719</v>
      </c>
      <c r="D162" s="1135">
        <v>106.54</v>
      </c>
      <c r="E162" s="616" t="s">
        <v>777</v>
      </c>
      <c r="F162" s="201" t="e">
        <f>VLOOKUP(A162,'Compos DER'!J:K,2,FALSE)</f>
        <v>#N/A</v>
      </c>
      <c r="G162" s="198" t="e">
        <f t="shared" si="2"/>
        <v>#N/A</v>
      </c>
    </row>
    <row r="163" spans="1:7" x14ac:dyDescent="0.2">
      <c r="A163" s="1134">
        <v>40984</v>
      </c>
      <c r="B163" s="616" t="s">
        <v>872</v>
      </c>
      <c r="C163" s="614" t="s">
        <v>719</v>
      </c>
      <c r="D163" s="1135">
        <v>53.53</v>
      </c>
      <c r="E163" s="1136"/>
      <c r="F163" s="201" t="e">
        <f>VLOOKUP(A163,'Compos DER'!J:K,2,FALSE)</f>
        <v>#N/A</v>
      </c>
      <c r="G163" s="198" t="e">
        <f t="shared" si="2"/>
        <v>#N/A</v>
      </c>
    </row>
    <row r="164" spans="1:7" x14ac:dyDescent="0.2">
      <c r="A164" s="1134">
        <v>41356</v>
      </c>
      <c r="B164" s="616" t="s">
        <v>873</v>
      </c>
      <c r="C164" s="614" t="s">
        <v>719</v>
      </c>
      <c r="D164" s="1135">
        <v>103.4</v>
      </c>
      <c r="E164" s="616" t="s">
        <v>777</v>
      </c>
      <c r="F164" s="201" t="e">
        <f>VLOOKUP(A164,'Compos DER'!J:K,2,FALSE)</f>
        <v>#N/A</v>
      </c>
      <c r="G164" s="198" t="e">
        <f t="shared" si="2"/>
        <v>#N/A</v>
      </c>
    </row>
    <row r="165" spans="1:7" x14ac:dyDescent="0.2">
      <c r="A165" s="1134">
        <v>40774</v>
      </c>
      <c r="B165" s="616" t="s">
        <v>874</v>
      </c>
      <c r="C165" s="614" t="s">
        <v>719</v>
      </c>
      <c r="D165" s="1135">
        <v>103.4</v>
      </c>
      <c r="E165" s="1136"/>
      <c r="F165" s="201" t="e">
        <f>VLOOKUP(A165,'Compos DER'!J:K,2,FALSE)</f>
        <v>#N/A</v>
      </c>
      <c r="G165" s="198" t="e">
        <f t="shared" si="2"/>
        <v>#N/A</v>
      </c>
    </row>
    <row r="166" spans="1:7" x14ac:dyDescent="0.2">
      <c r="A166" s="1132" t="s">
        <v>773</v>
      </c>
      <c r="B166" s="617"/>
      <c r="C166" s="617"/>
      <c r="D166" s="617"/>
      <c r="E166" s="617"/>
      <c r="F166" s="201" t="e">
        <f>VLOOKUP(A166,'Compos DER'!J:K,2,FALSE)</f>
        <v>#N/A</v>
      </c>
      <c r="G166" s="198" t="e">
        <f t="shared" si="2"/>
        <v>#N/A</v>
      </c>
    </row>
    <row r="167" spans="1:7" x14ac:dyDescent="0.2">
      <c r="A167" s="1131" t="s">
        <v>708</v>
      </c>
      <c r="B167" s="617"/>
      <c r="C167" s="617"/>
      <c r="D167" s="617"/>
      <c r="E167" s="617"/>
      <c r="F167" s="201" t="e">
        <f>VLOOKUP(A167,'Compos DER'!J:K,2,FALSE)</f>
        <v>#N/A</v>
      </c>
      <c r="G167" s="198" t="e">
        <f t="shared" si="2"/>
        <v>#N/A</v>
      </c>
    </row>
    <row r="168" spans="1:7" x14ac:dyDescent="0.2">
      <c r="A168" s="1131" t="s">
        <v>709</v>
      </c>
      <c r="B168" s="617"/>
      <c r="C168" s="617"/>
      <c r="D168" s="617"/>
      <c r="E168" s="617"/>
      <c r="F168" s="201" t="e">
        <f>VLOOKUP(A168,'Compos DER'!J:K,2,FALSE)</f>
        <v>#N/A</v>
      </c>
      <c r="G168" s="198" t="e">
        <f t="shared" si="2"/>
        <v>#N/A</v>
      </c>
    </row>
    <row r="169" spans="1:7" x14ac:dyDescent="0.2">
      <c r="A169" s="1132" t="s">
        <v>775</v>
      </c>
      <c r="B169" s="617"/>
      <c r="C169" s="617"/>
      <c r="D169" s="617"/>
      <c r="E169" s="617"/>
      <c r="F169" s="201" t="e">
        <f>VLOOKUP(A169,'Compos DER'!J:K,2,FALSE)</f>
        <v>#N/A</v>
      </c>
      <c r="G169" s="198" t="e">
        <f t="shared" si="2"/>
        <v>#N/A</v>
      </c>
    </row>
    <row r="170" spans="1:7" ht="18" x14ac:dyDescent="0.2">
      <c r="A170" s="1133" t="s">
        <v>711</v>
      </c>
      <c r="B170" s="1133" t="s">
        <v>712</v>
      </c>
      <c r="C170" s="1133" t="s">
        <v>713</v>
      </c>
      <c r="D170" s="1133" t="s">
        <v>714</v>
      </c>
      <c r="E170" s="1133" t="s">
        <v>715</v>
      </c>
      <c r="F170" s="201" t="e">
        <f>VLOOKUP(A170,'Compos DER'!J:K,2,FALSE)</f>
        <v>#N/A</v>
      </c>
      <c r="G170" s="198" t="e">
        <f t="shared" si="2"/>
        <v>#N/A</v>
      </c>
    </row>
    <row r="171" spans="1:7" x14ac:dyDescent="0.2">
      <c r="A171" s="1134">
        <v>40768</v>
      </c>
      <c r="B171" s="616" t="s">
        <v>875</v>
      </c>
      <c r="C171" s="614" t="s">
        <v>719</v>
      </c>
      <c r="D171" s="1135">
        <v>95.05</v>
      </c>
      <c r="E171" s="616" t="s">
        <v>777</v>
      </c>
      <c r="F171" s="201" t="e">
        <f>VLOOKUP(A171,'Compos DER'!J:K,2,FALSE)</f>
        <v>#N/A</v>
      </c>
      <c r="G171" s="198" t="e">
        <f t="shared" si="2"/>
        <v>#N/A</v>
      </c>
    </row>
    <row r="172" spans="1:7" x14ac:dyDescent="0.2">
      <c r="A172" s="1134">
        <v>40767</v>
      </c>
      <c r="B172" s="616" t="s">
        <v>876</v>
      </c>
      <c r="C172" s="614" t="s">
        <v>719</v>
      </c>
      <c r="D172" s="1135">
        <v>88.07</v>
      </c>
      <c r="E172" s="616" t="s">
        <v>777</v>
      </c>
      <c r="F172" s="201" t="e">
        <f>VLOOKUP(A172,'Compos DER'!J:K,2,FALSE)</f>
        <v>#N/A</v>
      </c>
      <c r="G172" s="198" t="e">
        <f t="shared" si="2"/>
        <v>#N/A</v>
      </c>
    </row>
    <row r="173" spans="1:7" x14ac:dyDescent="0.2">
      <c r="A173" s="1134">
        <v>40769</v>
      </c>
      <c r="B173" s="616" t="s">
        <v>877</v>
      </c>
      <c r="C173" s="614" t="s">
        <v>719</v>
      </c>
      <c r="D173" s="1135">
        <v>111.76</v>
      </c>
      <c r="E173" s="616" t="s">
        <v>777</v>
      </c>
      <c r="F173" s="201" t="e">
        <f>VLOOKUP(A173,'Compos DER'!J:K,2,FALSE)</f>
        <v>#N/A</v>
      </c>
      <c r="G173" s="198" t="e">
        <f t="shared" si="2"/>
        <v>#N/A</v>
      </c>
    </row>
    <row r="174" spans="1:7" x14ac:dyDescent="0.2">
      <c r="A174" s="1134">
        <v>40766</v>
      </c>
      <c r="B174" s="616" t="s">
        <v>878</v>
      </c>
      <c r="C174" s="614" t="s">
        <v>719</v>
      </c>
      <c r="D174" s="1135">
        <v>58.4</v>
      </c>
      <c r="E174" s="1136"/>
      <c r="F174" s="201" t="e">
        <f>VLOOKUP(A174,'Compos DER'!J:K,2,FALSE)</f>
        <v>#N/A</v>
      </c>
      <c r="G174" s="198" t="e">
        <f t="shared" si="2"/>
        <v>#N/A</v>
      </c>
    </row>
    <row r="175" spans="1:7" x14ac:dyDescent="0.2">
      <c r="A175" s="1134">
        <v>40771</v>
      </c>
      <c r="B175" s="616" t="s">
        <v>879</v>
      </c>
      <c r="C175" s="614" t="s">
        <v>719</v>
      </c>
      <c r="D175" s="1135">
        <v>274.47000000000003</v>
      </c>
      <c r="E175" s="616" t="s">
        <v>777</v>
      </c>
      <c r="F175" s="201" t="e">
        <f>VLOOKUP(A175,'Compos DER'!J:K,2,FALSE)</f>
        <v>#N/A</v>
      </c>
      <c r="G175" s="198" t="e">
        <f t="shared" si="2"/>
        <v>#N/A</v>
      </c>
    </row>
    <row r="176" spans="1:7" x14ac:dyDescent="0.2">
      <c r="A176" s="1134">
        <v>40773</v>
      </c>
      <c r="B176" s="616" t="s">
        <v>880</v>
      </c>
      <c r="C176" s="614" t="s">
        <v>719</v>
      </c>
      <c r="D176" s="1135">
        <v>77.959999999999994</v>
      </c>
      <c r="E176" s="616" t="s">
        <v>777</v>
      </c>
      <c r="F176" s="201" t="e">
        <f>VLOOKUP(A176,'Compos DER'!J:K,2,FALSE)</f>
        <v>#N/A</v>
      </c>
      <c r="G176" s="198" t="e">
        <f t="shared" si="2"/>
        <v>#N/A</v>
      </c>
    </row>
    <row r="177" spans="1:7" x14ac:dyDescent="0.2">
      <c r="A177" s="1134">
        <v>40775</v>
      </c>
      <c r="B177" s="616" t="s">
        <v>881</v>
      </c>
      <c r="C177" s="614" t="s">
        <v>719</v>
      </c>
      <c r="D177" s="1135">
        <v>111.76</v>
      </c>
      <c r="E177" s="1136"/>
      <c r="F177" s="201" t="e">
        <f>VLOOKUP(A177,'Compos DER'!J:K,2,FALSE)</f>
        <v>#N/A</v>
      </c>
      <c r="G177" s="198" t="e">
        <f t="shared" si="2"/>
        <v>#N/A</v>
      </c>
    </row>
    <row r="178" spans="1:7" x14ac:dyDescent="0.2">
      <c r="A178" s="1134">
        <v>40762</v>
      </c>
      <c r="B178" s="616" t="s">
        <v>882</v>
      </c>
      <c r="C178" s="614" t="s">
        <v>717</v>
      </c>
      <c r="D178" s="1135">
        <v>6.44</v>
      </c>
      <c r="E178" s="1136"/>
      <c r="F178" s="201" t="e">
        <f>VLOOKUP(A178,'Compos DER'!J:K,2,FALSE)</f>
        <v>#N/A</v>
      </c>
      <c r="G178" s="198" t="e">
        <f t="shared" si="2"/>
        <v>#N/A</v>
      </c>
    </row>
    <row r="179" spans="1:7" x14ac:dyDescent="0.2">
      <c r="A179" s="1134">
        <v>40804</v>
      </c>
      <c r="B179" s="616" t="s">
        <v>883</v>
      </c>
      <c r="C179" s="614" t="s">
        <v>717</v>
      </c>
      <c r="D179" s="1135">
        <v>12.01</v>
      </c>
      <c r="E179" s="616" t="s">
        <v>777</v>
      </c>
      <c r="F179" s="201" t="e">
        <f>VLOOKUP(A179,'Compos DER'!J:K,2,FALSE)</f>
        <v>#N/A</v>
      </c>
      <c r="G179" s="198" t="e">
        <f t="shared" si="2"/>
        <v>#N/A</v>
      </c>
    </row>
    <row r="180" spans="1:7" x14ac:dyDescent="0.2">
      <c r="A180" s="1134">
        <v>40811</v>
      </c>
      <c r="B180" s="616" t="s">
        <v>884</v>
      </c>
      <c r="C180" s="614" t="s">
        <v>719</v>
      </c>
      <c r="D180" s="1135">
        <v>62.26</v>
      </c>
      <c r="E180" s="1136"/>
      <c r="F180" s="201" t="e">
        <f>VLOOKUP(A180,'Compos DER'!J:K,2,FALSE)</f>
        <v>#N/A</v>
      </c>
      <c r="G180" s="198" t="e">
        <f t="shared" si="2"/>
        <v>#N/A</v>
      </c>
    </row>
    <row r="181" spans="1:7" x14ac:dyDescent="0.2">
      <c r="A181" s="1134">
        <v>42211</v>
      </c>
      <c r="B181" s="616" t="s">
        <v>885</v>
      </c>
      <c r="C181" s="614" t="s">
        <v>719</v>
      </c>
      <c r="D181" s="1135">
        <v>62.26</v>
      </c>
      <c r="E181" s="616" t="s">
        <v>777</v>
      </c>
      <c r="F181" s="201" t="e">
        <f>VLOOKUP(A181,'Compos DER'!J:K,2,FALSE)</f>
        <v>#N/A</v>
      </c>
      <c r="G181" s="198" t="e">
        <f t="shared" si="2"/>
        <v>#N/A</v>
      </c>
    </row>
    <row r="182" spans="1:7" x14ac:dyDescent="0.2">
      <c r="A182" s="1134">
        <v>40756</v>
      </c>
      <c r="B182" s="616" t="s">
        <v>886</v>
      </c>
      <c r="C182" s="614" t="s">
        <v>719</v>
      </c>
      <c r="D182" s="1135">
        <v>7.1</v>
      </c>
      <c r="E182" s="1136"/>
      <c r="F182" s="201" t="e">
        <f>VLOOKUP(A182,'Compos DER'!J:K,2,FALSE)</f>
        <v>#N/A</v>
      </c>
      <c r="G182" s="198" t="e">
        <f t="shared" si="2"/>
        <v>#N/A</v>
      </c>
    </row>
    <row r="183" spans="1:7" x14ac:dyDescent="0.2">
      <c r="A183" s="1134">
        <v>40754</v>
      </c>
      <c r="B183" s="616" t="s">
        <v>887</v>
      </c>
      <c r="C183" s="614" t="s">
        <v>717</v>
      </c>
      <c r="D183" s="1135">
        <v>1.27</v>
      </c>
      <c r="E183" s="1136"/>
      <c r="F183" s="201">
        <f>VLOOKUP(A183,'Compos DER'!J:K,2,FALSE)</f>
        <v>1.27</v>
      </c>
      <c r="G183" s="198">
        <f t="shared" si="2"/>
        <v>1</v>
      </c>
    </row>
    <row r="184" spans="1:7" x14ac:dyDescent="0.2">
      <c r="A184" s="1134">
        <v>40866</v>
      </c>
      <c r="B184" s="616" t="s">
        <v>888</v>
      </c>
      <c r="C184" s="614" t="s">
        <v>717</v>
      </c>
      <c r="D184" s="1135">
        <v>0.85</v>
      </c>
      <c r="E184" s="1136"/>
      <c r="F184" s="201" t="e">
        <f>VLOOKUP(A184,'Compos DER'!J:K,2,FALSE)</f>
        <v>#N/A</v>
      </c>
      <c r="G184" s="198" t="e">
        <f t="shared" si="2"/>
        <v>#N/A</v>
      </c>
    </row>
    <row r="185" spans="1:7" x14ac:dyDescent="0.2">
      <c r="A185" s="1134">
        <v>40893</v>
      </c>
      <c r="B185" s="616" t="s">
        <v>889</v>
      </c>
      <c r="C185" s="614" t="s">
        <v>838</v>
      </c>
      <c r="D185" s="1135">
        <v>26.25</v>
      </c>
      <c r="E185" s="1136"/>
      <c r="F185" s="201" t="e">
        <f>VLOOKUP(A185,'Compos DER'!J:K,2,FALSE)</f>
        <v>#N/A</v>
      </c>
      <c r="G185" s="198" t="e">
        <f t="shared" si="2"/>
        <v>#N/A</v>
      </c>
    </row>
    <row r="186" spans="1:7" x14ac:dyDescent="0.2">
      <c r="A186" s="1134">
        <v>40891</v>
      </c>
      <c r="B186" s="616" t="s">
        <v>890</v>
      </c>
      <c r="C186" s="614" t="s">
        <v>717</v>
      </c>
      <c r="D186" s="1135">
        <v>21.23</v>
      </c>
      <c r="E186" s="1136"/>
      <c r="F186" s="201" t="e">
        <f>VLOOKUP(A186,'Compos DER'!J:K,2,FALSE)</f>
        <v>#N/A</v>
      </c>
      <c r="G186" s="198" t="e">
        <f t="shared" si="2"/>
        <v>#N/A</v>
      </c>
    </row>
    <row r="187" spans="1:7" x14ac:dyDescent="0.2">
      <c r="A187" s="1134">
        <v>40890</v>
      </c>
      <c r="B187" s="616" t="s">
        <v>891</v>
      </c>
      <c r="C187" s="614" t="s">
        <v>717</v>
      </c>
      <c r="D187" s="1135">
        <v>70.05</v>
      </c>
      <c r="E187" s="616" t="s">
        <v>777</v>
      </c>
      <c r="F187" s="201" t="e">
        <f>VLOOKUP(A187,'Compos DER'!J:K,2,FALSE)</f>
        <v>#N/A</v>
      </c>
      <c r="G187" s="198" t="e">
        <f t="shared" si="2"/>
        <v>#N/A</v>
      </c>
    </row>
    <row r="188" spans="1:7" x14ac:dyDescent="0.2">
      <c r="A188" s="1134">
        <v>40892</v>
      </c>
      <c r="B188" s="616" t="s">
        <v>892</v>
      </c>
      <c r="C188" s="614" t="s">
        <v>717</v>
      </c>
      <c r="D188" s="1135">
        <v>72.319999999999993</v>
      </c>
      <c r="E188" s="616" t="s">
        <v>777</v>
      </c>
      <c r="F188" s="201" t="e">
        <f>VLOOKUP(A188,'Compos DER'!J:K,2,FALSE)</f>
        <v>#N/A</v>
      </c>
      <c r="G188" s="198" t="e">
        <f t="shared" si="2"/>
        <v>#N/A</v>
      </c>
    </row>
    <row r="189" spans="1:7" x14ac:dyDescent="0.2">
      <c r="A189" s="1134">
        <v>40749</v>
      </c>
      <c r="B189" s="616" t="s">
        <v>893</v>
      </c>
      <c r="C189" s="614" t="s">
        <v>717</v>
      </c>
      <c r="D189" s="1135">
        <v>0.18</v>
      </c>
      <c r="E189" s="1136"/>
      <c r="F189" s="201" t="e">
        <f>VLOOKUP(A189,'Compos DER'!J:K,2,FALSE)</f>
        <v>#N/A</v>
      </c>
      <c r="G189" s="198" t="e">
        <f t="shared" si="2"/>
        <v>#N/A</v>
      </c>
    </row>
    <row r="190" spans="1:7" x14ac:dyDescent="0.2">
      <c r="A190" s="1134">
        <v>40750</v>
      </c>
      <c r="B190" s="616" t="s">
        <v>894</v>
      </c>
      <c r="C190" s="614" t="s">
        <v>717</v>
      </c>
      <c r="D190" s="1135">
        <v>0.83</v>
      </c>
      <c r="E190" s="1136"/>
      <c r="F190" s="201" t="e">
        <f>VLOOKUP(A190,'Compos DER'!J:K,2,FALSE)</f>
        <v>#N/A</v>
      </c>
      <c r="G190" s="198" t="e">
        <f t="shared" si="2"/>
        <v>#N/A</v>
      </c>
    </row>
    <row r="191" spans="1:7" x14ac:dyDescent="0.2">
      <c r="A191" s="1134">
        <v>40792</v>
      </c>
      <c r="B191" s="616" t="s">
        <v>895</v>
      </c>
      <c r="C191" s="614" t="s">
        <v>719</v>
      </c>
      <c r="D191" s="1135">
        <v>101.7</v>
      </c>
      <c r="E191" s="616" t="s">
        <v>777</v>
      </c>
      <c r="F191" s="201" t="e">
        <f>VLOOKUP(A191,'Compos DER'!J:K,2,FALSE)</f>
        <v>#N/A</v>
      </c>
      <c r="G191" s="198" t="e">
        <f t="shared" si="2"/>
        <v>#N/A</v>
      </c>
    </row>
    <row r="192" spans="1:7" x14ac:dyDescent="0.2">
      <c r="A192" s="1134">
        <v>40794</v>
      </c>
      <c r="B192" s="616" t="s">
        <v>896</v>
      </c>
      <c r="C192" s="614" t="s">
        <v>719</v>
      </c>
      <c r="D192" s="1135">
        <v>41.73</v>
      </c>
      <c r="E192" s="616" t="s">
        <v>777</v>
      </c>
      <c r="F192" s="201" t="e">
        <f>VLOOKUP(A192,'Compos DER'!J:K,2,FALSE)</f>
        <v>#N/A</v>
      </c>
      <c r="G192" s="198" t="e">
        <f t="shared" si="2"/>
        <v>#N/A</v>
      </c>
    </row>
    <row r="193" spans="1:7" x14ac:dyDescent="0.2">
      <c r="A193" s="1134">
        <v>40796</v>
      </c>
      <c r="B193" s="616" t="s">
        <v>897</v>
      </c>
      <c r="C193" s="614" t="s">
        <v>719</v>
      </c>
      <c r="D193" s="1135">
        <v>38.11</v>
      </c>
      <c r="E193" s="616" t="s">
        <v>777</v>
      </c>
      <c r="F193" s="201" t="e">
        <f>VLOOKUP(A193,'Compos DER'!J:K,2,FALSE)</f>
        <v>#N/A</v>
      </c>
      <c r="G193" s="198" t="e">
        <f t="shared" si="2"/>
        <v>#N/A</v>
      </c>
    </row>
    <row r="194" spans="1:7" x14ac:dyDescent="0.2">
      <c r="A194" s="1134">
        <v>41098</v>
      </c>
      <c r="B194" s="616" t="s">
        <v>898</v>
      </c>
      <c r="C194" s="614" t="s">
        <v>719</v>
      </c>
      <c r="D194" s="1135">
        <v>38.11</v>
      </c>
      <c r="E194" s="1136"/>
      <c r="F194" s="201" t="e">
        <f>VLOOKUP(A194,'Compos DER'!J:K,2,FALSE)</f>
        <v>#N/A</v>
      </c>
      <c r="G194" s="198" t="e">
        <f t="shared" si="2"/>
        <v>#N/A</v>
      </c>
    </row>
    <row r="195" spans="1:7" x14ac:dyDescent="0.2">
      <c r="A195" s="1134">
        <v>40786</v>
      </c>
      <c r="B195" s="616" t="s">
        <v>899</v>
      </c>
      <c r="C195" s="614" t="s">
        <v>719</v>
      </c>
      <c r="D195" s="1135">
        <v>97.87</v>
      </c>
      <c r="E195" s="616" t="s">
        <v>777</v>
      </c>
      <c r="F195" s="201" t="e">
        <f>VLOOKUP(A195,'Compos DER'!J:K,2,FALSE)</f>
        <v>#N/A</v>
      </c>
      <c r="G195" s="198" t="e">
        <f t="shared" si="2"/>
        <v>#N/A</v>
      </c>
    </row>
    <row r="196" spans="1:7" x14ac:dyDescent="0.2">
      <c r="A196" s="1134">
        <v>43327</v>
      </c>
      <c r="B196" s="616" t="s">
        <v>900</v>
      </c>
      <c r="C196" s="614" t="s">
        <v>719</v>
      </c>
      <c r="D196" s="1135">
        <v>97.87</v>
      </c>
      <c r="E196" s="1136"/>
      <c r="F196" s="201" t="e">
        <f>VLOOKUP(A196,'Compos DER'!J:K,2,FALSE)</f>
        <v>#N/A</v>
      </c>
      <c r="G196" s="198" t="e">
        <f t="shared" si="2"/>
        <v>#N/A</v>
      </c>
    </row>
    <row r="197" spans="1:7" x14ac:dyDescent="0.2">
      <c r="A197" s="1134">
        <v>42675</v>
      </c>
      <c r="B197" s="616" t="s">
        <v>901</v>
      </c>
      <c r="C197" s="614" t="s">
        <v>719</v>
      </c>
      <c r="D197" s="1135">
        <v>136.46</v>
      </c>
      <c r="E197" s="1136"/>
      <c r="F197" s="201" t="e">
        <f>VLOOKUP(A197,'Compos DER'!J:K,2,FALSE)</f>
        <v>#N/A</v>
      </c>
      <c r="G197" s="198" t="e">
        <f t="shared" ref="G197:G259" si="3">+F197/D197</f>
        <v>#N/A</v>
      </c>
    </row>
    <row r="198" spans="1:7" x14ac:dyDescent="0.2">
      <c r="A198" s="1134">
        <v>40802</v>
      </c>
      <c r="B198" s="616" t="s">
        <v>902</v>
      </c>
      <c r="C198" s="614" t="s">
        <v>719</v>
      </c>
      <c r="D198" s="1135">
        <v>64.430000000000007</v>
      </c>
      <c r="E198" s="616" t="s">
        <v>777</v>
      </c>
      <c r="F198" s="201" t="e">
        <f>VLOOKUP(A198,'Compos DER'!J:K,2,FALSE)</f>
        <v>#N/A</v>
      </c>
      <c r="G198" s="198" t="e">
        <f t="shared" si="3"/>
        <v>#N/A</v>
      </c>
    </row>
    <row r="199" spans="1:7" x14ac:dyDescent="0.2">
      <c r="A199" s="1134">
        <v>41074</v>
      </c>
      <c r="B199" s="616" t="s">
        <v>903</v>
      </c>
      <c r="C199" s="614" t="s">
        <v>719</v>
      </c>
      <c r="D199" s="1135">
        <v>62.83</v>
      </c>
      <c r="E199" s="1136"/>
      <c r="F199" s="201" t="e">
        <f>VLOOKUP(A199,'Compos DER'!J:K,2,FALSE)</f>
        <v>#N/A</v>
      </c>
      <c r="G199" s="198" t="e">
        <f t="shared" si="3"/>
        <v>#N/A</v>
      </c>
    </row>
    <row r="200" spans="1:7" x14ac:dyDescent="0.2">
      <c r="A200" s="1134">
        <v>40776</v>
      </c>
      <c r="B200" s="616" t="s">
        <v>904</v>
      </c>
      <c r="C200" s="614" t="s">
        <v>719</v>
      </c>
      <c r="D200" s="1135">
        <v>40.880000000000003</v>
      </c>
      <c r="E200" s="616" t="s">
        <v>777</v>
      </c>
      <c r="F200" s="201" t="e">
        <f>VLOOKUP(A200,'Compos DER'!J:K,2,FALSE)</f>
        <v>#N/A</v>
      </c>
      <c r="G200" s="198" t="e">
        <f t="shared" si="3"/>
        <v>#N/A</v>
      </c>
    </row>
    <row r="201" spans="1:7" x14ac:dyDescent="0.2">
      <c r="A201" s="1134">
        <v>40778</v>
      </c>
      <c r="B201" s="616" t="s">
        <v>905</v>
      </c>
      <c r="C201" s="614" t="s">
        <v>719</v>
      </c>
      <c r="D201" s="1135">
        <v>46.46</v>
      </c>
      <c r="E201" s="616" t="s">
        <v>777</v>
      </c>
      <c r="F201" s="201" t="e">
        <f>VLOOKUP(A201,'Compos DER'!J:K,2,FALSE)</f>
        <v>#N/A</v>
      </c>
      <c r="G201" s="198" t="e">
        <f t="shared" si="3"/>
        <v>#N/A</v>
      </c>
    </row>
    <row r="202" spans="1:7" x14ac:dyDescent="0.2">
      <c r="A202" s="1134">
        <v>40780</v>
      </c>
      <c r="B202" s="616" t="s">
        <v>906</v>
      </c>
      <c r="C202" s="614" t="s">
        <v>719</v>
      </c>
      <c r="D202" s="1135">
        <v>65.510000000000005</v>
      </c>
      <c r="E202" s="616" t="s">
        <v>777</v>
      </c>
      <c r="F202" s="201" t="e">
        <f>VLOOKUP(A202,'Compos DER'!J:K,2,FALSE)</f>
        <v>#N/A</v>
      </c>
      <c r="G202" s="198" t="e">
        <f t="shared" si="3"/>
        <v>#N/A</v>
      </c>
    </row>
    <row r="203" spans="1:7" x14ac:dyDescent="0.2">
      <c r="A203" s="1134">
        <v>40782</v>
      </c>
      <c r="B203" s="616" t="s">
        <v>907</v>
      </c>
      <c r="C203" s="614" t="s">
        <v>719</v>
      </c>
      <c r="D203" s="1135">
        <v>82.31</v>
      </c>
      <c r="E203" s="616" t="s">
        <v>777</v>
      </c>
    </row>
    <row r="204" spans="1:7" x14ac:dyDescent="0.2">
      <c r="A204" s="1134">
        <v>40830</v>
      </c>
      <c r="B204" s="616" t="s">
        <v>908</v>
      </c>
      <c r="C204" s="614" t="s">
        <v>717</v>
      </c>
      <c r="D204" s="1135">
        <v>8.66</v>
      </c>
      <c r="E204" s="616" t="s">
        <v>777</v>
      </c>
    </row>
    <row r="205" spans="1:7" x14ac:dyDescent="0.2">
      <c r="A205" s="1134">
        <v>40873</v>
      </c>
      <c r="B205" s="616" t="s">
        <v>909</v>
      </c>
      <c r="C205" s="614" t="s">
        <v>717</v>
      </c>
      <c r="D205" s="1135">
        <v>7.18</v>
      </c>
      <c r="E205" s="616" t="s">
        <v>777</v>
      </c>
      <c r="F205" s="201" t="e">
        <f>VLOOKUP(A205,'Compos DER'!J:K,2,FALSE)</f>
        <v>#N/A</v>
      </c>
      <c r="G205" s="198" t="e">
        <f t="shared" si="3"/>
        <v>#N/A</v>
      </c>
    </row>
    <row r="206" spans="1:7" x14ac:dyDescent="0.2">
      <c r="A206" s="1134">
        <v>40876</v>
      </c>
      <c r="B206" s="616" t="s">
        <v>910</v>
      </c>
      <c r="C206" s="614" t="s">
        <v>717</v>
      </c>
      <c r="D206" s="1135">
        <v>7.71</v>
      </c>
      <c r="E206" s="1136"/>
      <c r="F206" s="201" t="e">
        <f>VLOOKUP(A206,'Compos DER'!J:K,2,FALSE)</f>
        <v>#N/A</v>
      </c>
      <c r="G206" s="198" t="e">
        <f t="shared" si="3"/>
        <v>#N/A</v>
      </c>
    </row>
    <row r="207" spans="1:7" s="474" customFormat="1" x14ac:dyDescent="0.2">
      <c r="A207" s="1134">
        <v>41363</v>
      </c>
      <c r="B207" s="616" t="s">
        <v>911</v>
      </c>
      <c r="C207" s="614" t="s">
        <v>717</v>
      </c>
      <c r="D207" s="1135">
        <v>12.57</v>
      </c>
      <c r="E207" s="616" t="s">
        <v>777</v>
      </c>
      <c r="F207" s="201" t="e">
        <f>VLOOKUP(A207,'Compos DER'!J:K,2,FALSE)</f>
        <v>#N/A</v>
      </c>
      <c r="G207" s="198" t="e">
        <f t="shared" si="3"/>
        <v>#N/A</v>
      </c>
    </row>
    <row r="208" spans="1:7" x14ac:dyDescent="0.2">
      <c r="A208" s="1134">
        <v>40831</v>
      </c>
      <c r="B208" s="616" t="s">
        <v>912</v>
      </c>
      <c r="C208" s="614" t="s">
        <v>717</v>
      </c>
      <c r="D208" s="1135">
        <v>21.27</v>
      </c>
      <c r="E208" s="616" t="s">
        <v>777</v>
      </c>
      <c r="F208" s="201" t="e">
        <f>VLOOKUP(A208,'Compos DER'!J:K,2,FALSE)</f>
        <v>#N/A</v>
      </c>
      <c r="G208" s="198" t="e">
        <f t="shared" si="3"/>
        <v>#N/A</v>
      </c>
    </row>
    <row r="209" spans="1:7" x14ac:dyDescent="0.2">
      <c r="A209" s="1134">
        <v>40827</v>
      </c>
      <c r="B209" s="616" t="s">
        <v>913</v>
      </c>
      <c r="C209" s="614" t="s">
        <v>717</v>
      </c>
      <c r="D209" s="1135">
        <v>11.98</v>
      </c>
      <c r="E209" s="616" t="s">
        <v>777</v>
      </c>
      <c r="F209" s="201" t="e">
        <f>VLOOKUP(A209,'Compos DER'!J:K,2,FALSE)</f>
        <v>#N/A</v>
      </c>
      <c r="G209" s="198" t="e">
        <f t="shared" si="3"/>
        <v>#N/A</v>
      </c>
    </row>
    <row r="210" spans="1:7" x14ac:dyDescent="0.2">
      <c r="A210" s="1134">
        <v>40828</v>
      </c>
      <c r="B210" s="616" t="s">
        <v>914</v>
      </c>
      <c r="C210" s="614" t="s">
        <v>717</v>
      </c>
      <c r="D210" s="1135">
        <v>7.92</v>
      </c>
      <c r="E210" s="616" t="s">
        <v>777</v>
      </c>
      <c r="F210" s="201" t="e">
        <f>VLOOKUP(A210,'Compos DER'!J:K,2,FALSE)</f>
        <v>#N/A</v>
      </c>
      <c r="G210" s="198" t="e">
        <f t="shared" si="3"/>
        <v>#N/A</v>
      </c>
    </row>
    <row r="211" spans="1:7" x14ac:dyDescent="0.2">
      <c r="A211" s="1134">
        <v>40874</v>
      </c>
      <c r="B211" s="616" t="s">
        <v>915</v>
      </c>
      <c r="C211" s="614" t="s">
        <v>717</v>
      </c>
      <c r="D211" s="1135">
        <v>7.94</v>
      </c>
      <c r="E211" s="616" t="s">
        <v>777</v>
      </c>
      <c r="F211" s="201" t="e">
        <f>VLOOKUP(A211,'Compos DER'!J:K,2,FALSE)</f>
        <v>#N/A</v>
      </c>
      <c r="G211" s="198" t="e">
        <f t="shared" si="3"/>
        <v>#N/A</v>
      </c>
    </row>
    <row r="212" spans="1:7" x14ac:dyDescent="0.2">
      <c r="A212" s="1134">
        <v>40875</v>
      </c>
      <c r="B212" s="616" t="s">
        <v>916</v>
      </c>
      <c r="C212" s="614" t="s">
        <v>717</v>
      </c>
      <c r="D212" s="1135">
        <v>7.57</v>
      </c>
      <c r="E212" s="1136"/>
      <c r="F212" s="201" t="e">
        <f>VLOOKUP(A212,'Compos DER'!J:K,2,FALSE)</f>
        <v>#N/A</v>
      </c>
      <c r="G212" s="198" t="e">
        <f t="shared" si="3"/>
        <v>#N/A</v>
      </c>
    </row>
    <row r="213" spans="1:7" x14ac:dyDescent="0.2">
      <c r="A213" s="1134">
        <v>40829</v>
      </c>
      <c r="B213" s="616" t="s">
        <v>917</v>
      </c>
      <c r="C213" s="614" t="s">
        <v>717</v>
      </c>
      <c r="D213" s="1135">
        <v>19.53</v>
      </c>
      <c r="E213" s="616" t="s">
        <v>777</v>
      </c>
      <c r="F213" s="201" t="e">
        <f>VLOOKUP(A213,'Compos DER'!J:K,2,FALSE)</f>
        <v>#N/A</v>
      </c>
      <c r="G213" s="198" t="e">
        <f t="shared" si="3"/>
        <v>#N/A</v>
      </c>
    </row>
    <row r="214" spans="1:7" x14ac:dyDescent="0.2">
      <c r="A214" s="1134">
        <v>40824</v>
      </c>
      <c r="B214" s="616" t="s">
        <v>918</v>
      </c>
      <c r="C214" s="614" t="s">
        <v>717</v>
      </c>
      <c r="D214" s="1135">
        <v>4.99</v>
      </c>
      <c r="E214" s="616" t="s">
        <v>777</v>
      </c>
      <c r="F214" s="201" t="e">
        <f>VLOOKUP(A214,'Compos DER'!J:K,2,FALSE)</f>
        <v>#N/A</v>
      </c>
      <c r="G214" s="198" t="e">
        <f t="shared" si="3"/>
        <v>#N/A</v>
      </c>
    </row>
    <row r="215" spans="1:7" x14ac:dyDescent="0.2">
      <c r="A215" s="1134">
        <v>40825</v>
      </c>
      <c r="B215" s="616" t="s">
        <v>919</v>
      </c>
      <c r="C215" s="614" t="s">
        <v>717</v>
      </c>
      <c r="D215" s="1135">
        <v>9.0500000000000007</v>
      </c>
      <c r="E215" s="616" t="s">
        <v>777</v>
      </c>
      <c r="F215" s="201" t="e">
        <f>VLOOKUP(A215,'Compos DER'!J:K,2,FALSE)</f>
        <v>#N/A</v>
      </c>
      <c r="G215" s="198" t="e">
        <f t="shared" si="3"/>
        <v>#N/A</v>
      </c>
    </row>
    <row r="216" spans="1:7" x14ac:dyDescent="0.2">
      <c r="A216" s="1134">
        <v>40820</v>
      </c>
      <c r="B216" s="616" t="s">
        <v>920</v>
      </c>
      <c r="C216" s="614" t="s">
        <v>717</v>
      </c>
      <c r="D216" s="1135">
        <v>4.57</v>
      </c>
      <c r="E216" s="616" t="s">
        <v>777</v>
      </c>
      <c r="F216" s="201" t="e">
        <f>VLOOKUP(A216,'Compos DER'!J:K,2,FALSE)</f>
        <v>#N/A</v>
      </c>
      <c r="G216" s="198" t="e">
        <f t="shared" si="3"/>
        <v>#N/A</v>
      </c>
    </row>
    <row r="217" spans="1:7" x14ac:dyDescent="0.2">
      <c r="A217" s="1132" t="s">
        <v>773</v>
      </c>
      <c r="B217" s="617"/>
      <c r="C217" s="617"/>
      <c r="D217" s="617"/>
      <c r="E217" s="617"/>
      <c r="F217" s="201" t="e">
        <f>VLOOKUP(A217,'Compos DER'!J:K,2,FALSE)</f>
        <v>#N/A</v>
      </c>
      <c r="G217" s="198" t="e">
        <f t="shared" si="3"/>
        <v>#N/A</v>
      </c>
    </row>
    <row r="218" spans="1:7" x14ac:dyDescent="0.2">
      <c r="A218" s="1131" t="s">
        <v>708</v>
      </c>
      <c r="B218" s="617"/>
      <c r="C218" s="617"/>
      <c r="D218" s="617"/>
      <c r="E218" s="617"/>
      <c r="F218" s="201" t="e">
        <f>VLOOKUP(A218,'Compos DER'!J:K,2,FALSE)</f>
        <v>#N/A</v>
      </c>
      <c r="G218" s="198" t="e">
        <f t="shared" si="3"/>
        <v>#N/A</v>
      </c>
    </row>
    <row r="219" spans="1:7" x14ac:dyDescent="0.2">
      <c r="A219" s="1131" t="s">
        <v>709</v>
      </c>
      <c r="B219" s="617"/>
      <c r="C219" s="617"/>
      <c r="D219" s="617"/>
      <c r="E219" s="617"/>
      <c r="F219" s="201" t="e">
        <f>VLOOKUP(A219,'Compos DER'!J:K,2,FALSE)</f>
        <v>#N/A</v>
      </c>
      <c r="G219" s="198" t="e">
        <f t="shared" si="3"/>
        <v>#N/A</v>
      </c>
    </row>
    <row r="220" spans="1:7" x14ac:dyDescent="0.2">
      <c r="A220" s="1132" t="s">
        <v>775</v>
      </c>
      <c r="B220" s="617"/>
      <c r="C220" s="617"/>
      <c r="D220" s="617"/>
      <c r="E220" s="617"/>
      <c r="F220" s="201" t="e">
        <f>VLOOKUP(A220,'Compos DER'!J:K,2,FALSE)</f>
        <v>#N/A</v>
      </c>
      <c r="G220" s="198" t="e">
        <f t="shared" si="3"/>
        <v>#N/A</v>
      </c>
    </row>
    <row r="221" spans="1:7" ht="18" x14ac:dyDescent="0.2">
      <c r="A221" s="1133" t="s">
        <v>711</v>
      </c>
      <c r="B221" s="1133" t="s">
        <v>712</v>
      </c>
      <c r="C221" s="1133" t="s">
        <v>713</v>
      </c>
      <c r="D221" s="1133" t="s">
        <v>714</v>
      </c>
      <c r="E221" s="1133" t="s">
        <v>715</v>
      </c>
      <c r="F221" s="201" t="e">
        <f>VLOOKUP(A221,'Compos DER'!J:K,2,FALSE)</f>
        <v>#N/A</v>
      </c>
      <c r="G221" s="198" t="e">
        <f t="shared" si="3"/>
        <v>#N/A</v>
      </c>
    </row>
    <row r="222" spans="1:7" x14ac:dyDescent="0.2">
      <c r="A222" s="1134">
        <v>40821</v>
      </c>
      <c r="B222" s="616" t="s">
        <v>921</v>
      </c>
      <c r="C222" s="614" t="s">
        <v>717</v>
      </c>
      <c r="D222" s="1135">
        <v>8.6300000000000008</v>
      </c>
      <c r="E222" s="616" t="s">
        <v>777</v>
      </c>
      <c r="F222" s="201" t="e">
        <f>VLOOKUP(A222,'Compos DER'!J:K,2,FALSE)</f>
        <v>#N/A</v>
      </c>
      <c r="G222" s="198" t="e">
        <f t="shared" si="3"/>
        <v>#N/A</v>
      </c>
    </row>
    <row r="223" spans="1:7" x14ac:dyDescent="0.2">
      <c r="A223" s="1134">
        <v>40840</v>
      </c>
      <c r="B223" s="616" t="s">
        <v>922</v>
      </c>
      <c r="C223" s="614" t="s">
        <v>803</v>
      </c>
      <c r="D223" s="1135">
        <v>50.36</v>
      </c>
      <c r="E223" s="616" t="s">
        <v>777</v>
      </c>
      <c r="F223" s="201">
        <f>VLOOKUP(A223,'Compos DER'!J:K,2,FALSE)</f>
        <v>50.78</v>
      </c>
      <c r="G223" s="198">
        <f t="shared" si="3"/>
        <v>1.00833995234313</v>
      </c>
    </row>
    <row r="224" spans="1:7" x14ac:dyDescent="0.2">
      <c r="A224" s="1134">
        <v>43331</v>
      </c>
      <c r="B224" s="616" t="s">
        <v>923</v>
      </c>
      <c r="C224" s="614" t="s">
        <v>719</v>
      </c>
      <c r="D224" s="1135">
        <v>6.88</v>
      </c>
      <c r="E224" s="1136"/>
      <c r="F224" s="201" t="e">
        <f>VLOOKUP(A224,'Compos DER'!J:K,2,FALSE)</f>
        <v>#N/A</v>
      </c>
      <c r="G224" s="198" t="e">
        <f t="shared" si="3"/>
        <v>#N/A</v>
      </c>
    </row>
    <row r="225" spans="1:7" x14ac:dyDescent="0.2">
      <c r="A225" s="1132" t="s">
        <v>924</v>
      </c>
      <c r="B225" s="617"/>
      <c r="C225" s="617"/>
      <c r="D225" s="617"/>
      <c r="E225" s="617"/>
      <c r="F225" s="201" t="e">
        <f>VLOOKUP(A225,'Compos DER'!J:K,2,FALSE)</f>
        <v>#N/A</v>
      </c>
      <c r="G225" s="198" t="e">
        <f t="shared" si="3"/>
        <v>#N/A</v>
      </c>
    </row>
    <row r="226" spans="1:7" ht="18" x14ac:dyDescent="0.2">
      <c r="A226" s="1133" t="s">
        <v>711</v>
      </c>
      <c r="B226" s="1133" t="s">
        <v>712</v>
      </c>
      <c r="C226" s="1133" t="s">
        <v>713</v>
      </c>
      <c r="D226" s="1133" t="s">
        <v>714</v>
      </c>
      <c r="E226" s="1133" t="s">
        <v>715</v>
      </c>
      <c r="F226" s="201" t="e">
        <f>VLOOKUP(A226,'Compos DER'!J:K,2,FALSE)</f>
        <v>#N/A</v>
      </c>
      <c r="G226" s="198" t="e">
        <f t="shared" si="3"/>
        <v>#N/A</v>
      </c>
    </row>
    <row r="227" spans="1:7" x14ac:dyDescent="0.2">
      <c r="A227" s="1134">
        <v>100394</v>
      </c>
      <c r="B227" s="616" t="s">
        <v>925</v>
      </c>
      <c r="C227" s="614" t="s">
        <v>926</v>
      </c>
      <c r="D227" s="1135">
        <v>14.23</v>
      </c>
      <c r="E227" s="1136"/>
      <c r="F227" s="201" t="e">
        <f>VLOOKUP(A227,'Compos DER'!J:K,2,FALSE)</f>
        <v>#N/A</v>
      </c>
      <c r="G227" s="198" t="e">
        <f t="shared" si="3"/>
        <v>#N/A</v>
      </c>
    </row>
    <row r="228" spans="1:7" x14ac:dyDescent="0.2">
      <c r="A228" s="1134">
        <v>40376</v>
      </c>
      <c r="B228" s="616" t="s">
        <v>927</v>
      </c>
      <c r="C228" s="614" t="s">
        <v>926</v>
      </c>
      <c r="D228" s="1135">
        <v>13.09</v>
      </c>
      <c r="E228" s="1136"/>
      <c r="F228" s="201">
        <f>VLOOKUP(A228,'Compos DER'!J:K,2,FALSE)</f>
        <v>13.1</v>
      </c>
      <c r="G228" s="198">
        <f t="shared" si="3"/>
        <v>1.00076394194041</v>
      </c>
    </row>
    <row r="229" spans="1:7" x14ac:dyDescent="0.2">
      <c r="A229" s="1134">
        <v>43351</v>
      </c>
      <c r="B229" s="616" t="s">
        <v>928</v>
      </c>
      <c r="C229" s="614" t="s">
        <v>926</v>
      </c>
      <c r="D229" s="1135">
        <v>12.64</v>
      </c>
      <c r="E229" s="1136"/>
      <c r="F229" s="201" t="e">
        <f>VLOOKUP(A229,'Compos DER'!J:K,2,FALSE)</f>
        <v>#N/A</v>
      </c>
      <c r="G229" s="198" t="e">
        <f t="shared" si="3"/>
        <v>#N/A</v>
      </c>
    </row>
    <row r="230" spans="1:7" x14ac:dyDescent="0.2">
      <c r="A230" s="1134">
        <v>43350</v>
      </c>
      <c r="B230" s="616" t="s">
        <v>929</v>
      </c>
      <c r="C230" s="614" t="s">
        <v>926</v>
      </c>
      <c r="D230" s="1135">
        <v>13.08</v>
      </c>
      <c r="E230" s="1136"/>
      <c r="F230" s="201" t="e">
        <f>VLOOKUP(A230,'Compos DER'!J:K,2,FALSE)</f>
        <v>#N/A</v>
      </c>
      <c r="G230" s="198" t="e">
        <f t="shared" si="3"/>
        <v>#N/A</v>
      </c>
    </row>
    <row r="231" spans="1:7" x14ac:dyDescent="0.2">
      <c r="A231" s="1134">
        <v>41261</v>
      </c>
      <c r="B231" s="616" t="s">
        <v>930</v>
      </c>
      <c r="C231" s="614" t="s">
        <v>926</v>
      </c>
      <c r="D231" s="1135">
        <v>11.4</v>
      </c>
      <c r="E231" s="1136"/>
      <c r="F231" s="201" t="e">
        <f>VLOOKUP(A231,'Compos DER'!J:K,2,FALSE)</f>
        <v>#N/A</v>
      </c>
      <c r="G231" s="198" t="e">
        <f t="shared" si="3"/>
        <v>#N/A</v>
      </c>
    </row>
    <row r="232" spans="1:7" x14ac:dyDescent="0.2">
      <c r="A232" s="1134">
        <v>41023</v>
      </c>
      <c r="B232" s="616" t="s">
        <v>931</v>
      </c>
      <c r="C232" s="614" t="s">
        <v>838</v>
      </c>
      <c r="D232" s="1135">
        <v>90.34</v>
      </c>
      <c r="E232" s="1136"/>
      <c r="F232" s="201" t="e">
        <f>VLOOKUP(A232,'Compos DER'!J:K,2,FALSE)</f>
        <v>#N/A</v>
      </c>
      <c r="G232" s="198" t="e">
        <f t="shared" si="3"/>
        <v>#N/A</v>
      </c>
    </row>
    <row r="233" spans="1:7" x14ac:dyDescent="0.2">
      <c r="A233" s="1134">
        <v>41575</v>
      </c>
      <c r="B233" s="616" t="s">
        <v>932</v>
      </c>
      <c r="C233" s="614" t="s">
        <v>717</v>
      </c>
      <c r="D233" s="1135">
        <v>56.33</v>
      </c>
      <c r="E233" s="616" t="s">
        <v>777</v>
      </c>
      <c r="F233" s="201" t="e">
        <f>VLOOKUP(A233,'Compos DER'!J:K,2,FALSE)</f>
        <v>#N/A</v>
      </c>
      <c r="G233" s="198" t="e">
        <f t="shared" si="3"/>
        <v>#N/A</v>
      </c>
    </row>
    <row r="234" spans="1:7" x14ac:dyDescent="0.2">
      <c r="A234" s="1134">
        <v>40346</v>
      </c>
      <c r="B234" s="616" t="s">
        <v>933</v>
      </c>
      <c r="C234" s="614" t="s">
        <v>717</v>
      </c>
      <c r="D234" s="1135">
        <v>93.2</v>
      </c>
      <c r="E234" s="616" t="s">
        <v>777</v>
      </c>
      <c r="F234" s="201" t="e">
        <f>VLOOKUP(A234,'Compos DER'!J:K,2,FALSE)</f>
        <v>#N/A</v>
      </c>
      <c r="G234" s="198" t="e">
        <f t="shared" si="3"/>
        <v>#N/A</v>
      </c>
    </row>
    <row r="235" spans="1:7" x14ac:dyDescent="0.2">
      <c r="A235" s="1134">
        <v>40345</v>
      </c>
      <c r="B235" s="616" t="s">
        <v>934</v>
      </c>
      <c r="C235" s="614" t="s">
        <v>717</v>
      </c>
      <c r="D235" s="1135">
        <v>63.84</v>
      </c>
      <c r="E235" s="616" t="s">
        <v>777</v>
      </c>
      <c r="F235" s="201" t="e">
        <f>VLOOKUP(A235,'Compos DER'!J:K,2,FALSE)</f>
        <v>#N/A</v>
      </c>
      <c r="G235" s="198" t="e">
        <f t="shared" si="3"/>
        <v>#N/A</v>
      </c>
    </row>
    <row r="236" spans="1:7" x14ac:dyDescent="0.2">
      <c r="A236" s="1134">
        <v>40343</v>
      </c>
      <c r="B236" s="616" t="s">
        <v>935</v>
      </c>
      <c r="C236" s="614" t="s">
        <v>719</v>
      </c>
      <c r="D236" s="1135">
        <v>397.02</v>
      </c>
      <c r="E236" s="616" t="s">
        <v>777</v>
      </c>
      <c r="F236" s="201">
        <f>VLOOKUP(A236,'Compos DER'!J:K,2,FALSE)</f>
        <v>416.07</v>
      </c>
      <c r="G236" s="198">
        <f t="shared" si="3"/>
        <v>1.0479824693970099</v>
      </c>
    </row>
    <row r="237" spans="1:7" x14ac:dyDescent="0.2">
      <c r="A237" s="1134">
        <v>40344</v>
      </c>
      <c r="B237" s="616" t="s">
        <v>936</v>
      </c>
      <c r="C237" s="614" t="s">
        <v>719</v>
      </c>
      <c r="D237" s="1135">
        <v>297.20999999999998</v>
      </c>
      <c r="E237" s="616" t="s">
        <v>777</v>
      </c>
      <c r="F237" s="201" t="e">
        <f>VLOOKUP(A237,'Compos DER'!J:K,2,FALSE)</f>
        <v>#N/A</v>
      </c>
      <c r="G237" s="198" t="e">
        <f t="shared" si="3"/>
        <v>#N/A</v>
      </c>
    </row>
    <row r="238" spans="1:7" x14ac:dyDescent="0.2">
      <c r="A238" s="1134">
        <v>41027</v>
      </c>
      <c r="B238" s="616" t="s">
        <v>937</v>
      </c>
      <c r="C238" s="614" t="s">
        <v>719</v>
      </c>
      <c r="D238" s="1135">
        <v>29.16</v>
      </c>
      <c r="E238" s="1136"/>
      <c r="F238" s="201" t="e">
        <f>VLOOKUP(A238,'Compos DER'!J:K,2,FALSE)</f>
        <v>#N/A</v>
      </c>
      <c r="G238" s="198" t="e">
        <f t="shared" si="3"/>
        <v>#N/A</v>
      </c>
    </row>
    <row r="239" spans="1:7" x14ac:dyDescent="0.2">
      <c r="A239" s="1134">
        <v>40337</v>
      </c>
      <c r="B239" s="616" t="s">
        <v>938</v>
      </c>
      <c r="C239" s="614" t="s">
        <v>717</v>
      </c>
      <c r="D239" s="1135">
        <v>174.48</v>
      </c>
      <c r="E239" s="1136"/>
      <c r="F239" s="201" t="e">
        <f>VLOOKUP(A239,'Compos DER'!J:K,2,FALSE)</f>
        <v>#N/A</v>
      </c>
      <c r="G239" s="198" t="e">
        <f t="shared" si="3"/>
        <v>#N/A</v>
      </c>
    </row>
    <row r="240" spans="1:7" x14ac:dyDescent="0.2">
      <c r="A240" s="1134">
        <v>40395</v>
      </c>
      <c r="B240" s="616" t="s">
        <v>939</v>
      </c>
      <c r="C240" s="614" t="s">
        <v>717</v>
      </c>
      <c r="D240" s="1135">
        <v>26.67</v>
      </c>
      <c r="E240" s="1136"/>
      <c r="F240" s="201" t="e">
        <f>VLOOKUP(A240,'Compos DER'!J:K,2,FALSE)</f>
        <v>#N/A</v>
      </c>
      <c r="G240" s="198" t="e">
        <f t="shared" si="3"/>
        <v>#N/A</v>
      </c>
    </row>
    <row r="241" spans="1:7" x14ac:dyDescent="0.2">
      <c r="A241" s="1134">
        <v>40300</v>
      </c>
      <c r="B241" s="616" t="s">
        <v>940</v>
      </c>
      <c r="C241" s="614" t="s">
        <v>719</v>
      </c>
      <c r="D241" s="1135">
        <v>56.92</v>
      </c>
      <c r="E241" s="1136"/>
      <c r="F241" s="201">
        <f>VLOOKUP(A241,'Compos DER'!J:K,2,FALSE)</f>
        <v>56.92</v>
      </c>
      <c r="G241" s="198">
        <f t="shared" si="3"/>
        <v>1</v>
      </c>
    </row>
    <row r="242" spans="1:7" x14ac:dyDescent="0.2">
      <c r="A242" s="1134">
        <v>40348</v>
      </c>
      <c r="B242" s="616" t="s">
        <v>941</v>
      </c>
      <c r="C242" s="614" t="s">
        <v>719</v>
      </c>
      <c r="D242" s="1135">
        <v>477.59</v>
      </c>
      <c r="E242" s="616" t="s">
        <v>777</v>
      </c>
      <c r="F242" s="201">
        <f>VLOOKUP(A242,'Compos DER'!J:K,2,FALSE)</f>
        <v>553.79</v>
      </c>
      <c r="G242" s="198">
        <f t="shared" si="3"/>
        <v>1.15955107937771</v>
      </c>
    </row>
    <row r="243" spans="1:7" s="474" customFormat="1" x14ac:dyDescent="0.2">
      <c r="A243" s="1134">
        <v>40347</v>
      </c>
      <c r="B243" s="616" t="s">
        <v>942</v>
      </c>
      <c r="C243" s="614" t="s">
        <v>719</v>
      </c>
      <c r="D243" s="1135">
        <v>859.77</v>
      </c>
      <c r="E243" s="616" t="s">
        <v>777</v>
      </c>
      <c r="F243" s="201" t="e">
        <f>VLOOKUP(A243,'Compos DER'!J:K,2,FALSE)</f>
        <v>#N/A</v>
      </c>
      <c r="G243" s="198" t="e">
        <f t="shared" si="3"/>
        <v>#N/A</v>
      </c>
    </row>
    <row r="244" spans="1:7" x14ac:dyDescent="0.2">
      <c r="A244" s="1134">
        <v>41415</v>
      </c>
      <c r="B244" s="616" t="s">
        <v>943</v>
      </c>
      <c r="C244" s="614" t="s">
        <v>719</v>
      </c>
      <c r="D244" s="1135">
        <v>490.78</v>
      </c>
      <c r="E244" s="616" t="s">
        <v>777</v>
      </c>
      <c r="F244" s="201" t="e">
        <f>VLOOKUP(A244,'Compos DER'!J:K,2,FALSE)</f>
        <v>#N/A</v>
      </c>
      <c r="G244" s="198" t="e">
        <f t="shared" si="3"/>
        <v>#N/A</v>
      </c>
    </row>
    <row r="245" spans="1:7" x14ac:dyDescent="0.2">
      <c r="A245" s="1134">
        <v>42257</v>
      </c>
      <c r="B245" s="616" t="s">
        <v>944</v>
      </c>
      <c r="C245" s="614" t="s">
        <v>719</v>
      </c>
      <c r="D245" s="1135">
        <v>7.92</v>
      </c>
      <c r="E245" s="1136"/>
      <c r="F245" s="201" t="e">
        <f>VLOOKUP(A245,'Compos DER'!J:K,2,FALSE)</f>
        <v>#N/A</v>
      </c>
      <c r="G245" s="198" t="e">
        <f t="shared" si="3"/>
        <v>#N/A</v>
      </c>
    </row>
    <row r="246" spans="1:7" x14ac:dyDescent="0.2">
      <c r="A246" s="1134">
        <v>40519</v>
      </c>
      <c r="B246" s="616" t="s">
        <v>945</v>
      </c>
      <c r="C246" s="614" t="s">
        <v>838</v>
      </c>
      <c r="D246" s="1135">
        <v>283.95999999999998</v>
      </c>
      <c r="E246" s="616" t="s">
        <v>777</v>
      </c>
      <c r="F246" s="201" t="e">
        <f>VLOOKUP(A246,'Compos DER'!J:K,2,FALSE)</f>
        <v>#N/A</v>
      </c>
      <c r="G246" s="198" t="e">
        <f t="shared" si="3"/>
        <v>#N/A</v>
      </c>
    </row>
    <row r="247" spans="1:7" x14ac:dyDescent="0.2">
      <c r="A247" s="1134">
        <v>40520</v>
      </c>
      <c r="B247" s="616" t="s">
        <v>946</v>
      </c>
      <c r="C247" s="614" t="s">
        <v>838</v>
      </c>
      <c r="D247" s="1135">
        <v>442.7</v>
      </c>
      <c r="E247" s="616" t="s">
        <v>777</v>
      </c>
      <c r="F247" s="201" t="e">
        <f>VLOOKUP(A247,'Compos DER'!J:K,2,FALSE)</f>
        <v>#N/A</v>
      </c>
      <c r="G247" s="198" t="e">
        <f t="shared" si="3"/>
        <v>#N/A</v>
      </c>
    </row>
    <row r="248" spans="1:7" x14ac:dyDescent="0.2">
      <c r="A248" s="1134">
        <v>40521</v>
      </c>
      <c r="B248" s="616" t="s">
        <v>947</v>
      </c>
      <c r="C248" s="614" t="s">
        <v>838</v>
      </c>
      <c r="D248" s="1135">
        <v>635.83000000000004</v>
      </c>
      <c r="E248" s="616" t="s">
        <v>777</v>
      </c>
      <c r="F248" s="201">
        <f>VLOOKUP(A248,'Compos DER'!J:K,2,FALSE)</f>
        <v>694.4</v>
      </c>
      <c r="G248" s="198">
        <f t="shared" si="3"/>
        <v>1.09211581712093</v>
      </c>
    </row>
    <row r="249" spans="1:7" x14ac:dyDescent="0.2">
      <c r="A249" s="1134">
        <v>40522</v>
      </c>
      <c r="B249" s="616" t="s">
        <v>948</v>
      </c>
      <c r="C249" s="614" t="s">
        <v>838</v>
      </c>
      <c r="D249" s="1135">
        <v>857.2</v>
      </c>
      <c r="E249" s="616" t="s">
        <v>777</v>
      </c>
      <c r="F249" s="201" t="e">
        <f>VLOOKUP(A249,'Compos DER'!J:K,2,FALSE)</f>
        <v>#N/A</v>
      </c>
      <c r="G249" s="198" t="e">
        <f t="shared" si="3"/>
        <v>#N/A</v>
      </c>
    </row>
    <row r="250" spans="1:7" x14ac:dyDescent="0.2">
      <c r="A250" s="1134">
        <v>40523</v>
      </c>
      <c r="B250" s="616" t="s">
        <v>949</v>
      </c>
      <c r="C250" s="614" t="s">
        <v>838</v>
      </c>
      <c r="D250" s="1137">
        <v>1235.71</v>
      </c>
      <c r="E250" s="616" t="s">
        <v>777</v>
      </c>
      <c r="F250" s="201" t="e">
        <f>VLOOKUP(A250,'Compos DER'!J:K,2,FALSE)</f>
        <v>#N/A</v>
      </c>
      <c r="G250" s="198" t="e">
        <f t="shared" si="3"/>
        <v>#N/A</v>
      </c>
    </row>
    <row r="251" spans="1:7" x14ac:dyDescent="0.2">
      <c r="A251" s="1134">
        <v>40513</v>
      </c>
      <c r="B251" s="616" t="s">
        <v>950</v>
      </c>
      <c r="C251" s="614" t="s">
        <v>838</v>
      </c>
      <c r="D251" s="1135">
        <v>103.42</v>
      </c>
      <c r="E251" s="616" t="s">
        <v>777</v>
      </c>
      <c r="F251" s="201" t="e">
        <f>VLOOKUP(A251,'Compos DER'!J:K,2,FALSE)</f>
        <v>#N/A</v>
      </c>
      <c r="G251" s="198" t="e">
        <f t="shared" si="3"/>
        <v>#N/A</v>
      </c>
    </row>
    <row r="252" spans="1:7" x14ac:dyDescent="0.2">
      <c r="A252" s="1134">
        <v>40514</v>
      </c>
      <c r="B252" s="616" t="s">
        <v>951</v>
      </c>
      <c r="C252" s="614" t="s">
        <v>838</v>
      </c>
      <c r="D252" s="1135">
        <v>171.89</v>
      </c>
      <c r="E252" s="616" t="s">
        <v>777</v>
      </c>
      <c r="F252" s="201" t="e">
        <f>VLOOKUP(A252,'Compos DER'!J:K,2,FALSE)</f>
        <v>#N/A</v>
      </c>
      <c r="G252" s="198" t="e">
        <f t="shared" si="3"/>
        <v>#N/A</v>
      </c>
    </row>
    <row r="253" spans="1:7" x14ac:dyDescent="0.2">
      <c r="A253" s="1134">
        <v>40515</v>
      </c>
      <c r="B253" s="616" t="s">
        <v>952</v>
      </c>
      <c r="C253" s="614" t="s">
        <v>838</v>
      </c>
      <c r="D253" s="1135">
        <v>260.93</v>
      </c>
      <c r="E253" s="616" t="s">
        <v>777</v>
      </c>
      <c r="F253" s="201">
        <f>VLOOKUP(A253,'Compos DER'!J:K,2,FALSE)</f>
        <v>280.89999999999998</v>
      </c>
      <c r="G253" s="198">
        <f t="shared" si="3"/>
        <v>1.0765339363047599</v>
      </c>
    </row>
    <row r="254" spans="1:7" x14ac:dyDescent="0.2">
      <c r="A254" s="1134">
        <v>40516</v>
      </c>
      <c r="B254" s="616" t="s">
        <v>953</v>
      </c>
      <c r="C254" s="614" t="s">
        <v>838</v>
      </c>
      <c r="D254" s="1135">
        <v>366.95</v>
      </c>
      <c r="E254" s="616" t="s">
        <v>777</v>
      </c>
      <c r="F254" s="201">
        <f>VLOOKUP(A254,'Compos DER'!J:K,2,FALSE)</f>
        <v>396.35</v>
      </c>
      <c r="G254" s="198">
        <f t="shared" si="3"/>
        <v>1.08011990734432</v>
      </c>
    </row>
    <row r="255" spans="1:7" x14ac:dyDescent="0.2">
      <c r="A255" s="1134">
        <v>40517</v>
      </c>
      <c r="B255" s="616" t="s">
        <v>954</v>
      </c>
      <c r="C255" s="614" t="s">
        <v>838</v>
      </c>
      <c r="D255" s="1135">
        <v>487.54</v>
      </c>
      <c r="E255" s="616" t="s">
        <v>777</v>
      </c>
      <c r="F255" s="201">
        <f>VLOOKUP(A255,'Compos DER'!J:K,2,FALSE)</f>
        <v>527.99</v>
      </c>
      <c r="G255" s="198">
        <f t="shared" si="3"/>
        <v>1.0829675513804</v>
      </c>
    </row>
    <row r="256" spans="1:7" x14ac:dyDescent="0.2">
      <c r="A256" s="1134">
        <v>40518</v>
      </c>
      <c r="B256" s="616" t="s">
        <v>955</v>
      </c>
      <c r="C256" s="614" t="s">
        <v>838</v>
      </c>
      <c r="D256" s="1135">
        <v>690.87</v>
      </c>
      <c r="E256" s="616" t="s">
        <v>777</v>
      </c>
      <c r="F256" s="201" t="e">
        <f>VLOOKUP(A256,'Compos DER'!J:K,2,FALSE)</f>
        <v>#N/A</v>
      </c>
      <c r="G256" s="198" t="e">
        <f t="shared" si="3"/>
        <v>#N/A</v>
      </c>
    </row>
    <row r="257" spans="1:7" x14ac:dyDescent="0.2">
      <c r="A257" s="1134">
        <v>40524</v>
      </c>
      <c r="B257" s="616" t="s">
        <v>956</v>
      </c>
      <c r="C257" s="614" t="s">
        <v>838</v>
      </c>
      <c r="D257" s="1135">
        <v>394.16</v>
      </c>
      <c r="E257" s="616" t="s">
        <v>777</v>
      </c>
      <c r="F257" s="201" t="e">
        <f>VLOOKUP(A257,'Compos DER'!J:K,2,FALSE)</f>
        <v>#N/A</v>
      </c>
      <c r="G257" s="198" t="e">
        <f t="shared" si="3"/>
        <v>#N/A</v>
      </c>
    </row>
    <row r="258" spans="1:7" x14ac:dyDescent="0.2">
      <c r="A258" s="1134">
        <v>40525</v>
      </c>
      <c r="B258" s="616" t="s">
        <v>957</v>
      </c>
      <c r="C258" s="614" t="s">
        <v>838</v>
      </c>
      <c r="D258" s="1135">
        <v>625.41</v>
      </c>
      <c r="E258" s="616" t="s">
        <v>777</v>
      </c>
      <c r="F258" s="201" t="e">
        <f>VLOOKUP(A258,'Compos DER'!J:K,2,FALSE)</f>
        <v>#N/A</v>
      </c>
      <c r="G258" s="198" t="e">
        <f t="shared" si="3"/>
        <v>#N/A</v>
      </c>
    </row>
    <row r="259" spans="1:7" x14ac:dyDescent="0.2">
      <c r="A259" s="1134">
        <v>40526</v>
      </c>
      <c r="B259" s="616" t="s">
        <v>958</v>
      </c>
      <c r="C259" s="614" t="s">
        <v>838</v>
      </c>
      <c r="D259" s="1135">
        <v>904.25</v>
      </c>
      <c r="E259" s="616" t="s">
        <v>777</v>
      </c>
      <c r="F259" s="201">
        <f>VLOOKUP(A259,'Compos DER'!J:K,2,FALSE)</f>
        <v>991.92</v>
      </c>
      <c r="G259" s="198">
        <f t="shared" si="3"/>
        <v>1.0969532761957399</v>
      </c>
    </row>
    <row r="260" spans="1:7" x14ac:dyDescent="0.2">
      <c r="A260" s="1134">
        <v>40527</v>
      </c>
      <c r="B260" s="616" t="s">
        <v>959</v>
      </c>
      <c r="C260" s="614" t="s">
        <v>838</v>
      </c>
      <c r="D260" s="1137">
        <v>1226.8699999999999</v>
      </c>
      <c r="E260" s="616" t="s">
        <v>777</v>
      </c>
      <c r="F260" s="201">
        <f>VLOOKUP(A260,'Compos DER'!J:K,2,FALSE)</f>
        <v>1347.51</v>
      </c>
      <c r="G260" s="198">
        <f t="shared" ref="G260:G323" si="4">+F260/D260</f>
        <v>1.0983315265676099</v>
      </c>
    </row>
    <row r="261" spans="1:7" x14ac:dyDescent="0.2">
      <c r="A261" s="1134">
        <v>40528</v>
      </c>
      <c r="B261" s="616" t="s">
        <v>960</v>
      </c>
      <c r="C261" s="614" t="s">
        <v>838</v>
      </c>
      <c r="D261" s="1137">
        <v>1780.55</v>
      </c>
      <c r="E261" s="616" t="s">
        <v>777</v>
      </c>
      <c r="F261" s="201">
        <f>VLOOKUP(A261,'Compos DER'!J:K,2,FALSE)</f>
        <v>1958.26</v>
      </c>
      <c r="G261" s="198">
        <f t="shared" si="4"/>
        <v>1.0998062396450501</v>
      </c>
    </row>
    <row r="262" spans="1:7" x14ac:dyDescent="0.2">
      <c r="A262" s="1134">
        <v>41177</v>
      </c>
      <c r="B262" s="616" t="s">
        <v>961</v>
      </c>
      <c r="C262" s="614" t="s">
        <v>838</v>
      </c>
      <c r="D262" s="1135">
        <v>47.94</v>
      </c>
      <c r="E262" s="616" t="s">
        <v>777</v>
      </c>
      <c r="F262" s="201" t="e">
        <f>VLOOKUP(A262,'Compos DER'!J:K,2,FALSE)</f>
        <v>#N/A</v>
      </c>
      <c r="G262" s="198" t="e">
        <f t="shared" si="4"/>
        <v>#N/A</v>
      </c>
    </row>
    <row r="263" spans="1:7" x14ac:dyDescent="0.2">
      <c r="A263" s="1134">
        <v>100391</v>
      </c>
      <c r="B263" s="616" t="s">
        <v>962</v>
      </c>
      <c r="C263" s="614" t="s">
        <v>838</v>
      </c>
      <c r="D263" s="1135">
        <v>53.38</v>
      </c>
      <c r="E263" s="616" t="s">
        <v>777</v>
      </c>
      <c r="F263" s="201" t="e">
        <f>VLOOKUP(A263,'Compos DER'!J:K,2,FALSE)</f>
        <v>#N/A</v>
      </c>
      <c r="G263" s="198" t="e">
        <f t="shared" si="4"/>
        <v>#N/A</v>
      </c>
    </row>
    <row r="264" spans="1:7" x14ac:dyDescent="0.2">
      <c r="A264" s="1134">
        <v>41172</v>
      </c>
      <c r="B264" s="616" t="s">
        <v>963</v>
      </c>
      <c r="C264" s="614" t="s">
        <v>838</v>
      </c>
      <c r="D264" s="1135">
        <v>91.6</v>
      </c>
      <c r="E264" s="616" t="s">
        <v>777</v>
      </c>
      <c r="F264" s="201" t="e">
        <f>VLOOKUP(A264,'Compos DER'!J:K,2,FALSE)</f>
        <v>#N/A</v>
      </c>
      <c r="G264" s="198" t="e">
        <f t="shared" si="4"/>
        <v>#N/A</v>
      </c>
    </row>
    <row r="265" spans="1:7" x14ac:dyDescent="0.2">
      <c r="A265" s="1134">
        <v>40620</v>
      </c>
      <c r="B265" s="616" t="s">
        <v>964</v>
      </c>
      <c r="C265" s="614" t="s">
        <v>734</v>
      </c>
      <c r="D265" s="1137">
        <v>17126.919999999998</v>
      </c>
      <c r="E265" s="1136"/>
      <c r="F265" s="201" t="e">
        <f>VLOOKUP(A265,'Compos DER'!J:K,2,FALSE)</f>
        <v>#N/A</v>
      </c>
      <c r="G265" s="198" t="e">
        <f t="shared" si="4"/>
        <v>#N/A</v>
      </c>
    </row>
    <row r="266" spans="1:7" x14ac:dyDescent="0.2">
      <c r="A266" s="1134">
        <v>40626</v>
      </c>
      <c r="B266" s="616" t="s">
        <v>965</v>
      </c>
      <c r="C266" s="614" t="s">
        <v>734</v>
      </c>
      <c r="D266" s="1137">
        <v>16483.77</v>
      </c>
      <c r="E266" s="1136"/>
      <c r="F266" s="201" t="e">
        <f>VLOOKUP(A266,'Compos DER'!J:K,2,FALSE)</f>
        <v>#N/A</v>
      </c>
      <c r="G266" s="198" t="e">
        <f t="shared" si="4"/>
        <v>#N/A</v>
      </c>
    </row>
    <row r="267" spans="1:7" x14ac:dyDescent="0.2">
      <c r="A267" s="1134">
        <v>40621</v>
      </c>
      <c r="B267" s="616" t="s">
        <v>966</v>
      </c>
      <c r="C267" s="614" t="s">
        <v>734</v>
      </c>
      <c r="D267" s="1137">
        <v>26100.25</v>
      </c>
      <c r="E267" s="1136"/>
      <c r="F267" s="201" t="e">
        <f>VLOOKUP(A267,'Compos DER'!J:K,2,FALSE)</f>
        <v>#N/A</v>
      </c>
      <c r="G267" s="198" t="e">
        <f t="shared" si="4"/>
        <v>#N/A</v>
      </c>
    </row>
    <row r="268" spans="1:7" x14ac:dyDescent="0.2">
      <c r="A268" s="1134">
        <v>40622</v>
      </c>
      <c r="B268" s="616" t="s">
        <v>967</v>
      </c>
      <c r="C268" s="614" t="s">
        <v>734</v>
      </c>
      <c r="D268" s="1137">
        <v>40740.79</v>
      </c>
      <c r="E268" s="1136"/>
      <c r="F268" s="201" t="e">
        <f>VLOOKUP(A268,'Compos DER'!J:K,2,FALSE)</f>
        <v>#N/A</v>
      </c>
      <c r="G268" s="198" t="e">
        <f t="shared" si="4"/>
        <v>#N/A</v>
      </c>
    </row>
    <row r="269" spans="1:7" x14ac:dyDescent="0.2">
      <c r="A269" s="1134">
        <v>40627</v>
      </c>
      <c r="B269" s="616" t="s">
        <v>968</v>
      </c>
      <c r="C269" s="614" t="s">
        <v>734</v>
      </c>
      <c r="D269" s="1137">
        <v>30253.72</v>
      </c>
      <c r="E269" s="1136"/>
      <c r="F269" s="201" t="e">
        <f>VLOOKUP(A269,'Compos DER'!J:K,2,FALSE)</f>
        <v>#N/A</v>
      </c>
      <c r="G269" s="198" t="e">
        <f t="shared" si="4"/>
        <v>#N/A</v>
      </c>
    </row>
    <row r="270" spans="1:7" x14ac:dyDescent="0.2">
      <c r="A270" s="1134">
        <v>40623</v>
      </c>
      <c r="B270" s="616" t="s">
        <v>969</v>
      </c>
      <c r="C270" s="614" t="s">
        <v>734</v>
      </c>
      <c r="D270" s="1137">
        <v>36214.06</v>
      </c>
      <c r="E270" s="1136"/>
      <c r="F270" s="201" t="e">
        <f>VLOOKUP(A270,'Compos DER'!J:K,2,FALSE)</f>
        <v>#N/A</v>
      </c>
      <c r="G270" s="198" t="e">
        <f t="shared" si="4"/>
        <v>#N/A</v>
      </c>
    </row>
    <row r="271" spans="1:7" x14ac:dyDescent="0.2">
      <c r="A271" s="1134">
        <v>40624</v>
      </c>
      <c r="B271" s="616" t="s">
        <v>970</v>
      </c>
      <c r="C271" s="614" t="s">
        <v>734</v>
      </c>
      <c r="D271" s="1137">
        <v>46143.71</v>
      </c>
      <c r="E271" s="1136"/>
      <c r="F271" s="201" t="e">
        <f>VLOOKUP(A271,'Compos DER'!J:K,2,FALSE)</f>
        <v>#N/A</v>
      </c>
      <c r="G271" s="198" t="e">
        <f t="shared" si="4"/>
        <v>#N/A</v>
      </c>
    </row>
    <row r="272" spans="1:7" x14ac:dyDescent="0.2">
      <c r="A272" s="1134">
        <v>40625</v>
      </c>
      <c r="B272" s="616" t="s">
        <v>971</v>
      </c>
      <c r="C272" s="614" t="s">
        <v>734</v>
      </c>
      <c r="D272" s="1137">
        <v>51618.22</v>
      </c>
      <c r="E272" s="1136"/>
      <c r="F272" s="201" t="e">
        <f>VLOOKUP(A272,'Compos DER'!J:K,2,FALSE)</f>
        <v>#N/A</v>
      </c>
      <c r="G272" s="198" t="e">
        <f t="shared" si="4"/>
        <v>#N/A</v>
      </c>
    </row>
    <row r="273" spans="1:7" x14ac:dyDescent="0.2">
      <c r="A273" s="1134">
        <v>40613</v>
      </c>
      <c r="B273" s="616" t="s">
        <v>972</v>
      </c>
      <c r="C273" s="614" t="s">
        <v>734</v>
      </c>
      <c r="D273" s="1137">
        <v>14867.01</v>
      </c>
      <c r="E273" s="1136"/>
      <c r="F273" s="201" t="e">
        <f>VLOOKUP(A273,'Compos DER'!J:K,2,FALSE)</f>
        <v>#N/A</v>
      </c>
      <c r="G273" s="198" t="e">
        <f t="shared" si="4"/>
        <v>#N/A</v>
      </c>
    </row>
    <row r="274" spans="1:7" x14ac:dyDescent="0.2">
      <c r="A274" s="1134">
        <v>40614</v>
      </c>
      <c r="B274" s="616" t="s">
        <v>973</v>
      </c>
      <c r="C274" s="614" t="s">
        <v>734</v>
      </c>
      <c r="D274" s="1137">
        <v>22838.25</v>
      </c>
      <c r="E274" s="1136"/>
      <c r="F274" s="201">
        <f>VLOOKUP(A274,'Compos DER'!J:K,2,FALSE)</f>
        <v>23623.83</v>
      </c>
      <c r="G274" s="198">
        <f t="shared" si="4"/>
        <v>1.0343975567304899</v>
      </c>
    </row>
    <row r="275" spans="1:7" x14ac:dyDescent="0.2">
      <c r="A275" s="1134">
        <v>40615</v>
      </c>
      <c r="B275" s="616" t="s">
        <v>974</v>
      </c>
      <c r="C275" s="614" t="s">
        <v>734</v>
      </c>
      <c r="D275" s="1137">
        <v>34425.919999999998</v>
      </c>
      <c r="E275" s="1136"/>
      <c r="F275" s="201" t="e">
        <f>VLOOKUP(A275,'Compos DER'!J:K,2,FALSE)</f>
        <v>#N/A</v>
      </c>
      <c r="G275" s="198" t="e">
        <f t="shared" si="4"/>
        <v>#N/A</v>
      </c>
    </row>
    <row r="276" spans="1:7" x14ac:dyDescent="0.2">
      <c r="A276" s="1134">
        <v>40616</v>
      </c>
      <c r="B276" s="616" t="s">
        <v>975</v>
      </c>
      <c r="C276" s="614" t="s">
        <v>734</v>
      </c>
      <c r="D276" s="1137">
        <v>30103.38</v>
      </c>
      <c r="E276" s="1136"/>
      <c r="F276" s="201" t="e">
        <f>VLOOKUP(A276,'Compos DER'!J:K,2,FALSE)</f>
        <v>#N/A</v>
      </c>
      <c r="G276" s="198" t="e">
        <f t="shared" si="4"/>
        <v>#N/A</v>
      </c>
    </row>
    <row r="277" spans="1:7" x14ac:dyDescent="0.2">
      <c r="A277" s="1134">
        <v>40617</v>
      </c>
      <c r="B277" s="616" t="s">
        <v>976</v>
      </c>
      <c r="C277" s="614" t="s">
        <v>734</v>
      </c>
      <c r="D277" s="1137">
        <v>38489.93</v>
      </c>
      <c r="E277" s="1136"/>
      <c r="F277" s="201" t="e">
        <f>VLOOKUP(A277,'Compos DER'!J:K,2,FALSE)</f>
        <v>#N/A</v>
      </c>
      <c r="G277" s="198" t="e">
        <f t="shared" si="4"/>
        <v>#N/A</v>
      </c>
    </row>
    <row r="278" spans="1:7" x14ac:dyDescent="0.2">
      <c r="A278" s="1134">
        <v>40618</v>
      </c>
      <c r="B278" s="616" t="s">
        <v>977</v>
      </c>
      <c r="C278" s="614" t="s">
        <v>734</v>
      </c>
      <c r="D278" s="1137">
        <v>42931.79</v>
      </c>
      <c r="E278" s="1136"/>
      <c r="F278" s="201">
        <f>VLOOKUP(A278,'Compos DER'!J:K,2,FALSE)</f>
        <v>44492.23</v>
      </c>
      <c r="G278" s="198">
        <f t="shared" si="4"/>
        <v>1.0363469587454901</v>
      </c>
    </row>
    <row r="279" spans="1:7" x14ac:dyDescent="0.2">
      <c r="A279" s="1134">
        <v>40629</v>
      </c>
      <c r="B279" s="616" t="s">
        <v>978</v>
      </c>
      <c r="C279" s="614" t="s">
        <v>734</v>
      </c>
      <c r="D279" s="1137">
        <v>21140.32</v>
      </c>
      <c r="E279" s="1136"/>
      <c r="F279" s="201" t="e">
        <f>VLOOKUP(A279,'Compos DER'!J:K,2,FALSE)</f>
        <v>#N/A</v>
      </c>
      <c r="G279" s="198" t="e">
        <f t="shared" si="4"/>
        <v>#N/A</v>
      </c>
    </row>
    <row r="280" spans="1:7" x14ac:dyDescent="0.2">
      <c r="A280" s="1134">
        <v>40630</v>
      </c>
      <c r="B280" s="616" t="s">
        <v>979</v>
      </c>
      <c r="C280" s="614" t="s">
        <v>734</v>
      </c>
      <c r="D280" s="1137">
        <v>31832.19</v>
      </c>
      <c r="E280" s="1136"/>
      <c r="F280" s="201" t="e">
        <f>VLOOKUP(A280,'Compos DER'!J:K,2,FALSE)</f>
        <v>#N/A</v>
      </c>
      <c r="G280" s="198" t="e">
        <f t="shared" si="4"/>
        <v>#N/A</v>
      </c>
    </row>
    <row r="281" spans="1:7" x14ac:dyDescent="0.2">
      <c r="A281" s="1134">
        <v>40631</v>
      </c>
      <c r="B281" s="616" t="s">
        <v>980</v>
      </c>
      <c r="C281" s="614" t="s">
        <v>734</v>
      </c>
      <c r="D281" s="1137">
        <v>48271.72</v>
      </c>
      <c r="E281" s="1136"/>
      <c r="F281" s="201" t="e">
        <f>VLOOKUP(A281,'Compos DER'!J:K,2,FALSE)</f>
        <v>#N/A</v>
      </c>
      <c r="G281" s="198" t="e">
        <f t="shared" si="4"/>
        <v>#N/A</v>
      </c>
    </row>
    <row r="282" spans="1:7" x14ac:dyDescent="0.2">
      <c r="A282" s="1134">
        <v>40632</v>
      </c>
      <c r="B282" s="616" t="s">
        <v>981</v>
      </c>
      <c r="C282" s="614" t="s">
        <v>734</v>
      </c>
      <c r="D282" s="1137">
        <v>44435.3</v>
      </c>
      <c r="E282" s="1136"/>
      <c r="F282" s="201" t="e">
        <f>VLOOKUP(A282,'Compos DER'!J:K,2,FALSE)</f>
        <v>#N/A</v>
      </c>
      <c r="G282" s="198" t="e">
        <f t="shared" si="4"/>
        <v>#N/A</v>
      </c>
    </row>
    <row r="283" spans="1:7" x14ac:dyDescent="0.2">
      <c r="A283" s="1132" t="s">
        <v>773</v>
      </c>
      <c r="B283" s="617"/>
      <c r="C283" s="617"/>
      <c r="D283" s="617"/>
      <c r="E283" s="617"/>
      <c r="F283" s="201" t="e">
        <f>VLOOKUP(A283,'Compos DER'!J:K,2,FALSE)</f>
        <v>#N/A</v>
      </c>
      <c r="G283" s="198" t="e">
        <f t="shared" si="4"/>
        <v>#N/A</v>
      </c>
    </row>
    <row r="284" spans="1:7" x14ac:dyDescent="0.2">
      <c r="A284" s="1131" t="s">
        <v>708</v>
      </c>
      <c r="B284" s="617"/>
      <c r="C284" s="617"/>
      <c r="D284" s="617"/>
      <c r="E284" s="617"/>
      <c r="F284" s="201" t="e">
        <f>VLOOKUP(A284,'Compos DER'!J:K,2,FALSE)</f>
        <v>#N/A</v>
      </c>
      <c r="G284" s="198" t="e">
        <f t="shared" si="4"/>
        <v>#N/A</v>
      </c>
    </row>
    <row r="285" spans="1:7" x14ac:dyDescent="0.2">
      <c r="A285" s="1131" t="s">
        <v>709</v>
      </c>
      <c r="B285" s="617"/>
      <c r="C285" s="617"/>
      <c r="D285" s="617"/>
      <c r="E285" s="617"/>
      <c r="F285" s="201" t="e">
        <f>VLOOKUP(A285,'Compos DER'!J:K,2,FALSE)</f>
        <v>#N/A</v>
      </c>
      <c r="G285" s="198" t="e">
        <f t="shared" si="4"/>
        <v>#N/A</v>
      </c>
    </row>
    <row r="286" spans="1:7" x14ac:dyDescent="0.2">
      <c r="A286" s="1132" t="s">
        <v>924</v>
      </c>
      <c r="B286" s="617"/>
      <c r="C286" s="617"/>
      <c r="D286" s="617"/>
      <c r="E286" s="617"/>
      <c r="F286" s="201" t="e">
        <f>VLOOKUP(A286,'Compos DER'!J:K,2,FALSE)</f>
        <v>#N/A</v>
      </c>
      <c r="G286" s="198" t="e">
        <f t="shared" si="4"/>
        <v>#N/A</v>
      </c>
    </row>
    <row r="287" spans="1:7" ht="18" x14ac:dyDescent="0.2">
      <c r="A287" s="1133" t="s">
        <v>711</v>
      </c>
      <c r="B287" s="1133" t="s">
        <v>712</v>
      </c>
      <c r="C287" s="1133" t="s">
        <v>713</v>
      </c>
      <c r="D287" s="1133" t="s">
        <v>714</v>
      </c>
      <c r="E287" s="1133" t="s">
        <v>715</v>
      </c>
      <c r="F287" s="201" t="e">
        <f>VLOOKUP(A287,'Compos DER'!J:K,2,FALSE)</f>
        <v>#N/A</v>
      </c>
      <c r="G287" s="198" t="e">
        <f t="shared" si="4"/>
        <v>#N/A</v>
      </c>
    </row>
    <row r="288" spans="1:7" x14ac:dyDescent="0.2">
      <c r="A288" s="1134">
        <v>40633</v>
      </c>
      <c r="B288" s="616" t="s">
        <v>982</v>
      </c>
      <c r="C288" s="614" t="s">
        <v>734</v>
      </c>
      <c r="D288" s="1137">
        <v>54987.96</v>
      </c>
      <c r="E288" s="1136"/>
      <c r="F288" s="201" t="e">
        <f>VLOOKUP(A288,'Compos DER'!J:K,2,FALSE)</f>
        <v>#N/A</v>
      </c>
      <c r="G288" s="198" t="e">
        <f t="shared" si="4"/>
        <v>#N/A</v>
      </c>
    </row>
    <row r="289" spans="1:7" x14ac:dyDescent="0.2">
      <c r="A289" s="1134">
        <v>40634</v>
      </c>
      <c r="B289" s="616" t="s">
        <v>983</v>
      </c>
      <c r="C289" s="614" t="s">
        <v>734</v>
      </c>
      <c r="D289" s="1137">
        <v>62116.43</v>
      </c>
      <c r="E289" s="1136"/>
      <c r="F289" s="201" t="e">
        <f>VLOOKUP(A289,'Compos DER'!J:K,2,FALSE)</f>
        <v>#N/A</v>
      </c>
      <c r="G289" s="198" t="e">
        <f t="shared" si="4"/>
        <v>#N/A</v>
      </c>
    </row>
    <row r="290" spans="1:7" x14ac:dyDescent="0.2">
      <c r="A290" s="1134">
        <v>40535</v>
      </c>
      <c r="B290" s="616" t="s">
        <v>984</v>
      </c>
      <c r="C290" s="614" t="s">
        <v>734</v>
      </c>
      <c r="D290" s="1137">
        <v>1480.06</v>
      </c>
      <c r="E290" s="616" t="s">
        <v>777</v>
      </c>
      <c r="F290" s="201" t="e">
        <f>VLOOKUP(A290,'Compos DER'!J:K,2,FALSE)</f>
        <v>#N/A</v>
      </c>
      <c r="G290" s="198" t="e">
        <f t="shared" si="4"/>
        <v>#N/A</v>
      </c>
    </row>
    <row r="291" spans="1:7" x14ac:dyDescent="0.2">
      <c r="A291" s="1134">
        <v>40536</v>
      </c>
      <c r="B291" s="616" t="s">
        <v>985</v>
      </c>
      <c r="C291" s="614" t="s">
        <v>734</v>
      </c>
      <c r="D291" s="1137">
        <v>2442.5100000000002</v>
      </c>
      <c r="E291" s="616" t="s">
        <v>777</v>
      </c>
      <c r="F291" s="201" t="e">
        <f>VLOOKUP(A291,'Compos DER'!J:K,2,FALSE)</f>
        <v>#N/A</v>
      </c>
      <c r="G291" s="198" t="e">
        <f t="shared" si="4"/>
        <v>#N/A</v>
      </c>
    </row>
    <row r="292" spans="1:7" x14ac:dyDescent="0.2">
      <c r="A292" s="1134">
        <v>40537</v>
      </c>
      <c r="B292" s="616" t="s">
        <v>986</v>
      </c>
      <c r="C292" s="614" t="s">
        <v>734</v>
      </c>
      <c r="D292" s="1137">
        <v>4588.3599999999997</v>
      </c>
      <c r="E292" s="616" t="s">
        <v>777</v>
      </c>
      <c r="F292" s="201">
        <f>VLOOKUP(A292,'Compos DER'!J:K,2,FALSE)</f>
        <v>4856.91</v>
      </c>
      <c r="G292" s="198">
        <f t="shared" si="4"/>
        <v>1.0585285374294999</v>
      </c>
    </row>
    <row r="293" spans="1:7" x14ac:dyDescent="0.2">
      <c r="A293" s="1134">
        <v>40538</v>
      </c>
      <c r="B293" s="616" t="s">
        <v>987</v>
      </c>
      <c r="C293" s="614" t="s">
        <v>734</v>
      </c>
      <c r="D293" s="1137">
        <v>6589.92</v>
      </c>
      <c r="E293" s="616" t="s">
        <v>777</v>
      </c>
      <c r="F293" s="201" t="e">
        <f>VLOOKUP(A293,'Compos DER'!J:K,2,FALSE)</f>
        <v>#N/A</v>
      </c>
      <c r="G293" s="198" t="e">
        <f t="shared" si="4"/>
        <v>#N/A</v>
      </c>
    </row>
    <row r="294" spans="1:7" x14ac:dyDescent="0.2">
      <c r="A294" s="1134">
        <v>40539</v>
      </c>
      <c r="B294" s="616" t="s">
        <v>988</v>
      </c>
      <c r="C294" s="614" t="s">
        <v>734</v>
      </c>
      <c r="D294" s="1137">
        <v>11494.37</v>
      </c>
      <c r="E294" s="616" t="s">
        <v>777</v>
      </c>
      <c r="F294" s="201" t="e">
        <f>VLOOKUP(A294,'Compos DER'!J:K,2,FALSE)</f>
        <v>#N/A</v>
      </c>
      <c r="G294" s="198" t="e">
        <f t="shared" si="4"/>
        <v>#N/A</v>
      </c>
    </row>
    <row r="295" spans="1:7" x14ac:dyDescent="0.2">
      <c r="A295" s="1134">
        <v>40529</v>
      </c>
      <c r="B295" s="616" t="s">
        <v>989</v>
      </c>
      <c r="C295" s="614" t="s">
        <v>734</v>
      </c>
      <c r="D295" s="1135">
        <v>433.23</v>
      </c>
      <c r="E295" s="616" t="s">
        <v>777</v>
      </c>
      <c r="F295" s="201" t="e">
        <f>VLOOKUP(A295,'Compos DER'!J:K,2,FALSE)</f>
        <v>#N/A</v>
      </c>
      <c r="G295" s="198" t="e">
        <f t="shared" si="4"/>
        <v>#N/A</v>
      </c>
    </row>
    <row r="296" spans="1:7" x14ac:dyDescent="0.2">
      <c r="A296" s="1134">
        <v>40530</v>
      </c>
      <c r="B296" s="616" t="s">
        <v>990</v>
      </c>
      <c r="C296" s="614" t="s">
        <v>734</v>
      </c>
      <c r="D296" s="1137">
        <v>1314.77</v>
      </c>
      <c r="E296" s="616" t="s">
        <v>777</v>
      </c>
      <c r="F296" s="201" t="e">
        <f>VLOOKUP(A296,'Compos DER'!J:K,2,FALSE)</f>
        <v>#N/A</v>
      </c>
      <c r="G296" s="198" t="e">
        <f t="shared" si="4"/>
        <v>#N/A</v>
      </c>
    </row>
    <row r="297" spans="1:7" x14ac:dyDescent="0.2">
      <c r="A297" s="1134">
        <v>40531</v>
      </c>
      <c r="B297" s="616" t="s">
        <v>991</v>
      </c>
      <c r="C297" s="614" t="s">
        <v>734</v>
      </c>
      <c r="D297" s="1137">
        <v>2164.96</v>
      </c>
      <c r="E297" s="616" t="s">
        <v>777</v>
      </c>
      <c r="F297" s="201">
        <f>VLOOKUP(A297,'Compos DER'!J:K,2,FALSE)</f>
        <v>2278.37</v>
      </c>
      <c r="G297" s="198">
        <f t="shared" si="4"/>
        <v>1.0523843396644701</v>
      </c>
    </row>
    <row r="298" spans="1:7" x14ac:dyDescent="0.2">
      <c r="A298" s="1134">
        <v>40532</v>
      </c>
      <c r="B298" s="616" t="s">
        <v>992</v>
      </c>
      <c r="C298" s="614" t="s">
        <v>734</v>
      </c>
      <c r="D298" s="1137">
        <v>3304.18</v>
      </c>
      <c r="E298" s="616" t="s">
        <v>777</v>
      </c>
      <c r="F298" s="201">
        <f>VLOOKUP(A298,'Compos DER'!J:K,2,FALSE)</f>
        <v>3492.15</v>
      </c>
      <c r="G298" s="198">
        <f t="shared" si="4"/>
        <v>1.0568885472341101</v>
      </c>
    </row>
    <row r="299" spans="1:7" x14ac:dyDescent="0.2">
      <c r="A299" s="1134">
        <v>40533</v>
      </c>
      <c r="B299" s="616" t="s">
        <v>993</v>
      </c>
      <c r="C299" s="614" t="s">
        <v>734</v>
      </c>
      <c r="D299" s="1137">
        <v>4732.18</v>
      </c>
      <c r="E299" s="616" t="s">
        <v>777</v>
      </c>
      <c r="F299" s="201">
        <f>VLOOKUP(A299,'Compos DER'!J:K,2,FALSE)</f>
        <v>5021</v>
      </c>
      <c r="G299" s="198">
        <f t="shared" si="4"/>
        <v>1.06103318132446</v>
      </c>
    </row>
    <row r="300" spans="1:7" x14ac:dyDescent="0.2">
      <c r="A300" s="1134">
        <v>40534</v>
      </c>
      <c r="B300" s="616" t="s">
        <v>994</v>
      </c>
      <c r="C300" s="614" t="s">
        <v>734</v>
      </c>
      <c r="D300" s="1137">
        <v>8461.7000000000007</v>
      </c>
      <c r="E300" s="616" t="s">
        <v>777</v>
      </c>
      <c r="F300" s="201" t="e">
        <f>VLOOKUP(A300,'Compos DER'!J:K,2,FALSE)</f>
        <v>#N/A</v>
      </c>
      <c r="G300" s="198" t="e">
        <f t="shared" si="4"/>
        <v>#N/A</v>
      </c>
    </row>
    <row r="301" spans="1:7" x14ac:dyDescent="0.2">
      <c r="A301" s="1134">
        <v>40540</v>
      </c>
      <c r="B301" s="616" t="s">
        <v>995</v>
      </c>
      <c r="C301" s="614" t="s">
        <v>734</v>
      </c>
      <c r="D301" s="1137">
        <v>1839.36</v>
      </c>
      <c r="E301" s="616" t="s">
        <v>777</v>
      </c>
      <c r="F301" s="201" t="e">
        <f>VLOOKUP(A301,'Compos DER'!J:K,2,FALSE)</f>
        <v>#N/A</v>
      </c>
      <c r="G301" s="198" t="e">
        <f t="shared" si="4"/>
        <v>#N/A</v>
      </c>
    </row>
    <row r="302" spans="1:7" x14ac:dyDescent="0.2">
      <c r="A302" s="1134">
        <v>40541</v>
      </c>
      <c r="B302" s="616" t="s">
        <v>996</v>
      </c>
      <c r="C302" s="614" t="s">
        <v>734</v>
      </c>
      <c r="D302" s="1137">
        <v>2986.88</v>
      </c>
      <c r="E302" s="616" t="s">
        <v>777</v>
      </c>
      <c r="F302" s="201" t="e">
        <f>VLOOKUP(A302,'Compos DER'!J:K,2,FALSE)</f>
        <v>#N/A</v>
      </c>
      <c r="G302" s="198" t="e">
        <f t="shared" si="4"/>
        <v>#N/A</v>
      </c>
    </row>
    <row r="303" spans="1:7" x14ac:dyDescent="0.2">
      <c r="A303" s="1134">
        <v>40542</v>
      </c>
      <c r="B303" s="616" t="s">
        <v>997</v>
      </c>
      <c r="C303" s="614" t="s">
        <v>734</v>
      </c>
      <c r="D303" s="1137">
        <v>5872.53</v>
      </c>
      <c r="E303" s="616" t="s">
        <v>777</v>
      </c>
      <c r="F303" s="201">
        <f>VLOOKUP(A303,'Compos DER'!J:K,2,FALSE)</f>
        <v>6221.67</v>
      </c>
      <c r="G303" s="198">
        <f t="shared" si="4"/>
        <v>1.05945308069946</v>
      </c>
    </row>
    <row r="304" spans="1:7" x14ac:dyDescent="0.2">
      <c r="A304" s="1134">
        <v>40543</v>
      </c>
      <c r="B304" s="616" t="s">
        <v>998</v>
      </c>
      <c r="C304" s="614" t="s">
        <v>734</v>
      </c>
      <c r="D304" s="1137">
        <v>8446.6299999999992</v>
      </c>
      <c r="E304" s="616" t="s">
        <v>777</v>
      </c>
      <c r="F304" s="201">
        <f>VLOOKUP(A304,'Compos DER'!J:K,2,FALSE)</f>
        <v>8984.08</v>
      </c>
      <c r="G304" s="198">
        <f t="shared" si="4"/>
        <v>1.06362892656598</v>
      </c>
    </row>
    <row r="305" spans="1:7" x14ac:dyDescent="0.2">
      <c r="A305" s="1134">
        <v>40544</v>
      </c>
      <c r="B305" s="616" t="s">
        <v>999</v>
      </c>
      <c r="C305" s="614" t="s">
        <v>734</v>
      </c>
      <c r="D305" s="1137">
        <v>14584.77</v>
      </c>
      <c r="E305" s="616" t="s">
        <v>777</v>
      </c>
      <c r="F305" s="201">
        <f>VLOOKUP(A305,'Compos DER'!J:K,2,FALSE)</f>
        <v>15600.66</v>
      </c>
      <c r="G305" s="198">
        <f t="shared" si="4"/>
        <v>1.06965416664095</v>
      </c>
    </row>
    <row r="306" spans="1:7" x14ac:dyDescent="0.2">
      <c r="A306" s="1134">
        <v>40565</v>
      </c>
      <c r="B306" s="616" t="s">
        <v>1000</v>
      </c>
      <c r="C306" s="614" t="s">
        <v>734</v>
      </c>
      <c r="D306" s="1137">
        <v>3604.69</v>
      </c>
      <c r="E306" s="1136"/>
      <c r="F306" s="201" t="e">
        <f>VLOOKUP(A306,'Compos DER'!J:K,2,FALSE)</f>
        <v>#N/A</v>
      </c>
      <c r="G306" s="198" t="e">
        <f t="shared" si="4"/>
        <v>#N/A</v>
      </c>
    </row>
    <row r="307" spans="1:7" x14ac:dyDescent="0.2">
      <c r="A307" s="1134">
        <v>40656</v>
      </c>
      <c r="B307" s="616" t="s">
        <v>1001</v>
      </c>
      <c r="C307" s="614" t="s">
        <v>734</v>
      </c>
      <c r="D307" s="1135">
        <v>277.64</v>
      </c>
      <c r="E307" s="616" t="s">
        <v>777</v>
      </c>
      <c r="F307" s="201">
        <f>VLOOKUP(A307,'Compos DER'!J:K,2,FALSE)</f>
        <v>288.26</v>
      </c>
      <c r="G307" s="198">
        <f t="shared" si="4"/>
        <v>1.0382509724823501</v>
      </c>
    </row>
    <row r="308" spans="1:7" x14ac:dyDescent="0.2">
      <c r="A308" s="1134">
        <v>41102</v>
      </c>
      <c r="B308" s="616" t="s">
        <v>1002</v>
      </c>
      <c r="C308" s="614" t="s">
        <v>838</v>
      </c>
      <c r="D308" s="1137">
        <v>2490.7600000000002</v>
      </c>
      <c r="E308" s="616" t="s">
        <v>777</v>
      </c>
      <c r="F308" s="201" t="e">
        <f>VLOOKUP(A308,'Compos DER'!J:K,2,FALSE)</f>
        <v>#N/A</v>
      </c>
      <c r="G308" s="198" t="e">
        <f t="shared" si="4"/>
        <v>#N/A</v>
      </c>
    </row>
    <row r="309" spans="1:7" x14ac:dyDescent="0.2">
      <c r="A309" s="1134">
        <v>41103</v>
      </c>
      <c r="B309" s="616" t="s">
        <v>1003</v>
      </c>
      <c r="C309" s="614" t="s">
        <v>838</v>
      </c>
      <c r="D309" s="1137">
        <v>3035.06</v>
      </c>
      <c r="E309" s="616" t="s">
        <v>777</v>
      </c>
      <c r="F309" s="201" t="e">
        <f>VLOOKUP(A309,'Compos DER'!J:K,2,FALSE)</f>
        <v>#N/A</v>
      </c>
      <c r="G309" s="198" t="e">
        <f t="shared" si="4"/>
        <v>#N/A</v>
      </c>
    </row>
    <row r="310" spans="1:7" x14ac:dyDescent="0.2">
      <c r="A310" s="1134">
        <v>41104</v>
      </c>
      <c r="B310" s="616" t="s">
        <v>1004</v>
      </c>
      <c r="C310" s="614" t="s">
        <v>838</v>
      </c>
      <c r="D310" s="1137">
        <v>3916.13</v>
      </c>
      <c r="E310" s="616" t="s">
        <v>777</v>
      </c>
      <c r="F310" s="201" t="e">
        <f>VLOOKUP(A310,'Compos DER'!J:K,2,FALSE)</f>
        <v>#N/A</v>
      </c>
      <c r="G310" s="198" t="e">
        <f t="shared" si="4"/>
        <v>#N/A</v>
      </c>
    </row>
    <row r="311" spans="1:7" x14ac:dyDescent="0.2">
      <c r="A311" s="1134">
        <v>41155</v>
      </c>
      <c r="B311" s="616" t="s">
        <v>1005</v>
      </c>
      <c r="C311" s="614" t="s">
        <v>838</v>
      </c>
      <c r="D311" s="1137">
        <v>4558.3500000000004</v>
      </c>
      <c r="E311" s="616" t="s">
        <v>777</v>
      </c>
      <c r="F311" s="201" t="e">
        <f>VLOOKUP(A311,'Compos DER'!J:K,2,FALSE)</f>
        <v>#N/A</v>
      </c>
      <c r="G311" s="198" t="e">
        <f t="shared" si="4"/>
        <v>#N/A</v>
      </c>
    </row>
    <row r="312" spans="1:7" x14ac:dyDescent="0.2">
      <c r="A312" s="1134">
        <v>40635</v>
      </c>
      <c r="B312" s="616" t="s">
        <v>1006</v>
      </c>
      <c r="C312" s="614" t="s">
        <v>838</v>
      </c>
      <c r="D312" s="1137">
        <v>14941.05</v>
      </c>
      <c r="E312" s="616" t="s">
        <v>777</v>
      </c>
      <c r="F312" s="201" t="e">
        <f>VLOOKUP(A312,'Compos DER'!J:K,2,FALSE)</f>
        <v>#N/A</v>
      </c>
      <c r="G312" s="198" t="e">
        <f t="shared" si="4"/>
        <v>#N/A</v>
      </c>
    </row>
    <row r="313" spans="1:7" x14ac:dyDescent="0.2">
      <c r="A313" s="1134">
        <v>42230</v>
      </c>
      <c r="B313" s="616" t="s">
        <v>1007</v>
      </c>
      <c r="C313" s="614" t="s">
        <v>838</v>
      </c>
      <c r="D313" s="1137">
        <v>11566.19</v>
      </c>
      <c r="E313" s="616" t="s">
        <v>777</v>
      </c>
      <c r="F313" s="201" t="e">
        <f>VLOOKUP(A313,'Compos DER'!J:K,2,FALSE)</f>
        <v>#N/A</v>
      </c>
      <c r="G313" s="198" t="e">
        <f t="shared" si="4"/>
        <v>#N/A</v>
      </c>
    </row>
    <row r="314" spans="1:7" x14ac:dyDescent="0.2">
      <c r="A314" s="1134">
        <v>40658</v>
      </c>
      <c r="B314" s="616" t="s">
        <v>1008</v>
      </c>
      <c r="C314" s="614" t="s">
        <v>717</v>
      </c>
      <c r="D314" s="1135">
        <v>6.23</v>
      </c>
      <c r="E314" s="1136"/>
      <c r="F314" s="201">
        <f>VLOOKUP(A314,'Compos DER'!J:K,2,FALSE)</f>
        <v>6.24</v>
      </c>
      <c r="G314" s="198">
        <f t="shared" si="4"/>
        <v>1.0016051364366001</v>
      </c>
    </row>
    <row r="315" spans="1:7" x14ac:dyDescent="0.2">
      <c r="A315" s="1134">
        <v>41161</v>
      </c>
      <c r="B315" s="616" t="s">
        <v>1009</v>
      </c>
      <c r="C315" s="614" t="s">
        <v>734</v>
      </c>
      <c r="D315" s="1137">
        <v>4827</v>
      </c>
      <c r="E315" s="1136"/>
      <c r="F315" s="201" t="e">
        <f>VLOOKUP(A315,'Compos DER'!J:K,2,FALSE)</f>
        <v>#N/A</v>
      </c>
      <c r="G315" s="198" t="e">
        <f t="shared" si="4"/>
        <v>#N/A</v>
      </c>
    </row>
    <row r="316" spans="1:7" x14ac:dyDescent="0.2">
      <c r="A316" s="1134">
        <v>40563</v>
      </c>
      <c r="B316" s="616" t="s">
        <v>1010</v>
      </c>
      <c r="C316" s="614" t="s">
        <v>734</v>
      </c>
      <c r="D316" s="1137">
        <v>5122.87</v>
      </c>
      <c r="E316" s="1136"/>
      <c r="F316" s="201" t="e">
        <f>VLOOKUP(A316,'Compos DER'!J:K,2,FALSE)</f>
        <v>#N/A</v>
      </c>
      <c r="G316" s="198" t="e">
        <f t="shared" si="4"/>
        <v>#N/A</v>
      </c>
    </row>
    <row r="317" spans="1:7" x14ac:dyDescent="0.2">
      <c r="A317" s="1134">
        <v>40564</v>
      </c>
      <c r="B317" s="616" t="s">
        <v>1011</v>
      </c>
      <c r="C317" s="614" t="s">
        <v>734</v>
      </c>
      <c r="D317" s="1137">
        <v>6294.62</v>
      </c>
      <c r="E317" s="1136"/>
      <c r="F317" s="201" t="e">
        <f>VLOOKUP(A317,'Compos DER'!J:K,2,FALSE)</f>
        <v>#N/A</v>
      </c>
      <c r="G317" s="198" t="e">
        <f t="shared" si="4"/>
        <v>#N/A</v>
      </c>
    </row>
    <row r="318" spans="1:7" x14ac:dyDescent="0.2">
      <c r="A318" s="1134">
        <v>41333</v>
      </c>
      <c r="B318" s="616" t="s">
        <v>1012</v>
      </c>
      <c r="C318" s="614" t="s">
        <v>734</v>
      </c>
      <c r="D318" s="1137">
        <v>2386.88</v>
      </c>
      <c r="E318" s="616" t="s">
        <v>777</v>
      </c>
      <c r="F318" s="201" t="e">
        <f>VLOOKUP(A318,'Compos DER'!J:K,2,FALSE)</f>
        <v>#N/A</v>
      </c>
      <c r="G318" s="198" t="e">
        <f t="shared" si="4"/>
        <v>#N/A</v>
      </c>
    </row>
    <row r="319" spans="1:7" x14ac:dyDescent="0.2">
      <c r="A319" s="1134">
        <v>40545</v>
      </c>
      <c r="B319" s="616" t="s">
        <v>1013</v>
      </c>
      <c r="C319" s="614" t="s">
        <v>734</v>
      </c>
      <c r="D319" s="1137">
        <v>2400.73</v>
      </c>
      <c r="E319" s="616" t="s">
        <v>777</v>
      </c>
      <c r="F319" s="201" t="e">
        <f>VLOOKUP(A319,'Compos DER'!J:K,2,FALSE)</f>
        <v>#N/A</v>
      </c>
      <c r="G319" s="198" t="e">
        <f t="shared" si="4"/>
        <v>#N/A</v>
      </c>
    </row>
    <row r="320" spans="1:7" x14ac:dyDescent="0.2">
      <c r="A320" s="1134">
        <v>40546</v>
      </c>
      <c r="B320" s="616" t="s">
        <v>1014</v>
      </c>
      <c r="C320" s="614" t="s">
        <v>734</v>
      </c>
      <c r="D320" s="1137">
        <v>3726.94</v>
      </c>
      <c r="E320" s="616" t="s">
        <v>777</v>
      </c>
      <c r="F320" s="201" t="e">
        <f>VLOOKUP(A320,'Compos DER'!J:K,2,FALSE)</f>
        <v>#N/A</v>
      </c>
      <c r="G320" s="198" t="e">
        <f t="shared" si="4"/>
        <v>#N/A</v>
      </c>
    </row>
    <row r="321" spans="1:7" x14ac:dyDescent="0.2">
      <c r="A321" s="1134">
        <v>40547</v>
      </c>
      <c r="B321" s="616" t="s">
        <v>1015</v>
      </c>
      <c r="C321" s="614" t="s">
        <v>734</v>
      </c>
      <c r="D321" s="1137">
        <v>4631.59</v>
      </c>
      <c r="E321" s="616" t="s">
        <v>777</v>
      </c>
      <c r="F321" s="201" t="e">
        <f>VLOOKUP(A321,'Compos DER'!J:K,2,FALSE)</f>
        <v>#N/A</v>
      </c>
      <c r="G321" s="198" t="e">
        <f t="shared" si="4"/>
        <v>#N/A</v>
      </c>
    </row>
    <row r="322" spans="1:7" x14ac:dyDescent="0.2">
      <c r="A322" s="1134">
        <v>40548</v>
      </c>
      <c r="B322" s="616" t="s">
        <v>1016</v>
      </c>
      <c r="C322" s="614" t="s">
        <v>734</v>
      </c>
      <c r="D322" s="1137">
        <v>5502.8</v>
      </c>
      <c r="E322" s="616" t="s">
        <v>777</v>
      </c>
      <c r="F322" s="201" t="e">
        <f>VLOOKUP(A322,'Compos DER'!J:K,2,FALSE)</f>
        <v>#N/A</v>
      </c>
      <c r="G322" s="198" t="e">
        <f t="shared" si="4"/>
        <v>#N/A</v>
      </c>
    </row>
    <row r="323" spans="1:7" x14ac:dyDescent="0.2">
      <c r="A323" s="1134">
        <v>40549</v>
      </c>
      <c r="B323" s="616" t="s">
        <v>1017</v>
      </c>
      <c r="C323" s="614" t="s">
        <v>734</v>
      </c>
      <c r="D323" s="1137">
        <v>1586.95</v>
      </c>
      <c r="E323" s="1136"/>
      <c r="F323" s="201" t="e">
        <f>VLOOKUP(A323,'Compos DER'!J:K,2,FALSE)</f>
        <v>#N/A</v>
      </c>
      <c r="G323" s="198" t="e">
        <f t="shared" si="4"/>
        <v>#N/A</v>
      </c>
    </row>
    <row r="324" spans="1:7" x14ac:dyDescent="0.2">
      <c r="A324" s="1134">
        <v>40550</v>
      </c>
      <c r="B324" s="616" t="s">
        <v>1018</v>
      </c>
      <c r="C324" s="614" t="s">
        <v>734</v>
      </c>
      <c r="D324" s="1137">
        <v>2006.87</v>
      </c>
      <c r="E324" s="1136"/>
      <c r="F324" s="201" t="e">
        <f>VLOOKUP(A324,'Compos DER'!J:K,2,FALSE)</f>
        <v>#N/A</v>
      </c>
      <c r="G324" s="198" t="e">
        <f t="shared" ref="G324:G387" si="5">+F324/D324</f>
        <v>#N/A</v>
      </c>
    </row>
    <row r="325" spans="1:7" x14ac:dyDescent="0.2">
      <c r="A325" s="1134">
        <v>40551</v>
      </c>
      <c r="B325" s="616" t="s">
        <v>1019</v>
      </c>
      <c r="C325" s="614" t="s">
        <v>734</v>
      </c>
      <c r="D325" s="1137">
        <v>2525.35</v>
      </c>
      <c r="E325" s="1136"/>
      <c r="F325" s="201" t="e">
        <f>VLOOKUP(A325,'Compos DER'!J:K,2,FALSE)</f>
        <v>#N/A</v>
      </c>
      <c r="G325" s="198" t="e">
        <f t="shared" si="5"/>
        <v>#N/A</v>
      </c>
    </row>
    <row r="326" spans="1:7" x14ac:dyDescent="0.2">
      <c r="A326" s="1134">
        <v>40552</v>
      </c>
      <c r="B326" s="616" t="s">
        <v>1020</v>
      </c>
      <c r="C326" s="614" t="s">
        <v>734</v>
      </c>
      <c r="D326" s="1137">
        <v>4031.26</v>
      </c>
      <c r="E326" s="1136"/>
      <c r="F326" s="201" t="e">
        <f>VLOOKUP(A326,'Compos DER'!J:K,2,FALSE)</f>
        <v>#N/A</v>
      </c>
      <c r="G326" s="198" t="e">
        <f t="shared" si="5"/>
        <v>#N/A</v>
      </c>
    </row>
    <row r="327" spans="1:7" x14ac:dyDescent="0.2">
      <c r="A327" s="1134">
        <v>41320</v>
      </c>
      <c r="B327" s="616" t="s">
        <v>1021</v>
      </c>
      <c r="C327" s="614" t="s">
        <v>734</v>
      </c>
      <c r="D327" s="1137">
        <v>8809.7999999999993</v>
      </c>
      <c r="E327" s="616" t="s">
        <v>777</v>
      </c>
      <c r="F327" s="201" t="e">
        <f>VLOOKUP(A327,'Compos DER'!J:K,2,FALSE)</f>
        <v>#N/A</v>
      </c>
      <c r="G327" s="198" t="e">
        <f t="shared" si="5"/>
        <v>#N/A</v>
      </c>
    </row>
    <row r="328" spans="1:7" x14ac:dyDescent="0.2">
      <c r="A328" s="1134">
        <v>41184</v>
      </c>
      <c r="B328" s="616" t="s">
        <v>1022</v>
      </c>
      <c r="C328" s="614" t="s">
        <v>838</v>
      </c>
      <c r="D328" s="1137">
        <v>1451.25</v>
      </c>
      <c r="E328" s="1136"/>
      <c r="F328" s="201" t="e">
        <f>VLOOKUP(A328,'Compos DER'!J:K,2,FALSE)</f>
        <v>#N/A</v>
      </c>
      <c r="G328" s="198" t="e">
        <f t="shared" si="5"/>
        <v>#N/A</v>
      </c>
    </row>
    <row r="329" spans="1:7" x14ac:dyDescent="0.2">
      <c r="A329" s="1134">
        <v>41338</v>
      </c>
      <c r="B329" s="616" t="s">
        <v>1023</v>
      </c>
      <c r="C329" s="614" t="s">
        <v>734</v>
      </c>
      <c r="D329" s="1135">
        <v>667.37</v>
      </c>
      <c r="E329" s="1136"/>
      <c r="F329" s="201" t="e">
        <f>VLOOKUP(A329,'Compos DER'!J:K,2,FALSE)</f>
        <v>#N/A</v>
      </c>
      <c r="G329" s="198" t="e">
        <f t="shared" si="5"/>
        <v>#N/A</v>
      </c>
    </row>
    <row r="330" spans="1:7" x14ac:dyDescent="0.2">
      <c r="A330" s="1134">
        <v>40561</v>
      </c>
      <c r="B330" s="616" t="s">
        <v>1024</v>
      </c>
      <c r="C330" s="614" t="s">
        <v>734</v>
      </c>
      <c r="D330" s="1135">
        <v>794.79</v>
      </c>
      <c r="E330" s="616" t="s">
        <v>777</v>
      </c>
      <c r="F330" s="201" t="e">
        <f>VLOOKUP(A330,'Compos DER'!J:K,2,FALSE)</f>
        <v>#N/A</v>
      </c>
      <c r="G330" s="198" t="e">
        <f t="shared" si="5"/>
        <v>#N/A</v>
      </c>
    </row>
    <row r="331" spans="1:7" x14ac:dyDescent="0.2">
      <c r="A331" s="1134">
        <v>40672</v>
      </c>
      <c r="B331" s="616" t="s">
        <v>1025</v>
      </c>
      <c r="C331" s="614" t="s">
        <v>838</v>
      </c>
      <c r="D331" s="1135">
        <v>708.92</v>
      </c>
      <c r="E331" s="616" t="s">
        <v>777</v>
      </c>
      <c r="F331" s="201" t="e">
        <f>VLOOKUP(A331,'Compos DER'!J:K,2,FALSE)</f>
        <v>#N/A</v>
      </c>
      <c r="G331" s="198" t="e">
        <f t="shared" si="5"/>
        <v>#N/A</v>
      </c>
    </row>
    <row r="332" spans="1:7" x14ac:dyDescent="0.2">
      <c r="A332" s="1134">
        <v>40703</v>
      </c>
      <c r="B332" s="616" t="s">
        <v>1026</v>
      </c>
      <c r="C332" s="614" t="s">
        <v>838</v>
      </c>
      <c r="D332" s="1135">
        <v>227.59</v>
      </c>
      <c r="E332" s="1136"/>
      <c r="F332" s="201" t="e">
        <f>VLOOKUP(A332,'Compos DER'!J:K,2,FALSE)</f>
        <v>#N/A</v>
      </c>
      <c r="G332" s="198" t="e">
        <f t="shared" si="5"/>
        <v>#N/A</v>
      </c>
    </row>
    <row r="333" spans="1:7" x14ac:dyDescent="0.2">
      <c r="A333" s="1134">
        <v>40671</v>
      </c>
      <c r="B333" s="616" t="s">
        <v>1027</v>
      </c>
      <c r="C333" s="614" t="s">
        <v>838</v>
      </c>
      <c r="D333" s="1135">
        <v>292.05</v>
      </c>
      <c r="E333" s="1136"/>
      <c r="F333" s="201" t="e">
        <f>VLOOKUP(A333,'Compos DER'!J:K,2,FALSE)</f>
        <v>#N/A</v>
      </c>
      <c r="G333" s="198" t="e">
        <f t="shared" si="5"/>
        <v>#N/A</v>
      </c>
    </row>
    <row r="334" spans="1:7" x14ac:dyDescent="0.2">
      <c r="A334" s="1134">
        <v>41016</v>
      </c>
      <c r="B334" s="616" t="s">
        <v>1028</v>
      </c>
      <c r="C334" s="614" t="s">
        <v>838</v>
      </c>
      <c r="D334" s="1135">
        <v>215.08</v>
      </c>
      <c r="E334" s="616" t="s">
        <v>777</v>
      </c>
      <c r="F334" s="201" t="e">
        <f>VLOOKUP(A334,'Compos DER'!J:K,2,FALSE)</f>
        <v>#N/A</v>
      </c>
      <c r="G334" s="198" t="e">
        <f t="shared" si="5"/>
        <v>#N/A</v>
      </c>
    </row>
    <row r="335" spans="1:7" x14ac:dyDescent="0.2">
      <c r="A335" s="1134">
        <v>40952</v>
      </c>
      <c r="B335" s="616" t="s">
        <v>1029</v>
      </c>
      <c r="C335" s="614" t="s">
        <v>717</v>
      </c>
      <c r="D335" s="1135">
        <v>42.54</v>
      </c>
      <c r="E335" s="1136"/>
      <c r="F335" s="201" t="e">
        <f>VLOOKUP(A335,'Compos DER'!J:K,2,FALSE)</f>
        <v>#N/A</v>
      </c>
      <c r="G335" s="198" t="e">
        <f t="shared" si="5"/>
        <v>#N/A</v>
      </c>
    </row>
    <row r="336" spans="1:7" x14ac:dyDescent="0.2">
      <c r="A336" s="1134">
        <v>40953</v>
      </c>
      <c r="B336" s="616" t="s">
        <v>1030</v>
      </c>
      <c r="C336" s="614" t="s">
        <v>838</v>
      </c>
      <c r="D336" s="1135">
        <v>94.5</v>
      </c>
      <c r="E336" s="616" t="s">
        <v>777</v>
      </c>
      <c r="F336" s="201" t="e">
        <f>VLOOKUP(A336,'Compos DER'!J:K,2,FALSE)</f>
        <v>#N/A</v>
      </c>
      <c r="G336" s="198" t="e">
        <f t="shared" si="5"/>
        <v>#N/A</v>
      </c>
    </row>
    <row r="337" spans="1:7" x14ac:dyDescent="0.2">
      <c r="A337" s="1134">
        <v>40708</v>
      </c>
      <c r="B337" s="616" t="s">
        <v>1031</v>
      </c>
      <c r="C337" s="614" t="s">
        <v>717</v>
      </c>
      <c r="D337" s="1135">
        <v>97.22</v>
      </c>
      <c r="E337" s="1136"/>
      <c r="F337" s="201" t="e">
        <f>VLOOKUP(A337,'Compos DER'!J:K,2,FALSE)</f>
        <v>#N/A</v>
      </c>
      <c r="G337" s="198" t="e">
        <f t="shared" si="5"/>
        <v>#N/A</v>
      </c>
    </row>
    <row r="338" spans="1:7" x14ac:dyDescent="0.2">
      <c r="A338" s="1134">
        <v>40377</v>
      </c>
      <c r="B338" s="616" t="s">
        <v>1032</v>
      </c>
      <c r="C338" s="614" t="s">
        <v>717</v>
      </c>
      <c r="D338" s="1135">
        <v>6.09</v>
      </c>
      <c r="E338" s="1136"/>
      <c r="F338" s="201" t="e">
        <f>VLOOKUP(A338,'Compos DER'!J:K,2,FALSE)</f>
        <v>#N/A</v>
      </c>
      <c r="G338" s="198" t="e">
        <f t="shared" si="5"/>
        <v>#N/A</v>
      </c>
    </row>
    <row r="339" spans="1:7" x14ac:dyDescent="0.2">
      <c r="A339" s="1134">
        <v>40378</v>
      </c>
      <c r="B339" s="616" t="s">
        <v>1033</v>
      </c>
      <c r="C339" s="614" t="s">
        <v>717</v>
      </c>
      <c r="D339" s="1135">
        <v>10.19</v>
      </c>
      <c r="E339" s="1136"/>
      <c r="F339" s="201" t="e">
        <f>VLOOKUP(A339,'Compos DER'!J:K,2,FALSE)</f>
        <v>#N/A</v>
      </c>
      <c r="G339" s="198" t="e">
        <f t="shared" si="5"/>
        <v>#N/A</v>
      </c>
    </row>
    <row r="340" spans="1:7" x14ac:dyDescent="0.2">
      <c r="A340" s="1134">
        <v>41389</v>
      </c>
      <c r="B340" s="616" t="s">
        <v>1034</v>
      </c>
      <c r="C340" s="614" t="s">
        <v>719</v>
      </c>
      <c r="D340" s="1135">
        <v>4.99</v>
      </c>
      <c r="E340" s="1136"/>
      <c r="F340" s="201" t="e">
        <f>VLOOKUP(A340,'Compos DER'!J:K,2,FALSE)</f>
        <v>#N/A</v>
      </c>
      <c r="G340" s="198" t="e">
        <f t="shared" si="5"/>
        <v>#N/A</v>
      </c>
    </row>
    <row r="341" spans="1:7" x14ac:dyDescent="0.2">
      <c r="A341" s="1134">
        <v>40715</v>
      </c>
      <c r="B341" s="616" t="s">
        <v>1035</v>
      </c>
      <c r="C341" s="614" t="s">
        <v>719</v>
      </c>
      <c r="D341" s="1135">
        <v>78.98</v>
      </c>
      <c r="E341" s="616" t="s">
        <v>777</v>
      </c>
      <c r="F341" s="201" t="e">
        <f>VLOOKUP(A341,'Compos DER'!J:K,2,FALSE)</f>
        <v>#N/A</v>
      </c>
      <c r="G341" s="198" t="e">
        <f t="shared" si="5"/>
        <v>#N/A</v>
      </c>
    </row>
    <row r="342" spans="1:7" x14ac:dyDescent="0.2">
      <c r="A342" s="1134">
        <v>40716</v>
      </c>
      <c r="B342" s="616" t="s">
        <v>1036</v>
      </c>
      <c r="C342" s="614" t="s">
        <v>719</v>
      </c>
      <c r="D342" s="1135">
        <v>106.16</v>
      </c>
      <c r="E342" s="616" t="s">
        <v>777</v>
      </c>
      <c r="F342" s="201" t="e">
        <f>VLOOKUP(A342,'Compos DER'!J:K,2,FALSE)</f>
        <v>#N/A</v>
      </c>
      <c r="G342" s="198" t="e">
        <f t="shared" si="5"/>
        <v>#N/A</v>
      </c>
    </row>
    <row r="343" spans="1:7" x14ac:dyDescent="0.2">
      <c r="A343" s="1134">
        <v>40717</v>
      </c>
      <c r="B343" s="616" t="s">
        <v>1037</v>
      </c>
      <c r="C343" s="614" t="s">
        <v>719</v>
      </c>
      <c r="D343" s="1135">
        <v>106.16</v>
      </c>
      <c r="E343" s="616" t="s">
        <v>777</v>
      </c>
      <c r="F343" s="201" t="e">
        <f>VLOOKUP(A343,'Compos DER'!J:K,2,FALSE)</f>
        <v>#N/A</v>
      </c>
      <c r="G343" s="198" t="e">
        <f t="shared" si="5"/>
        <v>#N/A</v>
      </c>
    </row>
    <row r="344" spans="1:7" x14ac:dyDescent="0.2">
      <c r="A344" s="1134">
        <v>40718</v>
      </c>
      <c r="B344" s="616" t="s">
        <v>1038</v>
      </c>
      <c r="C344" s="614" t="s">
        <v>719</v>
      </c>
      <c r="D344" s="1135">
        <v>106.16</v>
      </c>
      <c r="E344" s="616" t="s">
        <v>777</v>
      </c>
      <c r="F344" s="201" t="e">
        <f>VLOOKUP(A344,'Compos DER'!J:K,2,FALSE)</f>
        <v>#N/A</v>
      </c>
      <c r="G344" s="198" t="e">
        <f t="shared" si="5"/>
        <v>#N/A</v>
      </c>
    </row>
    <row r="345" spans="1:7" x14ac:dyDescent="0.2">
      <c r="A345" s="1134">
        <v>40652</v>
      </c>
      <c r="B345" s="616" t="s">
        <v>1039</v>
      </c>
      <c r="C345" s="614" t="s">
        <v>838</v>
      </c>
      <c r="D345" s="1135">
        <v>394.99</v>
      </c>
      <c r="E345" s="616" t="s">
        <v>777</v>
      </c>
      <c r="F345" s="201" t="e">
        <f>VLOOKUP(A345,'Compos DER'!J:K,2,FALSE)</f>
        <v>#N/A</v>
      </c>
      <c r="G345" s="198" t="e">
        <f t="shared" si="5"/>
        <v>#N/A</v>
      </c>
    </row>
    <row r="346" spans="1:7" x14ac:dyDescent="0.2">
      <c r="A346" s="1134">
        <v>41090</v>
      </c>
      <c r="B346" s="616" t="s">
        <v>1040</v>
      </c>
      <c r="C346" s="614" t="s">
        <v>719</v>
      </c>
      <c r="D346" s="1137">
        <v>1132.44</v>
      </c>
      <c r="E346" s="1136"/>
      <c r="F346" s="201" t="e">
        <f>VLOOKUP(A346,'Compos DER'!J:K,2,FALSE)</f>
        <v>#N/A</v>
      </c>
      <c r="G346" s="198" t="e">
        <f t="shared" si="5"/>
        <v>#N/A</v>
      </c>
    </row>
    <row r="347" spans="1:7" x14ac:dyDescent="0.2">
      <c r="A347" s="1132" t="s">
        <v>773</v>
      </c>
      <c r="B347" s="617"/>
      <c r="C347" s="617"/>
      <c r="D347" s="617"/>
      <c r="E347" s="617"/>
      <c r="F347" s="201" t="e">
        <f>VLOOKUP(A347,'Compos DER'!J:K,2,FALSE)</f>
        <v>#N/A</v>
      </c>
      <c r="G347" s="198" t="e">
        <f t="shared" si="5"/>
        <v>#N/A</v>
      </c>
    </row>
    <row r="348" spans="1:7" x14ac:dyDescent="0.2">
      <c r="A348" s="1131" t="s">
        <v>708</v>
      </c>
      <c r="B348" s="617"/>
      <c r="C348" s="617"/>
      <c r="D348" s="617"/>
      <c r="E348" s="617"/>
      <c r="F348" s="201" t="e">
        <f>VLOOKUP(A348,'Compos DER'!J:K,2,FALSE)</f>
        <v>#N/A</v>
      </c>
      <c r="G348" s="198" t="e">
        <f t="shared" si="5"/>
        <v>#N/A</v>
      </c>
    </row>
    <row r="349" spans="1:7" x14ac:dyDescent="0.2">
      <c r="A349" s="1131" t="s">
        <v>709</v>
      </c>
      <c r="B349" s="617"/>
      <c r="C349" s="617"/>
      <c r="D349" s="617"/>
      <c r="E349" s="617"/>
      <c r="F349" s="201" t="e">
        <f>VLOOKUP(A349,'Compos DER'!J:K,2,FALSE)</f>
        <v>#N/A</v>
      </c>
      <c r="G349" s="198" t="e">
        <f t="shared" si="5"/>
        <v>#N/A</v>
      </c>
    </row>
    <row r="350" spans="1:7" x14ac:dyDescent="0.2">
      <c r="A350" s="1132" t="s">
        <v>924</v>
      </c>
      <c r="B350" s="617"/>
      <c r="C350" s="617"/>
      <c r="D350" s="617"/>
      <c r="E350" s="617"/>
      <c r="F350" s="201" t="e">
        <f>VLOOKUP(A350,'Compos DER'!J:K,2,FALSE)</f>
        <v>#N/A</v>
      </c>
      <c r="G350" s="198" t="e">
        <f t="shared" si="5"/>
        <v>#N/A</v>
      </c>
    </row>
    <row r="351" spans="1:7" ht="18" x14ac:dyDescent="0.2">
      <c r="A351" s="1133" t="s">
        <v>711</v>
      </c>
      <c r="B351" s="1133" t="s">
        <v>712</v>
      </c>
      <c r="C351" s="1133" t="s">
        <v>713</v>
      </c>
      <c r="D351" s="1133" t="s">
        <v>714</v>
      </c>
      <c r="E351" s="1133" t="s">
        <v>715</v>
      </c>
      <c r="F351" s="201" t="e">
        <f>VLOOKUP(A351,'Compos DER'!J:K,2,FALSE)</f>
        <v>#N/A</v>
      </c>
      <c r="G351" s="198" t="e">
        <f t="shared" si="5"/>
        <v>#N/A</v>
      </c>
    </row>
    <row r="352" spans="1:7" x14ac:dyDescent="0.2">
      <c r="A352" s="1134">
        <v>40350</v>
      </c>
      <c r="B352" s="616" t="s">
        <v>1041</v>
      </c>
      <c r="C352" s="614" t="s">
        <v>719</v>
      </c>
      <c r="D352" s="1135">
        <v>440.31</v>
      </c>
      <c r="E352" s="616" t="s">
        <v>777</v>
      </c>
      <c r="F352" s="201" t="e">
        <f>VLOOKUP(A352,'Compos DER'!J:K,2,FALSE)</f>
        <v>#N/A</v>
      </c>
      <c r="G352" s="198" t="e">
        <f t="shared" si="5"/>
        <v>#N/A</v>
      </c>
    </row>
    <row r="353" spans="1:7" x14ac:dyDescent="0.2">
      <c r="A353" s="1134">
        <v>40351</v>
      </c>
      <c r="B353" s="616" t="s">
        <v>1042</v>
      </c>
      <c r="C353" s="614" t="s">
        <v>719</v>
      </c>
      <c r="D353" s="1135">
        <v>470.9</v>
      </c>
      <c r="E353" s="616" t="s">
        <v>777</v>
      </c>
      <c r="F353" s="201">
        <f>VLOOKUP(A353,'Compos DER'!J:K,2,FALSE)</f>
        <v>521.98</v>
      </c>
      <c r="G353" s="198">
        <f t="shared" si="5"/>
        <v>1.1084731365470399</v>
      </c>
    </row>
    <row r="354" spans="1:7" x14ac:dyDescent="0.2">
      <c r="A354" s="1134">
        <v>40353</v>
      </c>
      <c r="B354" s="616" t="s">
        <v>1043</v>
      </c>
      <c r="C354" s="614" t="s">
        <v>719</v>
      </c>
      <c r="D354" s="1135">
        <v>486.26</v>
      </c>
      <c r="E354" s="616" t="s">
        <v>777</v>
      </c>
      <c r="F354" s="201" t="e">
        <f>VLOOKUP(A354,'Compos DER'!J:K,2,FALSE)</f>
        <v>#N/A</v>
      </c>
      <c r="G354" s="198" t="e">
        <f t="shared" si="5"/>
        <v>#N/A</v>
      </c>
    </row>
    <row r="355" spans="1:7" x14ac:dyDescent="0.2">
      <c r="A355" s="1134">
        <v>40349</v>
      </c>
      <c r="B355" s="616" t="s">
        <v>1044</v>
      </c>
      <c r="C355" s="614" t="s">
        <v>719</v>
      </c>
      <c r="D355" s="1135">
        <v>476.9</v>
      </c>
      <c r="E355" s="616" t="s">
        <v>777</v>
      </c>
      <c r="F355" s="201">
        <f>VLOOKUP(A355,'Compos DER'!J:K,2,FALSE)</f>
        <v>536.16999999999996</v>
      </c>
      <c r="G355" s="198">
        <f t="shared" si="5"/>
        <v>1.12428182008807</v>
      </c>
    </row>
    <row r="356" spans="1:7" x14ac:dyDescent="0.2">
      <c r="A356" s="1134">
        <v>40358</v>
      </c>
      <c r="B356" s="616" t="s">
        <v>1045</v>
      </c>
      <c r="C356" s="614" t="s">
        <v>719</v>
      </c>
      <c r="D356" s="1135">
        <v>611.01</v>
      </c>
      <c r="E356" s="616" t="s">
        <v>777</v>
      </c>
      <c r="F356" s="201">
        <f>VLOOKUP(A356,'Compos DER'!J:K,2,FALSE)</f>
        <v>674.89</v>
      </c>
      <c r="G356" s="198">
        <f t="shared" si="5"/>
        <v>1.1045482070669901</v>
      </c>
    </row>
    <row r="357" spans="1:7" x14ac:dyDescent="0.2">
      <c r="A357" s="1134">
        <v>40361</v>
      </c>
      <c r="B357" s="616" t="s">
        <v>1046</v>
      </c>
      <c r="C357" s="614" t="s">
        <v>719</v>
      </c>
      <c r="D357" s="1135">
        <v>638.07000000000005</v>
      </c>
      <c r="E357" s="616" t="s">
        <v>777</v>
      </c>
      <c r="F357" s="201" t="e">
        <f>VLOOKUP(A357,'Compos DER'!J:K,2,FALSE)</f>
        <v>#N/A</v>
      </c>
      <c r="G357" s="198" t="e">
        <f t="shared" si="5"/>
        <v>#N/A</v>
      </c>
    </row>
    <row r="358" spans="1:7" x14ac:dyDescent="0.2">
      <c r="A358" s="1134">
        <v>40360</v>
      </c>
      <c r="B358" s="616" t="s">
        <v>1047</v>
      </c>
      <c r="C358" s="614" t="s">
        <v>719</v>
      </c>
      <c r="D358" s="1135">
        <v>632.92999999999995</v>
      </c>
      <c r="E358" s="616" t="s">
        <v>777</v>
      </c>
      <c r="F358" s="201">
        <f>VLOOKUP(A358,'Compos DER'!J:K,2,FALSE)</f>
        <v>696.87</v>
      </c>
      <c r="G358" s="198">
        <f t="shared" si="5"/>
        <v>1.1010222299464401</v>
      </c>
    </row>
    <row r="359" spans="1:7" x14ac:dyDescent="0.2">
      <c r="A359" s="1134">
        <v>40363</v>
      </c>
      <c r="B359" s="616" t="s">
        <v>1048</v>
      </c>
      <c r="C359" s="614" t="s">
        <v>719</v>
      </c>
      <c r="D359" s="1135">
        <v>661.98</v>
      </c>
      <c r="E359" s="616" t="s">
        <v>777</v>
      </c>
      <c r="F359" s="201" t="e">
        <f>VLOOKUP(A359,'Compos DER'!J:K,2,FALSE)</f>
        <v>#N/A</v>
      </c>
      <c r="G359" s="198" t="e">
        <f t="shared" si="5"/>
        <v>#N/A</v>
      </c>
    </row>
    <row r="360" spans="1:7" x14ac:dyDescent="0.2">
      <c r="A360" s="1134">
        <v>40362</v>
      </c>
      <c r="B360" s="616" t="s">
        <v>1049</v>
      </c>
      <c r="C360" s="614" t="s">
        <v>719</v>
      </c>
      <c r="D360" s="1135">
        <v>656.23</v>
      </c>
      <c r="E360" s="616" t="s">
        <v>777</v>
      </c>
      <c r="F360" s="201">
        <f>VLOOKUP(A360,'Compos DER'!J:K,2,FALSE)</f>
        <v>720.16</v>
      </c>
      <c r="G360" s="198">
        <f t="shared" si="5"/>
        <v>1.0974201118510301</v>
      </c>
    </row>
    <row r="361" spans="1:7" x14ac:dyDescent="0.2">
      <c r="A361" s="1134">
        <v>40368</v>
      </c>
      <c r="B361" s="616" t="s">
        <v>1050</v>
      </c>
      <c r="C361" s="614" t="s">
        <v>719</v>
      </c>
      <c r="D361" s="1135">
        <v>836.15</v>
      </c>
      <c r="E361" s="616" t="s">
        <v>777</v>
      </c>
      <c r="F361" s="201" t="e">
        <f>VLOOKUP(A361,'Compos DER'!J:K,2,FALSE)</f>
        <v>#N/A</v>
      </c>
      <c r="G361" s="198" t="e">
        <f t="shared" si="5"/>
        <v>#N/A</v>
      </c>
    </row>
    <row r="362" spans="1:7" x14ac:dyDescent="0.2">
      <c r="A362" s="1134">
        <v>40365</v>
      </c>
      <c r="B362" s="616" t="s">
        <v>1051</v>
      </c>
      <c r="C362" s="614" t="s">
        <v>719</v>
      </c>
      <c r="D362" s="1135">
        <v>684.04</v>
      </c>
      <c r="E362" s="616" t="s">
        <v>777</v>
      </c>
      <c r="F362" s="201" t="e">
        <f>VLOOKUP(A362,'Compos DER'!J:K,2,FALSE)</f>
        <v>#N/A</v>
      </c>
      <c r="G362" s="198" t="e">
        <f t="shared" si="5"/>
        <v>#N/A</v>
      </c>
    </row>
    <row r="363" spans="1:7" x14ac:dyDescent="0.2">
      <c r="A363" s="1134">
        <v>40364</v>
      </c>
      <c r="B363" s="616" t="s">
        <v>1052</v>
      </c>
      <c r="C363" s="614" t="s">
        <v>719</v>
      </c>
      <c r="D363" s="1135">
        <v>677.71</v>
      </c>
      <c r="E363" s="616" t="s">
        <v>777</v>
      </c>
      <c r="F363" s="201" t="e">
        <f>VLOOKUP(A363,'Compos DER'!J:K,2,FALSE)</f>
        <v>#N/A</v>
      </c>
      <c r="G363" s="198" t="e">
        <f t="shared" si="5"/>
        <v>#N/A</v>
      </c>
    </row>
    <row r="364" spans="1:7" x14ac:dyDescent="0.2">
      <c r="A364" s="1134">
        <v>40369</v>
      </c>
      <c r="B364" s="616" t="s">
        <v>1053</v>
      </c>
      <c r="C364" s="614" t="s">
        <v>719</v>
      </c>
      <c r="D364" s="1135">
        <v>875.32</v>
      </c>
      <c r="E364" s="616" t="s">
        <v>777</v>
      </c>
      <c r="F364" s="201" t="e">
        <f>VLOOKUP(A364,'Compos DER'!J:K,2,FALSE)</f>
        <v>#N/A</v>
      </c>
      <c r="G364" s="198" t="e">
        <f t="shared" si="5"/>
        <v>#N/A</v>
      </c>
    </row>
    <row r="365" spans="1:7" x14ac:dyDescent="0.2">
      <c r="A365" s="1134">
        <v>40371</v>
      </c>
      <c r="B365" s="616" t="s">
        <v>1054</v>
      </c>
      <c r="C365" s="614" t="s">
        <v>719</v>
      </c>
      <c r="D365" s="1137">
        <v>1158.73</v>
      </c>
      <c r="E365" s="616" t="s">
        <v>777</v>
      </c>
      <c r="F365" s="201" t="e">
        <f>VLOOKUP(A365,'Compos DER'!J:K,2,FALSE)</f>
        <v>#N/A</v>
      </c>
      <c r="G365" s="198" t="e">
        <f t="shared" si="5"/>
        <v>#N/A</v>
      </c>
    </row>
    <row r="366" spans="1:7" x14ac:dyDescent="0.2">
      <c r="A366" s="1134">
        <v>40467</v>
      </c>
      <c r="B366" s="616" t="s">
        <v>1055</v>
      </c>
      <c r="C366" s="614" t="s">
        <v>838</v>
      </c>
      <c r="D366" s="1135">
        <v>351.21</v>
      </c>
      <c r="E366" s="616" t="s">
        <v>777</v>
      </c>
      <c r="F366" s="201" t="e">
        <f>VLOOKUP(A366,'Compos DER'!J:K,2,FALSE)</f>
        <v>#N/A</v>
      </c>
      <c r="G366" s="198" t="e">
        <f t="shared" si="5"/>
        <v>#N/A</v>
      </c>
    </row>
    <row r="367" spans="1:7" x14ac:dyDescent="0.2">
      <c r="A367" s="1134">
        <v>40468</v>
      </c>
      <c r="B367" s="616" t="s">
        <v>1056</v>
      </c>
      <c r="C367" s="614" t="s">
        <v>838</v>
      </c>
      <c r="D367" s="1135">
        <v>377.58</v>
      </c>
      <c r="E367" s="616" t="s">
        <v>777</v>
      </c>
      <c r="F367" s="201" t="e">
        <f>VLOOKUP(A367,'Compos DER'!J:K,2,FALSE)</f>
        <v>#N/A</v>
      </c>
      <c r="G367" s="198" t="e">
        <f t="shared" si="5"/>
        <v>#N/A</v>
      </c>
    </row>
    <row r="368" spans="1:7" x14ac:dyDescent="0.2">
      <c r="A368" s="1134">
        <v>40469</v>
      </c>
      <c r="B368" s="616" t="s">
        <v>1057</v>
      </c>
      <c r="C368" s="614" t="s">
        <v>838</v>
      </c>
      <c r="D368" s="1135">
        <v>355.55</v>
      </c>
      <c r="E368" s="616" t="s">
        <v>777</v>
      </c>
      <c r="F368" s="201" t="e">
        <f>VLOOKUP(A368,'Compos DER'!J:K,2,FALSE)</f>
        <v>#N/A</v>
      </c>
      <c r="G368" s="198" t="e">
        <f t="shared" si="5"/>
        <v>#N/A</v>
      </c>
    </row>
    <row r="369" spans="1:7" x14ac:dyDescent="0.2">
      <c r="A369" s="1134">
        <v>40470</v>
      </c>
      <c r="B369" s="616" t="s">
        <v>1058</v>
      </c>
      <c r="C369" s="614" t="s">
        <v>838</v>
      </c>
      <c r="D369" s="1135">
        <v>346.87</v>
      </c>
      <c r="E369" s="616" t="s">
        <v>777</v>
      </c>
      <c r="F369" s="201" t="e">
        <f>VLOOKUP(A369,'Compos DER'!J:K,2,FALSE)</f>
        <v>#N/A</v>
      </c>
      <c r="G369" s="198" t="e">
        <f t="shared" si="5"/>
        <v>#N/A</v>
      </c>
    </row>
    <row r="370" spans="1:7" x14ac:dyDescent="0.2">
      <c r="A370" s="1134">
        <v>40471</v>
      </c>
      <c r="B370" s="616" t="s">
        <v>1059</v>
      </c>
      <c r="C370" s="614" t="s">
        <v>838</v>
      </c>
      <c r="D370" s="1135">
        <v>740.15</v>
      </c>
      <c r="E370" s="616" t="s">
        <v>777</v>
      </c>
      <c r="F370" s="201" t="e">
        <f>VLOOKUP(A370,'Compos DER'!J:K,2,FALSE)</f>
        <v>#N/A</v>
      </c>
      <c r="G370" s="198" t="e">
        <f t="shared" si="5"/>
        <v>#N/A</v>
      </c>
    </row>
    <row r="371" spans="1:7" x14ac:dyDescent="0.2">
      <c r="A371" s="1134">
        <v>40472</v>
      </c>
      <c r="B371" s="616" t="s">
        <v>1060</v>
      </c>
      <c r="C371" s="614" t="s">
        <v>838</v>
      </c>
      <c r="D371" s="1135">
        <v>731.71</v>
      </c>
      <c r="E371" s="616" t="s">
        <v>777</v>
      </c>
      <c r="F371" s="201" t="e">
        <f>VLOOKUP(A371,'Compos DER'!J:K,2,FALSE)</f>
        <v>#N/A</v>
      </c>
      <c r="G371" s="198" t="e">
        <f t="shared" si="5"/>
        <v>#N/A</v>
      </c>
    </row>
    <row r="372" spans="1:7" x14ac:dyDescent="0.2">
      <c r="A372" s="1134">
        <v>40473</v>
      </c>
      <c r="B372" s="616" t="s">
        <v>1061</v>
      </c>
      <c r="C372" s="614" t="s">
        <v>838</v>
      </c>
      <c r="D372" s="1135">
        <v>755</v>
      </c>
      <c r="E372" s="616" t="s">
        <v>777</v>
      </c>
      <c r="F372" s="201" t="e">
        <f>VLOOKUP(A372,'Compos DER'!J:K,2,FALSE)</f>
        <v>#N/A</v>
      </c>
      <c r="G372" s="198" t="e">
        <f t="shared" si="5"/>
        <v>#N/A</v>
      </c>
    </row>
    <row r="373" spans="1:7" x14ac:dyDescent="0.2">
      <c r="A373" s="1134">
        <v>40474</v>
      </c>
      <c r="B373" s="616" t="s">
        <v>1062</v>
      </c>
      <c r="C373" s="614" t="s">
        <v>838</v>
      </c>
      <c r="D373" s="1135">
        <v>720.99</v>
      </c>
      <c r="E373" s="616" t="s">
        <v>777</v>
      </c>
      <c r="F373" s="201" t="e">
        <f>VLOOKUP(A373,'Compos DER'!J:K,2,FALSE)</f>
        <v>#N/A</v>
      </c>
      <c r="G373" s="198" t="e">
        <f t="shared" si="5"/>
        <v>#N/A</v>
      </c>
    </row>
    <row r="374" spans="1:7" x14ac:dyDescent="0.2">
      <c r="A374" s="1134">
        <v>40475</v>
      </c>
      <c r="B374" s="616" t="s">
        <v>1063</v>
      </c>
      <c r="C374" s="614" t="s">
        <v>838</v>
      </c>
      <c r="D374" s="1135">
        <v>869.7</v>
      </c>
      <c r="E374" s="616" t="s">
        <v>777</v>
      </c>
      <c r="F374" s="201" t="e">
        <f>VLOOKUP(A374,'Compos DER'!J:K,2,FALSE)</f>
        <v>#N/A</v>
      </c>
      <c r="G374" s="198" t="e">
        <f t="shared" si="5"/>
        <v>#N/A</v>
      </c>
    </row>
    <row r="375" spans="1:7" x14ac:dyDescent="0.2">
      <c r="A375" s="1134">
        <v>40476</v>
      </c>
      <c r="B375" s="616" t="s">
        <v>1064</v>
      </c>
      <c r="C375" s="614" t="s">
        <v>838</v>
      </c>
      <c r="D375" s="1135">
        <v>854.45</v>
      </c>
      <c r="E375" s="616" t="s">
        <v>777</v>
      </c>
      <c r="F375" s="201">
        <f>VLOOKUP(A375,'Compos DER'!J:K,2,FALSE)</f>
        <v>907.14</v>
      </c>
      <c r="G375" s="198">
        <f t="shared" si="5"/>
        <v>1.0616653987945499</v>
      </c>
    </row>
    <row r="376" spans="1:7" x14ac:dyDescent="0.2">
      <c r="A376" s="1134">
        <v>40477</v>
      </c>
      <c r="B376" s="616" t="s">
        <v>1065</v>
      </c>
      <c r="C376" s="614" t="s">
        <v>838</v>
      </c>
      <c r="D376" s="1135">
        <v>915.72</v>
      </c>
      <c r="E376" s="616" t="s">
        <v>777</v>
      </c>
      <c r="F376" s="201" t="e">
        <f>VLOOKUP(A376,'Compos DER'!J:K,2,FALSE)</f>
        <v>#N/A</v>
      </c>
      <c r="G376" s="198" t="e">
        <f t="shared" si="5"/>
        <v>#N/A</v>
      </c>
    </row>
    <row r="377" spans="1:7" x14ac:dyDescent="0.2">
      <c r="A377" s="1134">
        <v>40478</v>
      </c>
      <c r="B377" s="616" t="s">
        <v>1066</v>
      </c>
      <c r="C377" s="614" t="s">
        <v>838</v>
      </c>
      <c r="D377" s="1135">
        <v>891.92</v>
      </c>
      <c r="E377" s="616" t="s">
        <v>777</v>
      </c>
      <c r="F377" s="201" t="e">
        <f>VLOOKUP(A377,'Compos DER'!J:K,2,FALSE)</f>
        <v>#N/A</v>
      </c>
      <c r="G377" s="198" t="e">
        <f t="shared" si="5"/>
        <v>#N/A</v>
      </c>
    </row>
    <row r="378" spans="1:7" x14ac:dyDescent="0.2">
      <c r="A378" s="1134">
        <v>40479</v>
      </c>
      <c r="B378" s="616" t="s">
        <v>1067</v>
      </c>
      <c r="C378" s="614" t="s">
        <v>838</v>
      </c>
      <c r="D378" s="1137">
        <v>1028.31</v>
      </c>
      <c r="E378" s="616" t="s">
        <v>777</v>
      </c>
      <c r="F378" s="201" t="e">
        <f>VLOOKUP(A378,'Compos DER'!J:K,2,FALSE)</f>
        <v>#N/A</v>
      </c>
      <c r="G378" s="198" t="e">
        <f t="shared" si="5"/>
        <v>#N/A</v>
      </c>
    </row>
    <row r="379" spans="1:7" x14ac:dyDescent="0.2">
      <c r="A379" s="1134">
        <v>40480</v>
      </c>
      <c r="B379" s="616" t="s">
        <v>1068</v>
      </c>
      <c r="C379" s="614" t="s">
        <v>838</v>
      </c>
      <c r="D379" s="1137">
        <v>1245.6300000000001</v>
      </c>
      <c r="E379" s="616" t="s">
        <v>777</v>
      </c>
      <c r="F379" s="201" t="e">
        <f>VLOOKUP(A379,'Compos DER'!J:K,2,FALSE)</f>
        <v>#N/A</v>
      </c>
      <c r="G379" s="198" t="e">
        <f t="shared" si="5"/>
        <v>#N/A</v>
      </c>
    </row>
    <row r="380" spans="1:7" x14ac:dyDescent="0.2">
      <c r="A380" s="1134">
        <v>40481</v>
      </c>
      <c r="B380" s="616" t="s">
        <v>1069</v>
      </c>
      <c r="C380" s="614" t="s">
        <v>838</v>
      </c>
      <c r="D380" s="1137">
        <v>1171.6600000000001</v>
      </c>
      <c r="E380" s="616" t="s">
        <v>777</v>
      </c>
      <c r="F380" s="201" t="e">
        <f>VLOOKUP(A380,'Compos DER'!J:K,2,FALSE)</f>
        <v>#N/A</v>
      </c>
      <c r="G380" s="198" t="e">
        <f t="shared" si="5"/>
        <v>#N/A</v>
      </c>
    </row>
    <row r="381" spans="1:7" x14ac:dyDescent="0.2">
      <c r="A381" s="1134">
        <v>40482</v>
      </c>
      <c r="B381" s="616" t="s">
        <v>1070</v>
      </c>
      <c r="C381" s="614" t="s">
        <v>838</v>
      </c>
      <c r="D381" s="1137">
        <v>1277.05</v>
      </c>
      <c r="E381" s="616" t="s">
        <v>777</v>
      </c>
      <c r="F381" s="201" t="e">
        <f>VLOOKUP(A381,'Compos DER'!J:K,2,FALSE)</f>
        <v>#N/A</v>
      </c>
      <c r="G381" s="198" t="e">
        <f t="shared" si="5"/>
        <v>#N/A</v>
      </c>
    </row>
    <row r="382" spans="1:7" x14ac:dyDescent="0.2">
      <c r="A382" s="1134">
        <v>40483</v>
      </c>
      <c r="B382" s="616" t="s">
        <v>1071</v>
      </c>
      <c r="C382" s="614" t="s">
        <v>838</v>
      </c>
      <c r="D382" s="1137">
        <v>1225.23</v>
      </c>
      <c r="E382" s="616" t="s">
        <v>777</v>
      </c>
      <c r="F382" s="201" t="e">
        <f>VLOOKUP(A382,'Compos DER'!J:K,2,FALSE)</f>
        <v>#N/A</v>
      </c>
      <c r="G382" s="198" t="e">
        <f t="shared" si="5"/>
        <v>#N/A</v>
      </c>
    </row>
    <row r="383" spans="1:7" x14ac:dyDescent="0.2">
      <c r="A383" s="1134">
        <v>40484</v>
      </c>
      <c r="B383" s="616" t="s">
        <v>1072</v>
      </c>
      <c r="C383" s="614" t="s">
        <v>838</v>
      </c>
      <c r="D383" s="1137">
        <v>1503.64</v>
      </c>
      <c r="E383" s="616" t="s">
        <v>777</v>
      </c>
      <c r="F383" s="201" t="e">
        <f>VLOOKUP(A383,'Compos DER'!J:K,2,FALSE)</f>
        <v>#N/A</v>
      </c>
      <c r="G383" s="198" t="e">
        <f t="shared" si="5"/>
        <v>#N/A</v>
      </c>
    </row>
    <row r="384" spans="1:7" x14ac:dyDescent="0.2">
      <c r="A384" s="1134">
        <v>40485</v>
      </c>
      <c r="B384" s="616" t="s">
        <v>1073</v>
      </c>
      <c r="C384" s="614" t="s">
        <v>838</v>
      </c>
      <c r="D384" s="1137">
        <v>1612.77</v>
      </c>
      <c r="E384" s="616" t="s">
        <v>777</v>
      </c>
      <c r="F384" s="201" t="e">
        <f>VLOOKUP(A384,'Compos DER'!J:K,2,FALSE)</f>
        <v>#N/A</v>
      </c>
      <c r="G384" s="198" t="e">
        <f t="shared" si="5"/>
        <v>#N/A</v>
      </c>
    </row>
    <row r="385" spans="1:7" x14ac:dyDescent="0.2">
      <c r="A385" s="1134">
        <v>40486</v>
      </c>
      <c r="B385" s="616" t="s">
        <v>1074</v>
      </c>
      <c r="C385" s="614" t="s">
        <v>838</v>
      </c>
      <c r="D385" s="1137">
        <v>1599.95</v>
      </c>
      <c r="E385" s="616" t="s">
        <v>777</v>
      </c>
      <c r="F385" s="201" t="e">
        <f>VLOOKUP(A385,'Compos DER'!J:K,2,FALSE)</f>
        <v>#N/A</v>
      </c>
      <c r="G385" s="198" t="e">
        <f t="shared" si="5"/>
        <v>#N/A</v>
      </c>
    </row>
    <row r="386" spans="1:7" x14ac:dyDescent="0.2">
      <c r="A386" s="1134">
        <v>40487</v>
      </c>
      <c r="B386" s="616" t="s">
        <v>1075</v>
      </c>
      <c r="C386" s="614" t="s">
        <v>838</v>
      </c>
      <c r="D386" s="1137">
        <v>1610.41</v>
      </c>
      <c r="E386" s="616" t="s">
        <v>777</v>
      </c>
      <c r="F386" s="201" t="e">
        <f>VLOOKUP(A386,'Compos DER'!J:K,2,FALSE)</f>
        <v>#N/A</v>
      </c>
      <c r="G386" s="198" t="e">
        <f t="shared" si="5"/>
        <v>#N/A</v>
      </c>
    </row>
    <row r="387" spans="1:7" x14ac:dyDescent="0.2">
      <c r="A387" s="1134">
        <v>40488</v>
      </c>
      <c r="B387" s="616" t="s">
        <v>1076</v>
      </c>
      <c r="C387" s="614" t="s">
        <v>838</v>
      </c>
      <c r="D387" s="1137">
        <v>1668.14</v>
      </c>
      <c r="E387" s="616" t="s">
        <v>777</v>
      </c>
      <c r="F387" s="201" t="e">
        <f>VLOOKUP(A387,'Compos DER'!J:K,2,FALSE)</f>
        <v>#N/A</v>
      </c>
      <c r="G387" s="198" t="e">
        <f t="shared" si="5"/>
        <v>#N/A</v>
      </c>
    </row>
    <row r="388" spans="1:7" x14ac:dyDescent="0.2">
      <c r="A388" s="1134">
        <v>40489</v>
      </c>
      <c r="B388" s="616" t="s">
        <v>1077</v>
      </c>
      <c r="C388" s="614" t="s">
        <v>838</v>
      </c>
      <c r="D388" s="1137">
        <v>2151.31</v>
      </c>
      <c r="E388" s="616" t="s">
        <v>777</v>
      </c>
      <c r="F388" s="201" t="e">
        <f>VLOOKUP(A388,'Compos DER'!J:K,2,FALSE)</f>
        <v>#N/A</v>
      </c>
      <c r="G388" s="198" t="e">
        <f t="shared" ref="G388:G451" si="6">+F388/D388</f>
        <v>#N/A</v>
      </c>
    </row>
    <row r="389" spans="1:7" x14ac:dyDescent="0.2">
      <c r="A389" s="1134">
        <v>40417</v>
      </c>
      <c r="B389" s="616" t="s">
        <v>1078</v>
      </c>
      <c r="C389" s="614" t="s">
        <v>838</v>
      </c>
      <c r="D389" s="1135">
        <v>98.16</v>
      </c>
      <c r="E389" s="616" t="s">
        <v>777</v>
      </c>
      <c r="F389" s="201" t="e">
        <f>VLOOKUP(A389,'Compos DER'!J:K,2,FALSE)</f>
        <v>#N/A</v>
      </c>
      <c r="G389" s="198" t="e">
        <f t="shared" si="6"/>
        <v>#N/A</v>
      </c>
    </row>
    <row r="390" spans="1:7" x14ac:dyDescent="0.2">
      <c r="A390" s="1134">
        <v>40418</v>
      </c>
      <c r="B390" s="616" t="s">
        <v>1079</v>
      </c>
      <c r="C390" s="614" t="s">
        <v>838</v>
      </c>
      <c r="D390" s="1135">
        <v>103.98</v>
      </c>
      <c r="E390" s="616" t="s">
        <v>777</v>
      </c>
      <c r="F390" s="201" t="e">
        <f>VLOOKUP(A390,'Compos DER'!J:K,2,FALSE)</f>
        <v>#N/A</v>
      </c>
      <c r="G390" s="198" t="e">
        <f t="shared" si="6"/>
        <v>#N/A</v>
      </c>
    </row>
    <row r="391" spans="1:7" x14ac:dyDescent="0.2">
      <c r="A391" s="1134">
        <v>40419</v>
      </c>
      <c r="B391" s="616" t="s">
        <v>1080</v>
      </c>
      <c r="C391" s="614" t="s">
        <v>838</v>
      </c>
      <c r="D391" s="1135">
        <v>125.55</v>
      </c>
      <c r="E391" s="616" t="s">
        <v>777</v>
      </c>
      <c r="F391" s="201" t="e">
        <f>VLOOKUP(A391,'Compos DER'!J:K,2,FALSE)</f>
        <v>#N/A</v>
      </c>
      <c r="G391" s="198" t="e">
        <f t="shared" si="6"/>
        <v>#N/A</v>
      </c>
    </row>
    <row r="392" spans="1:7" x14ac:dyDescent="0.2">
      <c r="A392" s="1134">
        <v>40420</v>
      </c>
      <c r="B392" s="616" t="s">
        <v>1081</v>
      </c>
      <c r="C392" s="614" t="s">
        <v>838</v>
      </c>
      <c r="D392" s="1135">
        <v>132.77000000000001</v>
      </c>
      <c r="E392" s="616" t="s">
        <v>777</v>
      </c>
      <c r="F392" s="201" t="e">
        <f>VLOOKUP(A392,'Compos DER'!J:K,2,FALSE)</f>
        <v>#N/A</v>
      </c>
      <c r="G392" s="198" t="e">
        <f t="shared" si="6"/>
        <v>#N/A</v>
      </c>
    </row>
    <row r="393" spans="1:7" x14ac:dyDescent="0.2">
      <c r="A393" s="1134">
        <v>40422</v>
      </c>
      <c r="B393" s="616" t="s">
        <v>1082</v>
      </c>
      <c r="C393" s="614" t="s">
        <v>838</v>
      </c>
      <c r="D393" s="1135">
        <v>176.01</v>
      </c>
      <c r="E393" s="616" t="s">
        <v>777</v>
      </c>
      <c r="F393" s="201" t="e">
        <f>VLOOKUP(A393,'Compos DER'!J:K,2,FALSE)</f>
        <v>#N/A</v>
      </c>
      <c r="G393" s="198" t="e">
        <f t="shared" si="6"/>
        <v>#N/A</v>
      </c>
    </row>
    <row r="394" spans="1:7" x14ac:dyDescent="0.2">
      <c r="A394" s="1134">
        <v>40423</v>
      </c>
      <c r="B394" s="616" t="s">
        <v>1083</v>
      </c>
      <c r="C394" s="614" t="s">
        <v>838</v>
      </c>
      <c r="D394" s="1135">
        <v>176.86</v>
      </c>
      <c r="E394" s="616" t="s">
        <v>777</v>
      </c>
      <c r="F394" s="201" t="e">
        <f>VLOOKUP(A394,'Compos DER'!J:K,2,FALSE)</f>
        <v>#N/A</v>
      </c>
      <c r="G394" s="198" t="e">
        <f t="shared" si="6"/>
        <v>#N/A</v>
      </c>
    </row>
    <row r="395" spans="1:7" x14ac:dyDescent="0.2">
      <c r="A395" s="1134">
        <v>40426</v>
      </c>
      <c r="B395" s="616" t="s">
        <v>1084</v>
      </c>
      <c r="C395" s="614" t="s">
        <v>838</v>
      </c>
      <c r="D395" s="1135">
        <v>278.61</v>
      </c>
      <c r="E395" s="616" t="s">
        <v>777</v>
      </c>
      <c r="F395" s="201" t="e">
        <f>VLOOKUP(A395,'Compos DER'!J:K,2,FALSE)</f>
        <v>#N/A</v>
      </c>
      <c r="G395" s="198" t="e">
        <f t="shared" si="6"/>
        <v>#N/A</v>
      </c>
    </row>
    <row r="396" spans="1:7" x14ac:dyDescent="0.2">
      <c r="A396" s="1134">
        <v>40427</v>
      </c>
      <c r="B396" s="616" t="s">
        <v>1085</v>
      </c>
      <c r="C396" s="614" t="s">
        <v>838</v>
      </c>
      <c r="D396" s="1135">
        <v>285.52</v>
      </c>
      <c r="E396" s="616" t="s">
        <v>777</v>
      </c>
      <c r="F396" s="201" t="e">
        <f>VLOOKUP(A396,'Compos DER'!J:K,2,FALSE)</f>
        <v>#N/A</v>
      </c>
      <c r="G396" s="198" t="e">
        <f t="shared" si="6"/>
        <v>#N/A</v>
      </c>
    </row>
    <row r="397" spans="1:7" x14ac:dyDescent="0.2">
      <c r="A397" s="1134">
        <v>40421</v>
      </c>
      <c r="B397" s="616" t="s">
        <v>1086</v>
      </c>
      <c r="C397" s="614" t="s">
        <v>838</v>
      </c>
      <c r="D397" s="1135">
        <v>142.76</v>
      </c>
      <c r="E397" s="616" t="s">
        <v>777</v>
      </c>
      <c r="F397" s="201" t="e">
        <f>VLOOKUP(A397,'Compos DER'!J:K,2,FALSE)</f>
        <v>#N/A</v>
      </c>
      <c r="G397" s="198" t="e">
        <f t="shared" si="6"/>
        <v>#N/A</v>
      </c>
    </row>
    <row r="398" spans="1:7" x14ac:dyDescent="0.2">
      <c r="A398" s="1132" t="s">
        <v>773</v>
      </c>
      <c r="B398" s="617"/>
      <c r="C398" s="617"/>
      <c r="D398" s="617"/>
      <c r="E398" s="617"/>
      <c r="F398" s="201" t="e">
        <f>VLOOKUP(A398,'Compos DER'!J:K,2,FALSE)</f>
        <v>#N/A</v>
      </c>
      <c r="G398" s="198" t="e">
        <f t="shared" si="6"/>
        <v>#N/A</v>
      </c>
    </row>
    <row r="399" spans="1:7" x14ac:dyDescent="0.2">
      <c r="A399" s="1131" t="s">
        <v>708</v>
      </c>
      <c r="B399" s="617"/>
      <c r="C399" s="617"/>
      <c r="D399" s="617"/>
      <c r="E399" s="617"/>
      <c r="F399" s="201" t="e">
        <f>VLOOKUP(A399,'Compos DER'!J:K,2,FALSE)</f>
        <v>#N/A</v>
      </c>
      <c r="G399" s="198" t="e">
        <f t="shared" si="6"/>
        <v>#N/A</v>
      </c>
    </row>
    <row r="400" spans="1:7" x14ac:dyDescent="0.2">
      <c r="A400" s="1131" t="s">
        <v>709</v>
      </c>
      <c r="B400" s="617"/>
      <c r="C400" s="617"/>
      <c r="D400" s="617"/>
      <c r="E400" s="617"/>
      <c r="F400" s="201" t="e">
        <f>VLOOKUP(A400,'Compos DER'!J:K,2,FALSE)</f>
        <v>#N/A</v>
      </c>
      <c r="G400" s="198" t="e">
        <f t="shared" si="6"/>
        <v>#N/A</v>
      </c>
    </row>
    <row r="401" spans="1:7" x14ac:dyDescent="0.2">
      <c r="A401" s="1132" t="s">
        <v>924</v>
      </c>
      <c r="B401" s="617"/>
      <c r="C401" s="617"/>
      <c r="D401" s="617"/>
      <c r="E401" s="617"/>
      <c r="F401" s="201" t="e">
        <f>VLOOKUP(A401,'Compos DER'!J:K,2,FALSE)</f>
        <v>#N/A</v>
      </c>
      <c r="G401" s="198" t="e">
        <f t="shared" si="6"/>
        <v>#N/A</v>
      </c>
    </row>
    <row r="402" spans="1:7" ht="18" x14ac:dyDescent="0.2">
      <c r="A402" s="1133" t="s">
        <v>711</v>
      </c>
      <c r="B402" s="1133" t="s">
        <v>712</v>
      </c>
      <c r="C402" s="1133" t="s">
        <v>713</v>
      </c>
      <c r="D402" s="1133" t="s">
        <v>714</v>
      </c>
      <c r="E402" s="1133" t="s">
        <v>715</v>
      </c>
      <c r="F402" s="201" t="e">
        <f>VLOOKUP(A402,'Compos DER'!J:K,2,FALSE)</f>
        <v>#N/A</v>
      </c>
      <c r="G402" s="198" t="e">
        <f t="shared" si="6"/>
        <v>#N/A</v>
      </c>
    </row>
    <row r="403" spans="1:7" x14ac:dyDescent="0.2">
      <c r="A403" s="1134">
        <v>40424</v>
      </c>
      <c r="B403" s="616" t="s">
        <v>1087</v>
      </c>
      <c r="C403" s="614" t="s">
        <v>838</v>
      </c>
      <c r="D403" s="1135">
        <v>185.83</v>
      </c>
      <c r="E403" s="616" t="s">
        <v>777</v>
      </c>
      <c r="F403" s="201" t="e">
        <f>VLOOKUP(A403,'Compos DER'!J:K,2,FALSE)</f>
        <v>#N/A</v>
      </c>
      <c r="G403" s="198" t="e">
        <f t="shared" si="6"/>
        <v>#N/A</v>
      </c>
    </row>
    <row r="404" spans="1:7" x14ac:dyDescent="0.2">
      <c r="A404" s="1134">
        <v>40425</v>
      </c>
      <c r="B404" s="616" t="s">
        <v>1088</v>
      </c>
      <c r="C404" s="614" t="s">
        <v>838</v>
      </c>
      <c r="D404" s="1135">
        <v>189.24</v>
      </c>
      <c r="E404" s="616" t="s">
        <v>777</v>
      </c>
      <c r="F404" s="201" t="e">
        <f>VLOOKUP(A404,'Compos DER'!J:K,2,FALSE)</f>
        <v>#N/A</v>
      </c>
      <c r="G404" s="198" t="e">
        <f t="shared" si="6"/>
        <v>#N/A</v>
      </c>
    </row>
    <row r="405" spans="1:7" x14ac:dyDescent="0.2">
      <c r="A405" s="1134">
        <v>40428</v>
      </c>
      <c r="B405" s="616" t="s">
        <v>1089</v>
      </c>
      <c r="C405" s="614" t="s">
        <v>838</v>
      </c>
      <c r="D405" s="1135">
        <v>297.52</v>
      </c>
      <c r="E405" s="616" t="s">
        <v>777</v>
      </c>
      <c r="F405" s="201" t="e">
        <f>VLOOKUP(A405,'Compos DER'!J:K,2,FALSE)</f>
        <v>#N/A</v>
      </c>
      <c r="G405" s="198" t="e">
        <f t="shared" si="6"/>
        <v>#N/A</v>
      </c>
    </row>
    <row r="406" spans="1:7" x14ac:dyDescent="0.2">
      <c r="A406" s="1134">
        <v>40429</v>
      </c>
      <c r="B406" s="616" t="s">
        <v>1090</v>
      </c>
      <c r="C406" s="614" t="s">
        <v>838</v>
      </c>
      <c r="D406" s="1135">
        <v>310.7</v>
      </c>
      <c r="E406" s="616" t="s">
        <v>777</v>
      </c>
      <c r="F406" s="201" t="e">
        <f>VLOOKUP(A406,'Compos DER'!J:K,2,FALSE)</f>
        <v>#N/A</v>
      </c>
      <c r="G406" s="198" t="e">
        <f t="shared" si="6"/>
        <v>#N/A</v>
      </c>
    </row>
    <row r="407" spans="1:7" x14ac:dyDescent="0.2">
      <c r="A407" s="1134">
        <v>40430</v>
      </c>
      <c r="B407" s="616" t="s">
        <v>1091</v>
      </c>
      <c r="C407" s="614" t="s">
        <v>838</v>
      </c>
      <c r="D407" s="1135">
        <v>299.69</v>
      </c>
      <c r="E407" s="616" t="s">
        <v>777</v>
      </c>
      <c r="F407" s="201" t="e">
        <f>VLOOKUP(A407,'Compos DER'!J:K,2,FALSE)</f>
        <v>#N/A</v>
      </c>
      <c r="G407" s="198" t="e">
        <f t="shared" si="6"/>
        <v>#N/A</v>
      </c>
    </row>
    <row r="408" spans="1:7" x14ac:dyDescent="0.2">
      <c r="A408" s="1134">
        <v>40431</v>
      </c>
      <c r="B408" s="616" t="s">
        <v>1092</v>
      </c>
      <c r="C408" s="614" t="s">
        <v>838</v>
      </c>
      <c r="D408" s="1135">
        <v>295.35000000000002</v>
      </c>
      <c r="E408" s="616" t="s">
        <v>777</v>
      </c>
      <c r="F408" s="201" t="e">
        <f>VLOOKUP(A408,'Compos DER'!J:K,2,FALSE)</f>
        <v>#N/A</v>
      </c>
      <c r="G408" s="198" t="e">
        <f t="shared" si="6"/>
        <v>#N/A</v>
      </c>
    </row>
    <row r="409" spans="1:7" x14ac:dyDescent="0.2">
      <c r="A409" s="1134">
        <v>40432</v>
      </c>
      <c r="B409" s="616" t="s">
        <v>1093</v>
      </c>
      <c r="C409" s="614" t="s">
        <v>838</v>
      </c>
      <c r="D409" s="1135">
        <v>583.09</v>
      </c>
      <c r="E409" s="616" t="s">
        <v>777</v>
      </c>
      <c r="F409" s="201" t="e">
        <f>VLOOKUP(A409,'Compos DER'!J:K,2,FALSE)</f>
        <v>#N/A</v>
      </c>
      <c r="G409" s="198" t="e">
        <f t="shared" si="6"/>
        <v>#N/A</v>
      </c>
    </row>
    <row r="410" spans="1:7" x14ac:dyDescent="0.2">
      <c r="A410" s="1134">
        <v>40433</v>
      </c>
      <c r="B410" s="616" t="s">
        <v>1094</v>
      </c>
      <c r="C410" s="614" t="s">
        <v>838</v>
      </c>
      <c r="D410" s="1135">
        <v>578.87</v>
      </c>
      <c r="E410" s="616" t="s">
        <v>777</v>
      </c>
      <c r="F410" s="201">
        <f>VLOOKUP(A410,'Compos DER'!J:K,2,FALSE)</f>
        <v>597.65</v>
      </c>
      <c r="G410" s="198">
        <f t="shared" si="6"/>
        <v>1.0324425173182199</v>
      </c>
    </row>
    <row r="411" spans="1:7" x14ac:dyDescent="0.2">
      <c r="A411" s="1134">
        <v>40434</v>
      </c>
      <c r="B411" s="616" t="s">
        <v>1095</v>
      </c>
      <c r="C411" s="614" t="s">
        <v>838</v>
      </c>
      <c r="D411" s="1135">
        <v>590.51</v>
      </c>
      <c r="E411" s="616" t="s">
        <v>777</v>
      </c>
      <c r="F411" s="201" t="e">
        <f>VLOOKUP(A411,'Compos DER'!J:K,2,FALSE)</f>
        <v>#N/A</v>
      </c>
      <c r="G411" s="198" t="e">
        <f t="shared" si="6"/>
        <v>#N/A</v>
      </c>
    </row>
    <row r="412" spans="1:7" x14ac:dyDescent="0.2">
      <c r="A412" s="1134">
        <v>40435</v>
      </c>
      <c r="B412" s="616" t="s">
        <v>1096</v>
      </c>
      <c r="C412" s="614" t="s">
        <v>838</v>
      </c>
      <c r="D412" s="1135">
        <v>573.51</v>
      </c>
      <c r="E412" s="616" t="s">
        <v>777</v>
      </c>
      <c r="F412" s="201" t="e">
        <f>VLOOKUP(A412,'Compos DER'!J:K,2,FALSE)</f>
        <v>#N/A</v>
      </c>
      <c r="G412" s="198" t="e">
        <f t="shared" si="6"/>
        <v>#N/A</v>
      </c>
    </row>
    <row r="413" spans="1:7" x14ac:dyDescent="0.2">
      <c r="A413" s="1134">
        <v>40436</v>
      </c>
      <c r="B413" s="616" t="s">
        <v>1097</v>
      </c>
      <c r="C413" s="614" t="s">
        <v>838</v>
      </c>
      <c r="D413" s="1135">
        <v>750.66</v>
      </c>
      <c r="E413" s="616" t="s">
        <v>777</v>
      </c>
      <c r="F413" s="201" t="e">
        <f>VLOOKUP(A413,'Compos DER'!J:K,2,FALSE)</f>
        <v>#N/A</v>
      </c>
      <c r="G413" s="198" t="e">
        <f t="shared" si="6"/>
        <v>#N/A</v>
      </c>
    </row>
    <row r="414" spans="1:7" x14ac:dyDescent="0.2">
      <c r="A414" s="1134">
        <v>40437</v>
      </c>
      <c r="B414" s="616" t="s">
        <v>1098</v>
      </c>
      <c r="C414" s="614" t="s">
        <v>838</v>
      </c>
      <c r="D414" s="1135">
        <v>743.03</v>
      </c>
      <c r="E414" s="616" t="s">
        <v>777</v>
      </c>
      <c r="F414" s="201">
        <f>VLOOKUP(A414,'Compos DER'!J:K,2,FALSE)</f>
        <v>769.33</v>
      </c>
      <c r="G414" s="198">
        <f t="shared" si="6"/>
        <v>1.0353956098677</v>
      </c>
    </row>
    <row r="415" spans="1:7" x14ac:dyDescent="0.2">
      <c r="A415" s="1134">
        <v>40438</v>
      </c>
      <c r="B415" s="616" t="s">
        <v>1099</v>
      </c>
      <c r="C415" s="614" t="s">
        <v>838</v>
      </c>
      <c r="D415" s="1135">
        <v>773.67</v>
      </c>
      <c r="E415" s="616" t="s">
        <v>777</v>
      </c>
      <c r="F415" s="201" t="e">
        <f>VLOOKUP(A415,'Compos DER'!J:K,2,FALSE)</f>
        <v>#N/A</v>
      </c>
      <c r="G415" s="198" t="e">
        <f t="shared" si="6"/>
        <v>#N/A</v>
      </c>
    </row>
    <row r="416" spans="1:7" x14ac:dyDescent="0.2">
      <c r="A416" s="1134">
        <v>40439</v>
      </c>
      <c r="B416" s="616" t="s">
        <v>1100</v>
      </c>
      <c r="C416" s="614" t="s">
        <v>838</v>
      </c>
      <c r="D416" s="1135">
        <v>761.77</v>
      </c>
      <c r="E416" s="616" t="s">
        <v>777</v>
      </c>
      <c r="F416" s="201" t="e">
        <f>VLOOKUP(A416,'Compos DER'!J:K,2,FALSE)</f>
        <v>#N/A</v>
      </c>
      <c r="G416" s="198" t="e">
        <f t="shared" si="6"/>
        <v>#N/A</v>
      </c>
    </row>
    <row r="417" spans="1:7" x14ac:dyDescent="0.2">
      <c r="A417" s="1134">
        <v>40440</v>
      </c>
      <c r="B417" s="616" t="s">
        <v>1101</v>
      </c>
      <c r="C417" s="614" t="s">
        <v>838</v>
      </c>
      <c r="D417" s="1137">
        <v>1038.8599999999999</v>
      </c>
      <c r="E417" s="616" t="s">
        <v>777</v>
      </c>
      <c r="F417" s="201" t="e">
        <f>VLOOKUP(A417,'Compos DER'!J:K,2,FALSE)</f>
        <v>#N/A</v>
      </c>
      <c r="G417" s="198" t="e">
        <f t="shared" si="6"/>
        <v>#N/A</v>
      </c>
    </row>
    <row r="418" spans="1:7" x14ac:dyDescent="0.2">
      <c r="A418" s="1134">
        <v>40441</v>
      </c>
      <c r="B418" s="616" t="s">
        <v>1102</v>
      </c>
      <c r="C418" s="614" t="s">
        <v>838</v>
      </c>
      <c r="D418" s="1137">
        <v>1001.87</v>
      </c>
      <c r="E418" s="616" t="s">
        <v>777</v>
      </c>
      <c r="F418" s="201" t="e">
        <f>VLOOKUP(A418,'Compos DER'!J:K,2,FALSE)</f>
        <v>#N/A</v>
      </c>
      <c r="G418" s="198" t="e">
        <f t="shared" si="6"/>
        <v>#N/A</v>
      </c>
    </row>
    <row r="419" spans="1:7" x14ac:dyDescent="0.2">
      <c r="A419" s="1134">
        <v>40442</v>
      </c>
      <c r="B419" s="616" t="s">
        <v>1103</v>
      </c>
      <c r="C419" s="614" t="s">
        <v>838</v>
      </c>
      <c r="D419" s="1137">
        <v>1054.57</v>
      </c>
      <c r="E419" s="616" t="s">
        <v>777</v>
      </c>
      <c r="F419" s="201" t="e">
        <f>VLOOKUP(A419,'Compos DER'!J:K,2,FALSE)</f>
        <v>#N/A</v>
      </c>
      <c r="G419" s="198" t="e">
        <f t="shared" si="6"/>
        <v>#N/A</v>
      </c>
    </row>
    <row r="420" spans="1:7" x14ac:dyDescent="0.2">
      <c r="A420" s="1134">
        <v>40443</v>
      </c>
      <c r="B420" s="616" t="s">
        <v>1104</v>
      </c>
      <c r="C420" s="614" t="s">
        <v>838</v>
      </c>
      <c r="D420" s="1137">
        <v>1028.6600000000001</v>
      </c>
      <c r="E420" s="616" t="s">
        <v>777</v>
      </c>
      <c r="F420" s="201" t="e">
        <f>VLOOKUP(A420,'Compos DER'!J:K,2,FALSE)</f>
        <v>#N/A</v>
      </c>
      <c r="G420" s="198" t="e">
        <f t="shared" si="6"/>
        <v>#N/A</v>
      </c>
    </row>
    <row r="421" spans="1:7" x14ac:dyDescent="0.2">
      <c r="A421" s="1134">
        <v>40444</v>
      </c>
      <c r="B421" s="616" t="s">
        <v>1105</v>
      </c>
      <c r="C421" s="614" t="s">
        <v>838</v>
      </c>
      <c r="D421" s="1135">
        <v>177.42</v>
      </c>
      <c r="E421" s="616" t="s">
        <v>777</v>
      </c>
      <c r="F421" s="201" t="e">
        <f>VLOOKUP(A421,'Compos DER'!J:K,2,FALSE)</f>
        <v>#N/A</v>
      </c>
      <c r="G421" s="198" t="e">
        <f t="shared" si="6"/>
        <v>#N/A</v>
      </c>
    </row>
    <row r="422" spans="1:7" x14ac:dyDescent="0.2">
      <c r="A422" s="1134">
        <v>40445</v>
      </c>
      <c r="B422" s="616" t="s">
        <v>1106</v>
      </c>
      <c r="C422" s="614" t="s">
        <v>838</v>
      </c>
      <c r="D422" s="1135">
        <v>190.6</v>
      </c>
      <c r="E422" s="616" t="s">
        <v>777</v>
      </c>
      <c r="F422" s="201" t="e">
        <f>VLOOKUP(A422,'Compos DER'!J:K,2,FALSE)</f>
        <v>#N/A</v>
      </c>
      <c r="G422" s="198" t="e">
        <f t="shared" si="6"/>
        <v>#N/A</v>
      </c>
    </row>
    <row r="423" spans="1:7" x14ac:dyDescent="0.2">
      <c r="A423" s="1134">
        <v>40446</v>
      </c>
      <c r="B423" s="616" t="s">
        <v>1107</v>
      </c>
      <c r="C423" s="614" t="s">
        <v>838</v>
      </c>
      <c r="D423" s="1135">
        <v>179.59</v>
      </c>
      <c r="E423" s="616" t="s">
        <v>777</v>
      </c>
      <c r="F423" s="201" t="e">
        <f>VLOOKUP(A423,'Compos DER'!J:K,2,FALSE)</f>
        <v>#N/A</v>
      </c>
      <c r="G423" s="198" t="e">
        <f t="shared" si="6"/>
        <v>#N/A</v>
      </c>
    </row>
    <row r="424" spans="1:7" x14ac:dyDescent="0.2">
      <c r="A424" s="1134">
        <v>40447</v>
      </c>
      <c r="B424" s="616" t="s">
        <v>1108</v>
      </c>
      <c r="C424" s="614" t="s">
        <v>838</v>
      </c>
      <c r="D424" s="1135">
        <v>175.25</v>
      </c>
      <c r="E424" s="616" t="s">
        <v>777</v>
      </c>
      <c r="F424" s="201" t="e">
        <f>VLOOKUP(A424,'Compos DER'!J:K,2,FALSE)</f>
        <v>#N/A</v>
      </c>
      <c r="G424" s="198" t="e">
        <f t="shared" si="6"/>
        <v>#N/A</v>
      </c>
    </row>
    <row r="425" spans="1:7" x14ac:dyDescent="0.2">
      <c r="A425" s="1134">
        <v>40448</v>
      </c>
      <c r="B425" s="616" t="s">
        <v>1109</v>
      </c>
      <c r="C425" s="614" t="s">
        <v>838</v>
      </c>
      <c r="D425" s="1135">
        <v>413.59</v>
      </c>
      <c r="E425" s="616" t="s">
        <v>777</v>
      </c>
      <c r="F425" s="201" t="e">
        <f>VLOOKUP(A425,'Compos DER'!J:K,2,FALSE)</f>
        <v>#N/A</v>
      </c>
      <c r="G425" s="198" t="e">
        <f t="shared" si="6"/>
        <v>#N/A</v>
      </c>
    </row>
    <row r="426" spans="1:7" x14ac:dyDescent="0.2">
      <c r="A426" s="1134">
        <v>40449</v>
      </c>
      <c r="B426" s="616" t="s">
        <v>1110</v>
      </c>
      <c r="C426" s="614" t="s">
        <v>838</v>
      </c>
      <c r="D426" s="1135">
        <v>409.37</v>
      </c>
      <c r="E426" s="616" t="s">
        <v>777</v>
      </c>
      <c r="F426" s="201">
        <f>VLOOKUP(A426,'Compos DER'!J:K,2,FALSE)</f>
        <v>428.17</v>
      </c>
      <c r="G426" s="198">
        <f t="shared" si="6"/>
        <v>1.0459242250287</v>
      </c>
    </row>
    <row r="427" spans="1:7" x14ac:dyDescent="0.2">
      <c r="A427" s="1134">
        <v>40450</v>
      </c>
      <c r="B427" s="616" t="s">
        <v>1111</v>
      </c>
      <c r="C427" s="614" t="s">
        <v>838</v>
      </c>
      <c r="D427" s="1135">
        <v>421.01</v>
      </c>
      <c r="E427" s="616" t="s">
        <v>777</v>
      </c>
      <c r="F427" s="201" t="e">
        <f>VLOOKUP(A427,'Compos DER'!J:K,2,FALSE)</f>
        <v>#N/A</v>
      </c>
      <c r="G427" s="198" t="e">
        <f t="shared" si="6"/>
        <v>#N/A</v>
      </c>
    </row>
    <row r="428" spans="1:7" x14ac:dyDescent="0.2">
      <c r="A428" s="1134">
        <v>40451</v>
      </c>
      <c r="B428" s="616" t="s">
        <v>1112</v>
      </c>
      <c r="C428" s="614" t="s">
        <v>838</v>
      </c>
      <c r="D428" s="1135">
        <v>404</v>
      </c>
      <c r="E428" s="616" t="s">
        <v>777</v>
      </c>
      <c r="F428" s="201" t="e">
        <f>VLOOKUP(A428,'Compos DER'!J:K,2,FALSE)</f>
        <v>#N/A</v>
      </c>
      <c r="G428" s="198" t="e">
        <f t="shared" si="6"/>
        <v>#N/A</v>
      </c>
    </row>
    <row r="429" spans="1:7" x14ac:dyDescent="0.2">
      <c r="A429" s="1134">
        <v>40452</v>
      </c>
      <c r="B429" s="616" t="s">
        <v>1113</v>
      </c>
      <c r="C429" s="614" t="s">
        <v>838</v>
      </c>
      <c r="D429" s="1135">
        <v>477.35</v>
      </c>
      <c r="E429" s="616" t="s">
        <v>777</v>
      </c>
      <c r="F429" s="201" t="e">
        <f>VLOOKUP(A429,'Compos DER'!J:K,2,FALSE)</f>
        <v>#N/A</v>
      </c>
      <c r="G429" s="198" t="e">
        <f t="shared" si="6"/>
        <v>#N/A</v>
      </c>
    </row>
    <row r="430" spans="1:7" x14ac:dyDescent="0.2">
      <c r="A430" s="1134">
        <v>40453</v>
      </c>
      <c r="B430" s="616" t="s">
        <v>1114</v>
      </c>
      <c r="C430" s="614" t="s">
        <v>838</v>
      </c>
      <c r="D430" s="1135">
        <v>469.73</v>
      </c>
      <c r="E430" s="616" t="s">
        <v>777</v>
      </c>
      <c r="F430" s="201">
        <f>VLOOKUP(A430,'Compos DER'!J:K,2,FALSE)</f>
        <v>496.08</v>
      </c>
      <c r="G430" s="198">
        <f t="shared" si="6"/>
        <v>1.05609605518064</v>
      </c>
    </row>
    <row r="431" spans="1:7" x14ac:dyDescent="0.2">
      <c r="A431" s="1134">
        <v>40454</v>
      </c>
      <c r="B431" s="616" t="s">
        <v>1115</v>
      </c>
      <c r="C431" s="614" t="s">
        <v>838</v>
      </c>
      <c r="D431" s="1135">
        <v>500.37</v>
      </c>
      <c r="E431" s="616" t="s">
        <v>777</v>
      </c>
      <c r="F431" s="201" t="e">
        <f>VLOOKUP(A431,'Compos DER'!J:K,2,FALSE)</f>
        <v>#N/A</v>
      </c>
      <c r="G431" s="198" t="e">
        <f t="shared" si="6"/>
        <v>#N/A</v>
      </c>
    </row>
    <row r="432" spans="1:7" x14ac:dyDescent="0.2">
      <c r="A432" s="1134">
        <v>40455</v>
      </c>
      <c r="B432" s="616" t="s">
        <v>1116</v>
      </c>
      <c r="C432" s="614" t="s">
        <v>838</v>
      </c>
      <c r="D432" s="1135">
        <v>488.47</v>
      </c>
      <c r="E432" s="616" t="s">
        <v>777</v>
      </c>
      <c r="F432" s="201" t="e">
        <f>VLOOKUP(A432,'Compos DER'!J:K,2,FALSE)</f>
        <v>#N/A</v>
      </c>
      <c r="G432" s="198" t="e">
        <f t="shared" si="6"/>
        <v>#N/A</v>
      </c>
    </row>
    <row r="433" spans="1:7" x14ac:dyDescent="0.2">
      <c r="A433" s="1134">
        <v>40456</v>
      </c>
      <c r="B433" s="616" t="s">
        <v>1117</v>
      </c>
      <c r="C433" s="614" t="s">
        <v>838</v>
      </c>
      <c r="D433" s="1135">
        <v>556.66</v>
      </c>
      <c r="E433" s="616" t="s">
        <v>777</v>
      </c>
      <c r="F433" s="201" t="e">
        <f>VLOOKUP(A433,'Compos DER'!J:K,2,FALSE)</f>
        <v>#N/A</v>
      </c>
      <c r="G433" s="198" t="e">
        <f t="shared" si="6"/>
        <v>#N/A</v>
      </c>
    </row>
    <row r="434" spans="1:7" x14ac:dyDescent="0.2">
      <c r="A434" s="1134">
        <v>40457</v>
      </c>
      <c r="B434" s="616" t="s">
        <v>1118</v>
      </c>
      <c r="C434" s="614" t="s">
        <v>838</v>
      </c>
      <c r="D434" s="1135">
        <v>668.97</v>
      </c>
      <c r="E434" s="616" t="s">
        <v>777</v>
      </c>
      <c r="F434" s="201" t="e">
        <f>VLOOKUP(A434,'Compos DER'!J:K,2,FALSE)</f>
        <v>#N/A</v>
      </c>
      <c r="G434" s="198" t="e">
        <f t="shared" si="6"/>
        <v>#N/A</v>
      </c>
    </row>
    <row r="435" spans="1:7" x14ac:dyDescent="0.2">
      <c r="A435" s="1134">
        <v>40458</v>
      </c>
      <c r="B435" s="616" t="s">
        <v>1119</v>
      </c>
      <c r="C435" s="614" t="s">
        <v>838</v>
      </c>
      <c r="D435" s="1135">
        <v>631.99</v>
      </c>
      <c r="E435" s="616" t="s">
        <v>777</v>
      </c>
      <c r="F435" s="201">
        <f>VLOOKUP(A435,'Compos DER'!J:K,2,FALSE)</f>
        <v>678.28</v>
      </c>
      <c r="G435" s="198">
        <f t="shared" si="6"/>
        <v>1.07324482982326</v>
      </c>
    </row>
    <row r="436" spans="1:7" x14ac:dyDescent="0.2">
      <c r="A436" s="1134">
        <v>40459</v>
      </c>
      <c r="B436" s="616" t="s">
        <v>1120</v>
      </c>
      <c r="C436" s="614" t="s">
        <v>838</v>
      </c>
      <c r="D436" s="1135">
        <v>684.68</v>
      </c>
      <c r="E436" s="616" t="s">
        <v>777</v>
      </c>
      <c r="F436" s="201" t="e">
        <f>VLOOKUP(A436,'Compos DER'!J:K,2,FALSE)</f>
        <v>#N/A</v>
      </c>
      <c r="G436" s="198" t="e">
        <f t="shared" si="6"/>
        <v>#N/A</v>
      </c>
    </row>
    <row r="437" spans="1:7" x14ac:dyDescent="0.2">
      <c r="A437" s="1134">
        <v>40460</v>
      </c>
      <c r="B437" s="616" t="s">
        <v>1121</v>
      </c>
      <c r="C437" s="614" t="s">
        <v>838</v>
      </c>
      <c r="D437" s="1135">
        <v>658.77</v>
      </c>
      <c r="E437" s="616" t="s">
        <v>777</v>
      </c>
      <c r="F437" s="201" t="e">
        <f>VLOOKUP(A437,'Compos DER'!J:K,2,FALSE)</f>
        <v>#N/A</v>
      </c>
      <c r="G437" s="198" t="e">
        <f t="shared" si="6"/>
        <v>#N/A</v>
      </c>
    </row>
    <row r="438" spans="1:7" x14ac:dyDescent="0.2">
      <c r="A438" s="1132" t="s">
        <v>773</v>
      </c>
      <c r="B438" s="617"/>
      <c r="C438" s="617"/>
      <c r="D438" s="617"/>
      <c r="E438" s="617"/>
      <c r="F438" s="201" t="e">
        <f>VLOOKUP(A438,'Compos DER'!J:K,2,FALSE)</f>
        <v>#N/A</v>
      </c>
      <c r="G438" s="198" t="e">
        <f t="shared" si="6"/>
        <v>#N/A</v>
      </c>
    </row>
    <row r="439" spans="1:7" x14ac:dyDescent="0.2">
      <c r="A439" s="1131" t="s">
        <v>708</v>
      </c>
      <c r="B439" s="617"/>
      <c r="C439" s="617"/>
      <c r="D439" s="617"/>
      <c r="E439" s="617"/>
      <c r="F439" s="201" t="e">
        <f>VLOOKUP(A439,'Compos DER'!J:K,2,FALSE)</f>
        <v>#N/A</v>
      </c>
      <c r="G439" s="198" t="e">
        <f t="shared" si="6"/>
        <v>#N/A</v>
      </c>
    </row>
    <row r="440" spans="1:7" x14ac:dyDescent="0.2">
      <c r="A440" s="1131" t="s">
        <v>709</v>
      </c>
      <c r="B440" s="617"/>
      <c r="C440" s="617"/>
      <c r="D440" s="617"/>
      <c r="E440" s="617"/>
      <c r="F440" s="201" t="e">
        <f>VLOOKUP(A440,'Compos DER'!J:K,2,FALSE)</f>
        <v>#N/A</v>
      </c>
      <c r="G440" s="198" t="e">
        <f t="shared" si="6"/>
        <v>#N/A</v>
      </c>
    </row>
    <row r="441" spans="1:7" x14ac:dyDescent="0.2">
      <c r="A441" s="1132" t="s">
        <v>924</v>
      </c>
      <c r="B441" s="617"/>
      <c r="C441" s="617"/>
      <c r="D441" s="617"/>
      <c r="E441" s="617"/>
      <c r="F441" s="201" t="e">
        <f>VLOOKUP(A441,'Compos DER'!J:K,2,FALSE)</f>
        <v>#N/A</v>
      </c>
      <c r="G441" s="198" t="e">
        <f t="shared" si="6"/>
        <v>#N/A</v>
      </c>
    </row>
    <row r="442" spans="1:7" ht="18" x14ac:dyDescent="0.2">
      <c r="A442" s="1133" t="s">
        <v>711</v>
      </c>
      <c r="B442" s="1133" t="s">
        <v>712</v>
      </c>
      <c r="C442" s="1133" t="s">
        <v>713</v>
      </c>
      <c r="D442" s="1133" t="s">
        <v>714</v>
      </c>
      <c r="E442" s="1133" t="s">
        <v>715</v>
      </c>
      <c r="F442" s="201" t="e">
        <f>VLOOKUP(A442,'Compos DER'!J:K,2,FALSE)</f>
        <v>#N/A</v>
      </c>
      <c r="G442" s="198" t="e">
        <f>+F442/D442</f>
        <v>#N/A</v>
      </c>
    </row>
    <row r="443" spans="1:7" x14ac:dyDescent="0.2">
      <c r="A443" s="1134">
        <v>40461</v>
      </c>
      <c r="B443" s="616" t="s">
        <v>1122</v>
      </c>
      <c r="C443" s="614" t="s">
        <v>838</v>
      </c>
      <c r="D443" s="1135">
        <v>797.97</v>
      </c>
      <c r="E443" s="616" t="s">
        <v>777</v>
      </c>
      <c r="F443" s="201" t="e">
        <f>VLOOKUP(A443,'Compos DER'!J:K,2,FALSE)</f>
        <v>#N/A</v>
      </c>
      <c r="G443" s="198" t="e">
        <f t="shared" si="6"/>
        <v>#N/A</v>
      </c>
    </row>
    <row r="444" spans="1:7" x14ac:dyDescent="0.2">
      <c r="A444" s="1134">
        <v>40462</v>
      </c>
      <c r="B444" s="616" t="s">
        <v>1123</v>
      </c>
      <c r="C444" s="614" t="s">
        <v>838</v>
      </c>
      <c r="D444" s="1135">
        <v>848.88</v>
      </c>
      <c r="E444" s="616" t="s">
        <v>777</v>
      </c>
      <c r="F444" s="201" t="e">
        <f>VLOOKUP(A444,'Compos DER'!J:K,2,FALSE)</f>
        <v>#N/A</v>
      </c>
      <c r="G444" s="198" t="e">
        <f t="shared" si="6"/>
        <v>#N/A</v>
      </c>
    </row>
    <row r="445" spans="1:7" x14ac:dyDescent="0.2">
      <c r="A445" s="1134">
        <v>40463</v>
      </c>
      <c r="B445" s="616" t="s">
        <v>1124</v>
      </c>
      <c r="C445" s="614" t="s">
        <v>838</v>
      </c>
      <c r="D445" s="1135">
        <v>842.47</v>
      </c>
      <c r="E445" s="616" t="s">
        <v>777</v>
      </c>
      <c r="F445" s="201" t="e">
        <f>VLOOKUP(A445,'Compos DER'!J:K,2,FALSE)</f>
        <v>#N/A</v>
      </c>
      <c r="G445" s="198" t="e">
        <f t="shared" si="6"/>
        <v>#N/A</v>
      </c>
    </row>
    <row r="446" spans="1:7" x14ac:dyDescent="0.2">
      <c r="A446" s="1134">
        <v>40464</v>
      </c>
      <c r="B446" s="616" t="s">
        <v>1125</v>
      </c>
      <c r="C446" s="614" t="s">
        <v>838</v>
      </c>
      <c r="D446" s="1135">
        <v>847.7</v>
      </c>
      <c r="E446" s="616" t="s">
        <v>777</v>
      </c>
      <c r="F446" s="201" t="e">
        <f>VLOOKUP(A446,'Compos DER'!J:K,2,FALSE)</f>
        <v>#N/A</v>
      </c>
      <c r="G446" s="198" t="e">
        <f t="shared" si="6"/>
        <v>#N/A</v>
      </c>
    </row>
    <row r="447" spans="1:7" x14ac:dyDescent="0.2">
      <c r="A447" s="1134">
        <v>40465</v>
      </c>
      <c r="B447" s="616" t="s">
        <v>1126</v>
      </c>
      <c r="C447" s="614" t="s">
        <v>838</v>
      </c>
      <c r="D447" s="1135">
        <v>876.57</v>
      </c>
      <c r="E447" s="616" t="s">
        <v>777</v>
      </c>
      <c r="F447" s="201" t="e">
        <f>VLOOKUP(A447,'Compos DER'!J:K,2,FALSE)</f>
        <v>#N/A</v>
      </c>
      <c r="G447" s="198" t="e">
        <f t="shared" si="6"/>
        <v>#N/A</v>
      </c>
    </row>
    <row r="448" spans="1:7" x14ac:dyDescent="0.2">
      <c r="A448" s="1134">
        <v>40466</v>
      </c>
      <c r="B448" s="616" t="s">
        <v>1127</v>
      </c>
      <c r="C448" s="614" t="s">
        <v>838</v>
      </c>
      <c r="D448" s="1137">
        <v>1118.1500000000001</v>
      </c>
      <c r="E448" s="616" t="s">
        <v>777</v>
      </c>
      <c r="F448" s="201" t="e">
        <f>VLOOKUP(A448,'Compos DER'!J:K,2,FALSE)</f>
        <v>#N/A</v>
      </c>
      <c r="G448" s="198" t="e">
        <f t="shared" si="6"/>
        <v>#N/A</v>
      </c>
    </row>
    <row r="449" spans="1:7" x14ac:dyDescent="0.2">
      <c r="A449" s="1134">
        <v>40490</v>
      </c>
      <c r="B449" s="616" t="s">
        <v>1128</v>
      </c>
      <c r="C449" s="614" t="s">
        <v>838</v>
      </c>
      <c r="D449" s="1135">
        <v>528.66</v>
      </c>
      <c r="E449" s="616" t="s">
        <v>777</v>
      </c>
      <c r="F449" s="201" t="e">
        <f>VLOOKUP(A449,'Compos DER'!J:K,2,FALSE)</f>
        <v>#N/A</v>
      </c>
      <c r="G449" s="198" t="e">
        <f t="shared" si="6"/>
        <v>#N/A</v>
      </c>
    </row>
    <row r="450" spans="1:7" x14ac:dyDescent="0.2">
      <c r="A450" s="1134">
        <v>40491</v>
      </c>
      <c r="B450" s="616" t="s">
        <v>1129</v>
      </c>
      <c r="C450" s="614" t="s">
        <v>838</v>
      </c>
      <c r="D450" s="1135">
        <v>568.20000000000005</v>
      </c>
      <c r="E450" s="616" t="s">
        <v>777</v>
      </c>
      <c r="F450" s="201" t="e">
        <f>VLOOKUP(A450,'Compos DER'!J:K,2,FALSE)</f>
        <v>#N/A</v>
      </c>
      <c r="G450" s="198" t="e">
        <f t="shared" si="6"/>
        <v>#N/A</v>
      </c>
    </row>
    <row r="451" spans="1:7" x14ac:dyDescent="0.2">
      <c r="A451" s="1134">
        <v>40492</v>
      </c>
      <c r="B451" s="616" t="s">
        <v>1130</v>
      </c>
      <c r="C451" s="614" t="s">
        <v>838</v>
      </c>
      <c r="D451" s="1135">
        <v>535.16999999999996</v>
      </c>
      <c r="E451" s="616" t="s">
        <v>777</v>
      </c>
      <c r="F451" s="201" t="e">
        <f>VLOOKUP(A451,'Compos DER'!J:K,2,FALSE)</f>
        <v>#N/A</v>
      </c>
      <c r="G451" s="198" t="e">
        <f t="shared" si="6"/>
        <v>#N/A</v>
      </c>
    </row>
    <row r="452" spans="1:7" x14ac:dyDescent="0.2">
      <c r="A452" s="1134">
        <v>40493</v>
      </c>
      <c r="B452" s="616" t="s">
        <v>1131</v>
      </c>
      <c r="C452" s="614" t="s">
        <v>838</v>
      </c>
      <c r="D452" s="1135">
        <v>522.14</v>
      </c>
      <c r="E452" s="616" t="s">
        <v>777</v>
      </c>
      <c r="F452" s="201" t="e">
        <f>VLOOKUP(A452,'Compos DER'!J:K,2,FALSE)</f>
        <v>#N/A</v>
      </c>
      <c r="G452" s="198" t="e">
        <f t="shared" ref="G452:G514" si="7">+F452/D452</f>
        <v>#N/A</v>
      </c>
    </row>
    <row r="453" spans="1:7" x14ac:dyDescent="0.2">
      <c r="A453" s="1134">
        <v>40494</v>
      </c>
      <c r="B453" s="616" t="s">
        <v>1132</v>
      </c>
      <c r="C453" s="614" t="s">
        <v>838</v>
      </c>
      <c r="D453" s="1137">
        <v>1070.76</v>
      </c>
      <c r="E453" s="616" t="s">
        <v>777</v>
      </c>
      <c r="F453" s="201" t="e">
        <f>VLOOKUP(A453,'Compos DER'!J:K,2,FALSE)</f>
        <v>#N/A</v>
      </c>
      <c r="G453" s="198" t="e">
        <f t="shared" si="7"/>
        <v>#N/A</v>
      </c>
    </row>
    <row r="454" spans="1:7" x14ac:dyDescent="0.2">
      <c r="A454" s="1134">
        <v>40495</v>
      </c>
      <c r="B454" s="616" t="s">
        <v>1133</v>
      </c>
      <c r="C454" s="614" t="s">
        <v>838</v>
      </c>
      <c r="D454" s="1137">
        <v>1058.1099999999999</v>
      </c>
      <c r="E454" s="616" t="s">
        <v>777</v>
      </c>
      <c r="F454" s="201" t="e">
        <f>VLOOKUP(A454,'Compos DER'!J:K,2,FALSE)</f>
        <v>#N/A</v>
      </c>
      <c r="G454" s="198" t="e">
        <f t="shared" si="7"/>
        <v>#N/A</v>
      </c>
    </row>
    <row r="455" spans="1:7" x14ac:dyDescent="0.2">
      <c r="A455" s="1134">
        <v>40496</v>
      </c>
      <c r="B455" s="616" t="s">
        <v>1134</v>
      </c>
      <c r="C455" s="614" t="s">
        <v>838</v>
      </c>
      <c r="D455" s="1137">
        <v>1093.03</v>
      </c>
      <c r="E455" s="616" t="s">
        <v>777</v>
      </c>
      <c r="F455" s="201" t="e">
        <f>VLOOKUP(A455,'Compos DER'!J:K,2,FALSE)</f>
        <v>#N/A</v>
      </c>
      <c r="G455" s="198" t="e">
        <f t="shared" si="7"/>
        <v>#N/A</v>
      </c>
    </row>
    <row r="456" spans="1:7" x14ac:dyDescent="0.2">
      <c r="A456" s="1134">
        <v>40497</v>
      </c>
      <c r="B456" s="616" t="s">
        <v>1135</v>
      </c>
      <c r="C456" s="614" t="s">
        <v>838</v>
      </c>
      <c r="D456" s="1137">
        <v>1042.01</v>
      </c>
      <c r="E456" s="616" t="s">
        <v>777</v>
      </c>
      <c r="F456" s="201" t="e">
        <f>VLOOKUP(A456,'Compos DER'!J:K,2,FALSE)</f>
        <v>#N/A</v>
      </c>
      <c r="G456" s="198" t="e">
        <f t="shared" si="7"/>
        <v>#N/A</v>
      </c>
    </row>
    <row r="457" spans="1:7" x14ac:dyDescent="0.2">
      <c r="A457" s="1134">
        <v>40498</v>
      </c>
      <c r="B457" s="616" t="s">
        <v>1136</v>
      </c>
      <c r="C457" s="614" t="s">
        <v>838</v>
      </c>
      <c r="D457" s="1137">
        <v>1262.05</v>
      </c>
      <c r="E457" s="616" t="s">
        <v>777</v>
      </c>
      <c r="F457" s="201" t="e">
        <f>VLOOKUP(A457,'Compos DER'!J:K,2,FALSE)</f>
        <v>#N/A</v>
      </c>
      <c r="G457" s="198" t="e">
        <f t="shared" si="7"/>
        <v>#N/A</v>
      </c>
    </row>
    <row r="458" spans="1:7" x14ac:dyDescent="0.2">
      <c r="A458" s="1134">
        <v>40499</v>
      </c>
      <c r="B458" s="616" t="s">
        <v>1137</v>
      </c>
      <c r="C458" s="614" t="s">
        <v>838</v>
      </c>
      <c r="D458" s="1137">
        <v>1239.19</v>
      </c>
      <c r="E458" s="616" t="s">
        <v>777</v>
      </c>
      <c r="F458" s="201">
        <f>VLOOKUP(A458,'Compos DER'!J:K,2,FALSE)</f>
        <v>1318.22</v>
      </c>
      <c r="G458" s="198">
        <f t="shared" si="7"/>
        <v>1.0637755307902701</v>
      </c>
    </row>
    <row r="459" spans="1:7" x14ac:dyDescent="0.2">
      <c r="A459" s="1134">
        <v>40500</v>
      </c>
      <c r="B459" s="616" t="s">
        <v>1138</v>
      </c>
      <c r="C459" s="614" t="s">
        <v>838</v>
      </c>
      <c r="D459" s="1137">
        <v>1331.09</v>
      </c>
      <c r="E459" s="616" t="s">
        <v>777</v>
      </c>
      <c r="F459" s="201" t="e">
        <f>VLOOKUP(A459,'Compos DER'!J:K,2,FALSE)</f>
        <v>#N/A</v>
      </c>
      <c r="G459" s="198" t="e">
        <f t="shared" si="7"/>
        <v>#N/A</v>
      </c>
    </row>
    <row r="460" spans="1:7" x14ac:dyDescent="0.2">
      <c r="A460" s="1134">
        <v>40501</v>
      </c>
      <c r="B460" s="616" t="s">
        <v>1139</v>
      </c>
      <c r="C460" s="614" t="s">
        <v>838</v>
      </c>
      <c r="D460" s="1137">
        <v>1295.3900000000001</v>
      </c>
      <c r="E460" s="616" t="s">
        <v>777</v>
      </c>
      <c r="F460" s="201" t="e">
        <f>VLOOKUP(A460,'Compos DER'!J:K,2,FALSE)</f>
        <v>#N/A</v>
      </c>
      <c r="G460" s="198" t="e">
        <f t="shared" si="7"/>
        <v>#N/A</v>
      </c>
    </row>
    <row r="461" spans="1:7" x14ac:dyDescent="0.2">
      <c r="A461" s="1134">
        <v>40502</v>
      </c>
      <c r="B461" s="616" t="s">
        <v>1140</v>
      </c>
      <c r="C461" s="614" t="s">
        <v>838</v>
      </c>
      <c r="D461" s="1137">
        <v>1499.97</v>
      </c>
      <c r="E461" s="616" t="s">
        <v>777</v>
      </c>
      <c r="F461" s="201" t="e">
        <f>VLOOKUP(A461,'Compos DER'!J:K,2,FALSE)</f>
        <v>#N/A</v>
      </c>
      <c r="G461" s="198" t="e">
        <f t="shared" si="7"/>
        <v>#N/A</v>
      </c>
    </row>
    <row r="462" spans="1:7" x14ac:dyDescent="0.2">
      <c r="A462" s="1134">
        <v>40503</v>
      </c>
      <c r="B462" s="616" t="s">
        <v>1141</v>
      </c>
      <c r="C462" s="614" t="s">
        <v>838</v>
      </c>
      <c r="D462" s="1137">
        <v>1836.92</v>
      </c>
      <c r="E462" s="616" t="s">
        <v>777</v>
      </c>
      <c r="F462" s="201" t="e">
        <f>VLOOKUP(A462,'Compos DER'!J:K,2,FALSE)</f>
        <v>#N/A</v>
      </c>
      <c r="G462" s="198" t="e">
        <f t="shared" si="7"/>
        <v>#N/A</v>
      </c>
    </row>
    <row r="463" spans="1:7" x14ac:dyDescent="0.2">
      <c r="A463" s="1134">
        <v>40504</v>
      </c>
      <c r="B463" s="616" t="s">
        <v>1142</v>
      </c>
      <c r="C463" s="614" t="s">
        <v>838</v>
      </c>
      <c r="D463" s="1137">
        <v>1725.97</v>
      </c>
      <c r="E463" s="616" t="s">
        <v>777</v>
      </c>
      <c r="F463" s="201">
        <f>VLOOKUP(A463,'Compos DER'!J:K,2,FALSE)</f>
        <v>1864.87</v>
      </c>
      <c r="G463" s="198">
        <f t="shared" si="7"/>
        <v>1.0804764856863101</v>
      </c>
    </row>
    <row r="464" spans="1:7" x14ac:dyDescent="0.2">
      <c r="A464" s="1134">
        <v>40505</v>
      </c>
      <c r="B464" s="616" t="s">
        <v>1143</v>
      </c>
      <c r="C464" s="614" t="s">
        <v>838</v>
      </c>
      <c r="D464" s="1137">
        <v>1884.05</v>
      </c>
      <c r="E464" s="616" t="s">
        <v>777</v>
      </c>
      <c r="F464" s="201" t="e">
        <f>VLOOKUP(A464,'Compos DER'!J:K,2,FALSE)</f>
        <v>#N/A</v>
      </c>
      <c r="G464" s="198" t="e">
        <f t="shared" si="7"/>
        <v>#N/A</v>
      </c>
    </row>
    <row r="465" spans="1:7" x14ac:dyDescent="0.2">
      <c r="A465" s="1134">
        <v>40506</v>
      </c>
      <c r="B465" s="616" t="s">
        <v>1144</v>
      </c>
      <c r="C465" s="614" t="s">
        <v>838</v>
      </c>
      <c r="D465" s="1137">
        <v>1806.32</v>
      </c>
      <c r="E465" s="616" t="s">
        <v>777</v>
      </c>
      <c r="F465" s="201" t="e">
        <f>VLOOKUP(A465,'Compos DER'!J:K,2,FALSE)</f>
        <v>#N/A</v>
      </c>
      <c r="G465" s="198" t="e">
        <f t="shared" si="7"/>
        <v>#N/A</v>
      </c>
    </row>
    <row r="466" spans="1:7" x14ac:dyDescent="0.2">
      <c r="A466" s="1134">
        <v>40507</v>
      </c>
      <c r="B466" s="616" t="s">
        <v>1145</v>
      </c>
      <c r="C466" s="614" t="s">
        <v>838</v>
      </c>
      <c r="D466" s="1137">
        <v>2223.94</v>
      </c>
      <c r="E466" s="616" t="s">
        <v>777</v>
      </c>
      <c r="F466" s="201" t="e">
        <f>VLOOKUP(A466,'Compos DER'!J:K,2,FALSE)</f>
        <v>#N/A</v>
      </c>
      <c r="G466" s="198" t="e">
        <f t="shared" si="7"/>
        <v>#N/A</v>
      </c>
    </row>
    <row r="467" spans="1:7" x14ac:dyDescent="0.2">
      <c r="A467" s="1134">
        <v>40508</v>
      </c>
      <c r="B467" s="616" t="s">
        <v>1146</v>
      </c>
      <c r="C467" s="614" t="s">
        <v>838</v>
      </c>
      <c r="D467" s="1137">
        <v>2376.6799999999998</v>
      </c>
      <c r="E467" s="616" t="s">
        <v>777</v>
      </c>
      <c r="F467" s="201" t="e">
        <f>VLOOKUP(A467,'Compos DER'!J:K,2,FALSE)</f>
        <v>#N/A</v>
      </c>
      <c r="G467" s="198" t="e">
        <f t="shared" si="7"/>
        <v>#N/A</v>
      </c>
    </row>
    <row r="468" spans="1:7" x14ac:dyDescent="0.2">
      <c r="A468" s="1134">
        <v>40509</v>
      </c>
      <c r="B468" s="616" t="s">
        <v>1147</v>
      </c>
      <c r="C468" s="614" t="s">
        <v>838</v>
      </c>
      <c r="D468" s="1137">
        <v>2357.44</v>
      </c>
      <c r="E468" s="616" t="s">
        <v>777</v>
      </c>
      <c r="F468" s="201">
        <f>VLOOKUP(A468,'Compos DER'!J:K,2,FALSE)</f>
        <v>2538.75</v>
      </c>
      <c r="G468" s="198">
        <f t="shared" si="7"/>
        <v>1.0769096986561699</v>
      </c>
    </row>
    <row r="469" spans="1:7" x14ac:dyDescent="0.2">
      <c r="A469" s="1134">
        <v>40510</v>
      </c>
      <c r="B469" s="616" t="s">
        <v>1148</v>
      </c>
      <c r="C469" s="614" t="s">
        <v>838</v>
      </c>
      <c r="D469" s="1137">
        <v>2373.13</v>
      </c>
      <c r="E469" s="616" t="s">
        <v>777</v>
      </c>
      <c r="F469" s="201" t="e">
        <f>VLOOKUP(A469,'Compos DER'!J:K,2,FALSE)</f>
        <v>#N/A</v>
      </c>
      <c r="G469" s="198" t="e">
        <f t="shared" si="7"/>
        <v>#N/A</v>
      </c>
    </row>
    <row r="470" spans="1:7" x14ac:dyDescent="0.2">
      <c r="A470" s="1134">
        <v>40511</v>
      </c>
      <c r="B470" s="616" t="s">
        <v>1149</v>
      </c>
      <c r="C470" s="614" t="s">
        <v>838</v>
      </c>
      <c r="D470" s="1137">
        <v>2459.7399999999998</v>
      </c>
      <c r="E470" s="616" t="s">
        <v>777</v>
      </c>
      <c r="F470" s="201" t="e">
        <f>VLOOKUP(A470,'Compos DER'!J:K,2,FALSE)</f>
        <v>#N/A</v>
      </c>
      <c r="G470" s="198" t="e">
        <f t="shared" si="7"/>
        <v>#N/A</v>
      </c>
    </row>
    <row r="471" spans="1:7" x14ac:dyDescent="0.2">
      <c r="A471" s="1134">
        <v>40512</v>
      </c>
      <c r="B471" s="616" t="s">
        <v>1150</v>
      </c>
      <c r="C471" s="614" t="s">
        <v>838</v>
      </c>
      <c r="D471" s="1137">
        <v>3184.49</v>
      </c>
      <c r="E471" s="616" t="s">
        <v>777</v>
      </c>
      <c r="F471" s="201" t="e">
        <f>VLOOKUP(A471,'Compos DER'!J:K,2,FALSE)</f>
        <v>#N/A</v>
      </c>
      <c r="G471" s="198" t="e">
        <f t="shared" si="7"/>
        <v>#N/A</v>
      </c>
    </row>
    <row r="472" spans="1:7" x14ac:dyDescent="0.2">
      <c r="A472" s="1134">
        <v>40586</v>
      </c>
      <c r="B472" s="616" t="s">
        <v>1151</v>
      </c>
      <c r="C472" s="614" t="s">
        <v>838</v>
      </c>
      <c r="D472" s="1137">
        <v>4859.6400000000003</v>
      </c>
      <c r="E472" s="1136"/>
      <c r="F472" s="201" t="e">
        <f>VLOOKUP(A472,'Compos DER'!J:K,2,FALSE)</f>
        <v>#N/A</v>
      </c>
      <c r="G472" s="198" t="e">
        <f t="shared" si="7"/>
        <v>#N/A</v>
      </c>
    </row>
    <row r="473" spans="1:7" x14ac:dyDescent="0.2">
      <c r="A473" s="1134">
        <v>40592</v>
      </c>
      <c r="B473" s="616" t="s">
        <v>1152</v>
      </c>
      <c r="C473" s="614" t="s">
        <v>838</v>
      </c>
      <c r="D473" s="1137">
        <v>5121.57</v>
      </c>
      <c r="E473" s="1136"/>
      <c r="F473" s="201" t="e">
        <f>VLOOKUP(A473,'Compos DER'!J:K,2,FALSE)</f>
        <v>#N/A</v>
      </c>
      <c r="G473" s="198" t="e">
        <f t="shared" si="7"/>
        <v>#N/A</v>
      </c>
    </row>
    <row r="474" spans="1:7" x14ac:dyDescent="0.2">
      <c r="A474" s="1134">
        <v>40598</v>
      </c>
      <c r="B474" s="616" t="s">
        <v>1153</v>
      </c>
      <c r="C474" s="614" t="s">
        <v>838</v>
      </c>
      <c r="D474" s="1137">
        <v>7193.16</v>
      </c>
      <c r="E474" s="1136"/>
      <c r="F474" s="201" t="e">
        <f>VLOOKUP(A474,'Compos DER'!J:K,2,FALSE)</f>
        <v>#N/A</v>
      </c>
      <c r="G474" s="198" t="e">
        <f t="shared" si="7"/>
        <v>#N/A</v>
      </c>
    </row>
    <row r="475" spans="1:7" x14ac:dyDescent="0.2">
      <c r="A475" s="1134">
        <v>40587</v>
      </c>
      <c r="B475" s="616" t="s">
        <v>1154</v>
      </c>
      <c r="C475" s="614" t="s">
        <v>838</v>
      </c>
      <c r="D475" s="1137">
        <v>7053.66</v>
      </c>
      <c r="E475" s="1136"/>
      <c r="F475" s="201" t="e">
        <f>VLOOKUP(A475,'Compos DER'!J:K,2,FALSE)</f>
        <v>#N/A</v>
      </c>
      <c r="G475" s="198" t="e">
        <f t="shared" si="7"/>
        <v>#N/A</v>
      </c>
    </row>
    <row r="476" spans="1:7" x14ac:dyDescent="0.2">
      <c r="A476" s="1134">
        <v>40593</v>
      </c>
      <c r="B476" s="616" t="s">
        <v>1155</v>
      </c>
      <c r="C476" s="614" t="s">
        <v>838</v>
      </c>
      <c r="D476" s="1137">
        <v>7913.77</v>
      </c>
      <c r="E476" s="1136"/>
      <c r="F476" s="201" t="e">
        <f>VLOOKUP(A476,'Compos DER'!J:K,2,FALSE)</f>
        <v>#N/A</v>
      </c>
      <c r="G476" s="198" t="e">
        <f t="shared" si="7"/>
        <v>#N/A</v>
      </c>
    </row>
    <row r="477" spans="1:7" x14ac:dyDescent="0.2">
      <c r="A477" s="1134">
        <v>40588</v>
      </c>
      <c r="B477" s="616" t="s">
        <v>1156</v>
      </c>
      <c r="C477" s="614" t="s">
        <v>838</v>
      </c>
      <c r="D477" s="1137">
        <v>9944.19</v>
      </c>
      <c r="E477" s="1136"/>
      <c r="F477" s="201" t="e">
        <f>VLOOKUP(A477,'Compos DER'!J:K,2,FALSE)</f>
        <v>#N/A</v>
      </c>
      <c r="G477" s="198" t="e">
        <f t="shared" si="7"/>
        <v>#N/A</v>
      </c>
    </row>
    <row r="478" spans="1:7" x14ac:dyDescent="0.2">
      <c r="A478" s="1134">
        <v>40594</v>
      </c>
      <c r="B478" s="616" t="s">
        <v>1157</v>
      </c>
      <c r="C478" s="614" t="s">
        <v>838</v>
      </c>
      <c r="D478" s="1137">
        <v>11707.14</v>
      </c>
      <c r="E478" s="1136"/>
      <c r="F478" s="201" t="e">
        <f>VLOOKUP(A478,'Compos DER'!J:K,2,FALSE)</f>
        <v>#N/A</v>
      </c>
      <c r="G478" s="198" t="e">
        <f t="shared" si="7"/>
        <v>#N/A</v>
      </c>
    </row>
    <row r="479" spans="1:7" x14ac:dyDescent="0.2">
      <c r="A479" s="1134">
        <v>40599</v>
      </c>
      <c r="B479" s="616" t="s">
        <v>1158</v>
      </c>
      <c r="C479" s="614" t="s">
        <v>838</v>
      </c>
      <c r="D479" s="1137">
        <v>10374.549999999999</v>
      </c>
      <c r="E479" s="1136"/>
      <c r="F479" s="201" t="e">
        <f>VLOOKUP(A479,'Compos DER'!J:K,2,FALSE)</f>
        <v>#N/A</v>
      </c>
      <c r="G479" s="198" t="e">
        <f t="shared" si="7"/>
        <v>#N/A</v>
      </c>
    </row>
    <row r="480" spans="1:7" x14ac:dyDescent="0.2">
      <c r="A480" s="1134">
        <v>40589</v>
      </c>
      <c r="B480" s="616" t="s">
        <v>1159</v>
      </c>
      <c r="C480" s="614" t="s">
        <v>838</v>
      </c>
      <c r="D480" s="1137">
        <v>9504.19</v>
      </c>
      <c r="E480" s="1136"/>
      <c r="F480" s="201" t="e">
        <f>VLOOKUP(A480,'Compos DER'!J:K,2,FALSE)</f>
        <v>#N/A</v>
      </c>
      <c r="G480" s="198" t="e">
        <f t="shared" si="7"/>
        <v>#N/A</v>
      </c>
    </row>
    <row r="481" spans="1:7" x14ac:dyDescent="0.2">
      <c r="A481" s="1134">
        <v>40595</v>
      </c>
      <c r="B481" s="616" t="s">
        <v>1160</v>
      </c>
      <c r="C481" s="614" t="s">
        <v>838</v>
      </c>
      <c r="D481" s="1137">
        <v>10590.89</v>
      </c>
      <c r="E481" s="1136"/>
      <c r="F481" s="201" t="e">
        <f>VLOOKUP(A481,'Compos DER'!J:K,2,FALSE)</f>
        <v>#N/A</v>
      </c>
      <c r="G481" s="198" t="e">
        <f t="shared" si="7"/>
        <v>#N/A</v>
      </c>
    </row>
    <row r="482" spans="1:7" x14ac:dyDescent="0.2">
      <c r="A482" s="1134">
        <v>40590</v>
      </c>
      <c r="B482" s="616" t="s">
        <v>1161</v>
      </c>
      <c r="C482" s="614" t="s">
        <v>838</v>
      </c>
      <c r="D482" s="1137">
        <v>11427.32</v>
      </c>
      <c r="E482" s="1136"/>
      <c r="F482" s="201" t="e">
        <f>VLOOKUP(A482,'Compos DER'!J:K,2,FALSE)</f>
        <v>#N/A</v>
      </c>
      <c r="G482" s="198" t="e">
        <f t="shared" si="7"/>
        <v>#N/A</v>
      </c>
    </row>
    <row r="483" spans="1:7" x14ac:dyDescent="0.2">
      <c r="A483" s="1134">
        <v>40596</v>
      </c>
      <c r="B483" s="616" t="s">
        <v>1162</v>
      </c>
      <c r="C483" s="614" t="s">
        <v>838</v>
      </c>
      <c r="D483" s="1137">
        <v>12630.57</v>
      </c>
      <c r="E483" s="1136"/>
      <c r="F483" s="201" t="e">
        <f>VLOOKUP(A483,'Compos DER'!J:K,2,FALSE)</f>
        <v>#N/A</v>
      </c>
      <c r="G483" s="198" t="e">
        <f t="shared" si="7"/>
        <v>#N/A</v>
      </c>
    </row>
    <row r="484" spans="1:7" x14ac:dyDescent="0.2">
      <c r="A484" s="1132" t="s">
        <v>773</v>
      </c>
      <c r="B484" s="617"/>
      <c r="C484" s="617"/>
      <c r="D484" s="617"/>
      <c r="E484" s="617"/>
      <c r="F484" s="201" t="e">
        <f>VLOOKUP(A484,'Compos DER'!J:K,2,FALSE)</f>
        <v>#N/A</v>
      </c>
      <c r="G484" s="198" t="e">
        <f t="shared" si="7"/>
        <v>#N/A</v>
      </c>
    </row>
    <row r="485" spans="1:7" x14ac:dyDescent="0.2">
      <c r="A485" s="1131" t="s">
        <v>708</v>
      </c>
      <c r="B485" s="617"/>
      <c r="C485" s="617"/>
      <c r="D485" s="617"/>
      <c r="E485" s="617"/>
      <c r="F485" s="201" t="e">
        <f>VLOOKUP(A485,'Compos DER'!J:K,2,FALSE)</f>
        <v>#N/A</v>
      </c>
      <c r="G485" s="198" t="e">
        <f t="shared" si="7"/>
        <v>#N/A</v>
      </c>
    </row>
    <row r="486" spans="1:7" x14ac:dyDescent="0.2">
      <c r="A486" s="1131" t="s">
        <v>709</v>
      </c>
      <c r="B486" s="617"/>
      <c r="C486" s="617"/>
      <c r="D486" s="617"/>
      <c r="E486" s="617"/>
      <c r="F486" s="201" t="e">
        <f>VLOOKUP(A486,'Compos DER'!J:K,2,FALSE)</f>
        <v>#N/A</v>
      </c>
      <c r="G486" s="198" t="e">
        <f t="shared" si="7"/>
        <v>#N/A</v>
      </c>
    </row>
    <row r="487" spans="1:7" x14ac:dyDescent="0.2">
      <c r="A487" s="1132" t="s">
        <v>924</v>
      </c>
      <c r="B487" s="617"/>
      <c r="C487" s="617"/>
      <c r="D487" s="617"/>
      <c r="E487" s="617"/>
      <c r="F487" s="201" t="e">
        <f>VLOOKUP(A487,'Compos DER'!J:K,2,FALSE)</f>
        <v>#N/A</v>
      </c>
      <c r="G487" s="198" t="e">
        <f t="shared" si="7"/>
        <v>#N/A</v>
      </c>
    </row>
    <row r="488" spans="1:7" ht="18" x14ac:dyDescent="0.2">
      <c r="A488" s="1133" t="s">
        <v>711</v>
      </c>
      <c r="B488" s="1133" t="s">
        <v>712</v>
      </c>
      <c r="C488" s="1133" t="s">
        <v>713</v>
      </c>
      <c r="D488" s="1133" t="s">
        <v>714</v>
      </c>
      <c r="E488" s="1133" t="s">
        <v>715</v>
      </c>
      <c r="F488" s="201" t="e">
        <f>VLOOKUP(A488,'Compos DER'!J:K,2,FALSE)</f>
        <v>#N/A</v>
      </c>
      <c r="G488" s="198" t="e">
        <f t="shared" si="7"/>
        <v>#N/A</v>
      </c>
    </row>
    <row r="489" spans="1:7" x14ac:dyDescent="0.2">
      <c r="A489" s="1134">
        <v>40591</v>
      </c>
      <c r="B489" s="616" t="s">
        <v>1163</v>
      </c>
      <c r="C489" s="614" t="s">
        <v>838</v>
      </c>
      <c r="D489" s="1137">
        <v>12516.15</v>
      </c>
      <c r="E489" s="1136"/>
      <c r="F489" s="201" t="e">
        <f>VLOOKUP(A489,'Compos DER'!J:K,2,FALSE)</f>
        <v>#N/A</v>
      </c>
      <c r="G489" s="198" t="e">
        <f t="shared" si="7"/>
        <v>#N/A</v>
      </c>
    </row>
    <row r="490" spans="1:7" x14ac:dyDescent="0.2">
      <c r="A490" s="1134">
        <v>40597</v>
      </c>
      <c r="B490" s="616" t="s">
        <v>1164</v>
      </c>
      <c r="C490" s="614" t="s">
        <v>838</v>
      </c>
      <c r="D490" s="1137">
        <v>13408.52</v>
      </c>
      <c r="E490" s="1136"/>
      <c r="F490" s="201" t="e">
        <f>VLOOKUP(A490,'Compos DER'!J:K,2,FALSE)</f>
        <v>#N/A</v>
      </c>
      <c r="G490" s="198" t="e">
        <f t="shared" si="7"/>
        <v>#N/A</v>
      </c>
    </row>
    <row r="491" spans="1:7" x14ac:dyDescent="0.2">
      <c r="A491" s="1134">
        <v>40573</v>
      </c>
      <c r="B491" s="616" t="s">
        <v>1165</v>
      </c>
      <c r="C491" s="614" t="s">
        <v>838</v>
      </c>
      <c r="D491" s="1137">
        <v>2973.93</v>
      </c>
      <c r="E491" s="1136"/>
      <c r="F491" s="201" t="e">
        <f>VLOOKUP(A491,'Compos DER'!J:K,2,FALSE)</f>
        <v>#N/A</v>
      </c>
      <c r="G491" s="198" t="e">
        <f t="shared" si="7"/>
        <v>#N/A</v>
      </c>
    </row>
    <row r="492" spans="1:7" x14ac:dyDescent="0.2">
      <c r="A492" s="1134">
        <v>40579</v>
      </c>
      <c r="B492" s="616" t="s">
        <v>1166</v>
      </c>
      <c r="C492" s="614" t="s">
        <v>838</v>
      </c>
      <c r="D492" s="1137">
        <v>3170.38</v>
      </c>
      <c r="E492" s="1136"/>
      <c r="F492" s="201" t="e">
        <f>VLOOKUP(A492,'Compos DER'!J:K,2,FALSE)</f>
        <v>#N/A</v>
      </c>
      <c r="G492" s="198" t="e">
        <f t="shared" si="7"/>
        <v>#N/A</v>
      </c>
    </row>
    <row r="493" spans="1:7" x14ac:dyDescent="0.2">
      <c r="A493" s="1134">
        <v>41113</v>
      </c>
      <c r="B493" s="616" t="s">
        <v>1167</v>
      </c>
      <c r="C493" s="614" t="s">
        <v>838</v>
      </c>
      <c r="D493" s="1137">
        <v>5195.1000000000004</v>
      </c>
      <c r="E493" s="1136"/>
      <c r="F493" s="201" t="e">
        <f>VLOOKUP(A493,'Compos DER'!J:K,2,FALSE)</f>
        <v>#N/A</v>
      </c>
      <c r="G493" s="198" t="e">
        <f t="shared" si="7"/>
        <v>#N/A</v>
      </c>
    </row>
    <row r="494" spans="1:7" x14ac:dyDescent="0.2">
      <c r="A494" s="1134">
        <v>40574</v>
      </c>
      <c r="B494" s="616" t="s">
        <v>1168</v>
      </c>
      <c r="C494" s="614" t="s">
        <v>838</v>
      </c>
      <c r="D494" s="1137">
        <v>4231.42</v>
      </c>
      <c r="E494" s="1136"/>
      <c r="F494" s="201">
        <f>VLOOKUP(A494,'Compos DER'!J:K,2,FALSE)</f>
        <v>4341.59</v>
      </c>
      <c r="G494" s="198">
        <f t="shared" si="7"/>
        <v>1.02603617698078</v>
      </c>
    </row>
    <row r="495" spans="1:7" x14ac:dyDescent="0.2">
      <c r="A495" s="1134">
        <v>40580</v>
      </c>
      <c r="B495" s="616" t="s">
        <v>1169</v>
      </c>
      <c r="C495" s="614" t="s">
        <v>838</v>
      </c>
      <c r="D495" s="1137">
        <v>4736.72</v>
      </c>
      <c r="E495" s="1136"/>
      <c r="F495" s="201" t="e">
        <f>VLOOKUP(A495,'Compos DER'!J:K,2,FALSE)</f>
        <v>#N/A</v>
      </c>
      <c r="G495" s="198" t="e">
        <f t="shared" si="7"/>
        <v>#N/A</v>
      </c>
    </row>
    <row r="496" spans="1:7" x14ac:dyDescent="0.2">
      <c r="A496" s="1134">
        <v>40575</v>
      </c>
      <c r="B496" s="616" t="s">
        <v>1170</v>
      </c>
      <c r="C496" s="614" t="s">
        <v>838</v>
      </c>
      <c r="D496" s="1137">
        <v>6099.2</v>
      </c>
      <c r="E496" s="1136"/>
      <c r="F496" s="201" t="e">
        <f>VLOOKUP(A496,'Compos DER'!J:K,2,FALSE)</f>
        <v>#N/A</v>
      </c>
      <c r="G496" s="198" t="e">
        <f t="shared" si="7"/>
        <v>#N/A</v>
      </c>
    </row>
    <row r="497" spans="1:7" x14ac:dyDescent="0.2">
      <c r="A497" s="1134">
        <v>40581</v>
      </c>
      <c r="B497" s="616" t="s">
        <v>1171</v>
      </c>
      <c r="C497" s="614" t="s">
        <v>838</v>
      </c>
      <c r="D497" s="1137">
        <v>7707.56</v>
      </c>
      <c r="E497" s="1136"/>
      <c r="F497" s="201" t="e">
        <f>VLOOKUP(A497,'Compos DER'!J:K,2,FALSE)</f>
        <v>#N/A</v>
      </c>
      <c r="G497" s="198" t="e">
        <f t="shared" si="7"/>
        <v>#N/A</v>
      </c>
    </row>
    <row r="498" spans="1:7" x14ac:dyDescent="0.2">
      <c r="A498" s="1134">
        <v>40576</v>
      </c>
      <c r="B498" s="616" t="s">
        <v>1172</v>
      </c>
      <c r="C498" s="614" t="s">
        <v>838</v>
      </c>
      <c r="D498" s="1137">
        <v>5981.32</v>
      </c>
      <c r="E498" s="1136"/>
      <c r="F498" s="201" t="e">
        <f>VLOOKUP(A498,'Compos DER'!J:K,2,FALSE)</f>
        <v>#N/A</v>
      </c>
      <c r="G498" s="198" t="e">
        <f t="shared" si="7"/>
        <v>#N/A</v>
      </c>
    </row>
    <row r="499" spans="1:7" x14ac:dyDescent="0.2">
      <c r="A499" s="1134">
        <v>40582</v>
      </c>
      <c r="B499" s="616" t="s">
        <v>1173</v>
      </c>
      <c r="C499" s="614" t="s">
        <v>838</v>
      </c>
      <c r="D499" s="1137">
        <v>6675.44</v>
      </c>
      <c r="E499" s="1136"/>
      <c r="F499" s="201" t="e">
        <f>VLOOKUP(A499,'Compos DER'!J:K,2,FALSE)</f>
        <v>#N/A</v>
      </c>
      <c r="G499" s="198" t="e">
        <f t="shared" si="7"/>
        <v>#N/A</v>
      </c>
    </row>
    <row r="500" spans="1:7" x14ac:dyDescent="0.2">
      <c r="A500" s="1134">
        <v>40577</v>
      </c>
      <c r="B500" s="616" t="s">
        <v>1174</v>
      </c>
      <c r="C500" s="614" t="s">
        <v>838</v>
      </c>
      <c r="D500" s="1137">
        <v>7506.58</v>
      </c>
      <c r="E500" s="1136"/>
      <c r="F500" s="201" t="e">
        <f>VLOOKUP(A500,'Compos DER'!J:K,2,FALSE)</f>
        <v>#N/A</v>
      </c>
      <c r="G500" s="198" t="e">
        <f t="shared" si="7"/>
        <v>#N/A</v>
      </c>
    </row>
    <row r="501" spans="1:7" x14ac:dyDescent="0.2">
      <c r="A501" s="1134">
        <v>40583</v>
      </c>
      <c r="B501" s="616" t="s">
        <v>1175</v>
      </c>
      <c r="C501" s="614" t="s">
        <v>838</v>
      </c>
      <c r="D501" s="1137">
        <v>9049.4599999999991</v>
      </c>
      <c r="E501" s="1136"/>
      <c r="F501" s="201" t="e">
        <f>VLOOKUP(A501,'Compos DER'!J:K,2,FALSE)</f>
        <v>#N/A</v>
      </c>
      <c r="G501" s="198" t="e">
        <f t="shared" si="7"/>
        <v>#N/A</v>
      </c>
    </row>
    <row r="502" spans="1:7" x14ac:dyDescent="0.2">
      <c r="A502" s="1134">
        <v>40578</v>
      </c>
      <c r="B502" s="616" t="s">
        <v>1176</v>
      </c>
      <c r="C502" s="614" t="s">
        <v>838</v>
      </c>
      <c r="D502" s="1137">
        <v>8141.58</v>
      </c>
      <c r="E502" s="1136"/>
      <c r="F502" s="201">
        <f>VLOOKUP(A502,'Compos DER'!J:K,2,FALSE)</f>
        <v>8395.4699999999993</v>
      </c>
      <c r="G502" s="198">
        <f t="shared" si="7"/>
        <v>1.03118436470562</v>
      </c>
    </row>
    <row r="503" spans="1:7" x14ac:dyDescent="0.2">
      <c r="A503" s="1134">
        <v>40584</v>
      </c>
      <c r="B503" s="616" t="s">
        <v>1177</v>
      </c>
      <c r="C503" s="614" t="s">
        <v>838</v>
      </c>
      <c r="D503" s="1137">
        <v>9350.98</v>
      </c>
      <c r="E503" s="1136"/>
      <c r="F503" s="201" t="e">
        <f>VLOOKUP(A503,'Compos DER'!J:K,2,FALSE)</f>
        <v>#N/A</v>
      </c>
      <c r="G503" s="198" t="e">
        <f t="shared" si="7"/>
        <v>#N/A</v>
      </c>
    </row>
    <row r="504" spans="1:7" x14ac:dyDescent="0.2">
      <c r="A504" s="1134">
        <v>40601</v>
      </c>
      <c r="B504" s="616" t="s">
        <v>1178</v>
      </c>
      <c r="C504" s="614" t="s">
        <v>838</v>
      </c>
      <c r="D504" s="1137">
        <v>6820.5</v>
      </c>
      <c r="E504" s="1136"/>
      <c r="F504" s="201" t="e">
        <f>VLOOKUP(A504,'Compos DER'!J:K,2,FALSE)</f>
        <v>#N/A</v>
      </c>
      <c r="G504" s="198" t="e">
        <f t="shared" si="7"/>
        <v>#N/A</v>
      </c>
    </row>
    <row r="505" spans="1:7" x14ac:dyDescent="0.2">
      <c r="A505" s="1134">
        <v>40607</v>
      </c>
      <c r="B505" s="616" t="s">
        <v>1179</v>
      </c>
      <c r="C505" s="614" t="s">
        <v>838</v>
      </c>
      <c r="D505" s="1137">
        <v>7305.08</v>
      </c>
      <c r="E505" s="1136"/>
      <c r="F505" s="201" t="e">
        <f>VLOOKUP(A505,'Compos DER'!J:K,2,FALSE)</f>
        <v>#N/A</v>
      </c>
      <c r="G505" s="198" t="e">
        <f t="shared" si="7"/>
        <v>#N/A</v>
      </c>
    </row>
    <row r="506" spans="1:7" x14ac:dyDescent="0.2">
      <c r="A506" s="1134">
        <v>40602</v>
      </c>
      <c r="B506" s="616" t="s">
        <v>1180</v>
      </c>
      <c r="C506" s="614" t="s">
        <v>838</v>
      </c>
      <c r="D506" s="1137">
        <v>10009.129999999999</v>
      </c>
      <c r="E506" s="1136"/>
      <c r="F506" s="201" t="e">
        <f>VLOOKUP(A506,'Compos DER'!J:K,2,FALSE)</f>
        <v>#N/A</v>
      </c>
      <c r="G506" s="198" t="e">
        <f t="shared" si="7"/>
        <v>#N/A</v>
      </c>
    </row>
    <row r="507" spans="1:7" x14ac:dyDescent="0.2">
      <c r="A507" s="1134">
        <v>40608</v>
      </c>
      <c r="B507" s="616" t="s">
        <v>1181</v>
      </c>
      <c r="C507" s="614" t="s">
        <v>838</v>
      </c>
      <c r="D507" s="1137">
        <v>10877.77</v>
      </c>
      <c r="E507" s="1136"/>
      <c r="F507" s="201" t="e">
        <f>VLOOKUP(A507,'Compos DER'!J:K,2,FALSE)</f>
        <v>#N/A</v>
      </c>
      <c r="G507" s="198" t="e">
        <f t="shared" si="7"/>
        <v>#N/A</v>
      </c>
    </row>
    <row r="508" spans="1:7" x14ac:dyDescent="0.2">
      <c r="A508" s="1134">
        <v>40603</v>
      </c>
      <c r="B508" s="616" t="s">
        <v>1182</v>
      </c>
      <c r="C508" s="614" t="s">
        <v>838</v>
      </c>
      <c r="D508" s="1137">
        <v>14510.76</v>
      </c>
      <c r="E508" s="1136"/>
      <c r="F508" s="201" t="e">
        <f>VLOOKUP(A508,'Compos DER'!J:K,2,FALSE)</f>
        <v>#N/A</v>
      </c>
      <c r="G508" s="198" t="e">
        <f t="shared" si="7"/>
        <v>#N/A</v>
      </c>
    </row>
    <row r="509" spans="1:7" x14ac:dyDescent="0.2">
      <c r="A509" s="1134">
        <v>40609</v>
      </c>
      <c r="B509" s="616" t="s">
        <v>1183</v>
      </c>
      <c r="C509" s="614" t="s">
        <v>838</v>
      </c>
      <c r="D509" s="1137">
        <v>16478.84</v>
      </c>
      <c r="E509" s="1136"/>
      <c r="F509" s="201" t="e">
        <f>VLOOKUP(A509,'Compos DER'!J:K,2,FALSE)</f>
        <v>#N/A</v>
      </c>
      <c r="G509" s="198" t="e">
        <f t="shared" si="7"/>
        <v>#N/A</v>
      </c>
    </row>
    <row r="510" spans="1:7" x14ac:dyDescent="0.2">
      <c r="A510" s="1134">
        <v>40604</v>
      </c>
      <c r="B510" s="616" t="s">
        <v>1184</v>
      </c>
      <c r="C510" s="614" t="s">
        <v>838</v>
      </c>
      <c r="D510" s="1137">
        <v>13107.79</v>
      </c>
      <c r="E510" s="1136"/>
      <c r="F510" s="201" t="e">
        <f>VLOOKUP(A510,'Compos DER'!J:K,2,FALSE)</f>
        <v>#N/A</v>
      </c>
      <c r="G510" s="198" t="e">
        <f t="shared" si="7"/>
        <v>#N/A</v>
      </c>
    </row>
    <row r="511" spans="1:7" x14ac:dyDescent="0.2">
      <c r="A511" s="1134">
        <v>40610</v>
      </c>
      <c r="B511" s="616" t="s">
        <v>1185</v>
      </c>
      <c r="C511" s="614" t="s">
        <v>838</v>
      </c>
      <c r="D511" s="1137">
        <v>14659.31</v>
      </c>
      <c r="E511" s="1136"/>
      <c r="F511" s="201" t="e">
        <f>VLOOKUP(A511,'Compos DER'!J:K,2,FALSE)</f>
        <v>#N/A</v>
      </c>
      <c r="G511" s="198" t="e">
        <f t="shared" si="7"/>
        <v>#N/A</v>
      </c>
    </row>
    <row r="512" spans="1:7" x14ac:dyDescent="0.2">
      <c r="A512" s="1134">
        <v>40605</v>
      </c>
      <c r="B512" s="616" t="s">
        <v>1186</v>
      </c>
      <c r="C512" s="614" t="s">
        <v>838</v>
      </c>
      <c r="D512" s="1137">
        <v>16218.15</v>
      </c>
      <c r="E512" s="1136"/>
      <c r="F512" s="201" t="e">
        <f>VLOOKUP(A512,'Compos DER'!J:K,2,FALSE)</f>
        <v>#N/A</v>
      </c>
      <c r="G512" s="198" t="e">
        <f t="shared" si="7"/>
        <v>#N/A</v>
      </c>
    </row>
    <row r="513" spans="1:7" x14ac:dyDescent="0.2">
      <c r="A513" s="1134">
        <v>40611</v>
      </c>
      <c r="B513" s="616" t="s">
        <v>1187</v>
      </c>
      <c r="C513" s="614" t="s">
        <v>838</v>
      </c>
      <c r="D513" s="1137">
        <v>18418.37</v>
      </c>
      <c r="E513" s="1136"/>
      <c r="F513" s="201" t="e">
        <f>VLOOKUP(A513,'Compos DER'!J:K,2,FALSE)</f>
        <v>#N/A</v>
      </c>
      <c r="G513" s="198" t="e">
        <f t="shared" si="7"/>
        <v>#N/A</v>
      </c>
    </row>
    <row r="514" spans="1:7" x14ac:dyDescent="0.2">
      <c r="A514" s="1134">
        <v>40606</v>
      </c>
      <c r="B514" s="616" t="s">
        <v>1188</v>
      </c>
      <c r="C514" s="614" t="s">
        <v>838</v>
      </c>
      <c r="D514" s="1137">
        <v>17330.36</v>
      </c>
      <c r="E514" s="1136"/>
      <c r="F514" s="201" t="e">
        <f>VLOOKUP(A514,'Compos DER'!J:K,2,FALSE)</f>
        <v>#N/A</v>
      </c>
      <c r="G514" s="198" t="e">
        <f t="shared" si="7"/>
        <v>#N/A</v>
      </c>
    </row>
    <row r="515" spans="1:7" x14ac:dyDescent="0.2">
      <c r="A515" s="1134">
        <v>40612</v>
      </c>
      <c r="B515" s="616" t="s">
        <v>1189</v>
      </c>
      <c r="C515" s="614" t="s">
        <v>838</v>
      </c>
      <c r="D515" s="1137">
        <v>19425.79</v>
      </c>
      <c r="E515" s="1136"/>
      <c r="F515" s="201" t="e">
        <f>VLOOKUP(A515,'Compos DER'!J:K,2,FALSE)</f>
        <v>#N/A</v>
      </c>
      <c r="G515" s="198" t="e">
        <f t="shared" ref="G515:G578" si="8">+F515/D515</f>
        <v>#N/A</v>
      </c>
    </row>
    <row r="516" spans="1:7" x14ac:dyDescent="0.2">
      <c r="A516" s="1134">
        <v>40305</v>
      </c>
      <c r="B516" s="616" t="s">
        <v>1190</v>
      </c>
      <c r="C516" s="614" t="s">
        <v>719</v>
      </c>
      <c r="D516" s="1135">
        <v>15.67</v>
      </c>
      <c r="E516" s="1136"/>
      <c r="F516" s="201" t="e">
        <f>VLOOKUP(A516,'Compos DER'!J:K,2,FALSE)</f>
        <v>#N/A</v>
      </c>
      <c r="G516" s="198" t="e">
        <f t="shared" si="8"/>
        <v>#N/A</v>
      </c>
    </row>
    <row r="517" spans="1:7" x14ac:dyDescent="0.2">
      <c r="A517" s="1134">
        <v>40306</v>
      </c>
      <c r="B517" s="616" t="s">
        <v>1191</v>
      </c>
      <c r="C517" s="614" t="s">
        <v>719</v>
      </c>
      <c r="D517" s="1135">
        <v>31.36</v>
      </c>
      <c r="E517" s="1136"/>
      <c r="F517" s="201" t="e">
        <f>VLOOKUP(A517,'Compos DER'!J:K,2,FALSE)</f>
        <v>#N/A</v>
      </c>
      <c r="G517" s="198" t="e">
        <f t="shared" si="8"/>
        <v>#N/A</v>
      </c>
    </row>
    <row r="518" spans="1:7" x14ac:dyDescent="0.2">
      <c r="A518" s="1134">
        <v>41049</v>
      </c>
      <c r="B518" s="616" t="s">
        <v>1192</v>
      </c>
      <c r="C518" s="614" t="s">
        <v>838</v>
      </c>
      <c r="D518" s="1135">
        <v>21.8</v>
      </c>
      <c r="E518" s="1136"/>
      <c r="F518" s="201" t="e">
        <f>VLOOKUP(A518,'Compos DER'!J:K,2,FALSE)</f>
        <v>#N/A</v>
      </c>
      <c r="G518" s="198" t="e">
        <f t="shared" si="8"/>
        <v>#N/A</v>
      </c>
    </row>
    <row r="519" spans="1:7" x14ac:dyDescent="0.2">
      <c r="A519" s="1134">
        <v>40372</v>
      </c>
      <c r="B519" s="616" t="s">
        <v>1193</v>
      </c>
      <c r="C519" s="614" t="s">
        <v>719</v>
      </c>
      <c r="D519" s="1135">
        <v>219.47</v>
      </c>
      <c r="E519" s="1136"/>
      <c r="F519" s="201" t="e">
        <f>VLOOKUP(A519,'Compos DER'!J:K,2,FALSE)</f>
        <v>#N/A</v>
      </c>
      <c r="G519" s="198" t="e">
        <f t="shared" si="8"/>
        <v>#N/A</v>
      </c>
    </row>
    <row r="520" spans="1:7" x14ac:dyDescent="0.2">
      <c r="A520" s="1134">
        <v>40374</v>
      </c>
      <c r="B520" s="616" t="s">
        <v>1194</v>
      </c>
      <c r="C520" s="614" t="s">
        <v>719</v>
      </c>
      <c r="D520" s="1135">
        <v>323.92</v>
      </c>
      <c r="E520" s="1136"/>
      <c r="F520" s="201" t="e">
        <f>VLOOKUP(A520,'Compos DER'!J:K,2,FALSE)</f>
        <v>#N/A</v>
      </c>
      <c r="G520" s="198" t="e">
        <f t="shared" si="8"/>
        <v>#N/A</v>
      </c>
    </row>
    <row r="521" spans="1:7" x14ac:dyDescent="0.2">
      <c r="A521" s="1134">
        <v>40373</v>
      </c>
      <c r="B521" s="616" t="s">
        <v>1195</v>
      </c>
      <c r="C521" s="614" t="s">
        <v>719</v>
      </c>
      <c r="D521" s="1135">
        <v>285.81</v>
      </c>
      <c r="E521" s="1136"/>
      <c r="F521" s="201" t="e">
        <f>VLOOKUP(A521,'Compos DER'!J:K,2,FALSE)</f>
        <v>#N/A</v>
      </c>
      <c r="G521" s="198" t="e">
        <f t="shared" si="8"/>
        <v>#N/A</v>
      </c>
    </row>
    <row r="522" spans="1:7" x14ac:dyDescent="0.2">
      <c r="A522" s="1134">
        <v>40375</v>
      </c>
      <c r="B522" s="616" t="s">
        <v>1196</v>
      </c>
      <c r="C522" s="614" t="s">
        <v>719</v>
      </c>
      <c r="D522" s="1135">
        <v>165.55</v>
      </c>
      <c r="E522" s="1136"/>
      <c r="F522" s="201" t="e">
        <f>VLOOKUP(A522,'Compos DER'!J:K,2,FALSE)</f>
        <v>#N/A</v>
      </c>
      <c r="G522" s="198" t="e">
        <f t="shared" si="8"/>
        <v>#N/A</v>
      </c>
    </row>
    <row r="523" spans="1:7" x14ac:dyDescent="0.2">
      <c r="A523" s="1134">
        <v>40678</v>
      </c>
      <c r="B523" s="616" t="s">
        <v>1197</v>
      </c>
      <c r="C523" s="614" t="s">
        <v>838</v>
      </c>
      <c r="D523" s="1135">
        <v>424.4</v>
      </c>
      <c r="E523" s="1136"/>
      <c r="F523" s="201" t="e">
        <f>VLOOKUP(A523,'Compos DER'!J:K,2,FALSE)</f>
        <v>#N/A</v>
      </c>
      <c r="G523" s="198" t="e">
        <f t="shared" si="8"/>
        <v>#N/A</v>
      </c>
    </row>
    <row r="524" spans="1:7" x14ac:dyDescent="0.2">
      <c r="A524" s="1134">
        <v>40679</v>
      </c>
      <c r="B524" s="616" t="s">
        <v>1198</v>
      </c>
      <c r="C524" s="614" t="s">
        <v>734</v>
      </c>
      <c r="D524" s="1135">
        <v>807.67</v>
      </c>
      <c r="E524" s="1136"/>
      <c r="F524" s="201" t="e">
        <f>VLOOKUP(A524,'Compos DER'!J:K,2,FALSE)</f>
        <v>#N/A</v>
      </c>
      <c r="G524" s="198" t="e">
        <f t="shared" si="8"/>
        <v>#N/A</v>
      </c>
    </row>
    <row r="525" spans="1:7" x14ac:dyDescent="0.2">
      <c r="A525" s="1134">
        <v>40684</v>
      </c>
      <c r="B525" s="616" t="s">
        <v>1199</v>
      </c>
      <c r="C525" s="614" t="s">
        <v>734</v>
      </c>
      <c r="D525" s="1135">
        <v>853.62</v>
      </c>
      <c r="E525" s="1136"/>
      <c r="F525" s="201" t="e">
        <f>VLOOKUP(A525,'Compos DER'!J:K,2,FALSE)</f>
        <v>#N/A</v>
      </c>
      <c r="G525" s="198" t="e">
        <f t="shared" si="8"/>
        <v>#N/A</v>
      </c>
    </row>
    <row r="526" spans="1:7" x14ac:dyDescent="0.2">
      <c r="A526" s="1134">
        <v>40683</v>
      </c>
      <c r="B526" s="616" t="s">
        <v>1200</v>
      </c>
      <c r="C526" s="614" t="s">
        <v>838</v>
      </c>
      <c r="D526" s="1135">
        <v>425.87</v>
      </c>
      <c r="E526" s="1136"/>
      <c r="F526" s="201" t="e">
        <f>VLOOKUP(A526,'Compos DER'!J:K,2,FALSE)</f>
        <v>#N/A</v>
      </c>
      <c r="G526" s="198" t="e">
        <f t="shared" si="8"/>
        <v>#N/A</v>
      </c>
    </row>
    <row r="527" spans="1:7" x14ac:dyDescent="0.2">
      <c r="A527" s="1134">
        <v>40685</v>
      </c>
      <c r="B527" s="616" t="s">
        <v>1201</v>
      </c>
      <c r="C527" s="614" t="s">
        <v>734</v>
      </c>
      <c r="D527" s="1135">
        <v>764.04</v>
      </c>
      <c r="E527" s="1136"/>
      <c r="F527" s="201" t="e">
        <f>VLOOKUP(A527,'Compos DER'!J:K,2,FALSE)</f>
        <v>#N/A</v>
      </c>
      <c r="G527" s="198" t="e">
        <f t="shared" si="8"/>
        <v>#N/A</v>
      </c>
    </row>
    <row r="528" spans="1:7" x14ac:dyDescent="0.2">
      <c r="A528" s="1134">
        <v>40686</v>
      </c>
      <c r="B528" s="616" t="s">
        <v>1202</v>
      </c>
      <c r="C528" s="614" t="s">
        <v>838</v>
      </c>
      <c r="D528" s="1135">
        <v>582.4</v>
      </c>
      <c r="E528" s="1136"/>
      <c r="F528" s="201" t="e">
        <f>VLOOKUP(A528,'Compos DER'!J:K,2,FALSE)</f>
        <v>#N/A</v>
      </c>
      <c r="G528" s="198" t="e">
        <f t="shared" si="8"/>
        <v>#N/A</v>
      </c>
    </row>
    <row r="529" spans="1:7" x14ac:dyDescent="0.2">
      <c r="A529" s="1134">
        <v>40687</v>
      </c>
      <c r="B529" s="616" t="s">
        <v>1203</v>
      </c>
      <c r="C529" s="614" t="s">
        <v>838</v>
      </c>
      <c r="D529" s="1135">
        <v>544.75</v>
      </c>
      <c r="E529" s="1136"/>
      <c r="F529" s="201" t="e">
        <f>VLOOKUP(A529,'Compos DER'!J:K,2,FALSE)</f>
        <v>#N/A</v>
      </c>
      <c r="G529" s="198" t="e">
        <f t="shared" si="8"/>
        <v>#N/A</v>
      </c>
    </row>
    <row r="530" spans="1:7" x14ac:dyDescent="0.2">
      <c r="A530" s="1134">
        <v>40676</v>
      </c>
      <c r="B530" s="616" t="s">
        <v>1204</v>
      </c>
      <c r="C530" s="614" t="s">
        <v>838</v>
      </c>
      <c r="D530" s="1135">
        <v>332.72</v>
      </c>
      <c r="E530" s="1136"/>
      <c r="F530" s="201">
        <f>VLOOKUP(A530,'Compos DER'!J:K,2,FALSE)</f>
        <v>347.65</v>
      </c>
      <c r="G530" s="198">
        <f t="shared" si="8"/>
        <v>1.04487256552056</v>
      </c>
    </row>
    <row r="531" spans="1:7" x14ac:dyDescent="0.2">
      <c r="A531" s="1134">
        <v>40677</v>
      </c>
      <c r="B531" s="616" t="s">
        <v>1205</v>
      </c>
      <c r="C531" s="614" t="s">
        <v>734</v>
      </c>
      <c r="D531" s="1135">
        <v>702.89</v>
      </c>
      <c r="E531" s="1136"/>
      <c r="F531" s="201">
        <f>VLOOKUP(A531,'Compos DER'!J:K,2,FALSE)</f>
        <v>745.83</v>
      </c>
      <c r="G531" s="198">
        <f t="shared" si="8"/>
        <v>1.0610906400717</v>
      </c>
    </row>
    <row r="532" spans="1:7" x14ac:dyDescent="0.2">
      <c r="A532" s="1134">
        <v>40681</v>
      </c>
      <c r="B532" s="616" t="s">
        <v>1206</v>
      </c>
      <c r="C532" s="614" t="s">
        <v>734</v>
      </c>
      <c r="D532" s="1135">
        <v>777.01</v>
      </c>
      <c r="E532" s="1136"/>
      <c r="F532" s="201">
        <f>VLOOKUP(A532,'Compos DER'!J:K,2,FALSE)</f>
        <v>838.72</v>
      </c>
      <c r="G532" s="198">
        <f t="shared" si="8"/>
        <v>1.07941982728665</v>
      </c>
    </row>
    <row r="533" spans="1:7" x14ac:dyDescent="0.2">
      <c r="A533" s="1134">
        <v>40680</v>
      </c>
      <c r="B533" s="616" t="s">
        <v>1207</v>
      </c>
      <c r="C533" s="614" t="s">
        <v>838</v>
      </c>
      <c r="D533" s="1135">
        <v>399.68</v>
      </c>
      <c r="E533" s="1136"/>
      <c r="F533" s="201">
        <f>VLOOKUP(A533,'Compos DER'!J:K,2,FALSE)</f>
        <v>421.13</v>
      </c>
      <c r="G533" s="198">
        <f t="shared" si="8"/>
        <v>1.05366793434748</v>
      </c>
    </row>
    <row r="534" spans="1:7" x14ac:dyDescent="0.2">
      <c r="A534" s="1134">
        <v>40682</v>
      </c>
      <c r="B534" s="616" t="s">
        <v>1208</v>
      </c>
      <c r="C534" s="614" t="s">
        <v>734</v>
      </c>
      <c r="D534" s="1135">
        <v>698.55</v>
      </c>
      <c r="E534" s="1136"/>
      <c r="F534" s="201">
        <f>VLOOKUP(A534,'Compos DER'!J:K,2,FALSE)</f>
        <v>741.36</v>
      </c>
      <c r="G534" s="198">
        <f t="shared" si="8"/>
        <v>1.06128408846897</v>
      </c>
    </row>
    <row r="535" spans="1:7" x14ac:dyDescent="0.2">
      <c r="A535" s="1134">
        <v>41189</v>
      </c>
      <c r="B535" s="616" t="s">
        <v>1209</v>
      </c>
      <c r="C535" s="614" t="s">
        <v>838</v>
      </c>
      <c r="D535" s="1135">
        <v>42</v>
      </c>
      <c r="E535" s="616" t="s">
        <v>777</v>
      </c>
      <c r="F535" s="201" t="e">
        <f>VLOOKUP(A535,'Compos DER'!J:K,2,FALSE)</f>
        <v>#N/A</v>
      </c>
      <c r="G535" s="198" t="e">
        <f t="shared" si="8"/>
        <v>#N/A</v>
      </c>
    </row>
    <row r="536" spans="1:7" x14ac:dyDescent="0.2">
      <c r="A536" s="1134">
        <v>40728</v>
      </c>
      <c r="B536" s="616" t="s">
        <v>1210</v>
      </c>
      <c r="C536" s="614" t="s">
        <v>734</v>
      </c>
      <c r="D536" s="1135">
        <v>400.42</v>
      </c>
      <c r="E536" s="616" t="s">
        <v>777</v>
      </c>
      <c r="F536" s="201" t="e">
        <f>VLOOKUP(A536,'Compos DER'!J:K,2,FALSE)</f>
        <v>#N/A</v>
      </c>
      <c r="G536" s="198" t="e">
        <f t="shared" si="8"/>
        <v>#N/A</v>
      </c>
    </row>
    <row r="537" spans="1:7" x14ac:dyDescent="0.2">
      <c r="A537" s="1134">
        <v>40732</v>
      </c>
      <c r="B537" s="616" t="s">
        <v>1211</v>
      </c>
      <c r="C537" s="614" t="s">
        <v>734</v>
      </c>
      <c r="D537" s="1135">
        <v>693.72</v>
      </c>
      <c r="E537" s="616" t="s">
        <v>777</v>
      </c>
      <c r="F537" s="201">
        <f>VLOOKUP(A537,'Compos DER'!J:K,2,FALSE)</f>
        <v>719.84</v>
      </c>
      <c r="G537" s="198">
        <f t="shared" si="8"/>
        <v>1.03765207864845</v>
      </c>
    </row>
    <row r="538" spans="1:7" x14ac:dyDescent="0.2">
      <c r="A538" s="1134">
        <v>40733</v>
      </c>
      <c r="B538" s="616" t="s">
        <v>1212</v>
      </c>
      <c r="C538" s="614" t="s">
        <v>734</v>
      </c>
      <c r="D538" s="1137">
        <v>1703.29</v>
      </c>
      <c r="E538" s="616" t="s">
        <v>777</v>
      </c>
      <c r="F538" s="201" t="e">
        <f>VLOOKUP(A538,'Compos DER'!J:K,2,FALSE)</f>
        <v>#N/A</v>
      </c>
      <c r="G538" s="198" t="e">
        <f t="shared" si="8"/>
        <v>#N/A</v>
      </c>
    </row>
    <row r="539" spans="1:7" x14ac:dyDescent="0.2">
      <c r="A539" s="1134">
        <v>40734</v>
      </c>
      <c r="B539" s="616" t="s">
        <v>1213</v>
      </c>
      <c r="C539" s="614" t="s">
        <v>734</v>
      </c>
      <c r="D539" s="1137">
        <v>2664.35</v>
      </c>
      <c r="E539" s="616" t="s">
        <v>777</v>
      </c>
      <c r="F539" s="201">
        <f>VLOOKUP(A539,'Compos DER'!J:K,2,FALSE)</f>
        <v>2794.88</v>
      </c>
      <c r="G539" s="198">
        <f t="shared" si="8"/>
        <v>1.04899131120161</v>
      </c>
    </row>
    <row r="540" spans="1:7" x14ac:dyDescent="0.2">
      <c r="A540" s="1134">
        <v>40735</v>
      </c>
      <c r="B540" s="616" t="s">
        <v>1214</v>
      </c>
      <c r="C540" s="614" t="s">
        <v>734</v>
      </c>
      <c r="D540" s="1137">
        <v>3846.75</v>
      </c>
      <c r="E540" s="616" t="s">
        <v>777</v>
      </c>
      <c r="F540" s="201">
        <f>VLOOKUP(A540,'Compos DER'!J:K,2,FALSE)</f>
        <v>4038.06</v>
      </c>
      <c r="G540" s="198">
        <f t="shared" si="8"/>
        <v>1.04973289140183</v>
      </c>
    </row>
    <row r="541" spans="1:7" x14ac:dyDescent="0.2">
      <c r="A541" s="1134">
        <v>40736</v>
      </c>
      <c r="B541" s="616" t="s">
        <v>1215</v>
      </c>
      <c r="C541" s="614" t="s">
        <v>734</v>
      </c>
      <c r="D541" s="1137">
        <v>5172.43</v>
      </c>
      <c r="E541" s="616" t="s">
        <v>777</v>
      </c>
      <c r="F541" s="201">
        <f>VLOOKUP(A541,'Compos DER'!J:K,2,FALSE)</f>
        <v>5431.7</v>
      </c>
      <c r="G541" s="198">
        <f t="shared" si="8"/>
        <v>1.0501253762738201</v>
      </c>
    </row>
    <row r="542" spans="1:7" x14ac:dyDescent="0.2">
      <c r="A542" s="1134">
        <v>40737</v>
      </c>
      <c r="B542" s="616" t="s">
        <v>1216</v>
      </c>
      <c r="C542" s="614" t="s">
        <v>734</v>
      </c>
      <c r="D542" s="1137">
        <v>8208.01</v>
      </c>
      <c r="E542" s="616" t="s">
        <v>777</v>
      </c>
      <c r="F542" s="201" t="e">
        <f>VLOOKUP(A542,'Compos DER'!J:K,2,FALSE)</f>
        <v>#N/A</v>
      </c>
      <c r="G542" s="198" t="e">
        <f t="shared" si="8"/>
        <v>#N/A</v>
      </c>
    </row>
    <row r="543" spans="1:7" x14ac:dyDescent="0.2">
      <c r="A543" s="1134">
        <v>40738</v>
      </c>
      <c r="B543" s="616" t="s">
        <v>1217</v>
      </c>
      <c r="C543" s="614" t="s">
        <v>734</v>
      </c>
      <c r="D543" s="1137">
        <v>5259.21</v>
      </c>
      <c r="E543" s="616" t="s">
        <v>777</v>
      </c>
      <c r="F543" s="201">
        <f>VLOOKUP(A543,'Compos DER'!J:K,2,FALSE)</f>
        <v>5529.08</v>
      </c>
      <c r="G543" s="198">
        <f t="shared" si="8"/>
        <v>1.05131379047423</v>
      </c>
    </row>
    <row r="544" spans="1:7" x14ac:dyDescent="0.2">
      <c r="A544" s="1134">
        <v>40739</v>
      </c>
      <c r="B544" s="616" t="s">
        <v>1218</v>
      </c>
      <c r="C544" s="614" t="s">
        <v>734</v>
      </c>
      <c r="D544" s="1137">
        <v>7075.65</v>
      </c>
      <c r="E544" s="616" t="s">
        <v>777</v>
      </c>
      <c r="F544" s="201" t="e">
        <f>VLOOKUP(A544,'Compos DER'!J:K,2,FALSE)</f>
        <v>#N/A</v>
      </c>
      <c r="G544" s="198" t="e">
        <f t="shared" si="8"/>
        <v>#N/A</v>
      </c>
    </row>
    <row r="545" spans="1:7" x14ac:dyDescent="0.2">
      <c r="A545" s="1134">
        <v>40740</v>
      </c>
      <c r="B545" s="616" t="s">
        <v>1219</v>
      </c>
      <c r="C545" s="614" t="s">
        <v>734</v>
      </c>
      <c r="D545" s="1137">
        <v>10960.86</v>
      </c>
      <c r="E545" s="616" t="s">
        <v>777</v>
      </c>
      <c r="F545" s="201" t="e">
        <f>VLOOKUP(A545,'Compos DER'!J:K,2,FALSE)</f>
        <v>#N/A</v>
      </c>
      <c r="G545" s="198" t="e">
        <f t="shared" si="8"/>
        <v>#N/A</v>
      </c>
    </row>
    <row r="546" spans="1:7" x14ac:dyDescent="0.2">
      <c r="A546" s="1134">
        <v>40741</v>
      </c>
      <c r="B546" s="616" t="s">
        <v>1220</v>
      </c>
      <c r="C546" s="614" t="s">
        <v>734</v>
      </c>
      <c r="D546" s="1137">
        <v>6679.99</v>
      </c>
      <c r="E546" s="616" t="s">
        <v>777</v>
      </c>
      <c r="F546" s="201">
        <f>VLOOKUP(A546,'Compos DER'!J:K,2,FALSE)</f>
        <v>7028.4</v>
      </c>
      <c r="G546" s="198">
        <f t="shared" si="8"/>
        <v>1.05215726370848</v>
      </c>
    </row>
    <row r="547" spans="1:7" x14ac:dyDescent="0.2">
      <c r="A547" s="1134">
        <v>40742</v>
      </c>
      <c r="B547" s="616" t="s">
        <v>1221</v>
      </c>
      <c r="C547" s="614" t="s">
        <v>734</v>
      </c>
      <c r="D547" s="1137">
        <v>13711.55</v>
      </c>
      <c r="E547" s="616" t="s">
        <v>777</v>
      </c>
      <c r="F547" s="201">
        <f>VLOOKUP(A547,'Compos DER'!J:K,2,FALSE)</f>
        <v>14448.73</v>
      </c>
      <c r="G547" s="198">
        <f t="shared" si="8"/>
        <v>1.05376343301815</v>
      </c>
    </row>
    <row r="548" spans="1:7" x14ac:dyDescent="0.2">
      <c r="A548" s="1134">
        <v>40729</v>
      </c>
      <c r="B548" s="616" t="s">
        <v>1222</v>
      </c>
      <c r="C548" s="614" t="s">
        <v>734</v>
      </c>
      <c r="D548" s="1135">
        <v>336.67</v>
      </c>
      <c r="E548" s="616" t="s">
        <v>777</v>
      </c>
      <c r="F548" s="201" t="e">
        <f>VLOOKUP(A548,'Compos DER'!J:K,2,FALSE)</f>
        <v>#N/A</v>
      </c>
      <c r="G548" s="198" t="e">
        <f t="shared" si="8"/>
        <v>#N/A</v>
      </c>
    </row>
    <row r="549" spans="1:7" x14ac:dyDescent="0.2">
      <c r="A549" s="1134">
        <v>40730</v>
      </c>
      <c r="B549" s="616" t="s">
        <v>1223</v>
      </c>
      <c r="C549" s="614" t="s">
        <v>734</v>
      </c>
      <c r="D549" s="1135">
        <v>400.42</v>
      </c>
      <c r="E549" s="616" t="s">
        <v>777</v>
      </c>
      <c r="F549" s="201" t="e">
        <f>VLOOKUP(A549,'Compos DER'!J:K,2,FALSE)</f>
        <v>#N/A</v>
      </c>
      <c r="G549" s="198" t="e">
        <f t="shared" si="8"/>
        <v>#N/A</v>
      </c>
    </row>
    <row r="550" spans="1:7" x14ac:dyDescent="0.2">
      <c r="A550" s="1134">
        <v>40731</v>
      </c>
      <c r="B550" s="616" t="s">
        <v>1224</v>
      </c>
      <c r="C550" s="614" t="s">
        <v>734</v>
      </c>
      <c r="D550" s="1135">
        <v>477.47</v>
      </c>
      <c r="E550" s="616" t="s">
        <v>777</v>
      </c>
      <c r="F550" s="201">
        <f>VLOOKUP(A550,'Compos DER'!J:K,2,FALSE)</f>
        <v>498.79</v>
      </c>
      <c r="G550" s="198">
        <f t="shared" si="8"/>
        <v>1.0446520200222</v>
      </c>
    </row>
    <row r="551" spans="1:7" ht="18" x14ac:dyDescent="0.2">
      <c r="A551" s="1134">
        <v>40650</v>
      </c>
      <c r="B551" s="1136" t="s">
        <v>1225</v>
      </c>
      <c r="C551" s="614" t="s">
        <v>838</v>
      </c>
      <c r="D551" s="1135">
        <v>62.25</v>
      </c>
      <c r="E551" s="616" t="s">
        <v>777</v>
      </c>
      <c r="F551" s="201" t="e">
        <f>VLOOKUP(A551,'Compos DER'!J:K,2,FALSE)</f>
        <v>#N/A</v>
      </c>
      <c r="G551" s="198" t="e">
        <f t="shared" si="8"/>
        <v>#N/A</v>
      </c>
    </row>
    <row r="552" spans="1:7" x14ac:dyDescent="0.2">
      <c r="A552" s="1134">
        <v>40637</v>
      </c>
      <c r="B552" s="616" t="s">
        <v>1226</v>
      </c>
      <c r="C552" s="614" t="s">
        <v>838</v>
      </c>
      <c r="D552" s="1135">
        <v>31.18</v>
      </c>
      <c r="E552" s="1136"/>
      <c r="F552" s="201" t="e">
        <f>VLOOKUP(A552,'Compos DER'!J:K,2,FALSE)</f>
        <v>#N/A</v>
      </c>
      <c r="G552" s="198" t="e">
        <f t="shared" si="8"/>
        <v>#N/A</v>
      </c>
    </row>
    <row r="553" spans="1:7" x14ac:dyDescent="0.2">
      <c r="A553" s="1134">
        <v>40636</v>
      </c>
      <c r="B553" s="616" t="s">
        <v>1227</v>
      </c>
      <c r="C553" s="614" t="s">
        <v>838</v>
      </c>
      <c r="D553" s="1135">
        <v>30.31</v>
      </c>
      <c r="E553" s="1136"/>
      <c r="F553" s="201" t="e">
        <f>VLOOKUP(A553,'Compos DER'!J:K,2,FALSE)</f>
        <v>#N/A</v>
      </c>
      <c r="G553" s="198" t="e">
        <f t="shared" si="8"/>
        <v>#N/A</v>
      </c>
    </row>
    <row r="554" spans="1:7" ht="18" x14ac:dyDescent="0.2">
      <c r="A554" s="1134">
        <v>40712</v>
      </c>
      <c r="B554" s="1136" t="s">
        <v>1228</v>
      </c>
      <c r="C554" s="614" t="s">
        <v>838</v>
      </c>
      <c r="D554" s="1135">
        <v>101.11</v>
      </c>
      <c r="E554" s="616" t="s">
        <v>777</v>
      </c>
      <c r="F554" s="201" t="e">
        <f>VLOOKUP(A554,'Compos DER'!J:K,2,FALSE)</f>
        <v>#N/A</v>
      </c>
      <c r="G554" s="198" t="e">
        <f t="shared" si="8"/>
        <v>#N/A</v>
      </c>
    </row>
    <row r="555" spans="1:7" ht="18" x14ac:dyDescent="0.2">
      <c r="A555" s="1134">
        <v>40713</v>
      </c>
      <c r="B555" s="1136" t="s">
        <v>1229</v>
      </c>
      <c r="C555" s="614" t="s">
        <v>838</v>
      </c>
      <c r="D555" s="1135">
        <v>124.79</v>
      </c>
      <c r="E555" s="616" t="s">
        <v>777</v>
      </c>
      <c r="F555" s="201" t="e">
        <f>VLOOKUP(A555,'Compos DER'!J:K,2,FALSE)</f>
        <v>#N/A</v>
      </c>
      <c r="G555" s="198" t="e">
        <f t="shared" si="8"/>
        <v>#N/A</v>
      </c>
    </row>
    <row r="556" spans="1:7" x14ac:dyDescent="0.2">
      <c r="A556" s="1132" t="s">
        <v>773</v>
      </c>
      <c r="B556" s="617"/>
      <c r="C556" s="617"/>
      <c r="D556" s="617"/>
      <c r="E556" s="617"/>
      <c r="F556" s="201" t="e">
        <f>VLOOKUP(A556,'Compos DER'!J:K,2,FALSE)</f>
        <v>#N/A</v>
      </c>
      <c r="G556" s="198" t="e">
        <f t="shared" si="8"/>
        <v>#N/A</v>
      </c>
    </row>
    <row r="557" spans="1:7" x14ac:dyDescent="0.2">
      <c r="A557" s="1131" t="s">
        <v>708</v>
      </c>
      <c r="B557" s="617"/>
      <c r="C557" s="617"/>
      <c r="D557" s="617"/>
      <c r="E557" s="617"/>
      <c r="F557" s="201" t="e">
        <f>VLOOKUP(A557,'Compos DER'!J:K,2,FALSE)</f>
        <v>#N/A</v>
      </c>
      <c r="G557" s="198" t="e">
        <f t="shared" si="8"/>
        <v>#N/A</v>
      </c>
    </row>
    <row r="558" spans="1:7" x14ac:dyDescent="0.2">
      <c r="A558" s="1131" t="s">
        <v>709</v>
      </c>
      <c r="B558" s="617"/>
      <c r="C558" s="617"/>
      <c r="D558" s="617"/>
      <c r="E558" s="617"/>
      <c r="F558" s="201" t="e">
        <f>VLOOKUP(A558,'Compos DER'!J:K,2,FALSE)</f>
        <v>#N/A</v>
      </c>
      <c r="G558" s="198" t="e">
        <f t="shared" si="8"/>
        <v>#N/A</v>
      </c>
    </row>
    <row r="559" spans="1:7" x14ac:dyDescent="0.2">
      <c r="A559" s="1132" t="s">
        <v>924</v>
      </c>
      <c r="B559" s="617"/>
      <c r="C559" s="617"/>
      <c r="D559" s="617"/>
      <c r="E559" s="617"/>
      <c r="F559" s="201" t="e">
        <f>VLOOKUP(A559,'Compos DER'!J:K,2,FALSE)</f>
        <v>#N/A</v>
      </c>
      <c r="G559" s="198" t="e">
        <f t="shared" si="8"/>
        <v>#N/A</v>
      </c>
    </row>
    <row r="560" spans="1:7" ht="18" x14ac:dyDescent="0.2">
      <c r="A560" s="1133" t="s">
        <v>711</v>
      </c>
      <c r="B560" s="1133" t="s">
        <v>712</v>
      </c>
      <c r="C560" s="1133" t="s">
        <v>713</v>
      </c>
      <c r="D560" s="1133" t="s">
        <v>714</v>
      </c>
      <c r="E560" s="1133" t="s">
        <v>715</v>
      </c>
      <c r="F560" s="201" t="e">
        <f>VLOOKUP(A560,'Compos DER'!J:K,2,FALSE)</f>
        <v>#N/A</v>
      </c>
      <c r="G560" s="198" t="e">
        <f t="shared" si="8"/>
        <v>#N/A</v>
      </c>
    </row>
    <row r="561" spans="1:7" x14ac:dyDescent="0.2">
      <c r="A561" s="1134">
        <v>41262</v>
      </c>
      <c r="B561" s="616" t="s">
        <v>1230</v>
      </c>
      <c r="C561" s="614" t="s">
        <v>838</v>
      </c>
      <c r="D561" s="1135">
        <v>100.22</v>
      </c>
      <c r="E561" s="1136"/>
      <c r="F561" s="201" t="e">
        <f>VLOOKUP(A561,'Compos DER'!J:K,2,FALSE)</f>
        <v>#N/A</v>
      </c>
      <c r="G561" s="198" t="e">
        <f t="shared" si="8"/>
        <v>#N/A</v>
      </c>
    </row>
    <row r="562" spans="1:7" x14ac:dyDescent="0.2">
      <c r="A562" s="1134">
        <v>41259</v>
      </c>
      <c r="B562" s="616" t="s">
        <v>1231</v>
      </c>
      <c r="C562" s="614" t="s">
        <v>838</v>
      </c>
      <c r="D562" s="1135">
        <v>28.15</v>
      </c>
      <c r="E562" s="1136"/>
      <c r="F562" s="201" t="e">
        <f>VLOOKUP(A562,'Compos DER'!J:K,2,FALSE)</f>
        <v>#N/A</v>
      </c>
      <c r="G562" s="198" t="e">
        <f t="shared" si="8"/>
        <v>#N/A</v>
      </c>
    </row>
    <row r="563" spans="1:7" x14ac:dyDescent="0.2">
      <c r="A563" s="1134">
        <v>40640</v>
      </c>
      <c r="B563" s="616" t="s">
        <v>1232</v>
      </c>
      <c r="C563" s="614" t="s">
        <v>838</v>
      </c>
      <c r="D563" s="1135">
        <v>103.14</v>
      </c>
      <c r="E563" s="616" t="s">
        <v>777</v>
      </c>
      <c r="F563" s="201" t="e">
        <f>VLOOKUP(A563,'Compos DER'!J:K,2,FALSE)</f>
        <v>#N/A</v>
      </c>
      <c r="G563" s="198" t="e">
        <f t="shared" si="8"/>
        <v>#N/A</v>
      </c>
    </row>
    <row r="564" spans="1:7" x14ac:dyDescent="0.2">
      <c r="A564" s="1134">
        <v>40642</v>
      </c>
      <c r="B564" s="616" t="s">
        <v>1233</v>
      </c>
      <c r="C564" s="614" t="s">
        <v>838</v>
      </c>
      <c r="D564" s="1135">
        <v>106.65</v>
      </c>
      <c r="E564" s="616" t="s">
        <v>777</v>
      </c>
      <c r="F564" s="201" t="e">
        <f>VLOOKUP(A564,'Compos DER'!J:K,2,FALSE)</f>
        <v>#N/A</v>
      </c>
      <c r="G564" s="198" t="e">
        <f t="shared" si="8"/>
        <v>#N/A</v>
      </c>
    </row>
    <row r="565" spans="1:7" x14ac:dyDescent="0.2">
      <c r="A565" s="1134">
        <v>40643</v>
      </c>
      <c r="B565" s="616" t="s">
        <v>1234</v>
      </c>
      <c r="C565" s="614" t="s">
        <v>838</v>
      </c>
      <c r="D565" s="1135">
        <v>115.56</v>
      </c>
      <c r="E565" s="616" t="s">
        <v>777</v>
      </c>
      <c r="F565" s="201" t="e">
        <f>VLOOKUP(A565,'Compos DER'!J:K,2,FALSE)</f>
        <v>#N/A</v>
      </c>
      <c r="G565" s="198" t="e">
        <f t="shared" si="8"/>
        <v>#N/A</v>
      </c>
    </row>
    <row r="566" spans="1:7" x14ac:dyDescent="0.2">
      <c r="A566" s="1134">
        <v>40641</v>
      </c>
      <c r="B566" s="616" t="s">
        <v>1235</v>
      </c>
      <c r="C566" s="614" t="s">
        <v>838</v>
      </c>
      <c r="D566" s="1135">
        <v>101.94</v>
      </c>
      <c r="E566" s="616" t="s">
        <v>777</v>
      </c>
      <c r="F566" s="201" t="e">
        <f>VLOOKUP(A566,'Compos DER'!J:K,2,FALSE)</f>
        <v>#N/A</v>
      </c>
      <c r="G566" s="198" t="e">
        <f t="shared" si="8"/>
        <v>#N/A</v>
      </c>
    </row>
    <row r="567" spans="1:7" x14ac:dyDescent="0.2">
      <c r="A567" s="1134">
        <v>40648</v>
      </c>
      <c r="B567" s="616" t="s">
        <v>1236</v>
      </c>
      <c r="C567" s="614" t="s">
        <v>838</v>
      </c>
      <c r="D567" s="1135">
        <v>130.25</v>
      </c>
      <c r="E567" s="616" t="s">
        <v>777</v>
      </c>
      <c r="F567" s="201" t="e">
        <f>VLOOKUP(A567,'Compos DER'!J:K,2,FALSE)</f>
        <v>#N/A</v>
      </c>
      <c r="G567" s="198" t="e">
        <f t="shared" si="8"/>
        <v>#N/A</v>
      </c>
    </row>
    <row r="568" spans="1:7" x14ac:dyDescent="0.2">
      <c r="A568" s="1134">
        <v>40649</v>
      </c>
      <c r="B568" s="616" t="s">
        <v>1237</v>
      </c>
      <c r="C568" s="614" t="s">
        <v>838</v>
      </c>
      <c r="D568" s="1135">
        <v>107.17</v>
      </c>
      <c r="E568" s="616" t="s">
        <v>777</v>
      </c>
      <c r="F568" s="201" t="e">
        <f>VLOOKUP(A568,'Compos DER'!J:K,2,FALSE)</f>
        <v>#N/A</v>
      </c>
      <c r="G568" s="198" t="e">
        <f t="shared" si="8"/>
        <v>#N/A</v>
      </c>
    </row>
    <row r="569" spans="1:7" x14ac:dyDescent="0.2">
      <c r="A569" s="1134">
        <v>40645</v>
      </c>
      <c r="B569" s="616" t="s">
        <v>1238</v>
      </c>
      <c r="C569" s="614" t="s">
        <v>838</v>
      </c>
      <c r="D569" s="1135">
        <v>228.82</v>
      </c>
      <c r="E569" s="616" t="s">
        <v>777</v>
      </c>
      <c r="F569" s="201" t="e">
        <f>VLOOKUP(A569,'Compos DER'!J:K,2,FALSE)</f>
        <v>#N/A</v>
      </c>
      <c r="G569" s="198" t="e">
        <f t="shared" si="8"/>
        <v>#N/A</v>
      </c>
    </row>
    <row r="570" spans="1:7" x14ac:dyDescent="0.2">
      <c r="A570" s="1134">
        <v>40644</v>
      </c>
      <c r="B570" s="616" t="s">
        <v>1239</v>
      </c>
      <c r="C570" s="614" t="s">
        <v>838</v>
      </c>
      <c r="D570" s="1135">
        <v>144.49</v>
      </c>
      <c r="E570" s="616" t="s">
        <v>777</v>
      </c>
      <c r="F570" s="201" t="e">
        <f>VLOOKUP(A570,'Compos DER'!J:K,2,FALSE)</f>
        <v>#N/A</v>
      </c>
      <c r="G570" s="198" t="e">
        <f t="shared" si="8"/>
        <v>#N/A</v>
      </c>
    </row>
    <row r="571" spans="1:7" x14ac:dyDescent="0.2">
      <c r="A571" s="1134">
        <v>40646</v>
      </c>
      <c r="B571" s="616" t="s">
        <v>1240</v>
      </c>
      <c r="C571" s="614" t="s">
        <v>838</v>
      </c>
      <c r="D571" s="1135">
        <v>125.21</v>
      </c>
      <c r="E571" s="616" t="s">
        <v>777</v>
      </c>
      <c r="F571" s="201">
        <f>VLOOKUP(A571,'Compos DER'!J:K,2,FALSE)</f>
        <v>156.58000000000001</v>
      </c>
      <c r="G571" s="198">
        <f t="shared" si="8"/>
        <v>1.25053909432154</v>
      </c>
    </row>
    <row r="572" spans="1:7" x14ac:dyDescent="0.2">
      <c r="A572" s="1134">
        <v>40647</v>
      </c>
      <c r="B572" s="616" t="s">
        <v>1241</v>
      </c>
      <c r="C572" s="614" t="s">
        <v>838</v>
      </c>
      <c r="D572" s="1135">
        <v>121.34</v>
      </c>
      <c r="E572" s="616" t="s">
        <v>777</v>
      </c>
      <c r="F572" s="201" t="e">
        <f>VLOOKUP(A572,'Compos DER'!J:K,2,FALSE)</f>
        <v>#N/A</v>
      </c>
      <c r="G572" s="198" t="e">
        <f t="shared" si="8"/>
        <v>#N/A</v>
      </c>
    </row>
    <row r="573" spans="1:7" x14ac:dyDescent="0.2">
      <c r="A573" s="1134">
        <v>40704</v>
      </c>
      <c r="B573" s="616" t="s">
        <v>1242</v>
      </c>
      <c r="C573" s="614" t="s">
        <v>838</v>
      </c>
      <c r="D573" s="1135">
        <v>103.23</v>
      </c>
      <c r="E573" s="616" t="s">
        <v>777</v>
      </c>
      <c r="F573" s="201" t="e">
        <f>VLOOKUP(A573,'Compos DER'!J:K,2,FALSE)</f>
        <v>#N/A</v>
      </c>
      <c r="G573" s="198" t="e">
        <f t="shared" si="8"/>
        <v>#N/A</v>
      </c>
    </row>
    <row r="574" spans="1:7" x14ac:dyDescent="0.2">
      <c r="A574" s="1134">
        <v>41107</v>
      </c>
      <c r="B574" s="616" t="s">
        <v>1243</v>
      </c>
      <c r="C574" s="614" t="s">
        <v>838</v>
      </c>
      <c r="D574" s="1135">
        <v>131.91</v>
      </c>
      <c r="E574" s="616" t="s">
        <v>777</v>
      </c>
      <c r="F574" s="201" t="e">
        <f>VLOOKUP(A574,'Compos DER'!J:K,2,FALSE)</f>
        <v>#N/A</v>
      </c>
      <c r="G574" s="198" t="e">
        <f t="shared" si="8"/>
        <v>#N/A</v>
      </c>
    </row>
    <row r="575" spans="1:7" x14ac:dyDescent="0.2">
      <c r="A575" s="1134">
        <v>40638</v>
      </c>
      <c r="B575" s="616" t="s">
        <v>1244</v>
      </c>
      <c r="C575" s="614" t="s">
        <v>838</v>
      </c>
      <c r="D575" s="1135">
        <v>515.79</v>
      </c>
      <c r="E575" s="1136"/>
      <c r="F575" s="201" t="e">
        <f>VLOOKUP(A575,'Compos DER'!J:K,2,FALSE)</f>
        <v>#N/A</v>
      </c>
      <c r="G575" s="198" t="e">
        <f t="shared" si="8"/>
        <v>#N/A</v>
      </c>
    </row>
    <row r="576" spans="1:7" x14ac:dyDescent="0.2">
      <c r="A576" s="1134">
        <v>41188</v>
      </c>
      <c r="B576" s="616" t="s">
        <v>1245</v>
      </c>
      <c r="C576" s="614" t="s">
        <v>838</v>
      </c>
      <c r="D576" s="1135">
        <v>805.36</v>
      </c>
      <c r="E576" s="1136"/>
      <c r="F576" s="201" t="e">
        <f>VLOOKUP(A576,'Compos DER'!J:K,2,FALSE)</f>
        <v>#N/A</v>
      </c>
      <c r="G576" s="198" t="e">
        <f t="shared" si="8"/>
        <v>#N/A</v>
      </c>
    </row>
    <row r="577" spans="1:7" x14ac:dyDescent="0.2">
      <c r="A577" s="1134">
        <v>41187</v>
      </c>
      <c r="B577" s="616" t="s">
        <v>1246</v>
      </c>
      <c r="C577" s="614" t="s">
        <v>838</v>
      </c>
      <c r="D577" s="1137">
        <v>1063.32</v>
      </c>
      <c r="E577" s="1136"/>
      <c r="F577" s="201" t="e">
        <f>VLOOKUP(A577,'Compos DER'!J:K,2,FALSE)</f>
        <v>#N/A</v>
      </c>
      <c r="G577" s="198" t="e">
        <f t="shared" si="8"/>
        <v>#N/A</v>
      </c>
    </row>
    <row r="578" spans="1:7" ht="18" x14ac:dyDescent="0.2">
      <c r="A578" s="1134">
        <v>40705</v>
      </c>
      <c r="B578" s="1136" t="s">
        <v>1247</v>
      </c>
      <c r="C578" s="614" t="s">
        <v>838</v>
      </c>
      <c r="D578" s="1135">
        <v>80.290000000000006</v>
      </c>
      <c r="E578" s="616" t="s">
        <v>777</v>
      </c>
      <c r="F578" s="201" t="e">
        <f>VLOOKUP(A578,'Compos DER'!J:K,2,FALSE)</f>
        <v>#N/A</v>
      </c>
      <c r="G578" s="198" t="e">
        <f t="shared" si="8"/>
        <v>#N/A</v>
      </c>
    </row>
    <row r="579" spans="1:7" x14ac:dyDescent="0.2">
      <c r="A579" s="1134">
        <v>40639</v>
      </c>
      <c r="B579" s="616" t="s">
        <v>1248</v>
      </c>
      <c r="C579" s="614" t="s">
        <v>838</v>
      </c>
      <c r="D579" s="1135">
        <v>522.91999999999996</v>
      </c>
      <c r="E579" s="1136"/>
      <c r="F579" s="201" t="e">
        <f>VLOOKUP(A579,'Compos DER'!J:K,2,FALSE)</f>
        <v>#N/A</v>
      </c>
      <c r="G579" s="198" t="e">
        <f t="shared" ref="G579:G642" si="9">+F579/D579</f>
        <v>#N/A</v>
      </c>
    </row>
    <row r="580" spans="1:7" x14ac:dyDescent="0.2">
      <c r="A580" s="1134">
        <v>41227</v>
      </c>
      <c r="B580" s="616" t="s">
        <v>1249</v>
      </c>
      <c r="C580" s="614" t="s">
        <v>838</v>
      </c>
      <c r="D580" s="1135">
        <v>151.96</v>
      </c>
      <c r="E580" s="1136"/>
      <c r="F580" s="201" t="e">
        <f>VLOOKUP(A580,'Compos DER'!J:K,2,FALSE)</f>
        <v>#N/A</v>
      </c>
      <c r="G580" s="198" t="e">
        <f t="shared" si="9"/>
        <v>#N/A</v>
      </c>
    </row>
    <row r="581" spans="1:7" x14ac:dyDescent="0.2">
      <c r="A581" s="1134">
        <v>40951</v>
      </c>
      <c r="B581" s="616" t="s">
        <v>1250</v>
      </c>
      <c r="C581" s="614" t="s">
        <v>838</v>
      </c>
      <c r="D581" s="1135">
        <v>26.31</v>
      </c>
      <c r="E581" s="1136"/>
      <c r="F581" s="201" t="e">
        <f>VLOOKUP(A581,'Compos DER'!J:K,2,FALSE)</f>
        <v>#N/A</v>
      </c>
      <c r="G581" s="198" t="e">
        <f t="shared" si="9"/>
        <v>#N/A</v>
      </c>
    </row>
    <row r="582" spans="1:7" x14ac:dyDescent="0.2">
      <c r="A582" s="1134">
        <v>41121</v>
      </c>
      <c r="B582" s="616" t="s">
        <v>1251</v>
      </c>
      <c r="C582" s="614" t="s">
        <v>838</v>
      </c>
      <c r="D582" s="1135">
        <v>27.96</v>
      </c>
      <c r="E582" s="1136"/>
      <c r="F582" s="201" t="e">
        <f>VLOOKUP(A582,'Compos DER'!J:K,2,FALSE)</f>
        <v>#N/A</v>
      </c>
      <c r="G582" s="198" t="e">
        <f t="shared" si="9"/>
        <v>#N/A</v>
      </c>
    </row>
    <row r="583" spans="1:7" x14ac:dyDescent="0.2">
      <c r="A583" s="1134">
        <v>41120</v>
      </c>
      <c r="B583" s="616" t="s">
        <v>1252</v>
      </c>
      <c r="C583" s="614" t="s">
        <v>838</v>
      </c>
      <c r="D583" s="1135">
        <v>17.2</v>
      </c>
      <c r="E583" s="1136"/>
      <c r="F583" s="201" t="e">
        <f>VLOOKUP(A583,'Compos DER'!J:K,2,FALSE)</f>
        <v>#N/A</v>
      </c>
      <c r="G583" s="198" t="e">
        <f t="shared" si="9"/>
        <v>#N/A</v>
      </c>
    </row>
    <row r="584" spans="1:7" x14ac:dyDescent="0.2">
      <c r="A584" s="1134">
        <v>41128</v>
      </c>
      <c r="B584" s="616" t="s">
        <v>1253</v>
      </c>
      <c r="C584" s="614" t="s">
        <v>838</v>
      </c>
      <c r="D584" s="1135">
        <v>7.22</v>
      </c>
      <c r="E584" s="1136"/>
      <c r="F584" s="201" t="e">
        <f>VLOOKUP(A584,'Compos DER'!J:K,2,FALSE)</f>
        <v>#N/A</v>
      </c>
      <c r="G584" s="198" t="e">
        <f t="shared" si="9"/>
        <v>#N/A</v>
      </c>
    </row>
    <row r="585" spans="1:7" x14ac:dyDescent="0.2">
      <c r="A585" s="1134">
        <v>41129</v>
      </c>
      <c r="B585" s="616" t="s">
        <v>1254</v>
      </c>
      <c r="C585" s="614" t="s">
        <v>838</v>
      </c>
      <c r="D585" s="1135">
        <v>7.97</v>
      </c>
      <c r="E585" s="1136"/>
      <c r="F585" s="201" t="e">
        <f>VLOOKUP(A585,'Compos DER'!J:K,2,FALSE)</f>
        <v>#N/A</v>
      </c>
      <c r="G585" s="198" t="e">
        <f t="shared" si="9"/>
        <v>#N/A</v>
      </c>
    </row>
    <row r="586" spans="1:7" x14ac:dyDescent="0.2">
      <c r="A586" s="1134">
        <v>41131</v>
      </c>
      <c r="B586" s="616" t="s">
        <v>1255</v>
      </c>
      <c r="C586" s="614" t="s">
        <v>838</v>
      </c>
      <c r="D586" s="1135">
        <v>9.42</v>
      </c>
      <c r="E586" s="1136"/>
      <c r="F586" s="201" t="e">
        <f>VLOOKUP(A586,'Compos DER'!J:K,2,FALSE)</f>
        <v>#N/A</v>
      </c>
      <c r="G586" s="198" t="e">
        <f t="shared" si="9"/>
        <v>#N/A</v>
      </c>
    </row>
    <row r="587" spans="1:7" x14ac:dyDescent="0.2">
      <c r="A587" s="1134">
        <v>41130</v>
      </c>
      <c r="B587" s="616" t="s">
        <v>1256</v>
      </c>
      <c r="C587" s="614" t="s">
        <v>838</v>
      </c>
      <c r="D587" s="1135">
        <v>14.23</v>
      </c>
      <c r="E587" s="1136"/>
      <c r="F587" s="201" t="e">
        <f>VLOOKUP(A587,'Compos DER'!J:K,2,FALSE)</f>
        <v>#N/A</v>
      </c>
      <c r="G587" s="198" t="e">
        <f t="shared" si="9"/>
        <v>#N/A</v>
      </c>
    </row>
    <row r="588" spans="1:7" x14ac:dyDescent="0.2">
      <c r="A588" s="1134">
        <v>40997</v>
      </c>
      <c r="B588" s="616" t="s">
        <v>1257</v>
      </c>
      <c r="C588" s="614" t="s">
        <v>719</v>
      </c>
      <c r="D588" s="1135">
        <v>111.72</v>
      </c>
      <c r="E588" s="1136"/>
      <c r="F588" s="201" t="e">
        <f>VLOOKUP(A588,'Compos DER'!J:K,2,FALSE)</f>
        <v>#N/A</v>
      </c>
      <c r="G588" s="198" t="e">
        <f t="shared" si="9"/>
        <v>#N/A</v>
      </c>
    </row>
    <row r="589" spans="1:7" x14ac:dyDescent="0.2">
      <c r="A589" s="1134">
        <v>40724</v>
      </c>
      <c r="B589" s="616" t="s">
        <v>1258</v>
      </c>
      <c r="C589" s="614" t="s">
        <v>719</v>
      </c>
      <c r="D589" s="1135">
        <v>190.6</v>
      </c>
      <c r="E589" s="1136"/>
      <c r="F589" s="201" t="e">
        <f>VLOOKUP(A589,'Compos DER'!J:K,2,FALSE)</f>
        <v>#N/A</v>
      </c>
      <c r="G589" s="198" t="e">
        <f t="shared" si="9"/>
        <v>#N/A</v>
      </c>
    </row>
    <row r="590" spans="1:7" x14ac:dyDescent="0.2">
      <c r="A590" s="1134">
        <v>40722</v>
      </c>
      <c r="B590" s="616" t="s">
        <v>1259</v>
      </c>
      <c r="C590" s="614" t="s">
        <v>719</v>
      </c>
      <c r="D590" s="1135">
        <v>10.34</v>
      </c>
      <c r="E590" s="1136"/>
      <c r="F590" s="201" t="e">
        <f>VLOOKUP(A590,'Compos DER'!J:K,2,FALSE)</f>
        <v>#N/A</v>
      </c>
      <c r="G590" s="198" t="e">
        <f t="shared" si="9"/>
        <v>#N/A</v>
      </c>
    </row>
    <row r="591" spans="1:7" x14ac:dyDescent="0.2">
      <c r="A591" s="1134">
        <v>40998</v>
      </c>
      <c r="B591" s="616" t="s">
        <v>1260</v>
      </c>
      <c r="C591" s="614" t="s">
        <v>719</v>
      </c>
      <c r="D591" s="1135">
        <v>10.95</v>
      </c>
      <c r="E591" s="1136"/>
      <c r="F591" s="201" t="e">
        <f>VLOOKUP(A591,'Compos DER'!J:K,2,FALSE)</f>
        <v>#N/A</v>
      </c>
      <c r="G591" s="198" t="e">
        <f t="shared" si="9"/>
        <v>#N/A</v>
      </c>
    </row>
    <row r="592" spans="1:7" x14ac:dyDescent="0.2">
      <c r="A592" s="1134">
        <v>40723</v>
      </c>
      <c r="B592" s="616" t="s">
        <v>1261</v>
      </c>
      <c r="C592" s="614" t="s">
        <v>719</v>
      </c>
      <c r="D592" s="1135">
        <v>82.88</v>
      </c>
      <c r="E592" s="1136"/>
      <c r="F592" s="201" t="e">
        <f>VLOOKUP(A592,'Compos DER'!J:K,2,FALSE)</f>
        <v>#N/A</v>
      </c>
      <c r="G592" s="198" t="e">
        <f t="shared" si="9"/>
        <v>#N/A</v>
      </c>
    </row>
    <row r="593" spans="1:7" x14ac:dyDescent="0.2">
      <c r="A593" s="1134">
        <v>40335</v>
      </c>
      <c r="B593" s="616" t="s">
        <v>1262</v>
      </c>
      <c r="C593" s="614" t="s">
        <v>717</v>
      </c>
      <c r="D593" s="1135">
        <v>614.97</v>
      </c>
      <c r="E593" s="616" t="s">
        <v>777</v>
      </c>
      <c r="F593" s="201" t="e">
        <f>VLOOKUP(A593,'Compos DER'!J:K,2,FALSE)</f>
        <v>#N/A</v>
      </c>
      <c r="G593" s="198" t="e">
        <f t="shared" si="9"/>
        <v>#N/A</v>
      </c>
    </row>
    <row r="594" spans="1:7" x14ac:dyDescent="0.2">
      <c r="A594" s="1134">
        <v>40334</v>
      </c>
      <c r="B594" s="616" t="s">
        <v>1263</v>
      </c>
      <c r="C594" s="614" t="s">
        <v>717</v>
      </c>
      <c r="D594" s="1135">
        <v>836.1</v>
      </c>
      <c r="E594" s="616" t="s">
        <v>777</v>
      </c>
      <c r="F594" s="201" t="e">
        <f>VLOOKUP(A594,'Compos DER'!J:K,2,FALSE)</f>
        <v>#N/A</v>
      </c>
      <c r="G594" s="198" t="e">
        <f t="shared" si="9"/>
        <v>#N/A</v>
      </c>
    </row>
    <row r="595" spans="1:7" x14ac:dyDescent="0.2">
      <c r="A595" s="1134">
        <v>40333</v>
      </c>
      <c r="B595" s="616" t="s">
        <v>1264</v>
      </c>
      <c r="C595" s="614" t="s">
        <v>717</v>
      </c>
      <c r="D595" s="1135">
        <v>307.48</v>
      </c>
      <c r="E595" s="616" t="s">
        <v>777</v>
      </c>
      <c r="F595" s="201" t="e">
        <f>VLOOKUP(A595,'Compos DER'!J:K,2,FALSE)</f>
        <v>#N/A</v>
      </c>
      <c r="G595" s="198" t="e">
        <f t="shared" si="9"/>
        <v>#N/A</v>
      </c>
    </row>
    <row r="596" spans="1:7" x14ac:dyDescent="0.2">
      <c r="A596" s="1134">
        <v>40332</v>
      </c>
      <c r="B596" s="616" t="s">
        <v>1265</v>
      </c>
      <c r="C596" s="614" t="s">
        <v>717</v>
      </c>
      <c r="D596" s="1135">
        <v>418.05</v>
      </c>
      <c r="E596" s="616" t="s">
        <v>777</v>
      </c>
      <c r="F596" s="201" t="e">
        <f>VLOOKUP(A596,'Compos DER'!J:K,2,FALSE)</f>
        <v>#N/A</v>
      </c>
      <c r="G596" s="198" t="e">
        <f t="shared" si="9"/>
        <v>#N/A</v>
      </c>
    </row>
    <row r="597" spans="1:7" x14ac:dyDescent="0.2">
      <c r="A597" s="1134">
        <v>40675</v>
      </c>
      <c r="B597" s="616" t="s">
        <v>1266</v>
      </c>
      <c r="C597" s="614" t="s">
        <v>734</v>
      </c>
      <c r="D597" s="1135">
        <v>251.64</v>
      </c>
      <c r="E597" s="1136"/>
      <c r="F597" s="201" t="e">
        <f>VLOOKUP(A597,'Compos DER'!J:K,2,FALSE)</f>
        <v>#N/A</v>
      </c>
      <c r="G597" s="198" t="e">
        <f t="shared" si="9"/>
        <v>#N/A</v>
      </c>
    </row>
    <row r="598" spans="1:7" x14ac:dyDescent="0.2">
      <c r="A598" s="1134">
        <v>40673</v>
      </c>
      <c r="B598" s="616" t="s">
        <v>1267</v>
      </c>
      <c r="C598" s="614" t="s">
        <v>734</v>
      </c>
      <c r="D598" s="1135">
        <v>78.959999999999994</v>
      </c>
      <c r="E598" s="1136"/>
      <c r="F598" s="201">
        <f>VLOOKUP(A598,'Compos DER'!J:K,2,FALSE)</f>
        <v>85.98</v>
      </c>
      <c r="G598" s="198">
        <f t="shared" si="9"/>
        <v>1.0889057750759901</v>
      </c>
    </row>
    <row r="599" spans="1:7" x14ac:dyDescent="0.2">
      <c r="A599" s="1134">
        <v>40674</v>
      </c>
      <c r="B599" s="616" t="s">
        <v>1268</v>
      </c>
      <c r="C599" s="614" t="s">
        <v>734</v>
      </c>
      <c r="D599" s="1135">
        <v>84.7</v>
      </c>
      <c r="E599" s="1136"/>
      <c r="F599" s="201">
        <f>VLOOKUP(A599,'Compos DER'!J:K,2,FALSE)</f>
        <v>91.98</v>
      </c>
      <c r="G599" s="198">
        <f t="shared" si="9"/>
        <v>1.0859504132231399</v>
      </c>
    </row>
    <row r="600" spans="1:7" x14ac:dyDescent="0.2">
      <c r="A600" s="1134">
        <v>41037</v>
      </c>
      <c r="B600" s="616" t="s">
        <v>1269</v>
      </c>
      <c r="C600" s="614" t="s">
        <v>838</v>
      </c>
      <c r="D600" s="1135">
        <v>79.349999999999994</v>
      </c>
      <c r="E600" s="1136"/>
      <c r="F600" s="201" t="e">
        <f>VLOOKUP(A600,'Compos DER'!J:K,2,FALSE)</f>
        <v>#N/A</v>
      </c>
      <c r="G600" s="198" t="e">
        <f t="shared" si="9"/>
        <v>#N/A</v>
      </c>
    </row>
    <row r="601" spans="1:7" x14ac:dyDescent="0.2">
      <c r="A601" s="1134">
        <v>40258</v>
      </c>
      <c r="B601" s="616" t="s">
        <v>1270</v>
      </c>
      <c r="C601" s="614" t="s">
        <v>719</v>
      </c>
      <c r="D601" s="1135">
        <v>69.790000000000006</v>
      </c>
      <c r="E601" s="1136"/>
      <c r="F601" s="201">
        <f>VLOOKUP(A601,'Compos DER'!J:K,2,FALSE)</f>
        <v>69.8</v>
      </c>
      <c r="G601" s="198">
        <f t="shared" si="9"/>
        <v>1.00014328700387</v>
      </c>
    </row>
    <row r="602" spans="1:7" x14ac:dyDescent="0.2">
      <c r="A602" s="1134">
        <v>40261</v>
      </c>
      <c r="B602" s="616" t="s">
        <v>1271</v>
      </c>
      <c r="C602" s="614" t="s">
        <v>719</v>
      </c>
      <c r="D602" s="1135">
        <v>79.03</v>
      </c>
      <c r="E602" s="1136"/>
      <c r="F602" s="201" t="e">
        <f>VLOOKUP(A602,'Compos DER'!J:K,2,FALSE)</f>
        <v>#N/A</v>
      </c>
      <c r="G602" s="198" t="e">
        <f t="shared" si="9"/>
        <v>#N/A</v>
      </c>
    </row>
    <row r="603" spans="1:7" x14ac:dyDescent="0.2">
      <c r="A603" s="1134">
        <v>40259</v>
      </c>
      <c r="B603" s="616" t="s">
        <v>1272</v>
      </c>
      <c r="C603" s="614" t="s">
        <v>719</v>
      </c>
      <c r="D603" s="1135">
        <v>102.87</v>
      </c>
      <c r="E603" s="1136"/>
      <c r="F603" s="201" t="e">
        <f>VLOOKUP(A603,'Compos DER'!J:K,2,FALSE)</f>
        <v>#N/A</v>
      </c>
      <c r="G603" s="198" t="e">
        <f t="shared" si="9"/>
        <v>#N/A</v>
      </c>
    </row>
    <row r="604" spans="1:7" x14ac:dyDescent="0.2">
      <c r="A604" s="1134">
        <v>40262</v>
      </c>
      <c r="B604" s="616" t="s">
        <v>1273</v>
      </c>
      <c r="C604" s="614" t="s">
        <v>719</v>
      </c>
      <c r="D604" s="1135">
        <v>112.11</v>
      </c>
      <c r="E604" s="1136"/>
      <c r="F604" s="201" t="e">
        <f>VLOOKUP(A604,'Compos DER'!J:K,2,FALSE)</f>
        <v>#N/A</v>
      </c>
      <c r="G604" s="198" t="e">
        <f t="shared" si="9"/>
        <v>#N/A</v>
      </c>
    </row>
    <row r="605" spans="1:7" x14ac:dyDescent="0.2">
      <c r="A605" s="1134">
        <v>40260</v>
      </c>
      <c r="B605" s="616" t="s">
        <v>1274</v>
      </c>
      <c r="C605" s="614" t="s">
        <v>719</v>
      </c>
      <c r="D605" s="1135">
        <v>152.47</v>
      </c>
      <c r="E605" s="1136"/>
      <c r="F605" s="201" t="e">
        <f>VLOOKUP(A605,'Compos DER'!J:K,2,FALSE)</f>
        <v>#N/A</v>
      </c>
      <c r="G605" s="198" t="e">
        <f t="shared" si="9"/>
        <v>#N/A</v>
      </c>
    </row>
    <row r="606" spans="1:7" x14ac:dyDescent="0.2">
      <c r="A606" s="1134">
        <v>40263</v>
      </c>
      <c r="B606" s="616" t="s">
        <v>1275</v>
      </c>
      <c r="C606" s="614" t="s">
        <v>719</v>
      </c>
      <c r="D606" s="1135">
        <v>161.69999999999999</v>
      </c>
      <c r="E606" s="1136"/>
      <c r="F606" s="201" t="e">
        <f>VLOOKUP(A606,'Compos DER'!J:K,2,FALSE)</f>
        <v>#N/A</v>
      </c>
      <c r="G606" s="198" t="e">
        <f t="shared" si="9"/>
        <v>#N/A</v>
      </c>
    </row>
    <row r="607" spans="1:7" x14ac:dyDescent="0.2">
      <c r="A607" s="1134">
        <v>40267</v>
      </c>
      <c r="B607" s="616" t="s">
        <v>1276</v>
      </c>
      <c r="C607" s="614" t="s">
        <v>719</v>
      </c>
      <c r="D607" s="1135">
        <v>166.61</v>
      </c>
      <c r="E607" s="1136"/>
      <c r="F607" s="201" t="e">
        <f>VLOOKUP(A607,'Compos DER'!J:K,2,FALSE)</f>
        <v>#N/A</v>
      </c>
      <c r="G607" s="198" t="e">
        <f t="shared" si="9"/>
        <v>#N/A</v>
      </c>
    </row>
    <row r="608" spans="1:7" x14ac:dyDescent="0.2">
      <c r="A608" s="1134">
        <v>40264</v>
      </c>
      <c r="B608" s="616" t="s">
        <v>1277</v>
      </c>
      <c r="C608" s="614" t="s">
        <v>719</v>
      </c>
      <c r="D608" s="1135">
        <v>157.38</v>
      </c>
      <c r="E608" s="1136"/>
      <c r="F608" s="201" t="e">
        <f>VLOOKUP(A608,'Compos DER'!J:K,2,FALSE)</f>
        <v>#N/A</v>
      </c>
      <c r="G608" s="198" t="e">
        <f t="shared" si="9"/>
        <v>#N/A</v>
      </c>
    </row>
    <row r="609" spans="1:7" x14ac:dyDescent="0.2">
      <c r="A609" s="1132" t="s">
        <v>773</v>
      </c>
      <c r="B609" s="617"/>
      <c r="C609" s="617"/>
      <c r="D609" s="617"/>
      <c r="E609" s="617"/>
      <c r="F609" s="201" t="e">
        <f>VLOOKUP(A609,'Compos DER'!J:K,2,FALSE)</f>
        <v>#N/A</v>
      </c>
      <c r="G609" s="198" t="e">
        <f t="shared" si="9"/>
        <v>#N/A</v>
      </c>
    </row>
    <row r="610" spans="1:7" x14ac:dyDescent="0.2">
      <c r="A610" s="1131" t="s">
        <v>708</v>
      </c>
      <c r="B610" s="617"/>
      <c r="C610" s="617"/>
      <c r="D610" s="617"/>
      <c r="E610" s="617"/>
      <c r="F610" s="201" t="e">
        <f>VLOOKUP(A610,'Compos DER'!J:K,2,FALSE)</f>
        <v>#N/A</v>
      </c>
      <c r="G610" s="198" t="e">
        <f t="shared" si="9"/>
        <v>#N/A</v>
      </c>
    </row>
    <row r="611" spans="1:7" x14ac:dyDescent="0.2">
      <c r="A611" s="1131" t="s">
        <v>709</v>
      </c>
      <c r="B611" s="617"/>
      <c r="C611" s="617"/>
      <c r="D611" s="617"/>
      <c r="E611" s="617"/>
      <c r="F611" s="201" t="e">
        <f>VLOOKUP(A611,'Compos DER'!J:K,2,FALSE)</f>
        <v>#N/A</v>
      </c>
      <c r="G611" s="198" t="e">
        <f t="shared" si="9"/>
        <v>#N/A</v>
      </c>
    </row>
    <row r="612" spans="1:7" x14ac:dyDescent="0.2">
      <c r="A612" s="1132" t="s">
        <v>924</v>
      </c>
      <c r="B612" s="617"/>
      <c r="C612" s="617"/>
      <c r="D612" s="617"/>
      <c r="E612" s="617"/>
      <c r="F612" s="201" t="e">
        <f>VLOOKUP(A612,'Compos DER'!J:K,2,FALSE)</f>
        <v>#N/A</v>
      </c>
      <c r="G612" s="198" t="e">
        <f t="shared" si="9"/>
        <v>#N/A</v>
      </c>
    </row>
    <row r="613" spans="1:7" ht="18" x14ac:dyDescent="0.2">
      <c r="A613" s="1133" t="s">
        <v>711</v>
      </c>
      <c r="B613" s="1133" t="s">
        <v>712</v>
      </c>
      <c r="C613" s="1133" t="s">
        <v>713</v>
      </c>
      <c r="D613" s="1133" t="s">
        <v>714</v>
      </c>
      <c r="E613" s="1133" t="s">
        <v>715</v>
      </c>
      <c r="F613" s="201" t="e">
        <f>VLOOKUP(A613,'Compos DER'!J:K,2,FALSE)</f>
        <v>#N/A</v>
      </c>
      <c r="G613" s="198" t="e">
        <f t="shared" si="9"/>
        <v>#N/A</v>
      </c>
    </row>
    <row r="614" spans="1:7" x14ac:dyDescent="0.2">
      <c r="A614" s="1134">
        <v>40268</v>
      </c>
      <c r="B614" s="616" t="s">
        <v>1278</v>
      </c>
      <c r="C614" s="614" t="s">
        <v>719</v>
      </c>
      <c r="D614" s="1135">
        <v>205.09</v>
      </c>
      <c r="E614" s="1136"/>
      <c r="F614" s="201" t="e">
        <f>VLOOKUP(A614,'Compos DER'!J:K,2,FALSE)</f>
        <v>#N/A</v>
      </c>
      <c r="G614" s="198" t="e">
        <f t="shared" si="9"/>
        <v>#N/A</v>
      </c>
    </row>
    <row r="615" spans="1:7" x14ac:dyDescent="0.2">
      <c r="A615" s="1134">
        <v>40265</v>
      </c>
      <c r="B615" s="616" t="s">
        <v>1279</v>
      </c>
      <c r="C615" s="614" t="s">
        <v>719</v>
      </c>
      <c r="D615" s="1135">
        <v>195.85</v>
      </c>
      <c r="E615" s="1136"/>
      <c r="F615" s="201" t="e">
        <f>VLOOKUP(A615,'Compos DER'!J:K,2,FALSE)</f>
        <v>#N/A</v>
      </c>
      <c r="G615" s="198" t="e">
        <f t="shared" si="9"/>
        <v>#N/A</v>
      </c>
    </row>
    <row r="616" spans="1:7" x14ac:dyDescent="0.2">
      <c r="A616" s="1134">
        <v>40269</v>
      </c>
      <c r="B616" s="616" t="s">
        <v>1280</v>
      </c>
      <c r="C616" s="614" t="s">
        <v>719</v>
      </c>
      <c r="D616" s="1135">
        <v>357.08</v>
      </c>
      <c r="E616" s="1136"/>
      <c r="F616" s="201" t="e">
        <f>VLOOKUP(A616,'Compos DER'!J:K,2,FALSE)</f>
        <v>#N/A</v>
      </c>
      <c r="G616" s="198" t="e">
        <f t="shared" si="9"/>
        <v>#N/A</v>
      </c>
    </row>
    <row r="617" spans="1:7" x14ac:dyDescent="0.2">
      <c r="A617" s="1134">
        <v>40266</v>
      </c>
      <c r="B617" s="616" t="s">
        <v>1281</v>
      </c>
      <c r="C617" s="614" t="s">
        <v>719</v>
      </c>
      <c r="D617" s="1135">
        <v>347.84</v>
      </c>
      <c r="E617" s="1136"/>
      <c r="F617" s="201" t="e">
        <f>VLOOKUP(A617,'Compos DER'!J:K,2,FALSE)</f>
        <v>#N/A</v>
      </c>
      <c r="G617" s="198" t="e">
        <f t="shared" si="9"/>
        <v>#N/A</v>
      </c>
    </row>
    <row r="618" spans="1:7" x14ac:dyDescent="0.2">
      <c r="A618" s="1134">
        <v>40276</v>
      </c>
      <c r="B618" s="616" t="s">
        <v>1282</v>
      </c>
      <c r="C618" s="614" t="s">
        <v>719</v>
      </c>
      <c r="D618" s="1135">
        <v>280.87</v>
      </c>
      <c r="E618" s="1136"/>
      <c r="F618" s="201" t="e">
        <f>VLOOKUP(A618,'Compos DER'!J:K,2,FALSE)</f>
        <v>#N/A</v>
      </c>
      <c r="G618" s="198" t="e">
        <f t="shared" si="9"/>
        <v>#N/A</v>
      </c>
    </row>
    <row r="619" spans="1:7" x14ac:dyDescent="0.2">
      <c r="A619" s="1134">
        <v>40256</v>
      </c>
      <c r="B619" s="616" t="s">
        <v>1283</v>
      </c>
      <c r="C619" s="614" t="s">
        <v>719</v>
      </c>
      <c r="D619" s="1135">
        <v>102.87</v>
      </c>
      <c r="E619" s="1136"/>
      <c r="F619" s="201">
        <f>VLOOKUP(A619,'Compos DER'!J:K,2,FALSE)</f>
        <v>102.87</v>
      </c>
      <c r="G619" s="198">
        <f t="shared" si="9"/>
        <v>1</v>
      </c>
    </row>
    <row r="620" spans="1:7" x14ac:dyDescent="0.2">
      <c r="A620" s="1134">
        <v>40257</v>
      </c>
      <c r="B620" s="616" t="s">
        <v>1284</v>
      </c>
      <c r="C620" s="614" t="s">
        <v>719</v>
      </c>
      <c r="D620" s="1135">
        <v>234.24</v>
      </c>
      <c r="E620" s="1136"/>
      <c r="F620" s="201" t="e">
        <f>VLOOKUP(A620,'Compos DER'!J:K,2,FALSE)</f>
        <v>#N/A</v>
      </c>
      <c r="G620" s="198" t="e">
        <f t="shared" si="9"/>
        <v>#N/A</v>
      </c>
    </row>
    <row r="621" spans="1:7" x14ac:dyDescent="0.2">
      <c r="A621" s="1134">
        <v>40282</v>
      </c>
      <c r="B621" s="616" t="s">
        <v>1285</v>
      </c>
      <c r="C621" s="614" t="s">
        <v>719</v>
      </c>
      <c r="D621" s="1135">
        <v>14.25</v>
      </c>
      <c r="E621" s="1136"/>
      <c r="F621" s="201">
        <f>VLOOKUP(A621,'Compos DER'!J:K,2,FALSE)</f>
        <v>14.26</v>
      </c>
      <c r="G621" s="198">
        <f t="shared" si="9"/>
        <v>1.00070175438596</v>
      </c>
    </row>
    <row r="622" spans="1:7" x14ac:dyDescent="0.2">
      <c r="A622" s="1134">
        <v>40285</v>
      </c>
      <c r="B622" s="616" t="s">
        <v>1286</v>
      </c>
      <c r="C622" s="614" t="s">
        <v>719</v>
      </c>
      <c r="D622" s="1135">
        <v>23.49</v>
      </c>
      <c r="E622" s="1136"/>
      <c r="F622" s="201" t="e">
        <f>VLOOKUP(A622,'Compos DER'!J:K,2,FALSE)</f>
        <v>#N/A</v>
      </c>
      <c r="G622" s="198" t="e">
        <f t="shared" si="9"/>
        <v>#N/A</v>
      </c>
    </row>
    <row r="623" spans="1:7" x14ac:dyDescent="0.2">
      <c r="A623" s="1134">
        <v>40283</v>
      </c>
      <c r="B623" s="616" t="s">
        <v>1287</v>
      </c>
      <c r="C623" s="614" t="s">
        <v>719</v>
      </c>
      <c r="D623" s="1135">
        <v>15.67</v>
      </c>
      <c r="E623" s="1136"/>
      <c r="F623" s="201">
        <f>VLOOKUP(A623,'Compos DER'!J:K,2,FALSE)</f>
        <v>15.67</v>
      </c>
      <c r="G623" s="198">
        <f t="shared" si="9"/>
        <v>1</v>
      </c>
    </row>
    <row r="624" spans="1:7" x14ac:dyDescent="0.2">
      <c r="A624" s="1134">
        <v>40286</v>
      </c>
      <c r="B624" s="616" t="s">
        <v>1288</v>
      </c>
      <c r="C624" s="614" t="s">
        <v>719</v>
      </c>
      <c r="D624" s="1135">
        <v>24.91</v>
      </c>
      <c r="E624" s="1136"/>
      <c r="F624" s="201" t="e">
        <f>VLOOKUP(A624,'Compos DER'!J:K,2,FALSE)</f>
        <v>#N/A</v>
      </c>
      <c r="G624" s="198" t="e">
        <f t="shared" si="9"/>
        <v>#N/A</v>
      </c>
    </row>
    <row r="625" spans="1:7" x14ac:dyDescent="0.2">
      <c r="A625" s="1134">
        <v>40284</v>
      </c>
      <c r="B625" s="616" t="s">
        <v>1289</v>
      </c>
      <c r="C625" s="614" t="s">
        <v>719</v>
      </c>
      <c r="D625" s="1135">
        <v>18.440000000000001</v>
      </c>
      <c r="E625" s="1136"/>
      <c r="F625" s="201" t="e">
        <f>VLOOKUP(A625,'Compos DER'!J:K,2,FALSE)</f>
        <v>#N/A</v>
      </c>
      <c r="G625" s="198" t="e">
        <f t="shared" si="9"/>
        <v>#N/A</v>
      </c>
    </row>
    <row r="626" spans="1:7" x14ac:dyDescent="0.2">
      <c r="A626" s="1134">
        <v>40287</v>
      </c>
      <c r="B626" s="616" t="s">
        <v>1290</v>
      </c>
      <c r="C626" s="614" t="s">
        <v>719</v>
      </c>
      <c r="D626" s="1135">
        <v>27.68</v>
      </c>
      <c r="E626" s="1136"/>
      <c r="F626" s="201" t="e">
        <f>VLOOKUP(A626,'Compos DER'!J:K,2,FALSE)</f>
        <v>#N/A</v>
      </c>
      <c r="G626" s="198" t="e">
        <f t="shared" si="9"/>
        <v>#N/A</v>
      </c>
    </row>
    <row r="627" spans="1:7" x14ac:dyDescent="0.2">
      <c r="A627" s="1134">
        <v>40288</v>
      </c>
      <c r="B627" s="616" t="s">
        <v>1291</v>
      </c>
      <c r="C627" s="614" t="s">
        <v>719</v>
      </c>
      <c r="D627" s="1135">
        <v>26.13</v>
      </c>
      <c r="E627" s="1136"/>
      <c r="F627" s="201" t="e">
        <f>VLOOKUP(A627,'Compos DER'!J:K,2,FALSE)</f>
        <v>#N/A</v>
      </c>
      <c r="G627" s="198" t="e">
        <f t="shared" si="9"/>
        <v>#N/A</v>
      </c>
    </row>
    <row r="628" spans="1:7" x14ac:dyDescent="0.2">
      <c r="A628" s="1134">
        <v>40291</v>
      </c>
      <c r="B628" s="616" t="s">
        <v>1292</v>
      </c>
      <c r="C628" s="614" t="s">
        <v>719</v>
      </c>
      <c r="D628" s="1135">
        <v>35.36</v>
      </c>
      <c r="E628" s="1136"/>
      <c r="F628" s="201" t="e">
        <f>VLOOKUP(A628,'Compos DER'!J:K,2,FALSE)</f>
        <v>#N/A</v>
      </c>
      <c r="G628" s="198" t="e">
        <f t="shared" si="9"/>
        <v>#N/A</v>
      </c>
    </row>
    <row r="629" spans="1:7" x14ac:dyDescent="0.2">
      <c r="A629" s="1134">
        <v>40289</v>
      </c>
      <c r="B629" s="616" t="s">
        <v>1293</v>
      </c>
      <c r="C629" s="614" t="s">
        <v>719</v>
      </c>
      <c r="D629" s="1135">
        <v>31.36</v>
      </c>
      <c r="E629" s="1136"/>
      <c r="F629" s="201" t="e">
        <f>VLOOKUP(A629,'Compos DER'!J:K,2,FALSE)</f>
        <v>#N/A</v>
      </c>
      <c r="G629" s="198" t="e">
        <f t="shared" si="9"/>
        <v>#N/A</v>
      </c>
    </row>
    <row r="630" spans="1:7" x14ac:dyDescent="0.2">
      <c r="A630" s="1134">
        <v>40292</v>
      </c>
      <c r="B630" s="616" t="s">
        <v>1294</v>
      </c>
      <c r="C630" s="614" t="s">
        <v>719</v>
      </c>
      <c r="D630" s="1135">
        <v>40.590000000000003</v>
      </c>
      <c r="E630" s="1136"/>
      <c r="F630" s="201" t="e">
        <f>VLOOKUP(A630,'Compos DER'!J:K,2,FALSE)</f>
        <v>#N/A</v>
      </c>
      <c r="G630" s="198" t="e">
        <f t="shared" si="9"/>
        <v>#N/A</v>
      </c>
    </row>
    <row r="631" spans="1:7" x14ac:dyDescent="0.2">
      <c r="A631" s="1134">
        <v>40290</v>
      </c>
      <c r="B631" s="616" t="s">
        <v>1295</v>
      </c>
      <c r="C631" s="614" t="s">
        <v>719</v>
      </c>
      <c r="D631" s="1135">
        <v>39.200000000000003</v>
      </c>
      <c r="E631" s="1136"/>
      <c r="F631" s="201" t="e">
        <f>VLOOKUP(A631,'Compos DER'!J:K,2,FALSE)</f>
        <v>#N/A</v>
      </c>
      <c r="G631" s="198" t="e">
        <f t="shared" si="9"/>
        <v>#N/A</v>
      </c>
    </row>
    <row r="632" spans="1:7" x14ac:dyDescent="0.2">
      <c r="A632" s="1134">
        <v>40293</v>
      </c>
      <c r="B632" s="616" t="s">
        <v>1296</v>
      </c>
      <c r="C632" s="614" t="s">
        <v>719</v>
      </c>
      <c r="D632" s="1135">
        <v>48.44</v>
      </c>
      <c r="E632" s="1136"/>
      <c r="F632" s="201" t="e">
        <f>VLOOKUP(A632,'Compos DER'!J:K,2,FALSE)</f>
        <v>#N/A</v>
      </c>
      <c r="G632" s="198" t="e">
        <f t="shared" si="9"/>
        <v>#N/A</v>
      </c>
    </row>
    <row r="633" spans="1:7" x14ac:dyDescent="0.2">
      <c r="A633" s="1134">
        <v>40294</v>
      </c>
      <c r="B633" s="616" t="s">
        <v>1297</v>
      </c>
      <c r="C633" s="614" t="s">
        <v>719</v>
      </c>
      <c r="D633" s="1135">
        <v>126.69</v>
      </c>
      <c r="E633" s="1136"/>
      <c r="F633" s="201" t="e">
        <f>VLOOKUP(A633,'Compos DER'!J:K,2,FALSE)</f>
        <v>#N/A</v>
      </c>
      <c r="G633" s="198" t="e">
        <f t="shared" si="9"/>
        <v>#N/A</v>
      </c>
    </row>
    <row r="634" spans="1:7" x14ac:dyDescent="0.2">
      <c r="A634" s="1134">
        <v>40297</v>
      </c>
      <c r="B634" s="616" t="s">
        <v>1298</v>
      </c>
      <c r="C634" s="614" t="s">
        <v>719</v>
      </c>
      <c r="D634" s="1135">
        <v>135.93</v>
      </c>
      <c r="E634" s="1136"/>
      <c r="F634" s="201" t="e">
        <f>VLOOKUP(A634,'Compos DER'!J:K,2,FALSE)</f>
        <v>#N/A</v>
      </c>
      <c r="G634" s="198" t="e">
        <f t="shared" si="9"/>
        <v>#N/A</v>
      </c>
    </row>
    <row r="635" spans="1:7" x14ac:dyDescent="0.2">
      <c r="A635" s="1134">
        <v>40295</v>
      </c>
      <c r="B635" s="616" t="s">
        <v>1299</v>
      </c>
      <c r="C635" s="614" t="s">
        <v>719</v>
      </c>
      <c r="D635" s="1135">
        <v>142.84</v>
      </c>
      <c r="E635" s="1136"/>
      <c r="F635" s="201" t="e">
        <f>VLOOKUP(A635,'Compos DER'!J:K,2,FALSE)</f>
        <v>#N/A</v>
      </c>
      <c r="G635" s="198" t="e">
        <f t="shared" si="9"/>
        <v>#N/A</v>
      </c>
    </row>
    <row r="636" spans="1:7" x14ac:dyDescent="0.2">
      <c r="A636" s="1134">
        <v>40298</v>
      </c>
      <c r="B636" s="616" t="s">
        <v>1300</v>
      </c>
      <c r="C636" s="614" t="s">
        <v>719</v>
      </c>
      <c r="D636" s="1135">
        <v>152.07</v>
      </c>
      <c r="E636" s="1136"/>
      <c r="F636" s="201" t="e">
        <f>VLOOKUP(A636,'Compos DER'!J:K,2,FALSE)</f>
        <v>#N/A</v>
      </c>
      <c r="G636" s="198" t="e">
        <f t="shared" si="9"/>
        <v>#N/A</v>
      </c>
    </row>
    <row r="637" spans="1:7" x14ac:dyDescent="0.2">
      <c r="A637" s="1134">
        <v>40296</v>
      </c>
      <c r="B637" s="616" t="s">
        <v>1301</v>
      </c>
      <c r="C637" s="614" t="s">
        <v>719</v>
      </c>
      <c r="D637" s="1135">
        <v>172.35</v>
      </c>
      <c r="E637" s="1136"/>
      <c r="F637" s="201" t="e">
        <f>VLOOKUP(A637,'Compos DER'!J:K,2,FALSE)</f>
        <v>#N/A</v>
      </c>
      <c r="G637" s="198" t="e">
        <f t="shared" si="9"/>
        <v>#N/A</v>
      </c>
    </row>
    <row r="638" spans="1:7" x14ac:dyDescent="0.2">
      <c r="A638" s="1134">
        <v>40299</v>
      </c>
      <c r="B638" s="616" t="s">
        <v>1302</v>
      </c>
      <c r="C638" s="614" t="s">
        <v>719</v>
      </c>
      <c r="D638" s="1135">
        <v>181.58</v>
      </c>
      <c r="E638" s="1136"/>
      <c r="F638" s="201" t="e">
        <f>VLOOKUP(A638,'Compos DER'!J:K,2,FALSE)</f>
        <v>#N/A</v>
      </c>
      <c r="G638" s="198" t="e">
        <f t="shared" si="9"/>
        <v>#N/A</v>
      </c>
    </row>
    <row r="639" spans="1:7" x14ac:dyDescent="0.2">
      <c r="A639" s="1134">
        <v>40327</v>
      </c>
      <c r="B639" s="616" t="s">
        <v>1303</v>
      </c>
      <c r="C639" s="614" t="s">
        <v>717</v>
      </c>
      <c r="D639" s="1135">
        <v>238.4</v>
      </c>
      <c r="E639" s="616" t="s">
        <v>777</v>
      </c>
      <c r="F639" s="201" t="e">
        <f>VLOOKUP(A639,'Compos DER'!J:K,2,FALSE)</f>
        <v>#N/A</v>
      </c>
      <c r="G639" s="198" t="e">
        <f t="shared" si="9"/>
        <v>#N/A</v>
      </c>
    </row>
    <row r="640" spans="1:7" x14ac:dyDescent="0.2">
      <c r="A640" s="1134">
        <v>40328</v>
      </c>
      <c r="B640" s="616" t="s">
        <v>1304</v>
      </c>
      <c r="C640" s="614" t="s">
        <v>719</v>
      </c>
      <c r="D640" s="1135">
        <v>133.11000000000001</v>
      </c>
      <c r="E640" s="616" t="s">
        <v>777</v>
      </c>
      <c r="F640" s="201">
        <f>VLOOKUP(A640,'Compos DER'!J:K,2,FALSE)</f>
        <v>134.55000000000001</v>
      </c>
      <c r="G640" s="198">
        <f t="shared" si="9"/>
        <v>1.01081812035159</v>
      </c>
    </row>
    <row r="641" spans="1:7" x14ac:dyDescent="0.2">
      <c r="A641" s="1134">
        <v>43332</v>
      </c>
      <c r="B641" s="616" t="s">
        <v>1305</v>
      </c>
      <c r="C641" s="616" t="s">
        <v>1306</v>
      </c>
      <c r="D641" s="1137">
        <v>6848.36</v>
      </c>
      <c r="E641" s="1136"/>
      <c r="F641" s="201" t="e">
        <f>VLOOKUP(A641,'Compos DER'!J:K,2,FALSE)</f>
        <v>#N/A</v>
      </c>
      <c r="G641" s="198" t="e">
        <f t="shared" si="9"/>
        <v>#N/A</v>
      </c>
    </row>
    <row r="642" spans="1:7" x14ac:dyDescent="0.2">
      <c r="A642" s="1134">
        <v>40316</v>
      </c>
      <c r="B642" s="616" t="s">
        <v>1307</v>
      </c>
      <c r="C642" s="614" t="s">
        <v>717</v>
      </c>
      <c r="D642" s="1135">
        <v>78.87</v>
      </c>
      <c r="E642" s="616" t="s">
        <v>777</v>
      </c>
      <c r="F642" s="201">
        <f>VLOOKUP(A642,'Compos DER'!J:K,2,FALSE)</f>
        <v>79.48</v>
      </c>
      <c r="G642" s="198">
        <f t="shared" si="9"/>
        <v>1.0077342462279699</v>
      </c>
    </row>
    <row r="643" spans="1:7" x14ac:dyDescent="0.2">
      <c r="A643" s="1134">
        <v>40317</v>
      </c>
      <c r="B643" s="616" t="s">
        <v>1308</v>
      </c>
      <c r="C643" s="614" t="s">
        <v>717</v>
      </c>
      <c r="D643" s="1135">
        <v>67.41</v>
      </c>
      <c r="E643" s="616" t="s">
        <v>777</v>
      </c>
      <c r="F643" s="201" t="e">
        <f>VLOOKUP(A643,'Compos DER'!J:K,2,FALSE)</f>
        <v>#N/A</v>
      </c>
      <c r="G643" s="198" t="e">
        <f t="shared" ref="G643:G706" si="10">+F643/D643</f>
        <v>#N/A</v>
      </c>
    </row>
    <row r="644" spans="1:7" x14ac:dyDescent="0.2">
      <c r="A644" s="1134">
        <v>40318</v>
      </c>
      <c r="B644" s="616" t="s">
        <v>1309</v>
      </c>
      <c r="C644" s="614" t="s">
        <v>717</v>
      </c>
      <c r="D644" s="1135">
        <v>9.16</v>
      </c>
      <c r="E644" s="1136"/>
      <c r="F644" s="201" t="e">
        <f>VLOOKUP(A644,'Compos DER'!J:K,2,FALSE)</f>
        <v>#N/A</v>
      </c>
      <c r="G644" s="198" t="e">
        <f t="shared" si="10"/>
        <v>#N/A</v>
      </c>
    </row>
    <row r="645" spans="1:7" x14ac:dyDescent="0.2">
      <c r="A645" s="1134">
        <v>40311</v>
      </c>
      <c r="B645" s="616" t="s">
        <v>1310</v>
      </c>
      <c r="C645" s="614" t="s">
        <v>717</v>
      </c>
      <c r="D645" s="1135">
        <v>123.77</v>
      </c>
      <c r="E645" s="616" t="s">
        <v>777</v>
      </c>
      <c r="F645" s="201">
        <f>VLOOKUP(A645,'Compos DER'!J:K,2,FALSE)</f>
        <v>124.29</v>
      </c>
      <c r="G645" s="198">
        <f t="shared" si="10"/>
        <v>1.00420134119738</v>
      </c>
    </row>
    <row r="646" spans="1:7" x14ac:dyDescent="0.2">
      <c r="A646" s="1134">
        <v>40312</v>
      </c>
      <c r="B646" s="616" t="s">
        <v>1311</v>
      </c>
      <c r="C646" s="614" t="s">
        <v>717</v>
      </c>
      <c r="D646" s="1135">
        <v>103.6</v>
      </c>
      <c r="E646" s="616" t="s">
        <v>777</v>
      </c>
      <c r="F646" s="201">
        <f>VLOOKUP(A646,'Compos DER'!J:K,2,FALSE)</f>
        <v>103.98</v>
      </c>
      <c r="G646" s="198">
        <f t="shared" si="10"/>
        <v>1.00366795366795</v>
      </c>
    </row>
    <row r="647" spans="1:7" x14ac:dyDescent="0.2">
      <c r="A647" s="1134">
        <v>40313</v>
      </c>
      <c r="B647" s="616" t="s">
        <v>1312</v>
      </c>
      <c r="C647" s="614" t="s">
        <v>717</v>
      </c>
      <c r="D647" s="1135">
        <v>87.97</v>
      </c>
      <c r="E647" s="616" t="s">
        <v>777</v>
      </c>
      <c r="F647" s="201">
        <f>VLOOKUP(A647,'Compos DER'!J:K,2,FALSE)</f>
        <v>88.26</v>
      </c>
      <c r="G647" s="198">
        <f t="shared" si="10"/>
        <v>1.00329657837899</v>
      </c>
    </row>
    <row r="648" spans="1:7" x14ac:dyDescent="0.2">
      <c r="A648" s="1134">
        <v>40310</v>
      </c>
      <c r="B648" s="616" t="s">
        <v>1313</v>
      </c>
      <c r="C648" s="614" t="s">
        <v>717</v>
      </c>
      <c r="D648" s="1135">
        <v>181.36</v>
      </c>
      <c r="E648" s="616" t="s">
        <v>777</v>
      </c>
      <c r="F648" s="201" t="e">
        <f>VLOOKUP(A648,'Compos DER'!J:K,2,FALSE)</f>
        <v>#N/A</v>
      </c>
      <c r="G648" s="198" t="e">
        <f t="shared" si="10"/>
        <v>#N/A</v>
      </c>
    </row>
    <row r="649" spans="1:7" x14ac:dyDescent="0.2">
      <c r="A649" s="1134">
        <v>40748</v>
      </c>
      <c r="B649" s="616" t="s">
        <v>1314</v>
      </c>
      <c r="C649" s="614" t="s">
        <v>717</v>
      </c>
      <c r="D649" s="1135">
        <v>258.63</v>
      </c>
      <c r="E649" s="1136"/>
      <c r="F649" s="201" t="e">
        <f>VLOOKUP(A649,'Compos DER'!J:K,2,FALSE)</f>
        <v>#N/A</v>
      </c>
      <c r="G649" s="198" t="e">
        <f t="shared" si="10"/>
        <v>#N/A</v>
      </c>
    </row>
    <row r="650" spans="1:7" x14ac:dyDescent="0.2">
      <c r="A650" s="1134">
        <v>40726</v>
      </c>
      <c r="B650" s="616" t="s">
        <v>1315</v>
      </c>
      <c r="C650" s="614" t="s">
        <v>719</v>
      </c>
      <c r="D650" s="1135">
        <v>558.03</v>
      </c>
      <c r="E650" s="616" t="s">
        <v>777</v>
      </c>
      <c r="F650" s="201" t="e">
        <f>VLOOKUP(A650,'Compos DER'!J:K,2,FALSE)</f>
        <v>#N/A</v>
      </c>
      <c r="G650" s="198" t="e">
        <f t="shared" si="10"/>
        <v>#N/A</v>
      </c>
    </row>
    <row r="651" spans="1:7" x14ac:dyDescent="0.2">
      <c r="A651" s="1134">
        <v>40725</v>
      </c>
      <c r="B651" s="616" t="s">
        <v>1316</v>
      </c>
      <c r="C651" s="614" t="s">
        <v>719</v>
      </c>
      <c r="D651" s="1135">
        <v>554.98</v>
      </c>
      <c r="E651" s="616" t="s">
        <v>777</v>
      </c>
      <c r="F651" s="201" t="e">
        <f>VLOOKUP(A651,'Compos DER'!J:K,2,FALSE)</f>
        <v>#N/A</v>
      </c>
      <c r="G651" s="198" t="e">
        <f t="shared" si="10"/>
        <v>#N/A</v>
      </c>
    </row>
    <row r="652" spans="1:7" x14ac:dyDescent="0.2">
      <c r="A652" s="1134">
        <v>41394</v>
      </c>
      <c r="B652" s="616" t="s">
        <v>1317</v>
      </c>
      <c r="C652" s="614" t="s">
        <v>717</v>
      </c>
      <c r="D652" s="1135">
        <v>33.22</v>
      </c>
      <c r="E652" s="1136"/>
      <c r="F652" s="201" t="e">
        <f>VLOOKUP(A652,'Compos DER'!J:K,2,FALSE)</f>
        <v>#N/A</v>
      </c>
      <c r="G652" s="198" t="e">
        <f t="shared" si="10"/>
        <v>#N/A</v>
      </c>
    </row>
    <row r="653" spans="1:7" x14ac:dyDescent="0.2">
      <c r="A653" s="1134">
        <v>41393</v>
      </c>
      <c r="B653" s="616" t="s">
        <v>1318</v>
      </c>
      <c r="C653" s="614" t="s">
        <v>717</v>
      </c>
      <c r="D653" s="1135">
        <v>46.51</v>
      </c>
      <c r="E653" s="1136"/>
      <c r="F653" s="201" t="e">
        <f>VLOOKUP(A653,'Compos DER'!J:K,2,FALSE)</f>
        <v>#N/A</v>
      </c>
      <c r="G653" s="198" t="e">
        <f t="shared" si="10"/>
        <v>#N/A</v>
      </c>
    </row>
    <row r="654" spans="1:7" x14ac:dyDescent="0.2">
      <c r="A654" s="1134">
        <v>41391</v>
      </c>
      <c r="B654" s="616" t="s">
        <v>1319</v>
      </c>
      <c r="C654" s="614" t="s">
        <v>717</v>
      </c>
      <c r="D654" s="1135">
        <v>63.6</v>
      </c>
      <c r="E654" s="1136"/>
      <c r="F654" s="201" t="e">
        <f>VLOOKUP(A654,'Compos DER'!J:K,2,FALSE)</f>
        <v>#N/A</v>
      </c>
      <c r="G654" s="198" t="e">
        <f t="shared" si="10"/>
        <v>#N/A</v>
      </c>
    </row>
    <row r="655" spans="1:7" x14ac:dyDescent="0.2">
      <c r="A655" s="1134">
        <v>102596</v>
      </c>
      <c r="B655" s="616" t="s">
        <v>1320</v>
      </c>
      <c r="C655" s="614" t="s">
        <v>1321</v>
      </c>
      <c r="D655" s="1135">
        <v>19.95</v>
      </c>
      <c r="E655" s="1136"/>
      <c r="F655" s="201" t="e">
        <f>VLOOKUP(A655,'Compos DER'!J:K,2,FALSE)</f>
        <v>#N/A</v>
      </c>
      <c r="G655" s="198" t="e">
        <f t="shared" si="10"/>
        <v>#N/A</v>
      </c>
    </row>
    <row r="656" spans="1:7" x14ac:dyDescent="0.2">
      <c r="A656" s="1134">
        <v>102595</v>
      </c>
      <c r="B656" s="616" t="s">
        <v>1322</v>
      </c>
      <c r="C656" s="614" t="s">
        <v>1321</v>
      </c>
      <c r="D656" s="1135">
        <v>22.81</v>
      </c>
      <c r="E656" s="1136"/>
      <c r="F656" s="201" t="e">
        <f>VLOOKUP(A656,'Compos DER'!J:K,2,FALSE)</f>
        <v>#N/A</v>
      </c>
      <c r="G656" s="198" t="e">
        <f t="shared" si="10"/>
        <v>#N/A</v>
      </c>
    </row>
    <row r="657" spans="1:7" x14ac:dyDescent="0.2">
      <c r="A657" s="1134">
        <v>41392</v>
      </c>
      <c r="B657" s="616" t="s">
        <v>1323</v>
      </c>
      <c r="C657" s="614" t="s">
        <v>717</v>
      </c>
      <c r="D657" s="1135">
        <v>56.17</v>
      </c>
      <c r="E657" s="1136"/>
      <c r="F657" s="201" t="e">
        <f>VLOOKUP(A657,'Compos DER'!J:K,2,FALSE)</f>
        <v>#N/A</v>
      </c>
      <c r="G657" s="198" t="e">
        <f t="shared" si="10"/>
        <v>#N/A</v>
      </c>
    </row>
    <row r="658" spans="1:7" x14ac:dyDescent="0.2">
      <c r="A658" s="1134">
        <v>102594</v>
      </c>
      <c r="B658" s="616" t="s">
        <v>1324</v>
      </c>
      <c r="C658" s="614" t="s">
        <v>1321</v>
      </c>
      <c r="D658" s="1135">
        <v>26.8</v>
      </c>
      <c r="E658" s="1136"/>
      <c r="F658" s="201" t="e">
        <f>VLOOKUP(A658,'Compos DER'!J:K,2,FALSE)</f>
        <v>#N/A</v>
      </c>
      <c r="G658" s="198" t="e">
        <f t="shared" si="10"/>
        <v>#N/A</v>
      </c>
    </row>
    <row r="659" spans="1:7" x14ac:dyDescent="0.2">
      <c r="A659" s="1134">
        <v>41197</v>
      </c>
      <c r="B659" s="616" t="s">
        <v>1325</v>
      </c>
      <c r="C659" s="614" t="s">
        <v>717</v>
      </c>
      <c r="D659" s="1135">
        <v>50.14</v>
      </c>
      <c r="E659" s="1136"/>
      <c r="F659" s="201" t="e">
        <f>VLOOKUP(A659,'Compos DER'!J:K,2,FALSE)</f>
        <v>#N/A</v>
      </c>
      <c r="G659" s="198" t="e">
        <f t="shared" si="10"/>
        <v>#N/A</v>
      </c>
    </row>
    <row r="660" spans="1:7" x14ac:dyDescent="0.2">
      <c r="A660" s="1134">
        <v>40709</v>
      </c>
      <c r="B660" s="616" t="s">
        <v>1326</v>
      </c>
      <c r="C660" s="614" t="s">
        <v>717</v>
      </c>
      <c r="D660" s="1135">
        <v>26.46</v>
      </c>
      <c r="E660" s="1136"/>
      <c r="F660" s="201" t="e">
        <f>VLOOKUP(A660,'Compos DER'!J:K,2,FALSE)</f>
        <v>#N/A</v>
      </c>
      <c r="G660" s="198" t="e">
        <f t="shared" si="10"/>
        <v>#N/A</v>
      </c>
    </row>
    <row r="661" spans="1:7" x14ac:dyDescent="0.2">
      <c r="A661" s="1134">
        <v>40721</v>
      </c>
      <c r="B661" s="616" t="s">
        <v>1327</v>
      </c>
      <c r="C661" s="614" t="s">
        <v>719</v>
      </c>
      <c r="D661" s="1135">
        <v>135.87</v>
      </c>
      <c r="E661" s="616" t="s">
        <v>777</v>
      </c>
      <c r="F661" s="201" t="e">
        <f>VLOOKUP(A661,'Compos DER'!J:K,2,FALSE)</f>
        <v>#N/A</v>
      </c>
      <c r="G661" s="198" t="e">
        <f t="shared" si="10"/>
        <v>#N/A</v>
      </c>
    </row>
    <row r="662" spans="1:7" x14ac:dyDescent="0.2">
      <c r="A662" s="1134">
        <v>40396</v>
      </c>
      <c r="B662" s="616" t="s">
        <v>1328</v>
      </c>
      <c r="C662" s="614" t="s">
        <v>717</v>
      </c>
      <c r="D662" s="1135">
        <v>38.22</v>
      </c>
      <c r="E662" s="1136"/>
      <c r="F662" s="201" t="e">
        <f>VLOOKUP(A662,'Compos DER'!J:K,2,FALSE)</f>
        <v>#N/A</v>
      </c>
      <c r="G662" s="198" t="e">
        <f t="shared" si="10"/>
        <v>#N/A</v>
      </c>
    </row>
    <row r="663" spans="1:7" x14ac:dyDescent="0.2">
      <c r="A663" s="1134">
        <v>40744</v>
      </c>
      <c r="B663" s="616" t="s">
        <v>1329</v>
      </c>
      <c r="C663" s="614" t="s">
        <v>838</v>
      </c>
      <c r="D663" s="1135">
        <v>34.24</v>
      </c>
      <c r="E663" s="1136"/>
      <c r="F663" s="201" t="e">
        <f>VLOOKUP(A663,'Compos DER'!J:K,2,FALSE)</f>
        <v>#N/A</v>
      </c>
      <c r="G663" s="198" t="e">
        <f t="shared" si="10"/>
        <v>#N/A</v>
      </c>
    </row>
    <row r="664" spans="1:7" x14ac:dyDescent="0.2">
      <c r="A664" s="1134">
        <v>40746</v>
      </c>
      <c r="B664" s="616" t="s">
        <v>1330</v>
      </c>
      <c r="C664" s="614" t="s">
        <v>838</v>
      </c>
      <c r="D664" s="1135">
        <v>66.66</v>
      </c>
      <c r="E664" s="1136"/>
      <c r="F664" s="201" t="e">
        <f>VLOOKUP(A664,'Compos DER'!J:K,2,FALSE)</f>
        <v>#N/A</v>
      </c>
      <c r="G664" s="198" t="e">
        <f t="shared" si="10"/>
        <v>#N/A</v>
      </c>
    </row>
    <row r="665" spans="1:7" x14ac:dyDescent="0.2">
      <c r="A665" s="1134">
        <v>40743</v>
      </c>
      <c r="B665" s="616" t="s">
        <v>1331</v>
      </c>
      <c r="C665" s="614" t="s">
        <v>838</v>
      </c>
      <c r="D665" s="1135">
        <v>18.02</v>
      </c>
      <c r="E665" s="1136"/>
      <c r="F665" s="201" t="e">
        <f>VLOOKUP(A665,'Compos DER'!J:K,2,FALSE)</f>
        <v>#N/A</v>
      </c>
      <c r="G665" s="198" t="e">
        <f t="shared" si="10"/>
        <v>#N/A</v>
      </c>
    </row>
    <row r="666" spans="1:7" x14ac:dyDescent="0.2">
      <c r="A666" s="1134">
        <v>40745</v>
      </c>
      <c r="B666" s="616" t="s">
        <v>1332</v>
      </c>
      <c r="C666" s="614" t="s">
        <v>838</v>
      </c>
      <c r="D666" s="1135">
        <v>50.45</v>
      </c>
      <c r="E666" s="1136"/>
      <c r="F666" s="201" t="e">
        <f>VLOOKUP(A666,'Compos DER'!J:K,2,FALSE)</f>
        <v>#N/A</v>
      </c>
      <c r="G666" s="198" t="e">
        <f t="shared" si="10"/>
        <v>#N/A</v>
      </c>
    </row>
    <row r="667" spans="1:7" x14ac:dyDescent="0.2">
      <c r="A667" s="1132" t="s">
        <v>773</v>
      </c>
      <c r="B667" s="617"/>
      <c r="C667" s="617"/>
      <c r="D667" s="617"/>
      <c r="E667" s="617"/>
      <c r="F667" s="201" t="e">
        <f>VLOOKUP(A667,'Compos DER'!J:K,2,FALSE)</f>
        <v>#N/A</v>
      </c>
      <c r="G667" s="198" t="e">
        <f t="shared" si="10"/>
        <v>#N/A</v>
      </c>
    </row>
    <row r="668" spans="1:7" x14ac:dyDescent="0.2">
      <c r="A668" s="1131" t="s">
        <v>708</v>
      </c>
      <c r="B668" s="617"/>
      <c r="C668" s="617"/>
      <c r="D668" s="617"/>
      <c r="E668" s="617"/>
      <c r="F668" s="201" t="e">
        <f>VLOOKUP(A668,'Compos DER'!J:K,2,FALSE)</f>
        <v>#N/A</v>
      </c>
      <c r="G668" s="198" t="e">
        <f t="shared" si="10"/>
        <v>#N/A</v>
      </c>
    </row>
    <row r="669" spans="1:7" x14ac:dyDescent="0.2">
      <c r="A669" s="1131" t="s">
        <v>709</v>
      </c>
      <c r="B669" s="617"/>
      <c r="C669" s="617"/>
      <c r="D669" s="617"/>
      <c r="E669" s="617"/>
      <c r="F669" s="201" t="e">
        <f>VLOOKUP(A669,'Compos DER'!J:K,2,FALSE)</f>
        <v>#N/A</v>
      </c>
      <c r="G669" s="198" t="e">
        <f t="shared" si="10"/>
        <v>#N/A</v>
      </c>
    </row>
    <row r="670" spans="1:7" x14ac:dyDescent="0.2">
      <c r="A670" s="1132" t="s">
        <v>924</v>
      </c>
      <c r="B670" s="617"/>
      <c r="C670" s="617"/>
      <c r="D670" s="617"/>
      <c r="E670" s="617"/>
      <c r="F670" s="201" t="e">
        <f>VLOOKUP(A670,'Compos DER'!J:K,2,FALSE)</f>
        <v>#N/A</v>
      </c>
      <c r="G670" s="198" t="e">
        <f t="shared" si="10"/>
        <v>#N/A</v>
      </c>
    </row>
    <row r="671" spans="1:7" ht="18" x14ac:dyDescent="0.2">
      <c r="A671" s="1133" t="s">
        <v>711</v>
      </c>
      <c r="B671" s="1133" t="s">
        <v>712</v>
      </c>
      <c r="C671" s="1133" t="s">
        <v>713</v>
      </c>
      <c r="D671" s="1133" t="s">
        <v>714</v>
      </c>
      <c r="E671" s="1133" t="s">
        <v>715</v>
      </c>
      <c r="F671" s="201" t="e">
        <f>VLOOKUP(A671,'Compos DER'!J:K,2,FALSE)</f>
        <v>#N/A</v>
      </c>
      <c r="G671" s="198" t="e">
        <f t="shared" si="10"/>
        <v>#N/A</v>
      </c>
    </row>
    <row r="672" spans="1:7" x14ac:dyDescent="0.2">
      <c r="A672" s="1134">
        <v>40397</v>
      </c>
      <c r="B672" s="616" t="s">
        <v>1333</v>
      </c>
      <c r="C672" s="614" t="s">
        <v>717</v>
      </c>
      <c r="D672" s="1135">
        <v>89.25</v>
      </c>
      <c r="E672" s="1136"/>
      <c r="F672" s="201" t="e">
        <f>VLOOKUP(A672,'Compos DER'!J:K,2,FALSE)</f>
        <v>#N/A</v>
      </c>
      <c r="G672" s="198" t="e">
        <f t="shared" si="10"/>
        <v>#N/A</v>
      </c>
    </row>
    <row r="673" spans="1:7" x14ac:dyDescent="0.2">
      <c r="A673" s="1134">
        <v>41221</v>
      </c>
      <c r="B673" s="616" t="s">
        <v>1334</v>
      </c>
      <c r="C673" s="614" t="s">
        <v>717</v>
      </c>
      <c r="D673" s="1135">
        <v>4.58</v>
      </c>
      <c r="E673" s="1136"/>
      <c r="F673" s="201" t="e">
        <f>VLOOKUP(A673,'Compos DER'!J:K,2,FALSE)</f>
        <v>#N/A</v>
      </c>
      <c r="G673" s="198" t="e">
        <f t="shared" si="10"/>
        <v>#N/A</v>
      </c>
    </row>
    <row r="674" spans="1:7" x14ac:dyDescent="0.2">
      <c r="A674" s="1134">
        <v>41401</v>
      </c>
      <c r="B674" s="616" t="s">
        <v>1335</v>
      </c>
      <c r="C674" s="614" t="s">
        <v>717</v>
      </c>
      <c r="D674" s="1135">
        <v>7.99</v>
      </c>
      <c r="E674" s="1136"/>
      <c r="F674" s="201" t="e">
        <f>VLOOKUP(A674,'Compos DER'!J:K,2,FALSE)</f>
        <v>#N/A</v>
      </c>
      <c r="G674" s="198" t="e">
        <f t="shared" si="10"/>
        <v>#N/A</v>
      </c>
    </row>
    <row r="675" spans="1:7" x14ac:dyDescent="0.2">
      <c r="A675" s="1134">
        <v>40714</v>
      </c>
      <c r="B675" s="616" t="s">
        <v>1336</v>
      </c>
      <c r="C675" s="614" t="s">
        <v>717</v>
      </c>
      <c r="D675" s="1135">
        <v>11.37</v>
      </c>
      <c r="E675" s="1136"/>
      <c r="F675" s="201" t="e">
        <f>VLOOKUP(A675,'Compos DER'!J:K,2,FALSE)</f>
        <v>#N/A</v>
      </c>
      <c r="G675" s="198" t="e">
        <f t="shared" si="10"/>
        <v>#N/A</v>
      </c>
    </row>
    <row r="676" spans="1:7" x14ac:dyDescent="0.2">
      <c r="A676" s="1134">
        <v>40660</v>
      </c>
      <c r="B676" s="616" t="s">
        <v>1337</v>
      </c>
      <c r="C676" s="614" t="s">
        <v>838</v>
      </c>
      <c r="D676" s="1135">
        <v>59.67</v>
      </c>
      <c r="E676" s="1136"/>
      <c r="F676" s="201" t="e">
        <f>VLOOKUP(A676,'Compos DER'!J:K,2,FALSE)</f>
        <v>#N/A</v>
      </c>
      <c r="G676" s="198" t="e">
        <f t="shared" si="10"/>
        <v>#N/A</v>
      </c>
    </row>
    <row r="677" spans="1:7" x14ac:dyDescent="0.2">
      <c r="A677" s="1134">
        <v>40661</v>
      </c>
      <c r="B677" s="616" t="s">
        <v>1338</v>
      </c>
      <c r="C677" s="614" t="s">
        <v>838</v>
      </c>
      <c r="D677" s="1135">
        <v>118.65</v>
      </c>
      <c r="E677" s="1136"/>
      <c r="F677" s="201" t="e">
        <f>VLOOKUP(A677,'Compos DER'!J:K,2,FALSE)</f>
        <v>#N/A</v>
      </c>
      <c r="G677" s="198" t="e">
        <f t="shared" si="10"/>
        <v>#N/A</v>
      </c>
    </row>
    <row r="678" spans="1:7" x14ac:dyDescent="0.2">
      <c r="A678" s="1134">
        <v>40662</v>
      </c>
      <c r="B678" s="616" t="s">
        <v>1339</v>
      </c>
      <c r="C678" s="614" t="s">
        <v>838</v>
      </c>
      <c r="D678" s="1135">
        <v>63.33</v>
      </c>
      <c r="E678" s="1136"/>
      <c r="F678" s="201">
        <f>VLOOKUP(A678,'Compos DER'!J:K,2,FALSE)</f>
        <v>65.78</v>
      </c>
      <c r="G678" s="198">
        <f t="shared" si="10"/>
        <v>1.0386862466445601</v>
      </c>
    </row>
    <row r="679" spans="1:7" x14ac:dyDescent="0.2">
      <c r="A679" s="1134">
        <v>40663</v>
      </c>
      <c r="B679" s="616" t="s">
        <v>1340</v>
      </c>
      <c r="C679" s="614" t="s">
        <v>838</v>
      </c>
      <c r="D679" s="1135">
        <v>62.11</v>
      </c>
      <c r="E679" s="616" t="s">
        <v>777</v>
      </c>
      <c r="F679" s="201" t="e">
        <f>VLOOKUP(A679,'Compos DER'!J:K,2,FALSE)</f>
        <v>#N/A</v>
      </c>
      <c r="G679" s="198" t="e">
        <f t="shared" si="10"/>
        <v>#N/A</v>
      </c>
    </row>
    <row r="680" spans="1:7" x14ac:dyDescent="0.2">
      <c r="A680" s="1134">
        <v>40659</v>
      </c>
      <c r="B680" s="616" t="s">
        <v>1341</v>
      </c>
      <c r="C680" s="614" t="s">
        <v>838</v>
      </c>
      <c r="D680" s="1135">
        <v>54.64</v>
      </c>
      <c r="E680" s="1136"/>
      <c r="F680" s="201">
        <f>VLOOKUP(A680,'Compos DER'!J:K,2,FALSE)</f>
        <v>57.06</v>
      </c>
      <c r="G680" s="198">
        <f t="shared" si="10"/>
        <v>1.04428989751098</v>
      </c>
    </row>
    <row r="681" spans="1:7" x14ac:dyDescent="0.2">
      <c r="A681" s="1134">
        <v>41024</v>
      </c>
      <c r="B681" s="616" t="s">
        <v>1342</v>
      </c>
      <c r="C681" s="614" t="s">
        <v>838</v>
      </c>
      <c r="D681" s="1135">
        <v>22.02</v>
      </c>
      <c r="E681" s="1136"/>
      <c r="F681" s="201" t="e">
        <f>VLOOKUP(A681,'Compos DER'!J:K,2,FALSE)</f>
        <v>#N/A</v>
      </c>
      <c r="G681" s="198" t="e">
        <f t="shared" si="10"/>
        <v>#N/A</v>
      </c>
    </row>
    <row r="682" spans="1:7" x14ac:dyDescent="0.2">
      <c r="A682" s="1134">
        <v>40657</v>
      </c>
      <c r="B682" s="616" t="s">
        <v>1343</v>
      </c>
      <c r="C682" s="614" t="s">
        <v>838</v>
      </c>
      <c r="D682" s="1135">
        <v>213.91</v>
      </c>
      <c r="E682" s="1136"/>
      <c r="F682" s="201" t="e">
        <f>VLOOKUP(A682,'Compos DER'!J:K,2,FALSE)</f>
        <v>#N/A</v>
      </c>
      <c r="G682" s="198" t="e">
        <f t="shared" si="10"/>
        <v>#N/A</v>
      </c>
    </row>
    <row r="683" spans="1:7" x14ac:dyDescent="0.2">
      <c r="A683" s="1134">
        <v>41395</v>
      </c>
      <c r="B683" s="616" t="s">
        <v>1344</v>
      </c>
      <c r="C683" s="614" t="s">
        <v>717</v>
      </c>
      <c r="D683" s="1135">
        <v>791.07</v>
      </c>
      <c r="E683" s="616" t="s">
        <v>777</v>
      </c>
      <c r="F683" s="201" t="e">
        <f>VLOOKUP(A683,'Compos DER'!J:K,2,FALSE)</f>
        <v>#N/A</v>
      </c>
      <c r="G683" s="198" t="e">
        <f t="shared" si="10"/>
        <v>#N/A</v>
      </c>
    </row>
    <row r="684" spans="1:7" x14ac:dyDescent="0.2">
      <c r="A684" s="1134">
        <v>41396</v>
      </c>
      <c r="B684" s="616" t="s">
        <v>1345</v>
      </c>
      <c r="C684" s="614" t="s">
        <v>717</v>
      </c>
      <c r="D684" s="1135">
        <v>946.88</v>
      </c>
      <c r="E684" s="616" t="s">
        <v>777</v>
      </c>
      <c r="F684" s="201" t="e">
        <f>VLOOKUP(A684,'Compos DER'!J:K,2,FALSE)</f>
        <v>#N/A</v>
      </c>
      <c r="G684" s="198" t="e">
        <f t="shared" si="10"/>
        <v>#N/A</v>
      </c>
    </row>
    <row r="685" spans="1:7" x14ac:dyDescent="0.2">
      <c r="A685" s="1134">
        <v>41397</v>
      </c>
      <c r="B685" s="616" t="s">
        <v>1346</v>
      </c>
      <c r="C685" s="614" t="s">
        <v>717</v>
      </c>
      <c r="D685" s="1135">
        <v>922.07</v>
      </c>
      <c r="E685" s="616" t="s">
        <v>777</v>
      </c>
      <c r="F685" s="201" t="e">
        <f>VLOOKUP(A685,'Compos DER'!J:K,2,FALSE)</f>
        <v>#N/A</v>
      </c>
      <c r="G685" s="198" t="e">
        <f t="shared" si="10"/>
        <v>#N/A</v>
      </c>
    </row>
    <row r="686" spans="1:7" x14ac:dyDescent="0.2">
      <c r="A686" s="1134">
        <v>41398</v>
      </c>
      <c r="B686" s="616" t="s">
        <v>1347</v>
      </c>
      <c r="C686" s="614" t="s">
        <v>717</v>
      </c>
      <c r="D686" s="1135">
        <v>990.19</v>
      </c>
      <c r="E686" s="616" t="s">
        <v>777</v>
      </c>
      <c r="F686" s="201" t="e">
        <f>VLOOKUP(A686,'Compos DER'!J:K,2,FALSE)</f>
        <v>#N/A</v>
      </c>
      <c r="G686" s="198" t="e">
        <f t="shared" si="10"/>
        <v>#N/A</v>
      </c>
    </row>
    <row r="687" spans="1:7" x14ac:dyDescent="0.2">
      <c r="A687" s="1134">
        <v>41399</v>
      </c>
      <c r="B687" s="616" t="s">
        <v>1348</v>
      </c>
      <c r="C687" s="614" t="s">
        <v>717</v>
      </c>
      <c r="D687" s="1135">
        <v>999.63</v>
      </c>
      <c r="E687" s="616" t="s">
        <v>777</v>
      </c>
      <c r="F687" s="201" t="e">
        <f>VLOOKUP(A687,'Compos DER'!J:K,2,FALSE)</f>
        <v>#N/A</v>
      </c>
      <c r="G687" s="198" t="e">
        <f t="shared" ref="G687:G689" si="11">+F687/D687</f>
        <v>#N/A</v>
      </c>
    </row>
    <row r="688" spans="1:7" x14ac:dyDescent="0.2">
      <c r="A688" s="1134">
        <v>40654</v>
      </c>
      <c r="B688" s="616" t="s">
        <v>1349</v>
      </c>
      <c r="C688" s="614" t="s">
        <v>734</v>
      </c>
      <c r="D688" s="1135">
        <v>698.17</v>
      </c>
      <c r="E688" s="616" t="s">
        <v>777</v>
      </c>
      <c r="F688" s="201" t="e">
        <f>VLOOKUP(A688,'Compos DER'!J:K,2,FALSE)</f>
        <v>#N/A</v>
      </c>
      <c r="G688" s="198" t="e">
        <f t="shared" si="11"/>
        <v>#N/A</v>
      </c>
    </row>
    <row r="689" spans="1:7" x14ac:dyDescent="0.2">
      <c r="A689" s="1134">
        <v>40653</v>
      </c>
      <c r="B689" s="616" t="s">
        <v>1350</v>
      </c>
      <c r="C689" s="614" t="s">
        <v>734</v>
      </c>
      <c r="D689" s="1135">
        <v>766.35</v>
      </c>
      <c r="E689" s="616" t="s">
        <v>777</v>
      </c>
      <c r="F689" s="201" t="e">
        <f>VLOOKUP(A689,'Compos DER'!J:K,2,FALSE)</f>
        <v>#N/A</v>
      </c>
      <c r="G689" s="198" t="e">
        <f t="shared" si="11"/>
        <v>#N/A</v>
      </c>
    </row>
    <row r="690" spans="1:7" x14ac:dyDescent="0.2">
      <c r="A690" s="1134">
        <v>41337</v>
      </c>
      <c r="B690" s="616" t="s">
        <v>1351</v>
      </c>
      <c r="C690" s="614" t="s">
        <v>734</v>
      </c>
      <c r="D690" s="1135">
        <v>311.66000000000003</v>
      </c>
      <c r="E690" s="616" t="s">
        <v>777</v>
      </c>
      <c r="F690" s="201" t="e">
        <f>VLOOKUP(A690,'Compos DER'!J:K,2,FALSE)</f>
        <v>#N/A</v>
      </c>
      <c r="G690" s="198" t="e">
        <f t="shared" si="10"/>
        <v>#N/A</v>
      </c>
    </row>
    <row r="691" spans="1:7" x14ac:dyDescent="0.2">
      <c r="A691" s="1134">
        <v>40719</v>
      </c>
      <c r="B691" s="616" t="s">
        <v>1352</v>
      </c>
      <c r="C691" s="614" t="s">
        <v>719</v>
      </c>
      <c r="D691" s="1135">
        <v>53.45</v>
      </c>
      <c r="E691" s="1136"/>
      <c r="F691" s="201" t="e">
        <f>VLOOKUP(A691,'Compos DER'!J:K,2,FALSE)</f>
        <v>#N/A</v>
      </c>
      <c r="G691" s="198" t="e">
        <f t="shared" si="10"/>
        <v>#N/A</v>
      </c>
    </row>
    <row r="692" spans="1:7" x14ac:dyDescent="0.2">
      <c r="A692" s="1134">
        <v>41019</v>
      </c>
      <c r="B692" s="616" t="s">
        <v>1353</v>
      </c>
      <c r="C692" s="614" t="s">
        <v>838</v>
      </c>
      <c r="D692" s="1135">
        <v>783.35</v>
      </c>
      <c r="E692" s="1136"/>
      <c r="F692" s="201" t="e">
        <f>VLOOKUP(A692,'Compos DER'!J:K,2,FALSE)</f>
        <v>#N/A</v>
      </c>
      <c r="G692" s="198" t="e">
        <f t="shared" si="10"/>
        <v>#N/A</v>
      </c>
    </row>
    <row r="693" spans="1:7" x14ac:dyDescent="0.2">
      <c r="A693" s="1134">
        <v>40557</v>
      </c>
      <c r="B693" s="616" t="s">
        <v>1354</v>
      </c>
      <c r="C693" s="614" t="s">
        <v>734</v>
      </c>
      <c r="D693" s="1135">
        <v>103.31</v>
      </c>
      <c r="E693" s="616" t="s">
        <v>777</v>
      </c>
      <c r="F693" s="201" t="e">
        <f>VLOOKUP(A693,'Compos DER'!J:K,2,FALSE)</f>
        <v>#N/A</v>
      </c>
      <c r="G693" s="198" t="e">
        <f t="shared" si="10"/>
        <v>#N/A</v>
      </c>
    </row>
    <row r="694" spans="1:7" x14ac:dyDescent="0.2">
      <c r="A694" s="1134">
        <v>40391</v>
      </c>
      <c r="B694" s="616" t="s">
        <v>1355</v>
      </c>
      <c r="C694" s="614" t="s">
        <v>717</v>
      </c>
      <c r="D694" s="1135">
        <v>5.01</v>
      </c>
      <c r="E694" s="1136"/>
      <c r="F694" s="201" t="e">
        <f>VLOOKUP(A694,'Compos DER'!J:K,2,FALSE)</f>
        <v>#N/A</v>
      </c>
      <c r="G694" s="198" t="e">
        <f t="shared" si="10"/>
        <v>#N/A</v>
      </c>
    </row>
    <row r="695" spans="1:7" x14ac:dyDescent="0.2">
      <c r="A695" s="1134">
        <v>40380</v>
      </c>
      <c r="B695" s="616" t="s">
        <v>1356</v>
      </c>
      <c r="C695" s="614" t="s">
        <v>717</v>
      </c>
      <c r="D695" s="1135">
        <v>63.91</v>
      </c>
      <c r="E695" s="1136"/>
      <c r="F695" s="201" t="e">
        <f>VLOOKUP(A695,'Compos DER'!J:K,2,FALSE)</f>
        <v>#N/A</v>
      </c>
      <c r="G695" s="198" t="e">
        <f t="shared" si="10"/>
        <v>#N/A</v>
      </c>
    </row>
    <row r="696" spans="1:7" x14ac:dyDescent="0.2">
      <c r="A696" s="1134">
        <v>40399</v>
      </c>
      <c r="B696" s="616" t="s">
        <v>1357</v>
      </c>
      <c r="C696" s="614" t="s">
        <v>717</v>
      </c>
      <c r="D696" s="1135">
        <v>227.03</v>
      </c>
      <c r="E696" s="1136"/>
      <c r="F696" s="201" t="e">
        <f>VLOOKUP(A696,'Compos DER'!J:K,2,FALSE)</f>
        <v>#N/A</v>
      </c>
      <c r="G696" s="198" t="e">
        <f t="shared" si="10"/>
        <v>#N/A</v>
      </c>
    </row>
    <row r="697" spans="1:7" x14ac:dyDescent="0.2">
      <c r="A697" s="1134">
        <v>41028</v>
      </c>
      <c r="B697" s="616" t="s">
        <v>1358</v>
      </c>
      <c r="C697" s="614" t="s">
        <v>717</v>
      </c>
      <c r="D697" s="1135">
        <v>3.69</v>
      </c>
      <c r="E697" s="1136"/>
      <c r="F697" s="201" t="e">
        <f>VLOOKUP(A697,'Compos DER'!J:K,2,FALSE)</f>
        <v>#N/A</v>
      </c>
      <c r="G697" s="198" t="e">
        <f t="shared" si="10"/>
        <v>#N/A</v>
      </c>
    </row>
    <row r="698" spans="1:7" x14ac:dyDescent="0.2">
      <c r="A698" s="1134">
        <v>41167</v>
      </c>
      <c r="B698" s="616" t="s">
        <v>1359</v>
      </c>
      <c r="C698" s="614" t="s">
        <v>734</v>
      </c>
      <c r="D698" s="1137">
        <v>2877.84</v>
      </c>
      <c r="E698" s="1136"/>
      <c r="F698" s="201" t="e">
        <f>VLOOKUP(A698,'Compos DER'!J:K,2,FALSE)</f>
        <v>#N/A</v>
      </c>
      <c r="G698" s="198" t="e">
        <f t="shared" si="10"/>
        <v>#N/A</v>
      </c>
    </row>
    <row r="699" spans="1:7" x14ac:dyDescent="0.2">
      <c r="A699" s="1134">
        <v>41168</v>
      </c>
      <c r="B699" s="616" t="s">
        <v>1360</v>
      </c>
      <c r="C699" s="614" t="s">
        <v>734</v>
      </c>
      <c r="D699" s="1137">
        <v>3327.96</v>
      </c>
      <c r="E699" s="1136"/>
      <c r="F699" s="201" t="e">
        <f>VLOOKUP(A699,'Compos DER'!J:K,2,FALSE)</f>
        <v>#N/A</v>
      </c>
      <c r="G699" s="198" t="e">
        <f t="shared" si="10"/>
        <v>#N/A</v>
      </c>
    </row>
    <row r="700" spans="1:7" x14ac:dyDescent="0.2">
      <c r="A700" s="1134">
        <v>40570</v>
      </c>
      <c r="B700" s="616" t="s">
        <v>1361</v>
      </c>
      <c r="C700" s="614" t="s">
        <v>734</v>
      </c>
      <c r="D700" s="1137">
        <v>12416.03</v>
      </c>
      <c r="E700" s="616" t="s">
        <v>777</v>
      </c>
      <c r="F700" s="201" t="e">
        <f>VLOOKUP(A700,'Compos DER'!J:K,2,FALSE)</f>
        <v>#N/A</v>
      </c>
      <c r="G700" s="198" t="e">
        <f t="shared" si="10"/>
        <v>#N/A</v>
      </c>
    </row>
    <row r="701" spans="1:7" x14ac:dyDescent="0.2">
      <c r="A701" s="1134">
        <v>41115</v>
      </c>
      <c r="B701" s="616" t="s">
        <v>1362</v>
      </c>
      <c r="C701" s="614" t="s">
        <v>734</v>
      </c>
      <c r="D701" s="1137">
        <v>1641.4</v>
      </c>
      <c r="E701" s="1136"/>
      <c r="F701" s="201" t="e">
        <f>VLOOKUP(A701,'Compos DER'!J:K,2,FALSE)</f>
        <v>#N/A</v>
      </c>
      <c r="G701" s="198" t="e">
        <f t="shared" si="10"/>
        <v>#N/A</v>
      </c>
    </row>
    <row r="702" spans="1:7" x14ac:dyDescent="0.2">
      <c r="A702" s="1134">
        <v>41116</v>
      </c>
      <c r="B702" s="616" t="s">
        <v>1363</v>
      </c>
      <c r="C702" s="614" t="s">
        <v>734</v>
      </c>
      <c r="D702" s="1137">
        <v>2109.0100000000002</v>
      </c>
      <c r="E702" s="1136"/>
      <c r="F702" s="201" t="e">
        <f>VLOOKUP(A702,'Compos DER'!J:K,2,FALSE)</f>
        <v>#N/A</v>
      </c>
      <c r="G702" s="198" t="e">
        <f t="shared" si="10"/>
        <v>#N/A</v>
      </c>
    </row>
    <row r="703" spans="1:7" x14ac:dyDescent="0.2">
      <c r="A703" s="1134">
        <v>41117</v>
      </c>
      <c r="B703" s="616" t="s">
        <v>1364</v>
      </c>
      <c r="C703" s="614" t="s">
        <v>734</v>
      </c>
      <c r="D703" s="1137">
        <v>2577.77</v>
      </c>
      <c r="E703" s="1136"/>
      <c r="F703" s="201" t="e">
        <f>VLOOKUP(A703,'Compos DER'!J:K,2,FALSE)</f>
        <v>#N/A</v>
      </c>
      <c r="G703" s="198" t="e">
        <f t="shared" si="10"/>
        <v>#N/A</v>
      </c>
    </row>
    <row r="704" spans="1:7" x14ac:dyDescent="0.2">
      <c r="A704" s="1134">
        <v>40572</v>
      </c>
      <c r="B704" s="616" t="s">
        <v>1365</v>
      </c>
      <c r="C704" s="614" t="s">
        <v>734</v>
      </c>
      <c r="D704" s="1137">
        <v>20373.41</v>
      </c>
      <c r="E704" s="616" t="s">
        <v>777</v>
      </c>
    </row>
    <row r="705" spans="1:7" x14ac:dyDescent="0.2">
      <c r="A705" s="1134">
        <v>40553</v>
      </c>
      <c r="B705" s="616" t="s">
        <v>1366</v>
      </c>
      <c r="C705" s="614" t="s">
        <v>734</v>
      </c>
      <c r="D705" s="1137">
        <v>4409.9399999999996</v>
      </c>
      <c r="E705" s="616" t="s">
        <v>777</v>
      </c>
    </row>
    <row r="706" spans="1:7" x14ac:dyDescent="0.2">
      <c r="A706" s="1134">
        <v>40554</v>
      </c>
      <c r="B706" s="616" t="s">
        <v>1367</v>
      </c>
      <c r="C706" s="614" t="s">
        <v>734</v>
      </c>
      <c r="D706" s="1137">
        <v>4883.58</v>
      </c>
      <c r="E706" s="616" t="s">
        <v>777</v>
      </c>
      <c r="F706" s="201" t="e">
        <f>VLOOKUP(A706,'Compos DER'!J:K,2,FALSE)</f>
        <v>#N/A</v>
      </c>
      <c r="G706" s="198" t="e">
        <f t="shared" si="10"/>
        <v>#N/A</v>
      </c>
    </row>
    <row r="707" spans="1:7" x14ac:dyDescent="0.2">
      <c r="A707" s="1134">
        <v>40555</v>
      </c>
      <c r="B707" s="616" t="s">
        <v>1368</v>
      </c>
      <c r="C707" s="614" t="s">
        <v>734</v>
      </c>
      <c r="D707" s="1137">
        <v>5357.2</v>
      </c>
      <c r="E707" s="616" t="s">
        <v>777</v>
      </c>
      <c r="F707" s="201" t="e">
        <f>VLOOKUP(A707,'Compos DER'!J:K,2,FALSE)</f>
        <v>#N/A</v>
      </c>
      <c r="G707" s="198" t="e">
        <f t="shared" ref="G707:G771" si="12">+F707/D707</f>
        <v>#N/A</v>
      </c>
    </row>
    <row r="708" spans="1:7" x14ac:dyDescent="0.2">
      <c r="A708" s="1134">
        <v>40556</v>
      </c>
      <c r="B708" s="616" t="s">
        <v>1369</v>
      </c>
      <c r="C708" s="614" t="s">
        <v>734</v>
      </c>
      <c r="D708" s="1137">
        <v>5830.82</v>
      </c>
      <c r="E708" s="616" t="s">
        <v>777</v>
      </c>
      <c r="F708" s="201" t="e">
        <f>VLOOKUP(A708,'Compos DER'!J:K,2,FALSE)</f>
        <v>#N/A</v>
      </c>
      <c r="G708" s="198" t="e">
        <f t="shared" si="12"/>
        <v>#N/A</v>
      </c>
    </row>
    <row r="709" spans="1:7" x14ac:dyDescent="0.2">
      <c r="A709" s="1134">
        <v>41086</v>
      </c>
      <c r="B709" s="616" t="s">
        <v>1370</v>
      </c>
      <c r="C709" s="614" t="s">
        <v>717</v>
      </c>
      <c r="D709" s="1135">
        <v>11.54</v>
      </c>
      <c r="E709" s="1136"/>
      <c r="F709" s="201" t="e">
        <f>VLOOKUP(A709,'Compos DER'!J:K,2,FALSE)</f>
        <v>#N/A</v>
      </c>
      <c r="G709" s="198" t="e">
        <f t="shared" si="12"/>
        <v>#N/A</v>
      </c>
    </row>
    <row r="710" spans="1:7" x14ac:dyDescent="0.2">
      <c r="A710" s="1134">
        <v>41021</v>
      </c>
      <c r="B710" s="616" t="s">
        <v>1371</v>
      </c>
      <c r="C710" s="614" t="s">
        <v>717</v>
      </c>
      <c r="D710" s="1135">
        <v>9.26</v>
      </c>
      <c r="E710" s="1136"/>
      <c r="F710" s="201" t="e">
        <f>VLOOKUP(A710,'Compos DER'!J:K,2,FALSE)</f>
        <v>#N/A</v>
      </c>
      <c r="G710" s="198" t="e">
        <f t="shared" si="12"/>
        <v>#N/A</v>
      </c>
    </row>
    <row r="711" spans="1:7" x14ac:dyDescent="0.2">
      <c r="A711" s="1134">
        <v>40304</v>
      </c>
      <c r="B711" s="616" t="s">
        <v>1372</v>
      </c>
      <c r="C711" s="614" t="s">
        <v>719</v>
      </c>
      <c r="D711" s="1135">
        <v>62.91</v>
      </c>
      <c r="E711" s="616" t="s">
        <v>777</v>
      </c>
      <c r="F711" s="201" t="e">
        <f>VLOOKUP(A711,'Compos DER'!J:K,2,FALSE)</f>
        <v>#N/A</v>
      </c>
      <c r="G711" s="198" t="e">
        <f t="shared" si="12"/>
        <v>#N/A</v>
      </c>
    </row>
    <row r="712" spans="1:7" x14ac:dyDescent="0.2">
      <c r="A712" s="1134">
        <v>40302</v>
      </c>
      <c r="B712" s="616" t="s">
        <v>1373</v>
      </c>
      <c r="C712" s="614" t="s">
        <v>719</v>
      </c>
      <c r="D712" s="1135">
        <v>73.459999999999994</v>
      </c>
      <c r="E712" s="1136"/>
      <c r="F712" s="201">
        <f>VLOOKUP(A712,'Compos DER'!J:K,2,FALSE)</f>
        <v>73.459999999999994</v>
      </c>
      <c r="G712" s="198">
        <f t="shared" si="12"/>
        <v>1</v>
      </c>
    </row>
    <row r="713" spans="1:7" x14ac:dyDescent="0.2">
      <c r="A713" s="1134">
        <v>40301</v>
      </c>
      <c r="B713" s="616" t="s">
        <v>1374</v>
      </c>
      <c r="C713" s="614" t="s">
        <v>719</v>
      </c>
      <c r="D713" s="1135">
        <v>106.53</v>
      </c>
      <c r="E713" s="1136"/>
      <c r="F713" s="201" t="e">
        <f>VLOOKUP(A713,'Compos DER'!J:K,2,FALSE)</f>
        <v>#N/A</v>
      </c>
      <c r="G713" s="198" t="e">
        <f t="shared" ref="G713" si="13">+F713/D713</f>
        <v>#N/A</v>
      </c>
    </row>
    <row r="714" spans="1:7" x14ac:dyDescent="0.2">
      <c r="A714" s="1134">
        <v>40303</v>
      </c>
      <c r="B714" s="616" t="s">
        <v>1375</v>
      </c>
      <c r="C714" s="614" t="s">
        <v>719</v>
      </c>
      <c r="D714" s="1135">
        <v>46.23</v>
      </c>
      <c r="E714" s="1136"/>
      <c r="F714" s="201">
        <f>VLOOKUP(A714,'Compos DER'!J:K,2,FALSE)</f>
        <v>46.23</v>
      </c>
      <c r="G714" s="198">
        <f t="shared" si="12"/>
        <v>1</v>
      </c>
    </row>
    <row r="715" spans="1:7" x14ac:dyDescent="0.2">
      <c r="A715" s="1134">
        <v>40559</v>
      </c>
      <c r="B715" s="616" t="s">
        <v>1376</v>
      </c>
      <c r="C715" s="614" t="s">
        <v>734</v>
      </c>
      <c r="D715" s="1135">
        <v>913.91</v>
      </c>
      <c r="E715" s="616" t="s">
        <v>777</v>
      </c>
      <c r="F715" s="201" t="e">
        <f>VLOOKUP(A715,'Compos DER'!J:K,2,FALSE)</f>
        <v>#N/A</v>
      </c>
      <c r="G715" s="198" t="e">
        <f t="shared" si="12"/>
        <v>#N/A</v>
      </c>
    </row>
    <row r="716" spans="1:7" x14ac:dyDescent="0.2">
      <c r="A716" s="1134">
        <v>41224</v>
      </c>
      <c r="B716" s="616" t="s">
        <v>1377</v>
      </c>
      <c r="C716" s="614" t="s">
        <v>838</v>
      </c>
      <c r="D716" s="1135">
        <v>19.37</v>
      </c>
      <c r="E716" s="1136"/>
      <c r="F716" s="201" t="e">
        <f>VLOOKUP(A716,'Compos DER'!J:K,2,FALSE)</f>
        <v>#N/A</v>
      </c>
      <c r="G716" s="198" t="e">
        <f t="shared" si="12"/>
        <v>#N/A</v>
      </c>
    </row>
    <row r="717" spans="1:7" x14ac:dyDescent="0.2">
      <c r="A717" s="1134">
        <v>41225</v>
      </c>
      <c r="B717" s="616" t="s">
        <v>1378</v>
      </c>
      <c r="C717" s="614" t="s">
        <v>838</v>
      </c>
      <c r="D717" s="1135">
        <v>22.17</v>
      </c>
      <c r="E717" s="1136"/>
      <c r="F717" s="201" t="e">
        <f>VLOOKUP(A717,'Compos DER'!J:K,2,FALSE)</f>
        <v>#N/A</v>
      </c>
      <c r="G717" s="198" t="e">
        <f t="shared" si="12"/>
        <v>#N/A</v>
      </c>
    </row>
    <row r="718" spans="1:7" x14ac:dyDescent="0.2">
      <c r="A718" s="1134">
        <v>41226</v>
      </c>
      <c r="B718" s="616" t="s">
        <v>1379</v>
      </c>
      <c r="C718" s="614" t="s">
        <v>838</v>
      </c>
      <c r="D718" s="1135">
        <v>27.58</v>
      </c>
      <c r="E718" s="1136"/>
    </row>
    <row r="719" spans="1:7" x14ac:dyDescent="0.2">
      <c r="A719" s="1134">
        <v>41060</v>
      </c>
      <c r="B719" s="616" t="s">
        <v>1380</v>
      </c>
      <c r="C719" s="614" t="s">
        <v>838</v>
      </c>
      <c r="D719" s="1135">
        <v>89.39</v>
      </c>
      <c r="E719" s="1136"/>
    </row>
    <row r="720" spans="1:7" x14ac:dyDescent="0.2">
      <c r="A720" s="1134">
        <v>41059</v>
      </c>
      <c r="B720" s="616" t="s">
        <v>1381</v>
      </c>
      <c r="C720" s="614" t="s">
        <v>838</v>
      </c>
      <c r="D720" s="1135">
        <v>124.52</v>
      </c>
      <c r="E720" s="1136"/>
      <c r="F720" s="201" t="e">
        <f>VLOOKUP(A720,'Compos DER'!J:K,2,FALSE)</f>
        <v>#N/A</v>
      </c>
      <c r="G720" s="198" t="e">
        <f t="shared" si="12"/>
        <v>#N/A</v>
      </c>
    </row>
    <row r="721" spans="1:7" x14ac:dyDescent="0.2">
      <c r="A721" s="1134">
        <v>40567</v>
      </c>
      <c r="B721" s="616" t="s">
        <v>1382</v>
      </c>
      <c r="C721" s="614" t="s">
        <v>838</v>
      </c>
      <c r="D721" s="1135">
        <v>83.24</v>
      </c>
      <c r="E721" s="1136"/>
      <c r="F721" s="201" t="e">
        <f>VLOOKUP(A721,'Compos DER'!J:K,2,FALSE)</f>
        <v>#N/A</v>
      </c>
      <c r="G721" s="198" t="e">
        <f t="shared" si="12"/>
        <v>#N/A</v>
      </c>
    </row>
    <row r="722" spans="1:7" x14ac:dyDescent="0.2">
      <c r="A722" s="1134">
        <v>40747</v>
      </c>
      <c r="B722" s="616" t="s">
        <v>1383</v>
      </c>
      <c r="C722" s="614" t="s">
        <v>838</v>
      </c>
      <c r="D722" s="1135">
        <v>141.69</v>
      </c>
      <c r="E722" s="1136"/>
      <c r="F722" s="201">
        <v>96.38</v>
      </c>
      <c r="G722" s="198">
        <f t="shared" si="12"/>
        <v>0.68021737596160603</v>
      </c>
    </row>
    <row r="723" spans="1:7" x14ac:dyDescent="0.2">
      <c r="A723" s="1134">
        <v>40727</v>
      </c>
      <c r="B723" s="616" t="s">
        <v>1384</v>
      </c>
      <c r="C723" s="614" t="s">
        <v>719</v>
      </c>
      <c r="D723" s="1135">
        <v>326.99</v>
      </c>
      <c r="E723" s="616" t="s">
        <v>777</v>
      </c>
      <c r="F723" s="201" t="e">
        <f>VLOOKUP(A723,'Compos DER'!J:K,2,FALSE)</f>
        <v>#N/A</v>
      </c>
      <c r="G723" s="198" t="e">
        <f t="shared" si="12"/>
        <v>#N/A</v>
      </c>
    </row>
    <row r="724" spans="1:7" x14ac:dyDescent="0.2">
      <c r="A724" s="1134">
        <v>41264</v>
      </c>
      <c r="B724" s="616" t="s">
        <v>1385</v>
      </c>
      <c r="C724" s="614" t="s">
        <v>719</v>
      </c>
      <c r="D724" s="1135">
        <v>444.38</v>
      </c>
      <c r="E724" s="616" t="s">
        <v>777</v>
      </c>
      <c r="F724" s="201" t="e">
        <f>VLOOKUP(A724,'Compos DER'!J:K,2,FALSE)</f>
        <v>#N/A</v>
      </c>
      <c r="G724" s="198" t="e">
        <f t="shared" si="12"/>
        <v>#N/A</v>
      </c>
    </row>
    <row r="725" spans="1:7" x14ac:dyDescent="0.2">
      <c r="A725" s="1134">
        <v>41239</v>
      </c>
      <c r="B725" s="616" t="s">
        <v>1386</v>
      </c>
      <c r="C725" s="614" t="s">
        <v>719</v>
      </c>
      <c r="D725" s="1135">
        <v>101.27</v>
      </c>
      <c r="E725" s="1136"/>
      <c r="F725" s="201" t="e">
        <f>VLOOKUP(A725,'Compos DER'!J:K,2,FALSE)</f>
        <v>#N/A</v>
      </c>
      <c r="G725" s="198" t="e">
        <f t="shared" si="12"/>
        <v>#N/A</v>
      </c>
    </row>
    <row r="726" spans="1:7" x14ac:dyDescent="0.2">
      <c r="A726" s="1134">
        <v>40688</v>
      </c>
      <c r="B726" s="616" t="s">
        <v>1387</v>
      </c>
      <c r="C726" s="614" t="s">
        <v>734</v>
      </c>
      <c r="D726" s="1135">
        <v>343.43</v>
      </c>
      <c r="E726" s="1136"/>
      <c r="F726" s="201" t="e">
        <f>VLOOKUP(A726,'Compos DER'!J:K,2,FALSE)</f>
        <v>#N/A</v>
      </c>
      <c r="G726" s="198" t="e">
        <f t="shared" si="12"/>
        <v>#N/A</v>
      </c>
    </row>
    <row r="727" spans="1:7" x14ac:dyDescent="0.2">
      <c r="A727" s="1132" t="s">
        <v>773</v>
      </c>
      <c r="B727" s="617"/>
      <c r="C727" s="617"/>
      <c r="D727" s="617"/>
      <c r="E727" s="617"/>
      <c r="F727" s="201" t="e">
        <f>VLOOKUP(A727,'Compos DER'!J:K,2,FALSE)</f>
        <v>#N/A</v>
      </c>
      <c r="G727" s="198" t="e">
        <f t="shared" si="12"/>
        <v>#N/A</v>
      </c>
    </row>
    <row r="728" spans="1:7" x14ac:dyDescent="0.2">
      <c r="A728" s="1131" t="s">
        <v>708</v>
      </c>
      <c r="B728" s="617"/>
      <c r="C728" s="617"/>
      <c r="D728" s="617"/>
      <c r="E728" s="617"/>
      <c r="F728" s="201" t="e">
        <f>VLOOKUP(A728,'Compos DER'!J:K,2,FALSE)</f>
        <v>#N/A</v>
      </c>
      <c r="G728" s="198" t="e">
        <f t="shared" si="12"/>
        <v>#N/A</v>
      </c>
    </row>
    <row r="729" spans="1:7" x14ac:dyDescent="0.2">
      <c r="A729" s="1131" t="s">
        <v>709</v>
      </c>
      <c r="B729" s="617"/>
      <c r="C729" s="617"/>
      <c r="D729" s="617"/>
      <c r="E729" s="617"/>
      <c r="F729" s="201" t="e">
        <f>VLOOKUP(A729,'Compos DER'!J:K,2,FALSE)</f>
        <v>#N/A</v>
      </c>
      <c r="G729" s="198" t="e">
        <f t="shared" si="12"/>
        <v>#N/A</v>
      </c>
    </row>
    <row r="730" spans="1:7" x14ac:dyDescent="0.2">
      <c r="A730" s="1132" t="s">
        <v>924</v>
      </c>
      <c r="B730" s="617"/>
      <c r="C730" s="617"/>
      <c r="D730" s="617"/>
      <c r="E730" s="617"/>
      <c r="F730" s="201" t="e">
        <f>VLOOKUP(A730,'Compos DER'!J:K,2,FALSE)</f>
        <v>#N/A</v>
      </c>
      <c r="G730" s="198" t="e">
        <f t="shared" si="12"/>
        <v>#N/A</v>
      </c>
    </row>
    <row r="731" spans="1:7" ht="18" x14ac:dyDescent="0.2">
      <c r="A731" s="1133" t="s">
        <v>711</v>
      </c>
      <c r="B731" s="1133" t="s">
        <v>712</v>
      </c>
      <c r="C731" s="1133" t="s">
        <v>713</v>
      </c>
      <c r="D731" s="1133" t="s">
        <v>714</v>
      </c>
      <c r="E731" s="1133" t="s">
        <v>715</v>
      </c>
      <c r="F731" s="201" t="e">
        <f>VLOOKUP(A731,'Compos DER'!J:K,2,FALSE)</f>
        <v>#N/A</v>
      </c>
      <c r="G731" s="198" t="e">
        <f t="shared" si="12"/>
        <v>#N/A</v>
      </c>
    </row>
    <row r="732" spans="1:7" x14ac:dyDescent="0.2">
      <c r="A732" s="1134">
        <v>40690</v>
      </c>
      <c r="B732" s="616" t="s">
        <v>1388</v>
      </c>
      <c r="C732" s="614" t="s">
        <v>734</v>
      </c>
      <c r="D732" s="1137">
        <v>1574.75</v>
      </c>
      <c r="E732" s="1136"/>
      <c r="F732" s="201" t="e">
        <f>VLOOKUP(A732,'Compos DER'!J:K,2,FALSE)</f>
        <v>#N/A</v>
      </c>
      <c r="G732" s="198" t="e">
        <f t="shared" si="12"/>
        <v>#N/A</v>
      </c>
    </row>
    <row r="733" spans="1:7" x14ac:dyDescent="0.2">
      <c r="A733" s="1134">
        <v>40691</v>
      </c>
      <c r="B733" s="616" t="s">
        <v>1389</v>
      </c>
      <c r="C733" s="614" t="s">
        <v>734</v>
      </c>
      <c r="D733" s="1137">
        <v>1882.46</v>
      </c>
      <c r="E733" s="1136"/>
      <c r="F733" s="201" t="e">
        <f>VLOOKUP(A733,'Compos DER'!J:K,2,FALSE)</f>
        <v>#N/A</v>
      </c>
      <c r="G733" s="198" t="e">
        <f t="shared" si="12"/>
        <v>#N/A</v>
      </c>
    </row>
    <row r="734" spans="1:7" x14ac:dyDescent="0.2">
      <c r="A734" s="1134">
        <v>40689</v>
      </c>
      <c r="B734" s="616" t="s">
        <v>1390</v>
      </c>
      <c r="C734" s="614" t="s">
        <v>734</v>
      </c>
      <c r="D734" s="1135">
        <v>832.61</v>
      </c>
      <c r="E734" s="1136"/>
      <c r="F734" s="201">
        <f>VLOOKUP(A734,'Compos DER'!J:K,2,FALSE)</f>
        <v>863.89</v>
      </c>
      <c r="G734" s="198">
        <f t="shared" si="12"/>
        <v>1.03756860955309</v>
      </c>
    </row>
    <row r="735" spans="1:7" x14ac:dyDescent="0.2">
      <c r="A735" s="1134">
        <v>40666</v>
      </c>
      <c r="B735" s="616" t="s">
        <v>1391</v>
      </c>
      <c r="C735" s="614" t="s">
        <v>838</v>
      </c>
      <c r="D735" s="1135">
        <v>92.72</v>
      </c>
      <c r="E735" s="1136"/>
      <c r="F735" s="201">
        <f>VLOOKUP(A735,'Compos DER'!J:K,2,FALSE)</f>
        <v>97.89</v>
      </c>
      <c r="G735" s="198">
        <f t="shared" si="12"/>
        <v>1.05575927523727</v>
      </c>
    </row>
    <row r="736" spans="1:7" x14ac:dyDescent="0.2">
      <c r="A736" s="1134">
        <v>40667</v>
      </c>
      <c r="B736" s="616" t="s">
        <v>1392</v>
      </c>
      <c r="C736" s="614" t="s">
        <v>838</v>
      </c>
      <c r="D736" s="1135">
        <v>96.96</v>
      </c>
      <c r="E736" s="1136"/>
      <c r="F736" s="201" t="e">
        <f>VLOOKUP(A736,'Compos DER'!J:K,2,FALSE)</f>
        <v>#N/A</v>
      </c>
      <c r="G736" s="198" t="e">
        <f t="shared" si="12"/>
        <v>#N/A</v>
      </c>
    </row>
    <row r="737" spans="1:7" x14ac:dyDescent="0.2">
      <c r="A737" s="1134">
        <v>41180</v>
      </c>
      <c r="B737" s="616" t="s">
        <v>1393</v>
      </c>
      <c r="C737" s="614" t="s">
        <v>838</v>
      </c>
      <c r="D737" s="1135">
        <v>82.32</v>
      </c>
      <c r="E737" s="616" t="s">
        <v>777</v>
      </c>
      <c r="F737" s="201" t="e">
        <f>VLOOKUP(A737,'Compos DER'!J:K,2,FALSE)</f>
        <v>#N/A</v>
      </c>
      <c r="G737" s="198" t="e">
        <f t="shared" si="12"/>
        <v>#N/A</v>
      </c>
    </row>
    <row r="738" spans="1:7" x14ac:dyDescent="0.2">
      <c r="A738" s="1134">
        <v>40668</v>
      </c>
      <c r="B738" s="616" t="s">
        <v>1394</v>
      </c>
      <c r="C738" s="614" t="s">
        <v>838</v>
      </c>
      <c r="D738" s="1135">
        <v>107.17</v>
      </c>
      <c r="E738" s="1136"/>
      <c r="F738" s="201" t="e">
        <f>VLOOKUP(A738,'Compos DER'!J:K,2,FALSE)</f>
        <v>#N/A</v>
      </c>
      <c r="G738" s="198" t="e">
        <f t="shared" si="12"/>
        <v>#N/A</v>
      </c>
    </row>
    <row r="739" spans="1:7" x14ac:dyDescent="0.2">
      <c r="A739" s="1134">
        <v>40982</v>
      </c>
      <c r="B739" s="616" t="s">
        <v>1395</v>
      </c>
      <c r="C739" s="614" t="s">
        <v>838</v>
      </c>
      <c r="D739" s="1135">
        <v>190.46</v>
      </c>
      <c r="E739" s="1136"/>
      <c r="F739" s="201" t="e">
        <f>VLOOKUP(A739,'Compos DER'!J:K,2,FALSE)</f>
        <v>#N/A</v>
      </c>
      <c r="G739" s="198" t="e">
        <f t="shared" si="12"/>
        <v>#N/A</v>
      </c>
    </row>
    <row r="740" spans="1:7" x14ac:dyDescent="0.2">
      <c r="A740" s="1134">
        <v>41336</v>
      </c>
      <c r="B740" s="616" t="s">
        <v>1396</v>
      </c>
      <c r="C740" s="614" t="s">
        <v>838</v>
      </c>
      <c r="D740" s="1135">
        <v>99.7</v>
      </c>
      <c r="E740" s="616" t="s">
        <v>777</v>
      </c>
      <c r="F740" s="201" t="e">
        <f>VLOOKUP(A740,'Compos DER'!J:K,2,FALSE)</f>
        <v>#N/A</v>
      </c>
      <c r="G740" s="198" t="e">
        <f t="shared" si="12"/>
        <v>#N/A</v>
      </c>
    </row>
    <row r="741" spans="1:7" x14ac:dyDescent="0.2">
      <c r="A741" s="1134">
        <v>40669</v>
      </c>
      <c r="B741" s="616" t="s">
        <v>1397</v>
      </c>
      <c r="C741" s="614" t="s">
        <v>838</v>
      </c>
      <c r="D741" s="1135">
        <v>91.73</v>
      </c>
      <c r="E741" s="1136"/>
      <c r="F741" s="201" t="e">
        <f>VLOOKUP(A741,'Compos DER'!J:K,2,FALSE)</f>
        <v>#N/A</v>
      </c>
      <c r="G741" s="198" t="e">
        <f t="shared" si="12"/>
        <v>#N/A</v>
      </c>
    </row>
    <row r="742" spans="1:7" x14ac:dyDescent="0.2">
      <c r="A742" s="1134">
        <v>40670</v>
      </c>
      <c r="B742" s="616" t="s">
        <v>1398</v>
      </c>
      <c r="C742" s="614" t="s">
        <v>838</v>
      </c>
      <c r="D742" s="1135">
        <v>68.25</v>
      </c>
      <c r="E742" s="1136"/>
      <c r="F742" s="201" t="e">
        <f>VLOOKUP(A742,'Compos DER'!J:K,2,FALSE)</f>
        <v>#N/A</v>
      </c>
      <c r="G742" s="198" t="e">
        <f t="shared" si="12"/>
        <v>#N/A</v>
      </c>
    </row>
    <row r="743" spans="1:7" x14ac:dyDescent="0.2">
      <c r="A743" s="1134">
        <v>40560</v>
      </c>
      <c r="B743" s="616" t="s">
        <v>1399</v>
      </c>
      <c r="C743" s="614" t="s">
        <v>734</v>
      </c>
      <c r="D743" s="1135">
        <v>229.11</v>
      </c>
      <c r="E743" s="616" t="s">
        <v>777</v>
      </c>
      <c r="F743" s="201" t="e">
        <f>VLOOKUP(A743,'Compos DER'!J:K,2,FALSE)</f>
        <v>#N/A</v>
      </c>
      <c r="G743" s="198" t="e">
        <f t="shared" si="12"/>
        <v>#N/A</v>
      </c>
    </row>
    <row r="744" spans="1:7" x14ac:dyDescent="0.2">
      <c r="A744" s="1134">
        <v>40558</v>
      </c>
      <c r="B744" s="616" t="s">
        <v>1400</v>
      </c>
      <c r="C744" s="614" t="s">
        <v>734</v>
      </c>
      <c r="D744" s="1135">
        <v>586.54</v>
      </c>
      <c r="E744" s="616" t="s">
        <v>777</v>
      </c>
      <c r="F744" s="201" t="e">
        <f>VLOOKUP(A744,'Compos DER'!J:K,2,FALSE)</f>
        <v>#N/A</v>
      </c>
      <c r="G744" s="198" t="e">
        <f t="shared" si="12"/>
        <v>#N/A</v>
      </c>
    </row>
    <row r="745" spans="1:7" x14ac:dyDescent="0.2">
      <c r="A745" s="1134">
        <v>41029</v>
      </c>
      <c r="B745" s="616" t="s">
        <v>1401</v>
      </c>
      <c r="C745" s="614" t="s">
        <v>717</v>
      </c>
      <c r="D745" s="1135">
        <v>44.92</v>
      </c>
      <c r="E745" s="1136"/>
      <c r="F745" s="201" t="e">
        <f>VLOOKUP(A745,'Compos DER'!J:K,2,FALSE)</f>
        <v>#N/A</v>
      </c>
      <c r="G745" s="198" t="e">
        <f t="shared" si="12"/>
        <v>#N/A</v>
      </c>
    </row>
    <row r="746" spans="1:7" x14ac:dyDescent="0.2">
      <c r="A746" s="1134">
        <v>41040</v>
      </c>
      <c r="B746" s="616" t="s">
        <v>1402</v>
      </c>
      <c r="C746" s="614" t="s">
        <v>717</v>
      </c>
      <c r="D746" s="1135">
        <v>35.81</v>
      </c>
      <c r="E746" s="1136"/>
      <c r="F746" s="201" t="e">
        <f>VLOOKUP(A746,'Compos DER'!J:K,2,FALSE)</f>
        <v>#N/A</v>
      </c>
      <c r="G746" s="198" t="e">
        <f t="shared" si="12"/>
        <v>#N/A</v>
      </c>
    </row>
    <row r="747" spans="1:7" x14ac:dyDescent="0.2">
      <c r="A747" s="1134">
        <v>42658</v>
      </c>
      <c r="B747" s="616" t="s">
        <v>1403</v>
      </c>
      <c r="C747" s="614" t="s">
        <v>717</v>
      </c>
      <c r="D747" s="1135">
        <v>50.69</v>
      </c>
      <c r="E747" s="1136"/>
      <c r="F747" s="201" t="e">
        <f>VLOOKUP(A747,'Compos DER'!J:K,2,FALSE)</f>
        <v>#N/A</v>
      </c>
      <c r="G747" s="198" t="e">
        <f t="shared" si="12"/>
        <v>#N/A</v>
      </c>
    </row>
    <row r="748" spans="1:7" x14ac:dyDescent="0.2">
      <c r="A748" s="1134">
        <v>40655</v>
      </c>
      <c r="B748" s="616" t="s">
        <v>1404</v>
      </c>
      <c r="C748" s="614" t="s">
        <v>734</v>
      </c>
      <c r="D748" s="1135">
        <v>395.67</v>
      </c>
      <c r="E748" s="616" t="s">
        <v>777</v>
      </c>
      <c r="F748" s="201" t="e">
        <f>VLOOKUP(A748,'Compos DER'!J:K,2,FALSE)</f>
        <v>#N/A</v>
      </c>
      <c r="G748" s="198" t="e">
        <f t="shared" si="12"/>
        <v>#N/A</v>
      </c>
    </row>
    <row r="749" spans="1:7" x14ac:dyDescent="0.2">
      <c r="A749" s="1134">
        <v>41092</v>
      </c>
      <c r="B749" s="616" t="s">
        <v>1405</v>
      </c>
      <c r="C749" s="616" t="s">
        <v>1406</v>
      </c>
      <c r="D749" s="1135">
        <v>26.24</v>
      </c>
      <c r="E749" s="1136"/>
      <c r="F749" s="201" t="e">
        <f>VLOOKUP(A749,'Compos DER'!J:K,2,FALSE)</f>
        <v>#N/A</v>
      </c>
      <c r="G749" s="198" t="e">
        <f t="shared" si="12"/>
        <v>#N/A</v>
      </c>
    </row>
    <row r="750" spans="1:7" x14ac:dyDescent="0.2">
      <c r="A750" s="1134">
        <v>41091</v>
      </c>
      <c r="B750" s="616" t="s">
        <v>1407</v>
      </c>
      <c r="C750" s="616" t="s">
        <v>1406</v>
      </c>
      <c r="D750" s="1135">
        <v>35.5</v>
      </c>
      <c r="E750" s="1136"/>
      <c r="F750" s="201" t="e">
        <f>VLOOKUP(A750,'Compos DER'!J:K,2,FALSE)</f>
        <v>#N/A</v>
      </c>
      <c r="G750" s="198" t="e">
        <f t="shared" si="12"/>
        <v>#N/A</v>
      </c>
    </row>
    <row r="751" spans="1:7" x14ac:dyDescent="0.2">
      <c r="A751" s="1134">
        <v>40706</v>
      </c>
      <c r="B751" s="616" t="s">
        <v>1408</v>
      </c>
      <c r="C751" s="614" t="s">
        <v>838</v>
      </c>
      <c r="D751" s="1135">
        <v>322.61</v>
      </c>
      <c r="E751" s="616" t="s">
        <v>777</v>
      </c>
      <c r="F751" s="201" t="e">
        <f>VLOOKUP(A751,'Compos DER'!J:K,2,FALSE)</f>
        <v>#N/A</v>
      </c>
      <c r="G751" s="198" t="e">
        <f t="shared" si="12"/>
        <v>#N/A</v>
      </c>
    </row>
    <row r="752" spans="1:7" x14ac:dyDescent="0.2">
      <c r="A752" s="1134">
        <v>40651</v>
      </c>
      <c r="B752" s="616" t="s">
        <v>1409</v>
      </c>
      <c r="C752" s="614" t="s">
        <v>838</v>
      </c>
      <c r="D752" s="1135">
        <v>423.64</v>
      </c>
      <c r="E752" s="616" t="s">
        <v>777</v>
      </c>
      <c r="F752" s="201" t="e">
        <f>VLOOKUP(A752,'Compos DER'!J:K,2,FALSE)</f>
        <v>#N/A</v>
      </c>
      <c r="G752" s="198" t="e">
        <f t="shared" si="12"/>
        <v>#N/A</v>
      </c>
    </row>
    <row r="753" spans="1:7" x14ac:dyDescent="0.2">
      <c r="A753" s="1134">
        <v>41122</v>
      </c>
      <c r="B753" s="616" t="s">
        <v>1410</v>
      </c>
      <c r="C753" s="614" t="s">
        <v>838</v>
      </c>
      <c r="D753" s="1135">
        <v>23.08</v>
      </c>
      <c r="E753" s="1136"/>
      <c r="F753" s="201" t="e">
        <f>VLOOKUP(A753,'Compos DER'!J:K,2,FALSE)</f>
        <v>#N/A</v>
      </c>
      <c r="G753" s="198" t="e">
        <f t="shared" si="12"/>
        <v>#N/A</v>
      </c>
    </row>
    <row r="754" spans="1:7" x14ac:dyDescent="0.2">
      <c r="A754" s="1134">
        <v>41123</v>
      </c>
      <c r="B754" s="616" t="s">
        <v>1411</v>
      </c>
      <c r="C754" s="614" t="s">
        <v>838</v>
      </c>
      <c r="D754" s="1135">
        <v>57.49</v>
      </c>
      <c r="E754" s="1136"/>
      <c r="F754" s="201" t="e">
        <f>VLOOKUP(A754,'Compos DER'!J:K,2,FALSE)</f>
        <v>#N/A</v>
      </c>
      <c r="G754" s="198" t="e">
        <f t="shared" si="12"/>
        <v>#N/A</v>
      </c>
    </row>
    <row r="755" spans="1:7" x14ac:dyDescent="0.2">
      <c r="A755" s="1134">
        <v>41125</v>
      </c>
      <c r="B755" s="616" t="s">
        <v>1412</v>
      </c>
      <c r="C755" s="614" t="s">
        <v>838</v>
      </c>
      <c r="D755" s="1135">
        <v>48.76</v>
      </c>
      <c r="E755" s="1136"/>
      <c r="F755" s="201" t="e">
        <f>VLOOKUP(A755,'Compos DER'!J:K,2,FALSE)</f>
        <v>#N/A</v>
      </c>
      <c r="G755" s="198" t="e">
        <f t="shared" si="12"/>
        <v>#N/A</v>
      </c>
    </row>
    <row r="756" spans="1:7" x14ac:dyDescent="0.2">
      <c r="A756" s="1134">
        <v>41119</v>
      </c>
      <c r="B756" s="616" t="s">
        <v>1413</v>
      </c>
      <c r="C756" s="614" t="s">
        <v>838</v>
      </c>
      <c r="D756" s="1135">
        <v>10.23</v>
      </c>
      <c r="E756" s="1136"/>
      <c r="F756" s="201" t="e">
        <f>VLOOKUP(A756,'Compos DER'!J:K,2,FALSE)</f>
        <v>#N/A</v>
      </c>
      <c r="G756" s="198" t="e">
        <f t="shared" si="12"/>
        <v>#N/A</v>
      </c>
    </row>
    <row r="757" spans="1:7" x14ac:dyDescent="0.2">
      <c r="A757" s="1134">
        <v>41114</v>
      </c>
      <c r="B757" s="616" t="s">
        <v>1414</v>
      </c>
      <c r="C757" s="614" t="s">
        <v>838</v>
      </c>
      <c r="D757" s="1135">
        <v>9.6999999999999993</v>
      </c>
      <c r="E757" s="1136"/>
      <c r="F757" s="201" t="e">
        <f>VLOOKUP(A757,'Compos DER'!J:K,2,FALSE)</f>
        <v>#N/A</v>
      </c>
      <c r="G757" s="198" t="e">
        <f t="shared" si="12"/>
        <v>#N/A</v>
      </c>
    </row>
    <row r="758" spans="1:7" x14ac:dyDescent="0.2">
      <c r="A758" s="1134">
        <v>40707</v>
      </c>
      <c r="B758" s="616" t="s">
        <v>1415</v>
      </c>
      <c r="C758" s="614" t="s">
        <v>838</v>
      </c>
      <c r="D758" s="1135">
        <v>229.7</v>
      </c>
      <c r="E758" s="616" t="s">
        <v>777</v>
      </c>
      <c r="F758" s="201" t="e">
        <f>VLOOKUP(A758,'Compos DER'!J:K,2,FALSE)</f>
        <v>#N/A</v>
      </c>
      <c r="G758" s="198" t="e">
        <f t="shared" si="12"/>
        <v>#N/A</v>
      </c>
    </row>
    <row r="759" spans="1:7" x14ac:dyDescent="0.2">
      <c r="A759" s="1134">
        <v>41118</v>
      </c>
      <c r="B759" s="616" t="s">
        <v>1416</v>
      </c>
      <c r="C759" s="614" t="s">
        <v>838</v>
      </c>
      <c r="D759" s="1135">
        <v>18.329999999999998</v>
      </c>
      <c r="E759" s="1136"/>
      <c r="F759" s="201" t="e">
        <f>VLOOKUP(A759,'Compos DER'!J:K,2,FALSE)</f>
        <v>#N/A</v>
      </c>
      <c r="G759" s="198" t="e">
        <f t="shared" si="12"/>
        <v>#N/A</v>
      </c>
    </row>
    <row r="760" spans="1:7" x14ac:dyDescent="0.2">
      <c r="A760" s="1134">
        <v>40702</v>
      </c>
      <c r="B760" s="616" t="s">
        <v>1417</v>
      </c>
      <c r="C760" s="614" t="s">
        <v>719</v>
      </c>
      <c r="D760" s="1135">
        <v>397.02</v>
      </c>
      <c r="E760" s="616" t="s">
        <v>777</v>
      </c>
      <c r="F760" s="201" t="e">
        <f>VLOOKUP(A760,'Compos DER'!J:K,2,FALSE)</f>
        <v>#N/A</v>
      </c>
      <c r="G760" s="198" t="e">
        <f t="shared" si="12"/>
        <v>#N/A</v>
      </c>
    </row>
    <row r="761" spans="1:7" x14ac:dyDescent="0.2">
      <c r="A761" s="1134">
        <v>40701</v>
      </c>
      <c r="B761" s="616" t="s">
        <v>1418</v>
      </c>
      <c r="C761" s="614" t="s">
        <v>719</v>
      </c>
      <c r="D761" s="1135">
        <v>190.59</v>
      </c>
      <c r="E761" s="616" t="s">
        <v>777</v>
      </c>
      <c r="F761" s="201" t="e">
        <f>VLOOKUP(A761,'Compos DER'!J:K,2,FALSE)</f>
        <v>#N/A</v>
      </c>
      <c r="G761" s="198" t="e">
        <f t="shared" si="12"/>
        <v>#N/A</v>
      </c>
    </row>
    <row r="762" spans="1:7" x14ac:dyDescent="0.2">
      <c r="A762" s="1134">
        <v>40698</v>
      </c>
      <c r="B762" s="616" t="s">
        <v>1419</v>
      </c>
      <c r="C762" s="614" t="s">
        <v>838</v>
      </c>
      <c r="D762" s="1135">
        <v>81.459999999999994</v>
      </c>
      <c r="E762" s="616" t="s">
        <v>777</v>
      </c>
      <c r="F762" s="201" t="e">
        <f>VLOOKUP(A762,'Compos DER'!J:K,2,FALSE)</f>
        <v>#N/A</v>
      </c>
      <c r="G762" s="198" t="e">
        <f t="shared" si="12"/>
        <v>#N/A</v>
      </c>
    </row>
    <row r="763" spans="1:7" x14ac:dyDescent="0.2">
      <c r="A763" s="1134">
        <v>40700</v>
      </c>
      <c r="B763" s="616" t="s">
        <v>1420</v>
      </c>
      <c r="C763" s="614" t="s">
        <v>838</v>
      </c>
      <c r="D763" s="1135">
        <v>98.43</v>
      </c>
      <c r="E763" s="616" t="s">
        <v>777</v>
      </c>
      <c r="F763" s="201" t="e">
        <f>VLOOKUP(A763,'Compos DER'!J:K,2,FALSE)</f>
        <v>#N/A</v>
      </c>
      <c r="G763" s="198" t="e">
        <f t="shared" si="12"/>
        <v>#N/A</v>
      </c>
    </row>
    <row r="764" spans="1:7" x14ac:dyDescent="0.2">
      <c r="A764" s="1134">
        <v>40696</v>
      </c>
      <c r="B764" s="616" t="s">
        <v>1421</v>
      </c>
      <c r="C764" s="614" t="s">
        <v>838</v>
      </c>
      <c r="D764" s="1135">
        <v>193.94</v>
      </c>
      <c r="E764" s="616" t="s">
        <v>777</v>
      </c>
      <c r="F764" s="201">
        <f>VLOOKUP(A764,'Compos DER'!J:K,2,FALSE)</f>
        <v>206.02</v>
      </c>
      <c r="G764" s="198">
        <f t="shared" si="12"/>
        <v>1.06228730535217</v>
      </c>
    </row>
    <row r="765" spans="1:7" x14ac:dyDescent="0.2">
      <c r="A765" s="1134">
        <v>40695</v>
      </c>
      <c r="B765" s="616" t="s">
        <v>1422</v>
      </c>
      <c r="C765" s="614" t="s">
        <v>838</v>
      </c>
      <c r="D765" s="1135">
        <v>72.45</v>
      </c>
      <c r="E765" s="1136"/>
      <c r="F765" s="201" t="e">
        <f>VLOOKUP(A765,'Compos DER'!J:K,2,FALSE)</f>
        <v>#N/A</v>
      </c>
      <c r="G765" s="198" t="e">
        <f t="shared" si="12"/>
        <v>#N/A</v>
      </c>
    </row>
    <row r="766" spans="1:7" x14ac:dyDescent="0.2">
      <c r="A766" s="1134">
        <v>40692</v>
      </c>
      <c r="B766" s="616" t="s">
        <v>1423</v>
      </c>
      <c r="C766" s="614" t="s">
        <v>838</v>
      </c>
      <c r="D766" s="1135">
        <v>4.03</v>
      </c>
      <c r="E766" s="1136"/>
      <c r="F766" s="201" t="e">
        <f>VLOOKUP(A766,'Compos DER'!J:K,2,FALSE)</f>
        <v>#N/A</v>
      </c>
      <c r="G766" s="198" t="e">
        <f t="shared" si="12"/>
        <v>#N/A</v>
      </c>
    </row>
    <row r="767" spans="1:7" x14ac:dyDescent="0.2">
      <c r="A767" s="1134">
        <v>40697</v>
      </c>
      <c r="B767" s="616" t="s">
        <v>1424</v>
      </c>
      <c r="C767" s="614" t="s">
        <v>838</v>
      </c>
      <c r="D767" s="1135">
        <v>79.91</v>
      </c>
      <c r="E767" s="616" t="s">
        <v>777</v>
      </c>
      <c r="F767" s="201" t="e">
        <f>VLOOKUP(A767,'Compos DER'!J:K,2,FALSE)</f>
        <v>#N/A</v>
      </c>
      <c r="G767" s="198" t="e">
        <f t="shared" si="12"/>
        <v>#N/A</v>
      </c>
    </row>
    <row r="768" spans="1:7" x14ac:dyDescent="0.2">
      <c r="A768" s="1134">
        <v>40699</v>
      </c>
      <c r="B768" s="616" t="s">
        <v>1425</v>
      </c>
      <c r="C768" s="614" t="s">
        <v>838</v>
      </c>
      <c r="D768" s="1135">
        <v>232.79</v>
      </c>
      <c r="E768" s="616" t="s">
        <v>777</v>
      </c>
      <c r="F768" s="201">
        <f>VLOOKUP(A768,'Compos DER'!J:K,2,FALSE)</f>
        <v>242.71</v>
      </c>
      <c r="G768" s="198">
        <f t="shared" si="12"/>
        <v>1.0426135143262201</v>
      </c>
    </row>
    <row r="769" spans="1:7" x14ac:dyDescent="0.2">
      <c r="A769" s="1134">
        <v>40693</v>
      </c>
      <c r="B769" s="616" t="s">
        <v>1426</v>
      </c>
      <c r="C769" s="614" t="s">
        <v>838</v>
      </c>
      <c r="D769" s="1135">
        <v>39.21</v>
      </c>
      <c r="E769" s="1136"/>
      <c r="F769" s="201" t="e">
        <f>VLOOKUP(A769,'Compos DER'!J:K,2,FALSE)</f>
        <v>#N/A</v>
      </c>
      <c r="G769" s="198" t="e">
        <f t="shared" si="12"/>
        <v>#N/A</v>
      </c>
    </row>
    <row r="770" spans="1:7" x14ac:dyDescent="0.2">
      <c r="A770" s="1134">
        <v>40694</v>
      </c>
      <c r="B770" s="616" t="s">
        <v>1427</v>
      </c>
      <c r="C770" s="614" t="s">
        <v>838</v>
      </c>
      <c r="D770" s="1135">
        <v>70.680000000000007</v>
      </c>
      <c r="E770" s="616" t="s">
        <v>777</v>
      </c>
      <c r="F770" s="201" t="e">
        <f>VLOOKUP(A770,'Compos DER'!J:K,2,FALSE)</f>
        <v>#N/A</v>
      </c>
      <c r="G770" s="198" t="e">
        <f t="shared" si="12"/>
        <v>#N/A</v>
      </c>
    </row>
    <row r="771" spans="1:7" x14ac:dyDescent="0.2">
      <c r="A771" s="1132" t="s">
        <v>1428</v>
      </c>
      <c r="B771" s="617"/>
      <c r="C771" s="617"/>
      <c r="D771" s="617"/>
      <c r="E771" s="617"/>
      <c r="F771" s="201" t="e">
        <f>VLOOKUP(A771,'Compos DER'!J:K,2,FALSE)</f>
        <v>#N/A</v>
      </c>
      <c r="G771" s="198" t="e">
        <f t="shared" si="12"/>
        <v>#N/A</v>
      </c>
    </row>
    <row r="772" spans="1:7" ht="18" x14ac:dyDescent="0.2">
      <c r="A772" s="1133" t="s">
        <v>711</v>
      </c>
      <c r="B772" s="1133" t="s">
        <v>712</v>
      </c>
      <c r="C772" s="1133" t="s">
        <v>713</v>
      </c>
      <c r="D772" s="1133" t="s">
        <v>714</v>
      </c>
      <c r="E772" s="1133" t="s">
        <v>715</v>
      </c>
      <c r="F772" s="201" t="e">
        <f>VLOOKUP(A772,'Compos DER'!J:K,2,FALSE)</f>
        <v>#N/A</v>
      </c>
      <c r="G772" s="198" t="e">
        <f t="shared" ref="G772:G833" si="14">+F772/D772</f>
        <v>#N/A</v>
      </c>
    </row>
    <row r="773" spans="1:7" x14ac:dyDescent="0.2">
      <c r="A773" s="1134">
        <v>40972</v>
      </c>
      <c r="B773" s="616" t="s">
        <v>1429</v>
      </c>
      <c r="C773" s="614" t="s">
        <v>1430</v>
      </c>
      <c r="D773" s="1135">
        <v>0</v>
      </c>
      <c r="E773" s="1136"/>
      <c r="F773" s="201">
        <f>VLOOKUP(A773,'Compos DER'!J:K,2,FALSE)</f>
        <v>0</v>
      </c>
      <c r="G773" s="198" t="e">
        <f t="shared" si="14"/>
        <v>#DIV/0!</v>
      </c>
    </row>
    <row r="774" spans="1:7" x14ac:dyDescent="0.2">
      <c r="A774" s="1134">
        <v>41405</v>
      </c>
      <c r="B774" s="616" t="s">
        <v>1431</v>
      </c>
      <c r="C774" s="614" t="s">
        <v>803</v>
      </c>
      <c r="D774" s="1137">
        <v>3975.68</v>
      </c>
      <c r="E774" s="1136"/>
      <c r="F774" s="201" t="e">
        <f>VLOOKUP(A774,'Compos DER'!J:K,2,FALSE)</f>
        <v>#N/A</v>
      </c>
      <c r="G774" s="198" t="e">
        <f t="shared" si="14"/>
        <v>#N/A</v>
      </c>
    </row>
    <row r="775" spans="1:7" x14ac:dyDescent="0.2">
      <c r="A775" s="1134">
        <v>41360</v>
      </c>
      <c r="B775" s="616" t="s">
        <v>1432</v>
      </c>
      <c r="C775" s="614" t="s">
        <v>803</v>
      </c>
      <c r="D775" s="1137">
        <v>3203</v>
      </c>
      <c r="E775" s="1136"/>
      <c r="F775" s="201">
        <f>VLOOKUP(A775,'Compos DER'!J:K,2,FALSE)</f>
        <v>3203</v>
      </c>
      <c r="G775" s="198">
        <f t="shared" si="14"/>
        <v>1</v>
      </c>
    </row>
    <row r="776" spans="1:7" x14ac:dyDescent="0.2">
      <c r="A776" s="1134">
        <v>40968</v>
      </c>
      <c r="B776" s="616" t="s">
        <v>1433</v>
      </c>
      <c r="C776" s="614" t="s">
        <v>803</v>
      </c>
      <c r="D776" s="1137">
        <v>5412.05</v>
      </c>
      <c r="E776" s="1136"/>
      <c r="F776" s="201">
        <f>VLOOKUP(A776,'Compos DER'!J:K,2,FALSE)</f>
        <v>5412.05</v>
      </c>
      <c r="G776" s="198">
        <f t="shared" si="14"/>
        <v>1</v>
      </c>
    </row>
    <row r="777" spans="1:7" x14ac:dyDescent="0.2">
      <c r="A777" s="1134">
        <v>40976</v>
      </c>
      <c r="B777" s="616" t="s">
        <v>1434</v>
      </c>
      <c r="C777" s="614" t="s">
        <v>803</v>
      </c>
      <c r="D777" s="1137">
        <v>63150</v>
      </c>
      <c r="E777" s="1136"/>
      <c r="F777" s="201">
        <f>VLOOKUP(A777,'Compos DER'!J:K,2,FALSE)</f>
        <v>63150</v>
      </c>
      <c r="G777" s="198">
        <f t="shared" si="14"/>
        <v>1</v>
      </c>
    </row>
    <row r="778" spans="1:7" x14ac:dyDescent="0.2">
      <c r="A778" s="1134">
        <v>101196</v>
      </c>
      <c r="B778" s="616" t="s">
        <v>1435</v>
      </c>
      <c r="C778" s="614" t="s">
        <v>803</v>
      </c>
      <c r="D778" s="1137">
        <v>2434.9499999999998</v>
      </c>
      <c r="E778" s="1136"/>
    </row>
    <row r="779" spans="1:7" x14ac:dyDescent="0.2">
      <c r="A779" s="1134">
        <v>42545</v>
      </c>
      <c r="B779" s="616" t="s">
        <v>1436</v>
      </c>
      <c r="C779" s="614" t="s">
        <v>803</v>
      </c>
      <c r="D779" s="1137">
        <v>2758.25</v>
      </c>
      <c r="E779" s="1136"/>
    </row>
    <row r="780" spans="1:7" x14ac:dyDescent="0.2">
      <c r="A780" s="1134">
        <v>40974</v>
      </c>
      <c r="B780" s="616" t="s">
        <v>1437</v>
      </c>
      <c r="C780" s="614" t="s">
        <v>803</v>
      </c>
      <c r="D780" s="1137">
        <v>2659.74</v>
      </c>
      <c r="E780" s="1136"/>
      <c r="F780" s="201" t="e">
        <f>VLOOKUP(A780,'Compos DER'!J:K,2,FALSE)</f>
        <v>#N/A</v>
      </c>
      <c r="G780" s="198" t="e">
        <f t="shared" si="14"/>
        <v>#N/A</v>
      </c>
    </row>
    <row r="781" spans="1:7" x14ac:dyDescent="0.2">
      <c r="A781" s="1134">
        <v>40978</v>
      </c>
      <c r="B781" s="616" t="s">
        <v>1438</v>
      </c>
      <c r="C781" s="614" t="s">
        <v>803</v>
      </c>
      <c r="D781" s="1137">
        <v>2694.55</v>
      </c>
      <c r="E781" s="1136"/>
      <c r="F781" s="201" t="e">
        <f>VLOOKUP(A781,'Compos DER'!J:K,2,FALSE)</f>
        <v>#N/A</v>
      </c>
      <c r="G781" s="198" t="e">
        <f t="shared" si="14"/>
        <v>#N/A</v>
      </c>
    </row>
    <row r="782" spans="1:7" x14ac:dyDescent="0.2">
      <c r="A782" s="1134">
        <v>40975</v>
      </c>
      <c r="B782" s="616" t="s">
        <v>1439</v>
      </c>
      <c r="C782" s="614" t="s">
        <v>803</v>
      </c>
      <c r="D782" s="1137">
        <v>2196.2800000000002</v>
      </c>
      <c r="E782" s="1136"/>
      <c r="F782" s="201" t="e">
        <f>VLOOKUP(A782,'Compos DER'!J:K,2,FALSE)</f>
        <v>#N/A</v>
      </c>
      <c r="G782" s="198" t="e">
        <f t="shared" si="14"/>
        <v>#N/A</v>
      </c>
    </row>
    <row r="783" spans="1:7" x14ac:dyDescent="0.2">
      <c r="A783" s="1134">
        <v>40969</v>
      </c>
      <c r="B783" s="616" t="s">
        <v>1440</v>
      </c>
      <c r="C783" s="614" t="s">
        <v>803</v>
      </c>
      <c r="D783" s="1137">
        <v>2691.13</v>
      </c>
      <c r="E783" s="1136"/>
      <c r="F783" s="201" t="e">
        <f>VLOOKUP(A783,'Compos DER'!J:K,2,FALSE)</f>
        <v>#N/A</v>
      </c>
      <c r="G783" s="198" t="e">
        <f t="shared" si="14"/>
        <v>#N/A</v>
      </c>
    </row>
    <row r="784" spans="1:7" x14ac:dyDescent="0.2">
      <c r="A784" s="1134">
        <v>40971</v>
      </c>
      <c r="B784" s="616" t="s">
        <v>1441</v>
      </c>
      <c r="C784" s="614" t="s">
        <v>803</v>
      </c>
      <c r="D784" s="1137">
        <v>2928.46</v>
      </c>
      <c r="E784" s="1136"/>
      <c r="F784" s="201" t="e">
        <f>VLOOKUP(A784,'Compos DER'!J:K,2,FALSE)</f>
        <v>#N/A</v>
      </c>
      <c r="G784" s="198" t="e">
        <f t="shared" si="14"/>
        <v>#N/A</v>
      </c>
    </row>
    <row r="785" spans="1:7" x14ac:dyDescent="0.2">
      <c r="A785" s="1132" t="s">
        <v>1442</v>
      </c>
      <c r="B785" s="617"/>
      <c r="C785" s="617"/>
      <c r="D785" s="617"/>
      <c r="E785" s="617"/>
      <c r="F785" s="201" t="e">
        <f>VLOOKUP(A785,'Compos DER'!J:K,2,FALSE)</f>
        <v>#N/A</v>
      </c>
      <c r="G785" s="198" t="e">
        <f t="shared" si="14"/>
        <v>#N/A</v>
      </c>
    </row>
    <row r="786" spans="1:7" ht="18" x14ac:dyDescent="0.2">
      <c r="A786" s="1133" t="s">
        <v>711</v>
      </c>
      <c r="B786" s="1133" t="s">
        <v>712</v>
      </c>
      <c r="C786" s="1133" t="s">
        <v>713</v>
      </c>
      <c r="D786" s="1133" t="s">
        <v>714</v>
      </c>
      <c r="E786" s="1133" t="s">
        <v>715</v>
      </c>
      <c r="F786" s="201" t="e">
        <f>VLOOKUP(A786,'Compos DER'!J:K,2,FALSE)</f>
        <v>#N/A</v>
      </c>
      <c r="G786" s="198" t="e">
        <f t="shared" si="14"/>
        <v>#N/A</v>
      </c>
    </row>
    <row r="787" spans="1:7" x14ac:dyDescent="0.2">
      <c r="A787" s="1134">
        <v>40910</v>
      </c>
      <c r="B787" s="616" t="s">
        <v>1443</v>
      </c>
      <c r="C787" s="614" t="s">
        <v>734</v>
      </c>
      <c r="D787" s="1137">
        <v>16472.21</v>
      </c>
      <c r="E787" s="1136"/>
      <c r="F787" s="201" t="e">
        <f>VLOOKUP(A787,'Compos DER'!J:K,2,FALSE)</f>
        <v>#N/A</v>
      </c>
      <c r="G787" s="198" t="e">
        <f t="shared" si="14"/>
        <v>#N/A</v>
      </c>
    </row>
    <row r="788" spans="1:7" x14ac:dyDescent="0.2">
      <c r="A788" s="1134">
        <v>41362</v>
      </c>
      <c r="B788" s="616" t="s">
        <v>1444</v>
      </c>
      <c r="C788" s="614" t="s">
        <v>734</v>
      </c>
      <c r="D788" s="1137">
        <v>12271.73</v>
      </c>
      <c r="E788" s="1136"/>
      <c r="F788" s="201" t="e">
        <f>VLOOKUP(A788,'Compos DER'!J:K,2,FALSE)</f>
        <v>#N/A</v>
      </c>
      <c r="G788" s="198" t="e">
        <f t="shared" si="14"/>
        <v>#N/A</v>
      </c>
    </row>
    <row r="789" spans="1:7" x14ac:dyDescent="0.2">
      <c r="A789" s="1134">
        <v>43343</v>
      </c>
      <c r="B789" s="616" t="s">
        <v>1445</v>
      </c>
      <c r="C789" s="614" t="s">
        <v>717</v>
      </c>
      <c r="D789" s="1135">
        <v>116.67</v>
      </c>
      <c r="E789" s="1136"/>
      <c r="F789" s="201" t="e">
        <f>VLOOKUP(A789,'Compos DER'!J:K,2,FALSE)</f>
        <v>#N/A</v>
      </c>
      <c r="G789" s="198" t="e">
        <f t="shared" si="14"/>
        <v>#N/A</v>
      </c>
    </row>
    <row r="790" spans="1:7" x14ac:dyDescent="0.2">
      <c r="A790" s="1134">
        <v>41151</v>
      </c>
      <c r="B790" s="616" t="s">
        <v>1446</v>
      </c>
      <c r="C790" s="614" t="s">
        <v>734</v>
      </c>
      <c r="D790" s="1137">
        <v>2255.6999999999998</v>
      </c>
      <c r="E790" s="1136"/>
      <c r="F790" s="201" t="e">
        <f>VLOOKUP(A790,'Compos DER'!J:K,2,FALSE)</f>
        <v>#N/A</v>
      </c>
      <c r="G790" s="198" t="e">
        <f t="shared" si="14"/>
        <v>#N/A</v>
      </c>
    </row>
    <row r="791" spans="1:7" x14ac:dyDescent="0.2">
      <c r="A791" s="1134">
        <v>41346</v>
      </c>
      <c r="B791" s="616" t="s">
        <v>1447</v>
      </c>
      <c r="C791" s="614" t="s">
        <v>838</v>
      </c>
      <c r="D791" s="1135">
        <v>38.57</v>
      </c>
      <c r="E791" s="1136"/>
      <c r="F791" s="201" t="e">
        <f>VLOOKUP(A791,'Compos DER'!J:K,2,FALSE)</f>
        <v>#N/A</v>
      </c>
      <c r="G791" s="198" t="e">
        <f t="shared" si="14"/>
        <v>#N/A</v>
      </c>
    </row>
    <row r="792" spans="1:7" x14ac:dyDescent="0.2">
      <c r="A792" s="1134">
        <v>41150</v>
      </c>
      <c r="B792" s="616" t="s">
        <v>1448</v>
      </c>
      <c r="C792" s="614" t="s">
        <v>838</v>
      </c>
      <c r="D792" s="1135">
        <v>7.48</v>
      </c>
      <c r="E792" s="1136"/>
      <c r="F792" s="201" t="e">
        <f>VLOOKUP(A792,'Compos DER'!J:K,2,FALSE)</f>
        <v>#N/A</v>
      </c>
      <c r="G792" s="198" t="e">
        <f t="shared" si="14"/>
        <v>#N/A</v>
      </c>
    </row>
    <row r="793" spans="1:7" x14ac:dyDescent="0.2">
      <c r="A793" s="1134">
        <v>41149</v>
      </c>
      <c r="B793" s="616" t="s">
        <v>1449</v>
      </c>
      <c r="C793" s="614" t="s">
        <v>838</v>
      </c>
      <c r="D793" s="1135">
        <v>10.39</v>
      </c>
      <c r="E793" s="1136"/>
      <c r="F793" s="201" t="e">
        <f>VLOOKUP(A793,'Compos DER'!J:K,2,FALSE)</f>
        <v>#N/A</v>
      </c>
      <c r="G793" s="198" t="e">
        <f t="shared" si="14"/>
        <v>#N/A</v>
      </c>
    </row>
    <row r="794" spans="1:7" x14ac:dyDescent="0.2">
      <c r="A794" s="1132" t="s">
        <v>773</v>
      </c>
      <c r="B794" s="617"/>
      <c r="C794" s="617"/>
      <c r="D794" s="617"/>
      <c r="E794" s="617"/>
      <c r="F794" s="201" t="e">
        <f>VLOOKUP(A794,'Compos DER'!J:K,2,FALSE)</f>
        <v>#N/A</v>
      </c>
      <c r="G794" s="198" t="e">
        <f t="shared" si="14"/>
        <v>#N/A</v>
      </c>
    </row>
    <row r="795" spans="1:7" x14ac:dyDescent="0.2">
      <c r="A795" s="1131" t="s">
        <v>708</v>
      </c>
      <c r="B795" s="617"/>
      <c r="C795" s="617"/>
      <c r="D795" s="617"/>
      <c r="E795" s="617"/>
      <c r="F795" s="201" t="e">
        <f>VLOOKUP(A795,'Compos DER'!J:K,2,FALSE)</f>
        <v>#N/A</v>
      </c>
      <c r="G795" s="198" t="e">
        <f t="shared" si="14"/>
        <v>#N/A</v>
      </c>
    </row>
    <row r="796" spans="1:7" x14ac:dyDescent="0.2">
      <c r="A796" s="1131" t="s">
        <v>709</v>
      </c>
      <c r="B796" s="617"/>
      <c r="C796" s="617"/>
      <c r="D796" s="617"/>
      <c r="E796" s="617"/>
    </row>
    <row r="797" spans="1:7" x14ac:dyDescent="0.2">
      <c r="A797" s="1132" t="s">
        <v>1442</v>
      </c>
      <c r="B797" s="617"/>
      <c r="C797" s="617"/>
      <c r="D797" s="617"/>
      <c r="E797" s="617"/>
    </row>
    <row r="798" spans="1:7" ht="18" x14ac:dyDescent="0.2">
      <c r="A798" s="1133" t="s">
        <v>711</v>
      </c>
      <c r="B798" s="1133" t="s">
        <v>712</v>
      </c>
      <c r="C798" s="1133" t="s">
        <v>713</v>
      </c>
      <c r="D798" s="1133" t="s">
        <v>714</v>
      </c>
      <c r="E798" s="1133" t="s">
        <v>715</v>
      </c>
      <c r="F798" s="201" t="e">
        <f>VLOOKUP(A798,'Compos DER'!J:K,2,FALSE)</f>
        <v>#N/A</v>
      </c>
      <c r="G798" s="198" t="e">
        <f t="shared" si="14"/>
        <v>#N/A</v>
      </c>
    </row>
    <row r="799" spans="1:7" x14ac:dyDescent="0.2">
      <c r="A799" s="1134">
        <v>41410</v>
      </c>
      <c r="B799" s="616" t="s">
        <v>1450</v>
      </c>
      <c r="C799" s="614" t="s">
        <v>838</v>
      </c>
      <c r="D799" s="1135">
        <v>8.5399999999999991</v>
      </c>
      <c r="E799" s="1136"/>
      <c r="F799" s="201" t="e">
        <f>VLOOKUP(A799,'Compos DER'!J:K,2,FALSE)</f>
        <v>#N/A</v>
      </c>
      <c r="G799" s="198" t="e">
        <f t="shared" si="14"/>
        <v>#N/A</v>
      </c>
    </row>
    <row r="800" spans="1:7" x14ac:dyDescent="0.2">
      <c r="A800" s="1134">
        <v>41148</v>
      </c>
      <c r="B800" s="616" t="s">
        <v>1451</v>
      </c>
      <c r="C800" s="614" t="s">
        <v>838</v>
      </c>
      <c r="D800" s="1135">
        <v>9.74</v>
      </c>
      <c r="E800" s="1136"/>
      <c r="F800" s="201" t="e">
        <f>VLOOKUP(A800,'Compos DER'!J:K,2,FALSE)</f>
        <v>#N/A</v>
      </c>
      <c r="G800" s="198" t="e">
        <f t="shared" si="14"/>
        <v>#N/A</v>
      </c>
    </row>
    <row r="801" spans="1:7" x14ac:dyDescent="0.2">
      <c r="A801" s="1134">
        <v>41152</v>
      </c>
      <c r="B801" s="616" t="s">
        <v>1452</v>
      </c>
      <c r="C801" s="614" t="s">
        <v>734</v>
      </c>
      <c r="D801" s="1135">
        <v>539.69000000000005</v>
      </c>
      <c r="E801" s="1136"/>
      <c r="F801" s="201" t="e">
        <f>VLOOKUP(A801,'Compos DER'!J:K,2,FALSE)</f>
        <v>#N/A</v>
      </c>
      <c r="G801" s="198" t="e">
        <f t="shared" si="14"/>
        <v>#N/A</v>
      </c>
    </row>
    <row r="802" spans="1:7" x14ac:dyDescent="0.2">
      <c r="A802" s="1134">
        <v>41004</v>
      </c>
      <c r="B802" s="616" t="s">
        <v>1453</v>
      </c>
      <c r="C802" s="614" t="s">
        <v>734</v>
      </c>
      <c r="D802" s="1137">
        <v>1046.92</v>
      </c>
      <c r="E802" s="1136"/>
      <c r="F802" s="201" t="e">
        <f>VLOOKUP(A802,'Compos DER'!J:K,2,FALSE)</f>
        <v>#N/A</v>
      </c>
      <c r="G802" s="198" t="e">
        <f t="shared" si="14"/>
        <v>#N/A</v>
      </c>
    </row>
    <row r="803" spans="1:7" x14ac:dyDescent="0.2">
      <c r="A803" s="1134">
        <v>40911</v>
      </c>
      <c r="B803" s="616" t="s">
        <v>1454</v>
      </c>
      <c r="C803" s="614" t="s">
        <v>717</v>
      </c>
      <c r="D803" s="1135">
        <v>50.99</v>
      </c>
      <c r="E803" s="616" t="s">
        <v>777</v>
      </c>
      <c r="F803" s="201">
        <f>VLOOKUP(A803,'Compos DER'!J:K,2,FALSE)</f>
        <v>53.98</v>
      </c>
      <c r="G803" s="198">
        <f t="shared" si="14"/>
        <v>1.05863894881349</v>
      </c>
    </row>
    <row r="804" spans="1:7" x14ac:dyDescent="0.2">
      <c r="A804" s="1134">
        <v>40915</v>
      </c>
      <c r="B804" s="616" t="s">
        <v>1455</v>
      </c>
      <c r="C804" s="614" t="s">
        <v>717</v>
      </c>
      <c r="D804" s="1135">
        <v>105.46</v>
      </c>
      <c r="E804" s="616" t="s">
        <v>777</v>
      </c>
      <c r="F804" s="201">
        <f>VLOOKUP(A804,'Compos DER'!J:K,2,FALSE)</f>
        <v>112.99</v>
      </c>
      <c r="G804" s="198">
        <f t="shared" si="14"/>
        <v>1.07140147923383</v>
      </c>
    </row>
    <row r="805" spans="1:7" ht="18" x14ac:dyDescent="0.2">
      <c r="A805" s="1134">
        <v>40899</v>
      </c>
      <c r="B805" s="1136" t="s">
        <v>1456</v>
      </c>
      <c r="C805" s="614" t="s">
        <v>838</v>
      </c>
      <c r="D805" s="1135">
        <v>19.89</v>
      </c>
      <c r="E805" s="616" t="s">
        <v>777</v>
      </c>
      <c r="F805" s="201" t="e">
        <f>VLOOKUP(A805,'Compos DER'!J:K,2,FALSE)</f>
        <v>#N/A</v>
      </c>
      <c r="G805" s="198" t="e">
        <f t="shared" si="14"/>
        <v>#N/A</v>
      </c>
    </row>
    <row r="806" spans="1:7" x14ac:dyDescent="0.2">
      <c r="A806" s="1134">
        <v>40900</v>
      </c>
      <c r="B806" s="616" t="s">
        <v>1457</v>
      </c>
      <c r="C806" s="614" t="s">
        <v>838</v>
      </c>
      <c r="D806" s="1135">
        <v>28.22</v>
      </c>
      <c r="E806" s="616" t="s">
        <v>777</v>
      </c>
      <c r="F806" s="201" t="e">
        <f>VLOOKUP(A806,'Compos DER'!J:K,2,FALSE)</f>
        <v>#N/A</v>
      </c>
      <c r="G806" s="198" t="e">
        <f t="shared" si="14"/>
        <v>#N/A</v>
      </c>
    </row>
    <row r="807" spans="1:7" x14ac:dyDescent="0.2">
      <c r="A807" s="1134">
        <v>41365</v>
      </c>
      <c r="B807" s="616" t="s">
        <v>1458</v>
      </c>
      <c r="C807" s="614" t="s">
        <v>838</v>
      </c>
      <c r="D807" s="1135">
        <v>20.260000000000002</v>
      </c>
      <c r="E807" s="616" t="s">
        <v>777</v>
      </c>
      <c r="F807" s="201" t="e">
        <f>VLOOKUP(A807,'Compos DER'!J:K,2,FALSE)</f>
        <v>#N/A</v>
      </c>
      <c r="G807" s="198" t="e">
        <f t="shared" si="14"/>
        <v>#N/A</v>
      </c>
    </row>
    <row r="808" spans="1:7" x14ac:dyDescent="0.2">
      <c r="A808" s="1134">
        <v>41110</v>
      </c>
      <c r="B808" s="616" t="s">
        <v>1459</v>
      </c>
      <c r="C808" s="614" t="s">
        <v>838</v>
      </c>
      <c r="D808" s="1135">
        <v>20.16</v>
      </c>
      <c r="E808" s="616" t="s">
        <v>777</v>
      </c>
      <c r="F808" s="201" t="e">
        <f>VLOOKUP(A808,'Compos DER'!J:K,2,FALSE)</f>
        <v>#N/A</v>
      </c>
      <c r="G808" s="198" t="e">
        <f t="shared" si="14"/>
        <v>#N/A</v>
      </c>
    </row>
    <row r="809" spans="1:7" x14ac:dyDescent="0.2">
      <c r="A809" s="1134">
        <v>40903</v>
      </c>
      <c r="B809" s="616" t="s">
        <v>1460</v>
      </c>
      <c r="C809" s="614" t="s">
        <v>838</v>
      </c>
      <c r="D809" s="1135">
        <v>27.58</v>
      </c>
      <c r="E809" s="616" t="s">
        <v>777</v>
      </c>
      <c r="F809" s="201" t="e">
        <f>VLOOKUP(A809,'Compos DER'!J:K,2,FALSE)</f>
        <v>#N/A</v>
      </c>
      <c r="G809" s="198" t="e">
        <f t="shared" si="14"/>
        <v>#N/A</v>
      </c>
    </row>
    <row r="810" spans="1:7" x14ac:dyDescent="0.2">
      <c r="A810" s="1134">
        <v>40904</v>
      </c>
      <c r="B810" s="616" t="s">
        <v>1461</v>
      </c>
      <c r="C810" s="614" t="s">
        <v>838</v>
      </c>
      <c r="D810" s="1135">
        <v>47.55</v>
      </c>
      <c r="E810" s="616" t="s">
        <v>777</v>
      </c>
      <c r="F810" s="201" t="e">
        <f>VLOOKUP(A810,'Compos DER'!J:K,2,FALSE)</f>
        <v>#N/A</v>
      </c>
      <c r="G810" s="198" t="e">
        <f t="shared" si="14"/>
        <v>#N/A</v>
      </c>
    </row>
    <row r="811" spans="1:7" x14ac:dyDescent="0.2">
      <c r="A811" s="1134">
        <v>40905</v>
      </c>
      <c r="B811" s="616" t="s">
        <v>1462</v>
      </c>
      <c r="C811" s="614" t="s">
        <v>838</v>
      </c>
      <c r="D811" s="1135">
        <v>30.33</v>
      </c>
      <c r="E811" s="616" t="s">
        <v>777</v>
      </c>
      <c r="F811" s="201" t="e">
        <f>VLOOKUP(A811,'Compos DER'!J:K,2,FALSE)</f>
        <v>#N/A</v>
      </c>
      <c r="G811" s="198" t="e">
        <f t="shared" si="14"/>
        <v>#N/A</v>
      </c>
    </row>
    <row r="812" spans="1:7" x14ac:dyDescent="0.2">
      <c r="A812" s="1134">
        <v>43330</v>
      </c>
      <c r="B812" s="616" t="s">
        <v>1463</v>
      </c>
      <c r="C812" s="614" t="s">
        <v>838</v>
      </c>
      <c r="D812" s="1135">
        <v>32.64</v>
      </c>
      <c r="E812" s="616" t="s">
        <v>777</v>
      </c>
      <c r="F812" s="201" t="e">
        <f>VLOOKUP(A812,'Compos DER'!J:K,2,FALSE)</f>
        <v>#N/A</v>
      </c>
      <c r="G812" s="198" t="e">
        <f t="shared" si="14"/>
        <v>#N/A</v>
      </c>
    </row>
    <row r="813" spans="1:7" x14ac:dyDescent="0.2">
      <c r="A813" s="1134">
        <v>40901</v>
      </c>
      <c r="B813" s="616" t="s">
        <v>1464</v>
      </c>
      <c r="C813" s="614" t="s">
        <v>838</v>
      </c>
      <c r="D813" s="1135">
        <v>21.06</v>
      </c>
      <c r="E813" s="616" t="s">
        <v>777</v>
      </c>
      <c r="F813" s="201">
        <f>VLOOKUP(A813,'Compos DER'!J:K,2,FALSE)</f>
        <v>21.58</v>
      </c>
      <c r="G813" s="198">
        <f t="shared" si="14"/>
        <v>1.0246913580246899</v>
      </c>
    </row>
    <row r="814" spans="1:7" x14ac:dyDescent="0.2">
      <c r="A814" s="1134">
        <v>42475</v>
      </c>
      <c r="B814" s="616" t="s">
        <v>1465</v>
      </c>
      <c r="C814" s="614" t="s">
        <v>719</v>
      </c>
      <c r="D814" s="1135">
        <v>567.29</v>
      </c>
      <c r="E814" s="616" t="s">
        <v>777</v>
      </c>
      <c r="F814" s="201">
        <f>VLOOKUP(A814,'Compos DER'!J:K,2,FALSE)</f>
        <v>630.25</v>
      </c>
      <c r="G814" s="198">
        <f t="shared" si="14"/>
        <v>1.1109838001727499</v>
      </c>
    </row>
    <row r="815" spans="1:7" x14ac:dyDescent="0.2">
      <c r="A815" s="1134">
        <v>40945</v>
      </c>
      <c r="B815" s="616" t="s">
        <v>1466</v>
      </c>
      <c r="C815" s="614" t="s">
        <v>838</v>
      </c>
      <c r="D815" s="1135">
        <v>83.29</v>
      </c>
      <c r="E815" s="616" t="s">
        <v>777</v>
      </c>
      <c r="F815" s="201" t="e">
        <f>VLOOKUP(A815,'Compos DER'!J:K,2,FALSE)</f>
        <v>#N/A</v>
      </c>
      <c r="G815" s="198" t="e">
        <f t="shared" si="14"/>
        <v>#N/A</v>
      </c>
    </row>
    <row r="816" spans="1:7" x14ac:dyDescent="0.2">
      <c r="A816" s="1134">
        <v>41109</v>
      </c>
      <c r="B816" s="616" t="s">
        <v>1467</v>
      </c>
      <c r="C816" s="614" t="s">
        <v>838</v>
      </c>
      <c r="D816" s="1135">
        <v>3.03</v>
      </c>
      <c r="E816" s="1136"/>
      <c r="F816" s="201">
        <f>VLOOKUP(A816,'Compos DER'!J:K,2,FALSE)</f>
        <v>3.03</v>
      </c>
      <c r="G816" s="198">
        <f t="shared" si="14"/>
        <v>1</v>
      </c>
    </row>
    <row r="817" spans="1:7" x14ac:dyDescent="0.2">
      <c r="A817" s="1134">
        <v>40164</v>
      </c>
      <c r="B817" s="616" t="s">
        <v>1468</v>
      </c>
      <c r="C817" s="614" t="s">
        <v>717</v>
      </c>
      <c r="D817" s="1135">
        <v>45.41</v>
      </c>
      <c r="E817" s="1136"/>
      <c r="F817" s="201" t="e">
        <f>VLOOKUP(A817,'Compos DER'!J:K,2,FALSE)</f>
        <v>#N/A</v>
      </c>
      <c r="G817" s="198" t="e">
        <f t="shared" si="14"/>
        <v>#N/A</v>
      </c>
    </row>
    <row r="818" spans="1:7" x14ac:dyDescent="0.2">
      <c r="A818" s="1134">
        <v>40944</v>
      </c>
      <c r="B818" s="616" t="s">
        <v>1469</v>
      </c>
      <c r="C818" s="614" t="s">
        <v>838</v>
      </c>
      <c r="D818" s="1135">
        <v>733.5</v>
      </c>
      <c r="E818" s="616" t="s">
        <v>777</v>
      </c>
      <c r="F818" s="201" t="e">
        <f>VLOOKUP(A818,'Compos DER'!J:K,2,FALSE)</f>
        <v>#N/A</v>
      </c>
      <c r="G818" s="198" t="e">
        <f t="shared" si="14"/>
        <v>#N/A</v>
      </c>
    </row>
    <row r="819" spans="1:7" x14ac:dyDescent="0.2">
      <c r="A819" s="1134">
        <v>40902</v>
      </c>
      <c r="B819" s="616" t="s">
        <v>1470</v>
      </c>
      <c r="C819" s="614" t="s">
        <v>838</v>
      </c>
      <c r="D819" s="1135">
        <v>5.54</v>
      </c>
      <c r="E819" s="1136"/>
      <c r="F819" s="201" t="e">
        <f>VLOOKUP(A819,'Compos DER'!J:K,2,FALSE)</f>
        <v>#N/A</v>
      </c>
      <c r="G819" s="198" t="e">
        <f t="shared" si="14"/>
        <v>#N/A</v>
      </c>
    </row>
    <row r="820" spans="1:7" x14ac:dyDescent="0.2">
      <c r="A820" s="1134">
        <v>41344</v>
      </c>
      <c r="B820" s="616" t="s">
        <v>1471</v>
      </c>
      <c r="C820" s="614" t="s">
        <v>838</v>
      </c>
      <c r="D820" s="1135">
        <v>74.3</v>
      </c>
      <c r="E820" s="1136"/>
      <c r="F820" s="201" t="e">
        <f>VLOOKUP(A820,'Compos DER'!J:K,2,FALSE)</f>
        <v>#N/A</v>
      </c>
      <c r="G820" s="198" t="e">
        <f t="shared" si="14"/>
        <v>#N/A</v>
      </c>
    </row>
    <row r="821" spans="1:7" x14ac:dyDescent="0.2">
      <c r="A821" s="1134">
        <v>41345</v>
      </c>
      <c r="B821" s="616" t="s">
        <v>1472</v>
      </c>
      <c r="C821" s="614" t="s">
        <v>838</v>
      </c>
      <c r="D821" s="1135">
        <v>110.82</v>
      </c>
      <c r="E821" s="1136"/>
      <c r="F821" s="201" t="e">
        <f>VLOOKUP(A821,'Compos DER'!J:K,2,FALSE)</f>
        <v>#N/A</v>
      </c>
      <c r="G821" s="198" t="e">
        <f t="shared" si="14"/>
        <v>#N/A</v>
      </c>
    </row>
    <row r="822" spans="1:7" x14ac:dyDescent="0.2">
      <c r="A822" s="1134">
        <v>41242</v>
      </c>
      <c r="B822" s="616" t="s">
        <v>1473</v>
      </c>
      <c r="C822" s="614" t="s">
        <v>717</v>
      </c>
      <c r="D822" s="1135">
        <v>75.66</v>
      </c>
      <c r="E822" s="1136"/>
      <c r="F822" s="201" t="e">
        <f>VLOOKUP(A822,'Compos DER'!J:K,2,FALSE)</f>
        <v>#N/A</v>
      </c>
      <c r="G822" s="198" t="e">
        <f t="shared" si="14"/>
        <v>#N/A</v>
      </c>
    </row>
    <row r="823" spans="1:7" x14ac:dyDescent="0.2">
      <c r="A823" s="1134">
        <v>42476</v>
      </c>
      <c r="B823" s="616" t="s">
        <v>1474</v>
      </c>
      <c r="C823" s="614" t="s">
        <v>734</v>
      </c>
      <c r="D823" s="1135">
        <v>43.96</v>
      </c>
      <c r="E823" s="1136"/>
      <c r="F823" s="201" t="e">
        <f>VLOOKUP(A823,'Compos DER'!J:K,2,FALSE)</f>
        <v>#N/A</v>
      </c>
      <c r="G823" s="198" t="e">
        <f t="shared" si="14"/>
        <v>#N/A</v>
      </c>
    </row>
    <row r="824" spans="1:7" x14ac:dyDescent="0.2">
      <c r="A824" s="1134">
        <v>41136</v>
      </c>
      <c r="B824" s="616" t="s">
        <v>1475</v>
      </c>
      <c r="C824" s="614" t="s">
        <v>734</v>
      </c>
      <c r="D824" s="1135">
        <v>106.46</v>
      </c>
      <c r="E824" s="1136"/>
      <c r="F824" s="201" t="e">
        <f>VLOOKUP(A824,'Compos DER'!J:K,2,FALSE)</f>
        <v>#N/A</v>
      </c>
      <c r="G824" s="198" t="e">
        <f t="shared" si="14"/>
        <v>#N/A</v>
      </c>
    </row>
    <row r="825" spans="1:7" x14ac:dyDescent="0.2">
      <c r="A825" s="1134">
        <v>41135</v>
      </c>
      <c r="B825" s="616" t="s">
        <v>1476</v>
      </c>
      <c r="C825" s="614" t="s">
        <v>734</v>
      </c>
      <c r="D825" s="1135">
        <v>92.88</v>
      </c>
      <c r="E825" s="1136"/>
      <c r="F825" s="201" t="e">
        <f>VLOOKUP(A825,'Compos DER'!J:K,2,FALSE)</f>
        <v>#N/A</v>
      </c>
      <c r="G825" s="198" t="e">
        <f t="shared" si="14"/>
        <v>#N/A</v>
      </c>
    </row>
    <row r="826" spans="1:7" x14ac:dyDescent="0.2">
      <c r="A826" s="1134">
        <v>40912</v>
      </c>
      <c r="B826" s="616" t="s">
        <v>1477</v>
      </c>
      <c r="C826" s="614" t="s">
        <v>717</v>
      </c>
      <c r="D826" s="1135">
        <v>99.4</v>
      </c>
      <c r="E826" s="616" t="s">
        <v>777</v>
      </c>
      <c r="F826" s="201" t="e">
        <f>VLOOKUP(A826,'Compos DER'!J:K,2,FALSE)</f>
        <v>#N/A</v>
      </c>
      <c r="G826" s="198" t="e">
        <f t="shared" si="14"/>
        <v>#N/A</v>
      </c>
    </row>
    <row r="827" spans="1:7" x14ac:dyDescent="0.2">
      <c r="A827" s="1134">
        <v>40908</v>
      </c>
      <c r="B827" s="616" t="s">
        <v>1478</v>
      </c>
      <c r="C827" s="614" t="s">
        <v>734</v>
      </c>
      <c r="D827" s="1137">
        <v>8865.2099999999991</v>
      </c>
      <c r="E827" s="616" t="s">
        <v>777</v>
      </c>
      <c r="F827" s="201" t="e">
        <f>VLOOKUP(A827,'Compos DER'!J:K,2,FALSE)</f>
        <v>#N/A</v>
      </c>
      <c r="G827" s="198" t="e">
        <f t="shared" si="14"/>
        <v>#N/A</v>
      </c>
    </row>
    <row r="828" spans="1:7" x14ac:dyDescent="0.2">
      <c r="A828" s="1134">
        <v>40907</v>
      </c>
      <c r="B828" s="616" t="s">
        <v>1479</v>
      </c>
      <c r="C828" s="614" t="s">
        <v>734</v>
      </c>
      <c r="D828" s="1137">
        <v>15267.12</v>
      </c>
      <c r="E828" s="616" t="s">
        <v>777</v>
      </c>
      <c r="F828" s="201" t="e">
        <f>VLOOKUP(A828,'Compos DER'!J:K,2,FALSE)</f>
        <v>#N/A</v>
      </c>
      <c r="G828" s="198" t="e">
        <f t="shared" si="14"/>
        <v>#N/A</v>
      </c>
    </row>
    <row r="829" spans="1:7" x14ac:dyDescent="0.2">
      <c r="A829" s="1134">
        <v>40906</v>
      </c>
      <c r="B829" s="616" t="s">
        <v>1480</v>
      </c>
      <c r="C829" s="614" t="s">
        <v>838</v>
      </c>
      <c r="D829" s="1137">
        <v>4576.75</v>
      </c>
      <c r="E829" s="1136"/>
      <c r="F829" s="201" t="e">
        <f>VLOOKUP(A829,'Compos DER'!J:K,2,FALSE)</f>
        <v>#N/A</v>
      </c>
      <c r="G829" s="198" t="e">
        <f t="shared" si="14"/>
        <v>#N/A</v>
      </c>
    </row>
    <row r="830" spans="1:7" x14ac:dyDescent="0.2">
      <c r="A830" s="1134">
        <v>41240</v>
      </c>
      <c r="B830" s="616" t="s">
        <v>1481</v>
      </c>
      <c r="C830" s="614" t="s">
        <v>717</v>
      </c>
      <c r="D830" s="1135">
        <v>93.53</v>
      </c>
      <c r="E830" s="616" t="s">
        <v>777</v>
      </c>
      <c r="F830" s="201" t="e">
        <f>VLOOKUP(A830,'Compos DER'!J:K,2,FALSE)</f>
        <v>#N/A</v>
      </c>
      <c r="G830" s="198" t="e">
        <f t="shared" si="14"/>
        <v>#N/A</v>
      </c>
    </row>
    <row r="831" spans="1:7" x14ac:dyDescent="0.2">
      <c r="A831" s="1134">
        <v>40946</v>
      </c>
      <c r="B831" s="616" t="s">
        <v>1482</v>
      </c>
      <c r="C831" s="614" t="s">
        <v>717</v>
      </c>
      <c r="D831" s="1135">
        <v>79.510000000000005</v>
      </c>
      <c r="E831" s="616" t="s">
        <v>777</v>
      </c>
      <c r="F831" s="201" t="e">
        <f>VLOOKUP(A831,'Compos DER'!J:K,2,FALSE)</f>
        <v>#N/A</v>
      </c>
      <c r="G831" s="198" t="e">
        <f t="shared" si="14"/>
        <v>#N/A</v>
      </c>
    </row>
    <row r="832" spans="1:7" x14ac:dyDescent="0.2">
      <c r="A832" s="1134">
        <v>40942</v>
      </c>
      <c r="B832" s="616" t="s">
        <v>1483</v>
      </c>
      <c r="C832" s="614" t="s">
        <v>717</v>
      </c>
      <c r="D832" s="1135">
        <v>42.28</v>
      </c>
      <c r="E832" s="616" t="s">
        <v>777</v>
      </c>
      <c r="F832" s="201" t="e">
        <f>VLOOKUP(A832,'Compos DER'!J:K,2,FALSE)</f>
        <v>#N/A</v>
      </c>
      <c r="G832" s="198" t="e">
        <f t="shared" si="14"/>
        <v>#N/A</v>
      </c>
    </row>
    <row r="833" spans="1:7" x14ac:dyDescent="0.2">
      <c r="A833" s="1134">
        <v>41245</v>
      </c>
      <c r="B833" s="616" t="s">
        <v>1484</v>
      </c>
      <c r="C833" s="614" t="s">
        <v>717</v>
      </c>
      <c r="D833" s="1135">
        <v>42.75</v>
      </c>
      <c r="E833" s="1136"/>
      <c r="F833" s="201" t="e">
        <f>VLOOKUP(A833,'Compos DER'!J:K,2,FALSE)</f>
        <v>#N/A</v>
      </c>
      <c r="G833" s="198" t="e">
        <f t="shared" si="14"/>
        <v>#N/A</v>
      </c>
    </row>
    <row r="834" spans="1:7" x14ac:dyDescent="0.2">
      <c r="A834" s="1134">
        <v>41404</v>
      </c>
      <c r="B834" s="616" t="s">
        <v>1485</v>
      </c>
      <c r="C834" s="614" t="s">
        <v>717</v>
      </c>
      <c r="D834" s="1135">
        <v>39.479999999999997</v>
      </c>
      <c r="E834" s="1136"/>
    </row>
    <row r="835" spans="1:7" x14ac:dyDescent="0.2">
      <c r="A835" s="1134">
        <v>41244</v>
      </c>
      <c r="B835" s="616" t="s">
        <v>1486</v>
      </c>
      <c r="C835" s="614" t="s">
        <v>717</v>
      </c>
      <c r="D835" s="1135">
        <v>22.41</v>
      </c>
      <c r="E835" s="1136"/>
    </row>
    <row r="836" spans="1:7" x14ac:dyDescent="0.2">
      <c r="A836" s="1134">
        <v>43328</v>
      </c>
      <c r="B836" s="616" t="s">
        <v>1487</v>
      </c>
      <c r="C836" s="614" t="s">
        <v>734</v>
      </c>
      <c r="D836" s="1135">
        <v>12.61</v>
      </c>
      <c r="E836" s="1136"/>
      <c r="F836" s="201" t="e">
        <f>VLOOKUP(A836,'Compos DER'!J:K,2,FALSE)</f>
        <v>#N/A</v>
      </c>
      <c r="G836" s="198" t="e">
        <f t="shared" ref="G836:G898" si="15">+F836/D836</f>
        <v>#N/A</v>
      </c>
    </row>
    <row r="837" spans="1:7" x14ac:dyDescent="0.2">
      <c r="A837" s="1134">
        <v>40909</v>
      </c>
      <c r="B837" s="616" t="s">
        <v>1488</v>
      </c>
      <c r="C837" s="614" t="s">
        <v>734</v>
      </c>
      <c r="D837" s="1137">
        <v>2932.16</v>
      </c>
      <c r="E837" s="616" t="s">
        <v>777</v>
      </c>
      <c r="F837" s="201">
        <f>D837</f>
        <v>2932.16</v>
      </c>
      <c r="G837" s="198">
        <f t="shared" si="15"/>
        <v>1</v>
      </c>
    </row>
    <row r="838" spans="1:7" x14ac:dyDescent="0.2">
      <c r="A838" s="1134">
        <v>41140</v>
      </c>
      <c r="B838" s="616" t="s">
        <v>1489</v>
      </c>
      <c r="C838" s="614" t="s">
        <v>734</v>
      </c>
      <c r="D838" s="1137">
        <v>1225.8900000000001</v>
      </c>
      <c r="E838" s="1136"/>
    </row>
    <row r="839" spans="1:7" x14ac:dyDescent="0.2">
      <c r="A839" s="1134">
        <v>41139</v>
      </c>
      <c r="B839" s="616" t="s">
        <v>1490</v>
      </c>
      <c r="C839" s="614" t="s">
        <v>734</v>
      </c>
      <c r="D839" s="1137">
        <v>2705.29</v>
      </c>
      <c r="E839" s="1136"/>
    </row>
    <row r="840" spans="1:7" x14ac:dyDescent="0.2">
      <c r="A840" s="1134">
        <v>41138</v>
      </c>
      <c r="B840" s="616" t="s">
        <v>1491</v>
      </c>
      <c r="C840" s="614" t="s">
        <v>734</v>
      </c>
      <c r="D840" s="1137">
        <v>2113.1799999999998</v>
      </c>
      <c r="E840" s="1136"/>
      <c r="F840" s="201" t="e">
        <f>VLOOKUP(A840,'Compos DER'!J:K,2,FALSE)</f>
        <v>#N/A</v>
      </c>
      <c r="G840" s="198" t="e">
        <f t="shared" si="15"/>
        <v>#N/A</v>
      </c>
    </row>
    <row r="841" spans="1:7" x14ac:dyDescent="0.2">
      <c r="A841" s="1134">
        <v>41246</v>
      </c>
      <c r="B841" s="616" t="s">
        <v>1492</v>
      </c>
      <c r="C841" s="614" t="s">
        <v>838</v>
      </c>
      <c r="D841" s="1135">
        <v>63.99</v>
      </c>
      <c r="E841" s="616" t="s">
        <v>777</v>
      </c>
      <c r="F841" s="201" t="e">
        <f>VLOOKUP(A841,'Compos DER'!J:K,2,FALSE)</f>
        <v>#N/A</v>
      </c>
      <c r="G841" s="198" t="e">
        <f t="shared" si="15"/>
        <v>#N/A</v>
      </c>
    </row>
    <row r="842" spans="1:7" x14ac:dyDescent="0.2">
      <c r="A842" s="1134">
        <v>40943</v>
      </c>
      <c r="B842" s="616" t="s">
        <v>1493</v>
      </c>
      <c r="C842" s="614" t="s">
        <v>838</v>
      </c>
      <c r="D842" s="1135">
        <v>50.79</v>
      </c>
      <c r="E842" s="616" t="s">
        <v>777</v>
      </c>
      <c r="F842" s="201" t="e">
        <f>VLOOKUP(A842,'Compos DER'!J:K,2,FALSE)</f>
        <v>#N/A</v>
      </c>
      <c r="G842" s="198" t="e">
        <f t="shared" si="15"/>
        <v>#N/A</v>
      </c>
    </row>
    <row r="843" spans="1:7" s="475" customFormat="1" x14ac:dyDescent="0.2">
      <c r="A843" s="1134">
        <v>40922</v>
      </c>
      <c r="B843" s="616" t="s">
        <v>1494</v>
      </c>
      <c r="C843" s="614" t="s">
        <v>719</v>
      </c>
      <c r="D843" s="1135">
        <v>5.47</v>
      </c>
      <c r="E843" s="1136"/>
      <c r="F843" s="201" t="e">
        <f>VLOOKUP(A843,'Compos DER'!J:K,2,FALSE)</f>
        <v>#N/A</v>
      </c>
      <c r="G843" s="198" t="e">
        <f t="shared" si="15"/>
        <v>#N/A</v>
      </c>
    </row>
    <row r="844" spans="1:7" x14ac:dyDescent="0.2">
      <c r="A844" s="1134">
        <v>40914</v>
      </c>
      <c r="B844" s="616" t="s">
        <v>1495</v>
      </c>
      <c r="C844" s="614" t="s">
        <v>838</v>
      </c>
      <c r="D844" s="1135">
        <v>19.079999999999998</v>
      </c>
      <c r="E844" s="616" t="s">
        <v>777</v>
      </c>
      <c r="F844" s="201" t="e">
        <f>VLOOKUP(A844,'Compos DER'!J:K,2,FALSE)</f>
        <v>#N/A</v>
      </c>
      <c r="G844" s="198" t="e">
        <f t="shared" si="15"/>
        <v>#N/A</v>
      </c>
    </row>
    <row r="845" spans="1:7" x14ac:dyDescent="0.2">
      <c r="A845" s="1134">
        <v>40913</v>
      </c>
      <c r="B845" s="616" t="s">
        <v>1496</v>
      </c>
      <c r="C845" s="614" t="s">
        <v>838</v>
      </c>
      <c r="D845" s="1135">
        <v>125.62</v>
      </c>
      <c r="E845" s="1136"/>
      <c r="F845" s="201" t="e">
        <f>VLOOKUP(A845,'Compos DER'!J:K,2,FALSE)</f>
        <v>#N/A</v>
      </c>
      <c r="G845" s="198" t="e">
        <f t="shared" si="15"/>
        <v>#N/A</v>
      </c>
    </row>
    <row r="846" spans="1:7" x14ac:dyDescent="0.2">
      <c r="A846" s="1134">
        <v>41191</v>
      </c>
      <c r="B846" s="616" t="s">
        <v>1497</v>
      </c>
      <c r="C846" s="614" t="s">
        <v>838</v>
      </c>
      <c r="D846" s="1135">
        <v>423.34</v>
      </c>
      <c r="E846" s="616" t="s">
        <v>777</v>
      </c>
      <c r="F846" s="201" t="e">
        <f>VLOOKUP(A846,'Compos DER'!J:K,2,FALSE)</f>
        <v>#N/A</v>
      </c>
      <c r="G846" s="198" t="e">
        <f t="shared" si="15"/>
        <v>#N/A</v>
      </c>
    </row>
    <row r="847" spans="1:7" x14ac:dyDescent="0.2">
      <c r="A847" s="1134">
        <v>40947</v>
      </c>
      <c r="B847" s="616" t="s">
        <v>1498</v>
      </c>
      <c r="C847" s="614" t="s">
        <v>734</v>
      </c>
      <c r="D847" s="1137">
        <v>2508.2399999999998</v>
      </c>
      <c r="E847" s="616" t="s">
        <v>777</v>
      </c>
      <c r="F847" s="201" t="e">
        <f>VLOOKUP(A847,'Compos DER'!J:K,2,FALSE)</f>
        <v>#N/A</v>
      </c>
      <c r="G847" s="198" t="e">
        <f t="shared" si="15"/>
        <v>#N/A</v>
      </c>
    </row>
    <row r="848" spans="1:7" x14ac:dyDescent="0.2">
      <c r="A848" s="1134">
        <v>43329</v>
      </c>
      <c r="B848" s="616" t="s">
        <v>1499</v>
      </c>
      <c r="C848" s="614" t="s">
        <v>734</v>
      </c>
      <c r="D848" s="1135">
        <v>229.05</v>
      </c>
      <c r="E848" s="616" t="s">
        <v>777</v>
      </c>
      <c r="F848" s="201" t="e">
        <f>VLOOKUP(A848,'Compos DER'!J:K,2,FALSE)</f>
        <v>#N/A</v>
      </c>
      <c r="G848" s="198" t="e">
        <f t="shared" si="15"/>
        <v>#N/A</v>
      </c>
    </row>
    <row r="849" spans="1:7" x14ac:dyDescent="0.2">
      <c r="A849" s="1134">
        <v>42050</v>
      </c>
      <c r="B849" s="616" t="s">
        <v>1500</v>
      </c>
      <c r="C849" s="614" t="s">
        <v>717</v>
      </c>
      <c r="D849" s="1135">
        <v>153.55000000000001</v>
      </c>
      <c r="E849" s="616" t="s">
        <v>777</v>
      </c>
      <c r="F849" s="201" t="e">
        <f>VLOOKUP(A849,'Compos DER'!J:K,2,FALSE)</f>
        <v>#N/A</v>
      </c>
      <c r="G849" s="198" t="e">
        <f t="shared" si="15"/>
        <v>#N/A</v>
      </c>
    </row>
    <row r="850" spans="1:7" x14ac:dyDescent="0.2">
      <c r="A850" s="1132" t="s">
        <v>1501</v>
      </c>
      <c r="B850" s="617"/>
      <c r="C850" s="617"/>
      <c r="D850" s="617"/>
      <c r="E850" s="617"/>
      <c r="F850" s="201" t="e">
        <f>VLOOKUP(A850,'Compos DER'!J:K,2,FALSE)</f>
        <v>#N/A</v>
      </c>
      <c r="G850" s="198" t="e">
        <f t="shared" si="15"/>
        <v>#N/A</v>
      </c>
    </row>
    <row r="851" spans="1:7" ht="18" x14ac:dyDescent="0.2">
      <c r="A851" s="1133" t="s">
        <v>711</v>
      </c>
      <c r="B851" s="1133" t="s">
        <v>712</v>
      </c>
      <c r="C851" s="1133" t="s">
        <v>713</v>
      </c>
      <c r="D851" s="1133" t="s">
        <v>714</v>
      </c>
      <c r="E851" s="1133" t="s">
        <v>715</v>
      </c>
      <c r="F851" s="201" t="e">
        <f>VLOOKUP(A851,'Compos DER'!J:K,2,FALSE)</f>
        <v>#N/A</v>
      </c>
      <c r="G851" s="198" t="e">
        <f t="shared" si="15"/>
        <v>#N/A</v>
      </c>
    </row>
    <row r="852" spans="1:7" x14ac:dyDescent="0.2">
      <c r="A852" s="1134">
        <v>42203</v>
      </c>
      <c r="B852" s="616" t="s">
        <v>1502</v>
      </c>
      <c r="C852" s="614" t="s">
        <v>734</v>
      </c>
      <c r="D852" s="1135">
        <v>143.68</v>
      </c>
      <c r="E852" s="616" t="s">
        <v>777</v>
      </c>
      <c r="F852" s="201" t="e">
        <f>VLOOKUP(A852,'Compos DER'!J:K,2,FALSE)</f>
        <v>#N/A</v>
      </c>
      <c r="G852" s="198" t="e">
        <f t="shared" si="15"/>
        <v>#N/A</v>
      </c>
    </row>
    <row r="853" spans="1:7" x14ac:dyDescent="0.2">
      <c r="A853" s="1134">
        <v>42202</v>
      </c>
      <c r="B853" s="616" t="s">
        <v>1503</v>
      </c>
      <c r="C853" s="614" t="s">
        <v>734</v>
      </c>
      <c r="D853" s="1135">
        <v>94.95</v>
      </c>
      <c r="E853" s="616" t="s">
        <v>777</v>
      </c>
      <c r="F853" s="201" t="e">
        <f>VLOOKUP(A853,'Compos DER'!J:K,2,FALSE)</f>
        <v>#N/A</v>
      </c>
      <c r="G853" s="198" t="e">
        <f t="shared" si="15"/>
        <v>#N/A</v>
      </c>
    </row>
    <row r="854" spans="1:7" x14ac:dyDescent="0.2">
      <c r="A854" s="1132" t="s">
        <v>773</v>
      </c>
      <c r="B854" s="617"/>
      <c r="C854" s="617"/>
      <c r="D854" s="617"/>
      <c r="E854" s="617"/>
      <c r="F854" s="201" t="e">
        <f>VLOOKUP(A854,'Compos DER'!J:K,2,FALSE)</f>
        <v>#N/A</v>
      </c>
      <c r="G854" s="198" t="e">
        <f t="shared" si="15"/>
        <v>#N/A</v>
      </c>
    </row>
    <row r="855" spans="1:7" x14ac:dyDescent="0.2">
      <c r="A855" s="1131" t="s">
        <v>708</v>
      </c>
      <c r="B855" s="617"/>
      <c r="C855" s="617"/>
      <c r="D855" s="617"/>
      <c r="E855" s="617"/>
      <c r="F855" s="201" t="e">
        <f>VLOOKUP(A855,'Compos DER'!J:K,2,FALSE)</f>
        <v>#N/A</v>
      </c>
      <c r="G855" s="198" t="e">
        <f t="shared" si="15"/>
        <v>#N/A</v>
      </c>
    </row>
    <row r="856" spans="1:7" x14ac:dyDescent="0.2">
      <c r="A856" s="1131" t="s">
        <v>709</v>
      </c>
      <c r="B856" s="617"/>
      <c r="C856" s="617"/>
      <c r="D856" s="617"/>
      <c r="E856" s="617"/>
      <c r="F856" s="201" t="e">
        <f>VLOOKUP(A856,'Compos DER'!J:K,2,FALSE)</f>
        <v>#N/A</v>
      </c>
      <c r="G856" s="198" t="e">
        <f t="shared" si="15"/>
        <v>#N/A</v>
      </c>
    </row>
    <row r="857" spans="1:7" x14ac:dyDescent="0.2">
      <c r="A857" s="1132" t="s">
        <v>1501</v>
      </c>
      <c r="B857" s="617"/>
      <c r="C857" s="617"/>
      <c r="D857" s="617"/>
      <c r="E857" s="617"/>
      <c r="F857" s="201" t="e">
        <f>VLOOKUP(A857,'Compos DER'!J:K,2,FALSE)</f>
        <v>#N/A</v>
      </c>
      <c r="G857" s="198" t="e">
        <f t="shared" si="15"/>
        <v>#N/A</v>
      </c>
    </row>
    <row r="858" spans="1:7" ht="18" x14ac:dyDescent="0.2">
      <c r="A858" s="1133" t="s">
        <v>711</v>
      </c>
      <c r="B858" s="1133" t="s">
        <v>712</v>
      </c>
      <c r="C858" s="1133" t="s">
        <v>713</v>
      </c>
      <c r="D858" s="1133" t="s">
        <v>714</v>
      </c>
      <c r="E858" s="1133" t="s">
        <v>715</v>
      </c>
      <c r="F858" s="201" t="e">
        <f>VLOOKUP(A858,'Compos DER'!J:K,2,FALSE)</f>
        <v>#N/A</v>
      </c>
      <c r="G858" s="198" t="e">
        <f t="shared" si="15"/>
        <v>#N/A</v>
      </c>
    </row>
    <row r="859" spans="1:7" x14ac:dyDescent="0.2">
      <c r="A859" s="1134">
        <v>42041</v>
      </c>
      <c r="B859" s="616" t="s">
        <v>1504</v>
      </c>
      <c r="C859" s="614" t="s">
        <v>838</v>
      </c>
      <c r="D859" s="1135">
        <v>27.84</v>
      </c>
      <c r="E859" s="616" t="s">
        <v>777</v>
      </c>
      <c r="F859" s="201" t="e">
        <f>VLOOKUP(A859,'Compos DER'!J:K,2,FALSE)</f>
        <v>#N/A</v>
      </c>
      <c r="G859" s="198" t="e">
        <f t="shared" si="15"/>
        <v>#N/A</v>
      </c>
    </row>
    <row r="860" spans="1:7" x14ac:dyDescent="0.2">
      <c r="A860" s="1134">
        <v>42199</v>
      </c>
      <c r="B860" s="616" t="s">
        <v>1505</v>
      </c>
      <c r="C860" s="614" t="s">
        <v>717</v>
      </c>
      <c r="D860" s="1135">
        <v>1.7</v>
      </c>
      <c r="E860" s="1136"/>
      <c r="F860" s="201">
        <f>VLOOKUP(A860,'Compos DER'!J:K,2,FALSE)</f>
        <v>1.7</v>
      </c>
      <c r="G860" s="198">
        <f t="shared" si="15"/>
        <v>1</v>
      </c>
    </row>
    <row r="861" spans="1:7" x14ac:dyDescent="0.2">
      <c r="A861" s="1134">
        <v>42210</v>
      </c>
      <c r="B861" s="616" t="s">
        <v>1506</v>
      </c>
      <c r="C861" s="614" t="s">
        <v>717</v>
      </c>
      <c r="D861" s="1135">
        <v>21.98</v>
      </c>
      <c r="E861" s="616" t="s">
        <v>777</v>
      </c>
      <c r="F861" s="201" t="e">
        <f>VLOOKUP(A861,'Compos DER'!J:K,2,FALSE)</f>
        <v>#N/A</v>
      </c>
      <c r="G861" s="198" t="e">
        <f t="shared" si="15"/>
        <v>#N/A</v>
      </c>
    </row>
    <row r="862" spans="1:7" x14ac:dyDescent="0.2">
      <c r="A862" s="1134">
        <v>42206</v>
      </c>
      <c r="B862" s="616" t="s">
        <v>1507</v>
      </c>
      <c r="C862" s="614" t="s">
        <v>717</v>
      </c>
      <c r="D862" s="1135">
        <v>15.5</v>
      </c>
      <c r="E862" s="616" t="s">
        <v>777</v>
      </c>
      <c r="F862" s="201" t="e">
        <f>VLOOKUP(A862,'Compos DER'!J:K,2,FALSE)</f>
        <v>#N/A</v>
      </c>
      <c r="G862" s="198" t="e">
        <f t="shared" si="15"/>
        <v>#N/A</v>
      </c>
    </row>
    <row r="863" spans="1:7" x14ac:dyDescent="0.2">
      <c r="A863" s="1134">
        <v>42208</v>
      </c>
      <c r="B863" s="616" t="s">
        <v>1508</v>
      </c>
      <c r="C863" s="614" t="s">
        <v>717</v>
      </c>
      <c r="D863" s="1135">
        <v>1.88</v>
      </c>
      <c r="E863" s="1136"/>
      <c r="F863" s="201" t="e">
        <f>VLOOKUP(A863,'Compos DER'!J:K,2,FALSE)</f>
        <v>#N/A</v>
      </c>
      <c r="G863" s="198" t="e">
        <f t="shared" si="15"/>
        <v>#N/A</v>
      </c>
    </row>
    <row r="864" spans="1:7" x14ac:dyDescent="0.2">
      <c r="A864" s="1134">
        <v>42209</v>
      </c>
      <c r="B864" s="616" t="s">
        <v>1509</v>
      </c>
      <c r="C864" s="614" t="s">
        <v>717</v>
      </c>
      <c r="D864" s="1135">
        <v>8.73</v>
      </c>
      <c r="E864" s="616" t="s">
        <v>777</v>
      </c>
      <c r="F864" s="201" t="e">
        <f>VLOOKUP(A864,'Compos DER'!J:K,2,FALSE)</f>
        <v>#N/A</v>
      </c>
      <c r="G864" s="198" t="e">
        <f t="shared" si="15"/>
        <v>#N/A</v>
      </c>
    </row>
    <row r="865" spans="1:7" x14ac:dyDescent="0.2">
      <c r="A865" s="1134">
        <v>42207</v>
      </c>
      <c r="B865" s="616" t="s">
        <v>1510</v>
      </c>
      <c r="C865" s="614" t="s">
        <v>717</v>
      </c>
      <c r="D865" s="1135">
        <v>3.47</v>
      </c>
      <c r="E865" s="1136"/>
      <c r="F865" s="201" t="e">
        <f>VLOOKUP(A865,'Compos DER'!J:K,2,FALSE)</f>
        <v>#N/A</v>
      </c>
      <c r="G865" s="198" t="e">
        <f t="shared" si="15"/>
        <v>#N/A</v>
      </c>
    </row>
    <row r="866" spans="1:7" x14ac:dyDescent="0.2">
      <c r="A866" s="1134">
        <v>42200</v>
      </c>
      <c r="B866" s="616" t="s">
        <v>1511</v>
      </c>
      <c r="C866" s="614" t="s">
        <v>717</v>
      </c>
      <c r="D866" s="1135">
        <v>5.82</v>
      </c>
      <c r="E866" s="1136"/>
      <c r="F866" s="201">
        <f>VLOOKUP(A866,'Compos DER'!J:K,2,FALSE)</f>
        <v>5.72</v>
      </c>
      <c r="G866" s="198">
        <f t="shared" si="15"/>
        <v>0.98281786941580795</v>
      </c>
    </row>
    <row r="867" spans="1:7" x14ac:dyDescent="0.2">
      <c r="A867" s="1134">
        <v>42201</v>
      </c>
      <c r="B867" s="616" t="s">
        <v>1512</v>
      </c>
      <c r="C867" s="614" t="s">
        <v>717</v>
      </c>
      <c r="D867" s="1135">
        <v>4.03</v>
      </c>
      <c r="E867" s="1136"/>
      <c r="F867" s="201" t="e">
        <f>VLOOKUP(A867,'Compos DER'!J:K,2,FALSE)</f>
        <v>#N/A</v>
      </c>
      <c r="G867" s="198" t="e">
        <f t="shared" si="15"/>
        <v>#N/A</v>
      </c>
    </row>
    <row r="868" spans="1:7" x14ac:dyDescent="0.2">
      <c r="A868" s="1134">
        <v>41247</v>
      </c>
      <c r="B868" s="616" t="s">
        <v>1513</v>
      </c>
      <c r="C868" s="614" t="s">
        <v>719</v>
      </c>
      <c r="D868" s="1135">
        <v>69.790000000000006</v>
      </c>
      <c r="E868" s="1136"/>
      <c r="F868" s="201" t="e">
        <f>VLOOKUP(A868,'Compos DER'!J:K,2,FALSE)</f>
        <v>#N/A</v>
      </c>
      <c r="G868" s="198" t="e">
        <f t="shared" si="15"/>
        <v>#N/A</v>
      </c>
    </row>
    <row r="869" spans="1:7" x14ac:dyDescent="0.2">
      <c r="A869" s="1134">
        <v>42204</v>
      </c>
      <c r="B869" s="616" t="s">
        <v>1514</v>
      </c>
      <c r="C869" s="614" t="s">
        <v>734</v>
      </c>
      <c r="D869" s="1135">
        <v>37.26</v>
      </c>
      <c r="E869" s="616" t="s">
        <v>777</v>
      </c>
      <c r="F869" s="201" t="e">
        <f>VLOOKUP(A869,'Compos DER'!J:K,2,FALSE)</f>
        <v>#N/A</v>
      </c>
      <c r="G869" s="198" t="e">
        <f t="shared" si="15"/>
        <v>#N/A</v>
      </c>
    </row>
    <row r="870" spans="1:7" x14ac:dyDescent="0.2">
      <c r="A870" s="1134">
        <v>42044</v>
      </c>
      <c r="B870" s="616" t="s">
        <v>1515</v>
      </c>
      <c r="C870" s="614" t="s">
        <v>734</v>
      </c>
      <c r="D870" s="1137">
        <v>4497.1499999999996</v>
      </c>
      <c r="E870" s="1136"/>
      <c r="F870" s="201">
        <f>VLOOKUP(A870,'Compos DER'!J:K,2,FALSE)</f>
        <v>4497.16</v>
      </c>
      <c r="G870" s="198">
        <f t="shared" si="15"/>
        <v>1.0000022236305199</v>
      </c>
    </row>
    <row r="871" spans="1:7" x14ac:dyDescent="0.2">
      <c r="A871" s="1134">
        <v>40102</v>
      </c>
      <c r="B871" s="616" t="s">
        <v>1516</v>
      </c>
      <c r="C871" s="614" t="s">
        <v>717</v>
      </c>
      <c r="D871" s="1135">
        <v>15</v>
      </c>
      <c r="E871" s="616" t="s">
        <v>777</v>
      </c>
      <c r="F871" s="201" t="e">
        <f>VLOOKUP(A871,'Compos DER'!J:K,2,FALSE)</f>
        <v>#N/A</v>
      </c>
      <c r="G871" s="198" t="e">
        <f t="shared" si="15"/>
        <v>#N/A</v>
      </c>
    </row>
    <row r="872" spans="1:7" x14ac:dyDescent="0.2">
      <c r="A872" s="1134">
        <v>42039</v>
      </c>
      <c r="B872" s="616" t="s">
        <v>1517</v>
      </c>
      <c r="C872" s="614" t="s">
        <v>717</v>
      </c>
      <c r="D872" s="1135">
        <v>19.38</v>
      </c>
      <c r="E872" s="616" t="s">
        <v>777</v>
      </c>
      <c r="F872" s="201" t="e">
        <f>VLOOKUP(A872,'Compos DER'!J:K,2,FALSE)</f>
        <v>#N/A</v>
      </c>
      <c r="G872" s="198" t="e">
        <f t="shared" si="15"/>
        <v>#N/A</v>
      </c>
    </row>
    <row r="873" spans="1:7" x14ac:dyDescent="0.2">
      <c r="A873" s="1132" t="s">
        <v>1518</v>
      </c>
      <c r="B873" s="617"/>
      <c r="C873" s="617"/>
      <c r="D873" s="617"/>
      <c r="E873" s="617"/>
      <c r="F873" s="201" t="e">
        <f>VLOOKUP(A873,'Compos DER'!J:K,2,FALSE)</f>
        <v>#N/A</v>
      </c>
      <c r="G873" s="198" t="e">
        <f t="shared" si="15"/>
        <v>#N/A</v>
      </c>
    </row>
    <row r="874" spans="1:7" ht="18" x14ac:dyDescent="0.2">
      <c r="A874" s="1133" t="s">
        <v>711</v>
      </c>
      <c r="B874" s="1133" t="s">
        <v>712</v>
      </c>
      <c r="C874" s="1133" t="s">
        <v>713</v>
      </c>
      <c r="D874" s="1133" t="s">
        <v>714</v>
      </c>
      <c r="E874" s="1133" t="s">
        <v>715</v>
      </c>
      <c r="F874" s="201" t="e">
        <f>VLOOKUP(A874,'Compos DER'!J:K,2,FALSE)</f>
        <v>#N/A</v>
      </c>
      <c r="G874" s="198" t="e">
        <f t="shared" si="15"/>
        <v>#N/A</v>
      </c>
    </row>
    <row r="875" spans="1:7" x14ac:dyDescent="0.2">
      <c r="A875" s="1134">
        <v>41153</v>
      </c>
      <c r="B875" s="616" t="s">
        <v>1519</v>
      </c>
      <c r="C875" s="614" t="s">
        <v>734</v>
      </c>
      <c r="D875" s="1135">
        <v>117.38</v>
      </c>
      <c r="E875" s="1136"/>
      <c r="F875" s="201" t="e">
        <f>VLOOKUP(A875,'Compos DER'!J:K,2,FALSE)</f>
        <v>#N/A</v>
      </c>
      <c r="G875" s="198" t="e">
        <f t="shared" si="15"/>
        <v>#N/A</v>
      </c>
    </row>
    <row r="876" spans="1:7" x14ac:dyDescent="0.2">
      <c r="A876" s="1134">
        <v>41409</v>
      </c>
      <c r="B876" s="616" t="s">
        <v>1520</v>
      </c>
      <c r="C876" s="614" t="s">
        <v>734</v>
      </c>
      <c r="D876" s="1135">
        <v>518.27</v>
      </c>
      <c r="E876" s="1136"/>
      <c r="F876" s="201" t="e">
        <f>VLOOKUP(A876,'Compos DER'!J:K,2,FALSE)</f>
        <v>#N/A</v>
      </c>
      <c r="G876" s="198" t="e">
        <f t="shared" si="15"/>
        <v>#N/A</v>
      </c>
    </row>
    <row r="877" spans="1:7" x14ac:dyDescent="0.2">
      <c r="A877" s="1134">
        <v>40928</v>
      </c>
      <c r="B877" s="616" t="s">
        <v>1521</v>
      </c>
      <c r="C877" s="614" t="s">
        <v>734</v>
      </c>
      <c r="D877" s="1135">
        <v>42.49</v>
      </c>
      <c r="E877" s="616" t="s">
        <v>777</v>
      </c>
      <c r="F877" s="201" t="e">
        <f>VLOOKUP(A877,'Compos DER'!J:K,2,FALSE)</f>
        <v>#N/A</v>
      </c>
      <c r="G877" s="198" t="e">
        <f t="shared" si="15"/>
        <v>#N/A</v>
      </c>
    </row>
    <row r="878" spans="1:7" x14ac:dyDescent="0.2">
      <c r="A878" s="1134">
        <v>41408</v>
      </c>
      <c r="B878" s="616" t="s">
        <v>1522</v>
      </c>
      <c r="C878" s="614" t="s">
        <v>734</v>
      </c>
      <c r="D878" s="1137">
        <v>3111.11</v>
      </c>
      <c r="E878" s="1136"/>
      <c r="F878" s="201" t="e">
        <f>VLOOKUP(A878,'Compos DER'!J:K,2,FALSE)</f>
        <v>#N/A</v>
      </c>
      <c r="G878" s="198" t="e">
        <f t="shared" si="15"/>
        <v>#N/A</v>
      </c>
    </row>
    <row r="879" spans="1:7" x14ac:dyDescent="0.2">
      <c r="A879" s="1134">
        <v>41147</v>
      </c>
      <c r="B879" s="616" t="s">
        <v>1523</v>
      </c>
      <c r="C879" s="614" t="s">
        <v>838</v>
      </c>
      <c r="D879" s="1135">
        <v>10.75</v>
      </c>
      <c r="E879" s="1136"/>
      <c r="F879" s="201" t="e">
        <f>VLOOKUP(A879,'Compos DER'!J:K,2,FALSE)</f>
        <v>#N/A</v>
      </c>
      <c r="G879" s="198" t="e">
        <f t="shared" si="15"/>
        <v>#N/A</v>
      </c>
    </row>
    <row r="880" spans="1:7" x14ac:dyDescent="0.2">
      <c r="A880" s="1134">
        <v>42046</v>
      </c>
      <c r="B880" s="616" t="s">
        <v>1524</v>
      </c>
      <c r="C880" s="614" t="s">
        <v>734</v>
      </c>
      <c r="D880" s="1135">
        <v>154.56</v>
      </c>
      <c r="E880" s="1136"/>
      <c r="F880" s="201" t="e">
        <f>VLOOKUP(A880,'Compos DER'!J:K,2,FALSE)</f>
        <v>#N/A</v>
      </c>
      <c r="G880" s="198" t="e">
        <f t="shared" si="15"/>
        <v>#N/A</v>
      </c>
    </row>
    <row r="881" spans="1:7" x14ac:dyDescent="0.2">
      <c r="A881" s="1134">
        <v>41407</v>
      </c>
      <c r="B881" s="616" t="s">
        <v>1525</v>
      </c>
      <c r="C881" s="614" t="s">
        <v>734</v>
      </c>
      <c r="D881" s="1137">
        <v>14618.56</v>
      </c>
      <c r="E881" s="1136"/>
      <c r="F881" s="201" t="e">
        <f>VLOOKUP(A881,'Compos DER'!J:K,2,FALSE)</f>
        <v>#N/A</v>
      </c>
      <c r="G881" s="198" t="e">
        <f t="shared" si="15"/>
        <v>#N/A</v>
      </c>
    </row>
    <row r="882" spans="1:7" x14ac:dyDescent="0.2">
      <c r="A882" s="1134">
        <v>41146</v>
      </c>
      <c r="B882" s="616" t="s">
        <v>1526</v>
      </c>
      <c r="C882" s="614" t="s">
        <v>734</v>
      </c>
      <c r="D882" s="1137">
        <v>14212.44</v>
      </c>
      <c r="E882" s="1136"/>
      <c r="F882" s="201" t="e">
        <f>VLOOKUP(A882,'Compos DER'!J:K,2,FALSE)</f>
        <v>#N/A</v>
      </c>
      <c r="G882" s="198" t="e">
        <f t="shared" si="15"/>
        <v>#N/A</v>
      </c>
    </row>
    <row r="883" spans="1:7" x14ac:dyDescent="0.2">
      <c r="A883" s="1134">
        <v>41017</v>
      </c>
      <c r="B883" s="616" t="s">
        <v>1527</v>
      </c>
      <c r="C883" s="614" t="s">
        <v>838</v>
      </c>
      <c r="D883" s="1135">
        <v>550.29</v>
      </c>
      <c r="E883" s="1136"/>
      <c r="F883" s="201" t="e">
        <f>VLOOKUP(A883,'Compos DER'!J:K,2,FALSE)</f>
        <v>#N/A</v>
      </c>
      <c r="G883" s="198" t="e">
        <f t="shared" si="15"/>
        <v>#N/A</v>
      </c>
    </row>
    <row r="884" spans="1:7" x14ac:dyDescent="0.2">
      <c r="A884" s="1134">
        <v>40929</v>
      </c>
      <c r="B884" s="616" t="s">
        <v>1528</v>
      </c>
      <c r="C884" s="614" t="s">
        <v>838</v>
      </c>
      <c r="D884" s="1135">
        <v>290.73</v>
      </c>
      <c r="E884" s="616" t="s">
        <v>777</v>
      </c>
      <c r="F884" s="201">
        <f>VLOOKUP(A884,'Compos DER'!J:K,2,FALSE)</f>
        <v>295.14</v>
      </c>
      <c r="G884" s="198">
        <f t="shared" si="15"/>
        <v>1.0151687132390901</v>
      </c>
    </row>
    <row r="885" spans="1:7" x14ac:dyDescent="0.2">
      <c r="A885" s="1134">
        <v>41203</v>
      </c>
      <c r="B885" s="616" t="s">
        <v>1529</v>
      </c>
      <c r="C885" s="614" t="s">
        <v>838</v>
      </c>
      <c r="D885" s="1135">
        <v>573.48</v>
      </c>
      <c r="E885" s="616" t="s">
        <v>777</v>
      </c>
      <c r="F885" s="201" t="e">
        <f>VLOOKUP(A885,'Compos DER'!J:K,2,FALSE)</f>
        <v>#N/A</v>
      </c>
      <c r="G885" s="198" t="e">
        <f t="shared" si="15"/>
        <v>#N/A</v>
      </c>
    </row>
    <row r="886" spans="1:7" x14ac:dyDescent="0.2">
      <c r="A886" s="1134">
        <v>42047</v>
      </c>
      <c r="B886" s="616" t="s">
        <v>1530</v>
      </c>
      <c r="C886" s="614" t="s">
        <v>734</v>
      </c>
      <c r="D886" s="1135">
        <v>41.74</v>
      </c>
      <c r="E886" s="1136"/>
      <c r="F886" s="201" t="e">
        <f>VLOOKUP(A886,'Compos DER'!J:K,2,FALSE)</f>
        <v>#N/A</v>
      </c>
      <c r="G886" s="198" t="e">
        <f t="shared" si="15"/>
        <v>#N/A</v>
      </c>
    </row>
    <row r="887" spans="1:7" x14ac:dyDescent="0.2">
      <c r="A887" s="1134">
        <v>41145</v>
      </c>
      <c r="B887" s="616" t="s">
        <v>1531</v>
      </c>
      <c r="C887" s="614" t="s">
        <v>734</v>
      </c>
      <c r="D887" s="1137">
        <v>9528.07</v>
      </c>
      <c r="E887" s="1136"/>
      <c r="F887" s="201" t="e">
        <f>VLOOKUP(A887,'Compos DER'!J:K,2,FALSE)</f>
        <v>#N/A</v>
      </c>
      <c r="G887" s="198" t="e">
        <f t="shared" si="15"/>
        <v>#N/A</v>
      </c>
    </row>
    <row r="888" spans="1:7" x14ac:dyDescent="0.2">
      <c r="A888" s="1134">
        <v>41141</v>
      </c>
      <c r="B888" s="616" t="s">
        <v>1532</v>
      </c>
      <c r="C888" s="614" t="s">
        <v>734</v>
      </c>
      <c r="D888" s="1137">
        <v>2067.52</v>
      </c>
      <c r="E888" s="1136"/>
      <c r="F888" s="201" t="e">
        <f>VLOOKUP(A888,'Compos DER'!J:K,2,FALSE)</f>
        <v>#N/A</v>
      </c>
      <c r="G888" s="198" t="e">
        <f t="shared" si="15"/>
        <v>#N/A</v>
      </c>
    </row>
    <row r="889" spans="1:7" x14ac:dyDescent="0.2">
      <c r="A889" s="1134">
        <v>41142</v>
      </c>
      <c r="B889" s="616" t="s">
        <v>1533</v>
      </c>
      <c r="C889" s="614" t="s">
        <v>734</v>
      </c>
      <c r="D889" s="1137">
        <v>2265.67</v>
      </c>
      <c r="E889" s="1136"/>
      <c r="F889" s="201" t="e">
        <f>VLOOKUP(A889,'Compos DER'!J:K,2,FALSE)</f>
        <v>#N/A</v>
      </c>
      <c r="G889" s="198" t="e">
        <f t="shared" si="15"/>
        <v>#N/A</v>
      </c>
    </row>
    <row r="890" spans="1:7" x14ac:dyDescent="0.2">
      <c r="A890" s="1134">
        <v>41143</v>
      </c>
      <c r="B890" s="616" t="s">
        <v>1534</v>
      </c>
      <c r="C890" s="614" t="s">
        <v>734</v>
      </c>
      <c r="D890" s="1137">
        <v>4366.6499999999996</v>
      </c>
      <c r="E890" s="1136"/>
      <c r="F890" s="201" t="e">
        <f>VLOOKUP(A890,'Compos DER'!J:K,2,FALSE)</f>
        <v>#N/A</v>
      </c>
      <c r="G890" s="198" t="e">
        <f t="shared" si="15"/>
        <v>#N/A</v>
      </c>
    </row>
    <row r="891" spans="1:7" x14ac:dyDescent="0.2">
      <c r="A891" s="1134">
        <v>43162</v>
      </c>
      <c r="B891" s="616" t="s">
        <v>1535</v>
      </c>
      <c r="C891" s="614" t="s">
        <v>838</v>
      </c>
      <c r="D891" s="1135">
        <v>374.55</v>
      </c>
      <c r="E891" s="616" t="s">
        <v>777</v>
      </c>
      <c r="F891" s="201" t="e">
        <f>VLOOKUP(A891,'Compos DER'!J:K,2,FALSE)</f>
        <v>#N/A</v>
      </c>
      <c r="G891" s="198" t="e">
        <f t="shared" si="15"/>
        <v>#N/A</v>
      </c>
    </row>
    <row r="892" spans="1:7" x14ac:dyDescent="0.2">
      <c r="A892" s="1134">
        <v>40931</v>
      </c>
      <c r="B892" s="616" t="s">
        <v>1536</v>
      </c>
      <c r="C892" s="614" t="s">
        <v>717</v>
      </c>
      <c r="D892" s="1135">
        <v>237.35</v>
      </c>
      <c r="E892" s="616" t="s">
        <v>777</v>
      </c>
      <c r="F892" s="201" t="e">
        <f>VLOOKUP(A892,'Compos DER'!J:K,2,FALSE)</f>
        <v>#N/A</v>
      </c>
      <c r="G892" s="198" t="e">
        <f t="shared" si="15"/>
        <v>#N/A</v>
      </c>
    </row>
    <row r="893" spans="1:7" x14ac:dyDescent="0.2">
      <c r="A893" s="1134">
        <v>41526</v>
      </c>
      <c r="B893" s="616" t="s">
        <v>1537</v>
      </c>
      <c r="C893" s="614" t="s">
        <v>717</v>
      </c>
      <c r="D893" s="1135">
        <v>10.119999999999999</v>
      </c>
      <c r="E893" s="616" t="s">
        <v>777</v>
      </c>
      <c r="F893" s="201" t="e">
        <f>VLOOKUP(A893,'Compos DER'!J:K,2,FALSE)</f>
        <v>#N/A</v>
      </c>
      <c r="G893" s="198" t="e">
        <f t="shared" si="15"/>
        <v>#N/A</v>
      </c>
    </row>
    <row r="894" spans="1:7" x14ac:dyDescent="0.2">
      <c r="A894" s="1134">
        <v>42524</v>
      </c>
      <c r="B894" s="616" t="s">
        <v>1538</v>
      </c>
      <c r="C894" s="614" t="s">
        <v>717</v>
      </c>
      <c r="D894" s="1135">
        <v>103.03</v>
      </c>
      <c r="E894" s="1136"/>
      <c r="F894" s="201" t="e">
        <f>VLOOKUP(A894,'Compos DER'!J:K,2,FALSE)</f>
        <v>#N/A</v>
      </c>
      <c r="G894" s="198" t="e">
        <f t="shared" si="15"/>
        <v>#N/A</v>
      </c>
    </row>
    <row r="895" spans="1:7" x14ac:dyDescent="0.2">
      <c r="A895" s="1134">
        <v>40938</v>
      </c>
      <c r="B895" s="616" t="s">
        <v>1539</v>
      </c>
      <c r="C895" s="614" t="s">
        <v>717</v>
      </c>
      <c r="D895" s="1135">
        <v>718.8</v>
      </c>
      <c r="E895" s="1136"/>
      <c r="F895" s="201" t="e">
        <f>VLOOKUP(A895,'Compos DER'!J:K,2,FALSE)</f>
        <v>#N/A</v>
      </c>
      <c r="G895" s="198" t="e">
        <f t="shared" si="15"/>
        <v>#N/A</v>
      </c>
    </row>
    <row r="896" spans="1:7" x14ac:dyDescent="0.2">
      <c r="A896" s="1134">
        <v>40924</v>
      </c>
      <c r="B896" s="616" t="s">
        <v>1540</v>
      </c>
      <c r="C896" s="614" t="s">
        <v>717</v>
      </c>
      <c r="D896" s="1135">
        <v>18.11</v>
      </c>
      <c r="E896" s="616" t="s">
        <v>777</v>
      </c>
      <c r="F896" s="201" t="e">
        <f>VLOOKUP(A896,'Compos DER'!J:K,2,FALSE)</f>
        <v>#N/A</v>
      </c>
      <c r="G896" s="198" t="e">
        <f t="shared" si="15"/>
        <v>#N/A</v>
      </c>
    </row>
    <row r="897" spans="1:7" x14ac:dyDescent="0.2">
      <c r="A897" s="1134">
        <v>40925</v>
      </c>
      <c r="B897" s="616" t="s">
        <v>1541</v>
      </c>
      <c r="C897" s="614" t="s">
        <v>717</v>
      </c>
      <c r="D897" s="1135">
        <v>22.12</v>
      </c>
      <c r="E897" s="616" t="s">
        <v>777</v>
      </c>
      <c r="F897" s="201" t="e">
        <f>VLOOKUP(A897,'Compos DER'!J:K,2,FALSE)</f>
        <v>#N/A</v>
      </c>
      <c r="G897" s="198" t="e">
        <f t="shared" si="15"/>
        <v>#N/A</v>
      </c>
    </row>
    <row r="898" spans="1:7" x14ac:dyDescent="0.2">
      <c r="A898" s="1134">
        <v>40926</v>
      </c>
      <c r="B898" s="616" t="s">
        <v>1542</v>
      </c>
      <c r="C898" s="614" t="s">
        <v>717</v>
      </c>
      <c r="D898" s="1135">
        <v>26.11</v>
      </c>
      <c r="E898" s="616" t="s">
        <v>777</v>
      </c>
      <c r="F898" s="201">
        <f>VLOOKUP(A898,'Compos DER'!J:K,2,FALSE)</f>
        <v>26.28</v>
      </c>
      <c r="G898" s="198">
        <f t="shared" si="15"/>
        <v>1.0065109153581</v>
      </c>
    </row>
    <row r="899" spans="1:7" s="475" customFormat="1" x14ac:dyDescent="0.2">
      <c r="A899" s="1134">
        <v>40927</v>
      </c>
      <c r="B899" s="616" t="s">
        <v>1543</v>
      </c>
      <c r="C899" s="614" t="s">
        <v>717</v>
      </c>
      <c r="D899" s="1135">
        <v>53.63</v>
      </c>
      <c r="E899" s="616" t="s">
        <v>777</v>
      </c>
      <c r="F899" s="201" t="e">
        <f>VLOOKUP(A899,'Compos DER'!J:K,2,FALSE)</f>
        <v>#N/A</v>
      </c>
      <c r="G899" s="198" t="e">
        <f t="shared" ref="G899:G961" si="16">+F899/D899</f>
        <v>#N/A</v>
      </c>
    </row>
    <row r="900" spans="1:7" x14ac:dyDescent="0.2">
      <c r="A900" s="1134">
        <v>41202</v>
      </c>
      <c r="B900" s="616" t="s">
        <v>1544</v>
      </c>
      <c r="C900" s="614" t="s">
        <v>838</v>
      </c>
      <c r="D900" s="1135">
        <v>29.2</v>
      </c>
      <c r="E900" s="1136"/>
      <c r="F900" s="201" t="e">
        <f>VLOOKUP(A900,'Compos DER'!J:K,2,FALSE)</f>
        <v>#N/A</v>
      </c>
      <c r="G900" s="198" t="e">
        <f t="shared" si="16"/>
        <v>#N/A</v>
      </c>
    </row>
    <row r="901" spans="1:7" x14ac:dyDescent="0.2">
      <c r="A901" s="1134">
        <v>40937</v>
      </c>
      <c r="B901" s="616" t="s">
        <v>1545</v>
      </c>
      <c r="C901" s="614" t="s">
        <v>717</v>
      </c>
      <c r="D901" s="1135">
        <v>529.05999999999995</v>
      </c>
      <c r="E901" s="1136"/>
      <c r="F901" s="201" t="e">
        <f>VLOOKUP(A901,'Compos DER'!J:K,2,FALSE)</f>
        <v>#N/A</v>
      </c>
      <c r="G901" s="198" t="e">
        <f t="shared" si="16"/>
        <v>#N/A</v>
      </c>
    </row>
    <row r="902" spans="1:7" x14ac:dyDescent="0.2">
      <c r="A902" s="1134">
        <v>40939</v>
      </c>
      <c r="B902" s="616" t="s">
        <v>1546</v>
      </c>
      <c r="C902" s="614" t="s">
        <v>717</v>
      </c>
      <c r="D902" s="1135">
        <v>627.63</v>
      </c>
      <c r="E902" s="1136"/>
      <c r="F902" s="201" t="e">
        <f>VLOOKUP(A902,'Compos DER'!J:K,2,FALSE)</f>
        <v>#N/A</v>
      </c>
      <c r="G902" s="198" t="e">
        <f t="shared" si="16"/>
        <v>#N/A</v>
      </c>
    </row>
    <row r="903" spans="1:7" x14ac:dyDescent="0.2">
      <c r="A903" s="1134">
        <v>40936</v>
      </c>
      <c r="B903" s="616" t="s">
        <v>1547</v>
      </c>
      <c r="C903" s="614" t="s">
        <v>717</v>
      </c>
      <c r="D903" s="1135">
        <v>665.63</v>
      </c>
      <c r="E903" s="1136"/>
      <c r="F903" s="201">
        <f>VLOOKUP(A903,'Compos DER'!J:K,2,FALSE)</f>
        <v>665.66</v>
      </c>
      <c r="G903" s="198">
        <f t="shared" si="16"/>
        <v>1.00004507008398</v>
      </c>
    </row>
    <row r="904" spans="1:7" x14ac:dyDescent="0.2">
      <c r="A904" s="1134">
        <v>40930</v>
      </c>
      <c r="B904" s="616" t="s">
        <v>1548</v>
      </c>
      <c r="C904" s="614" t="s">
        <v>717</v>
      </c>
      <c r="D904" s="1135">
        <v>231.33</v>
      </c>
      <c r="E904" s="616" t="s">
        <v>777</v>
      </c>
      <c r="F904" s="201" t="e">
        <f>VLOOKUP(A904,'Compos DER'!J:K,2,FALSE)</f>
        <v>#N/A</v>
      </c>
      <c r="G904" s="198" t="e">
        <f t="shared" si="16"/>
        <v>#N/A</v>
      </c>
    </row>
    <row r="905" spans="1:7" x14ac:dyDescent="0.2">
      <c r="A905" s="1134">
        <v>41222</v>
      </c>
      <c r="B905" s="616" t="s">
        <v>1549</v>
      </c>
      <c r="C905" s="614" t="s">
        <v>734</v>
      </c>
      <c r="D905" s="1135">
        <v>91.42</v>
      </c>
      <c r="E905" s="1136"/>
      <c r="F905" s="201" t="e">
        <f>VLOOKUP(A905,'Compos DER'!J:K,2,FALSE)</f>
        <v>#N/A</v>
      </c>
      <c r="G905" s="198" t="e">
        <f t="shared" si="16"/>
        <v>#N/A</v>
      </c>
    </row>
    <row r="906" spans="1:7" x14ac:dyDescent="0.2">
      <c r="A906" s="1134">
        <v>40932</v>
      </c>
      <c r="B906" s="616" t="s">
        <v>1550</v>
      </c>
      <c r="C906" s="614" t="s">
        <v>734</v>
      </c>
      <c r="D906" s="1135">
        <v>24.13</v>
      </c>
      <c r="E906" s="1136"/>
      <c r="F906" s="201">
        <f>VLOOKUP(A906,'Compos DER'!J:K,2,FALSE)</f>
        <v>24.13</v>
      </c>
      <c r="G906" s="198">
        <f t="shared" si="16"/>
        <v>1</v>
      </c>
    </row>
    <row r="907" spans="1:7" x14ac:dyDescent="0.2">
      <c r="A907" s="1134">
        <v>40934</v>
      </c>
      <c r="B907" s="616" t="s">
        <v>1551</v>
      </c>
      <c r="C907" s="614" t="s">
        <v>734</v>
      </c>
      <c r="D907" s="1135">
        <v>26.03</v>
      </c>
      <c r="E907" s="1136"/>
      <c r="F907" s="201">
        <f>VLOOKUP(A907,'Compos DER'!J:K,2,FALSE)</f>
        <v>26.03</v>
      </c>
      <c r="G907" s="198">
        <f t="shared" si="16"/>
        <v>1</v>
      </c>
    </row>
    <row r="908" spans="1:7" x14ac:dyDescent="0.2">
      <c r="A908" s="1134">
        <v>40933</v>
      </c>
      <c r="B908" s="616" t="s">
        <v>1552</v>
      </c>
      <c r="C908" s="614" t="s">
        <v>734</v>
      </c>
      <c r="D908" s="1135">
        <v>62.11</v>
      </c>
      <c r="E908" s="1136"/>
      <c r="F908" s="201" t="e">
        <f>VLOOKUP(A908,'Compos DER'!J:K,2,FALSE)</f>
        <v>#N/A</v>
      </c>
      <c r="G908" s="198" t="e">
        <f t="shared" si="16"/>
        <v>#N/A</v>
      </c>
    </row>
    <row r="909" spans="1:7" x14ac:dyDescent="0.2">
      <c r="A909" s="1134">
        <v>40935</v>
      </c>
      <c r="B909" s="616" t="s">
        <v>1553</v>
      </c>
      <c r="C909" s="614" t="s">
        <v>734</v>
      </c>
      <c r="D909" s="1135">
        <v>63.89</v>
      </c>
      <c r="E909" s="1136"/>
      <c r="F909" s="201" t="e">
        <f>VLOOKUP(A909,'Compos DER'!J:K,2,FALSE)</f>
        <v>#N/A</v>
      </c>
      <c r="G909" s="198" t="e">
        <f t="shared" si="16"/>
        <v>#N/A</v>
      </c>
    </row>
    <row r="910" spans="1:7" x14ac:dyDescent="0.2">
      <c r="A910" s="1134">
        <v>41359</v>
      </c>
      <c r="B910" s="616" t="s">
        <v>1554</v>
      </c>
      <c r="C910" s="614" t="s">
        <v>838</v>
      </c>
      <c r="D910" s="1135">
        <v>20.64</v>
      </c>
      <c r="E910" s="616" t="s">
        <v>777</v>
      </c>
      <c r="F910" s="201" t="e">
        <f>VLOOKUP(A910,'Compos DER'!J:K,2,FALSE)</f>
        <v>#N/A</v>
      </c>
      <c r="G910" s="198" t="e">
        <f t="shared" si="16"/>
        <v>#N/A</v>
      </c>
    </row>
    <row r="911" spans="1:7" x14ac:dyDescent="0.2">
      <c r="A911" s="1132" t="s">
        <v>1555</v>
      </c>
      <c r="B911" s="617"/>
      <c r="C911" s="617"/>
      <c r="D911" s="617"/>
      <c r="E911" s="617"/>
      <c r="F911" s="201" t="e">
        <f>VLOOKUP(A911,'Compos DER'!J:K,2,FALSE)</f>
        <v>#N/A</v>
      </c>
      <c r="G911" s="198" t="e">
        <f t="shared" si="16"/>
        <v>#N/A</v>
      </c>
    </row>
    <row r="912" spans="1:7" ht="18" x14ac:dyDescent="0.2">
      <c r="A912" s="1133" t="s">
        <v>711</v>
      </c>
      <c r="B912" s="1133" t="s">
        <v>712</v>
      </c>
      <c r="C912" s="1133" t="s">
        <v>713</v>
      </c>
      <c r="D912" s="1133" t="s">
        <v>714</v>
      </c>
      <c r="E912" s="1133" t="s">
        <v>715</v>
      </c>
      <c r="F912" s="201" t="e">
        <f>VLOOKUP(A912,'Compos DER'!J:K,2,FALSE)</f>
        <v>#N/A</v>
      </c>
      <c r="G912" s="198" t="e">
        <f t="shared" si="16"/>
        <v>#N/A</v>
      </c>
    </row>
    <row r="913" spans="1:7" x14ac:dyDescent="0.2">
      <c r="A913" s="1134">
        <v>42878</v>
      </c>
      <c r="B913" s="616" t="s">
        <v>1556</v>
      </c>
      <c r="C913" s="616" t="s">
        <v>1306</v>
      </c>
      <c r="D913" s="1137">
        <v>4937.22</v>
      </c>
      <c r="E913" s="1136"/>
      <c r="F913" s="201">
        <f>VLOOKUP(A913,'Compos DER'!J:K,2,FALSE)</f>
        <v>4937.2299999999996</v>
      </c>
      <c r="G913" s="198">
        <f t="shared" si="16"/>
        <v>1.00000202543132</v>
      </c>
    </row>
    <row r="914" spans="1:7" x14ac:dyDescent="0.2">
      <c r="A914" s="1134">
        <v>42888</v>
      </c>
      <c r="B914" s="616" t="s">
        <v>1557</v>
      </c>
      <c r="C914" s="616" t="s">
        <v>1306</v>
      </c>
      <c r="D914" s="1137">
        <v>8392.99</v>
      </c>
      <c r="E914" s="1136"/>
      <c r="F914" s="201">
        <f>VLOOKUP(A914,'Compos DER'!J:K,2,FALSE)</f>
        <v>8393</v>
      </c>
      <c r="G914" s="198">
        <f t="shared" si="16"/>
        <v>1.0000011914705</v>
      </c>
    </row>
    <row r="915" spans="1:7" x14ac:dyDescent="0.2">
      <c r="A915" s="1132" t="s">
        <v>773</v>
      </c>
      <c r="B915" s="617"/>
      <c r="C915" s="617"/>
      <c r="D915" s="617"/>
      <c r="E915" s="617"/>
      <c r="F915" s="201" t="e">
        <f>VLOOKUP(A915,'Compos DER'!J:K,2,FALSE)</f>
        <v>#N/A</v>
      </c>
      <c r="G915" s="198" t="e">
        <f t="shared" si="16"/>
        <v>#N/A</v>
      </c>
    </row>
    <row r="916" spans="1:7" x14ac:dyDescent="0.2">
      <c r="A916" s="1131" t="s">
        <v>708</v>
      </c>
      <c r="B916" s="617"/>
      <c r="C916" s="617"/>
      <c r="D916" s="617"/>
      <c r="E916" s="617"/>
      <c r="F916" s="201" t="e">
        <f>VLOOKUP(A916,'Compos DER'!J:K,2,FALSE)</f>
        <v>#N/A</v>
      </c>
      <c r="G916" s="198" t="e">
        <f t="shared" si="16"/>
        <v>#N/A</v>
      </c>
    </row>
    <row r="917" spans="1:7" x14ac:dyDescent="0.2">
      <c r="A917" s="1131" t="s">
        <v>709</v>
      </c>
      <c r="B917" s="617"/>
      <c r="C917" s="617"/>
      <c r="D917" s="617"/>
      <c r="E917" s="617"/>
      <c r="F917" s="201" t="e">
        <f>VLOOKUP(A917,'Compos DER'!J:K,2,FALSE)</f>
        <v>#N/A</v>
      </c>
      <c r="G917" s="198" t="e">
        <f t="shared" si="16"/>
        <v>#N/A</v>
      </c>
    </row>
    <row r="918" spans="1:7" x14ac:dyDescent="0.2">
      <c r="A918" s="1132" t="s">
        <v>1558</v>
      </c>
      <c r="B918" s="617"/>
      <c r="C918" s="617"/>
      <c r="D918" s="617"/>
      <c r="E918" s="617"/>
      <c r="F918" s="201" t="e">
        <f>VLOOKUP(A918,'Compos DER'!J:K,2,FALSE)</f>
        <v>#N/A</v>
      </c>
      <c r="G918" s="198" t="e">
        <f t="shared" si="16"/>
        <v>#N/A</v>
      </c>
    </row>
    <row r="919" spans="1:7" ht="18" x14ac:dyDescent="0.2">
      <c r="A919" s="1133" t="s">
        <v>711</v>
      </c>
      <c r="B919" s="1133" t="s">
        <v>712</v>
      </c>
      <c r="C919" s="1133" t="s">
        <v>713</v>
      </c>
      <c r="D919" s="1133" t="s">
        <v>714</v>
      </c>
      <c r="E919" s="1133" t="s">
        <v>715</v>
      </c>
      <c r="F919" s="201" t="e">
        <f>VLOOKUP(A919,'Compos DER'!J:K,2,FALSE)</f>
        <v>#N/A</v>
      </c>
      <c r="G919" s="198" t="e">
        <f t="shared" si="16"/>
        <v>#N/A</v>
      </c>
    </row>
    <row r="920" spans="1:7" x14ac:dyDescent="0.2">
      <c r="A920" s="1134">
        <v>40981</v>
      </c>
      <c r="B920" s="616" t="s">
        <v>1559</v>
      </c>
      <c r="C920" s="614" t="s">
        <v>717</v>
      </c>
      <c r="D920" s="1135">
        <v>1.82</v>
      </c>
      <c r="E920" s="1136"/>
      <c r="F920" s="201" t="e">
        <f>VLOOKUP(A920,'Compos DER'!J:K,2,FALSE)</f>
        <v>#N/A</v>
      </c>
      <c r="G920" s="198" t="e">
        <f t="shared" si="16"/>
        <v>#N/A</v>
      </c>
    </row>
    <row r="921" spans="1:7" x14ac:dyDescent="0.2">
      <c r="A921" s="1134">
        <v>40101</v>
      </c>
      <c r="B921" s="616" t="s">
        <v>1560</v>
      </c>
      <c r="C921" s="614" t="s">
        <v>734</v>
      </c>
      <c r="D921" s="1135">
        <v>158.93</v>
      </c>
      <c r="E921" s="1136"/>
      <c r="F921" s="201" t="e">
        <f>VLOOKUP(A921,'Compos DER'!J:K,2,FALSE)</f>
        <v>#N/A</v>
      </c>
      <c r="G921" s="198" t="e">
        <f t="shared" si="16"/>
        <v>#N/A</v>
      </c>
    </row>
    <row r="922" spans="1:7" x14ac:dyDescent="0.2">
      <c r="A922" s="1134">
        <v>40110</v>
      </c>
      <c r="B922" s="616" t="s">
        <v>1561</v>
      </c>
      <c r="C922" s="614" t="s">
        <v>719</v>
      </c>
      <c r="D922" s="1135">
        <v>36.979999999999997</v>
      </c>
      <c r="E922" s="1136"/>
      <c r="F922" s="201" t="e">
        <f>VLOOKUP(A922,'Compos DER'!J:K,2,FALSE)</f>
        <v>#N/A</v>
      </c>
      <c r="G922" s="198" t="e">
        <f t="shared" si="16"/>
        <v>#N/A</v>
      </c>
    </row>
    <row r="923" spans="1:7" x14ac:dyDescent="0.2">
      <c r="A923" s="1134">
        <v>40137</v>
      </c>
      <c r="B923" s="616" t="s">
        <v>1562</v>
      </c>
      <c r="C923" s="614" t="s">
        <v>734</v>
      </c>
      <c r="D923" s="1137">
        <v>1798.86</v>
      </c>
      <c r="E923" s="616" t="s">
        <v>777</v>
      </c>
      <c r="F923" s="201" t="e">
        <f>VLOOKUP(A923,'Compos DER'!J:K,2,FALSE)</f>
        <v>#N/A</v>
      </c>
      <c r="G923" s="198" t="e">
        <f t="shared" si="16"/>
        <v>#N/A</v>
      </c>
    </row>
    <row r="924" spans="1:7" x14ac:dyDescent="0.2">
      <c r="A924" s="1134">
        <v>40138</v>
      </c>
      <c r="B924" s="616" t="s">
        <v>1563</v>
      </c>
      <c r="C924" s="614" t="s">
        <v>734</v>
      </c>
      <c r="D924" s="1137">
        <v>3082.22</v>
      </c>
      <c r="E924" s="616" t="s">
        <v>777</v>
      </c>
      <c r="F924" s="201" t="e">
        <f>VLOOKUP(A924,'Compos DER'!J:K,2,FALSE)</f>
        <v>#N/A</v>
      </c>
      <c r="G924" s="198" t="e">
        <f t="shared" si="16"/>
        <v>#N/A</v>
      </c>
    </row>
    <row r="925" spans="1:7" x14ac:dyDescent="0.2">
      <c r="A925" s="1134">
        <v>43336</v>
      </c>
      <c r="B925" s="616" t="s">
        <v>716</v>
      </c>
      <c r="C925" s="614" t="s">
        <v>717</v>
      </c>
      <c r="D925" s="1135">
        <v>1.5</v>
      </c>
      <c r="E925" s="1136"/>
      <c r="F925" s="201" t="e">
        <f>VLOOKUP(A925,'Compos DER'!J:K,2,FALSE)</f>
        <v>#N/A</v>
      </c>
      <c r="G925" s="198" t="e">
        <f t="shared" si="16"/>
        <v>#N/A</v>
      </c>
    </row>
    <row r="926" spans="1:7" x14ac:dyDescent="0.2">
      <c r="A926" s="1134">
        <v>40980</v>
      </c>
      <c r="B926" s="616" t="s">
        <v>1564</v>
      </c>
      <c r="C926" s="614" t="s">
        <v>719</v>
      </c>
      <c r="D926" s="1135">
        <v>16.2</v>
      </c>
      <c r="E926" s="1136"/>
      <c r="F926" s="201" t="e">
        <f>VLOOKUP(A926,'Compos DER'!J:K,2,FALSE)</f>
        <v>#N/A</v>
      </c>
      <c r="G926" s="198" t="e">
        <f t="shared" si="16"/>
        <v>#N/A</v>
      </c>
    </row>
    <row r="927" spans="1:7" x14ac:dyDescent="0.2">
      <c r="A927" s="1134">
        <v>40115</v>
      </c>
      <c r="B927" s="616" t="s">
        <v>1565</v>
      </c>
      <c r="C927" s="614" t="s">
        <v>803</v>
      </c>
      <c r="D927" s="1135">
        <v>354.19</v>
      </c>
      <c r="E927" s="616" t="s">
        <v>777</v>
      </c>
      <c r="F927" s="201" t="e">
        <f>VLOOKUP(A927,'Compos DER'!J:K,2,FALSE)</f>
        <v>#N/A</v>
      </c>
      <c r="G927" s="198" t="e">
        <f t="shared" si="16"/>
        <v>#N/A</v>
      </c>
    </row>
    <row r="928" spans="1:7" x14ac:dyDescent="0.2">
      <c r="A928" s="1134">
        <v>40104</v>
      </c>
      <c r="B928" s="616" t="s">
        <v>1566</v>
      </c>
      <c r="C928" s="614" t="s">
        <v>838</v>
      </c>
      <c r="D928" s="1135">
        <v>19.45</v>
      </c>
      <c r="E928" s="616" t="s">
        <v>777</v>
      </c>
      <c r="F928" s="201" t="e">
        <f>VLOOKUP(A928,'Compos DER'!J:K,2,FALSE)</f>
        <v>#N/A</v>
      </c>
      <c r="G928" s="198" t="e">
        <f t="shared" si="16"/>
        <v>#N/A</v>
      </c>
    </row>
    <row r="929" spans="1:7" x14ac:dyDescent="0.2">
      <c r="A929" s="1134">
        <v>40143</v>
      </c>
      <c r="B929" s="616" t="s">
        <v>1567</v>
      </c>
      <c r="C929" s="614" t="s">
        <v>719</v>
      </c>
      <c r="D929" s="1135">
        <v>107.86</v>
      </c>
      <c r="E929" s="616" t="s">
        <v>777</v>
      </c>
      <c r="F929" s="201" t="e">
        <f>VLOOKUP(A929,'Compos DER'!J:K,2,FALSE)</f>
        <v>#N/A</v>
      </c>
      <c r="G929" s="198" t="e">
        <f t="shared" si="16"/>
        <v>#N/A</v>
      </c>
    </row>
    <row r="930" spans="1:7" x14ac:dyDescent="0.2">
      <c r="A930" s="1134">
        <v>40107</v>
      </c>
      <c r="B930" s="616" t="s">
        <v>725</v>
      </c>
      <c r="C930" s="614" t="s">
        <v>719</v>
      </c>
      <c r="D930" s="1135">
        <v>6.16</v>
      </c>
      <c r="E930" s="1136"/>
      <c r="F930" s="201" t="e">
        <f>VLOOKUP(A930,'Compos DER'!J:K,2,FALSE)</f>
        <v>#N/A</v>
      </c>
      <c r="G930" s="198" t="e">
        <f t="shared" si="16"/>
        <v>#N/A</v>
      </c>
    </row>
    <row r="931" spans="1:7" x14ac:dyDescent="0.2">
      <c r="A931" s="1134">
        <v>40108</v>
      </c>
      <c r="B931" s="616" t="s">
        <v>1568</v>
      </c>
      <c r="C931" s="614" t="s">
        <v>717</v>
      </c>
      <c r="D931" s="1135">
        <v>2.98</v>
      </c>
      <c r="E931" s="1136"/>
      <c r="F931" s="201" t="e">
        <f>VLOOKUP(A931,'Compos DER'!J:K,2,FALSE)</f>
        <v>#N/A</v>
      </c>
      <c r="G931" s="198" t="e">
        <f t="shared" si="16"/>
        <v>#N/A</v>
      </c>
    </row>
    <row r="932" spans="1:7" x14ac:dyDescent="0.2">
      <c r="A932" s="1134">
        <v>40081</v>
      </c>
      <c r="B932" s="616" t="s">
        <v>1569</v>
      </c>
      <c r="C932" s="614" t="s">
        <v>719</v>
      </c>
      <c r="D932" s="1135">
        <v>8.23</v>
      </c>
      <c r="E932" s="1136"/>
      <c r="F932" s="201" t="e">
        <f>VLOOKUP(A932,'Compos DER'!J:K,2,FALSE)</f>
        <v>#N/A</v>
      </c>
      <c r="G932" s="198" t="e">
        <f t="shared" si="16"/>
        <v>#N/A</v>
      </c>
    </row>
    <row r="933" spans="1:7" x14ac:dyDescent="0.2">
      <c r="A933" s="1134">
        <v>40136</v>
      </c>
      <c r="B933" s="616" t="s">
        <v>1570</v>
      </c>
      <c r="C933" s="614" t="s">
        <v>838</v>
      </c>
      <c r="D933" s="1135">
        <v>549.32000000000005</v>
      </c>
      <c r="E933" s="616" t="s">
        <v>777</v>
      </c>
      <c r="F933" s="201" t="e">
        <f>VLOOKUP(A933,'Compos DER'!J:K,2,FALSE)</f>
        <v>#N/A</v>
      </c>
      <c r="G933" s="198" t="e">
        <f t="shared" si="16"/>
        <v>#N/A</v>
      </c>
    </row>
    <row r="934" spans="1:7" x14ac:dyDescent="0.2">
      <c r="A934" s="1134">
        <v>40096</v>
      </c>
      <c r="B934" s="616" t="s">
        <v>1571</v>
      </c>
      <c r="C934" s="614" t="s">
        <v>838</v>
      </c>
      <c r="D934" s="1135">
        <v>383.66</v>
      </c>
      <c r="E934" s="1136"/>
      <c r="F934" s="201" t="e">
        <f>VLOOKUP(A934,'Compos DER'!J:K,2,FALSE)</f>
        <v>#N/A</v>
      </c>
      <c r="G934" s="198" t="e">
        <f t="shared" si="16"/>
        <v>#N/A</v>
      </c>
    </row>
    <row r="935" spans="1:7" x14ac:dyDescent="0.2">
      <c r="A935" s="1134">
        <v>40134</v>
      </c>
      <c r="B935" s="616" t="s">
        <v>1572</v>
      </c>
      <c r="C935" s="614" t="s">
        <v>717</v>
      </c>
      <c r="D935" s="1135">
        <v>5.5</v>
      </c>
      <c r="E935" s="1136"/>
      <c r="F935" s="201" t="e">
        <f>VLOOKUP(A935,'Compos DER'!J:K,2,FALSE)</f>
        <v>#N/A</v>
      </c>
      <c r="G935" s="198" t="e">
        <f t="shared" si="16"/>
        <v>#N/A</v>
      </c>
    </row>
    <row r="936" spans="1:7" x14ac:dyDescent="0.2">
      <c r="A936" s="1134">
        <v>40105</v>
      </c>
      <c r="B936" s="616" t="s">
        <v>1573</v>
      </c>
      <c r="C936" s="614" t="s">
        <v>717</v>
      </c>
      <c r="D936" s="1135">
        <v>0.67</v>
      </c>
      <c r="E936" s="1136"/>
      <c r="F936" s="201" t="e">
        <f>VLOOKUP(A936,'Compos DER'!J:K,2,FALSE)</f>
        <v>#N/A</v>
      </c>
      <c r="G936" s="198" t="e">
        <f t="shared" si="16"/>
        <v>#N/A</v>
      </c>
    </row>
    <row r="937" spans="1:7" x14ac:dyDescent="0.2">
      <c r="A937" s="1134">
        <v>40084</v>
      </c>
      <c r="B937" s="616" t="s">
        <v>1574</v>
      </c>
      <c r="C937" s="614" t="s">
        <v>838</v>
      </c>
      <c r="D937" s="1135">
        <v>1.86</v>
      </c>
      <c r="E937" s="1136"/>
      <c r="F937" s="201" t="e">
        <f>VLOOKUP(A937,'Compos DER'!J:K,2,FALSE)</f>
        <v>#N/A</v>
      </c>
      <c r="G937" s="198" t="e">
        <f t="shared" si="16"/>
        <v>#N/A</v>
      </c>
    </row>
    <row r="938" spans="1:7" x14ac:dyDescent="0.2">
      <c r="A938" s="1134">
        <v>40144</v>
      </c>
      <c r="B938" s="616" t="s">
        <v>1575</v>
      </c>
      <c r="C938" s="614" t="s">
        <v>838</v>
      </c>
      <c r="D938" s="1135">
        <v>145.38999999999999</v>
      </c>
      <c r="E938" s="616" t="s">
        <v>777</v>
      </c>
      <c r="F938" s="201" t="e">
        <f>VLOOKUP(A938,'Compos DER'!J:K,2,FALSE)</f>
        <v>#N/A</v>
      </c>
      <c r="G938" s="198" t="e">
        <f t="shared" si="16"/>
        <v>#N/A</v>
      </c>
    </row>
    <row r="939" spans="1:7" x14ac:dyDescent="0.2">
      <c r="A939" s="1134">
        <v>40106</v>
      </c>
      <c r="B939" s="616" t="s">
        <v>1576</v>
      </c>
      <c r="C939" s="614" t="s">
        <v>719</v>
      </c>
      <c r="D939" s="1135">
        <v>11.29</v>
      </c>
      <c r="E939" s="616" t="s">
        <v>777</v>
      </c>
      <c r="F939" s="201" t="e">
        <f>VLOOKUP(A939,'Compos DER'!J:K,2,FALSE)</f>
        <v>#N/A</v>
      </c>
      <c r="G939" s="198" t="e">
        <f t="shared" si="16"/>
        <v>#N/A</v>
      </c>
    </row>
    <row r="940" spans="1:7" x14ac:dyDescent="0.2">
      <c r="A940" s="1134">
        <v>40135</v>
      </c>
      <c r="B940" s="616" t="s">
        <v>1577</v>
      </c>
      <c r="C940" s="614" t="s">
        <v>717</v>
      </c>
      <c r="D940" s="1135">
        <v>15.61</v>
      </c>
      <c r="E940" s="1136"/>
      <c r="F940" s="201" t="e">
        <f>VLOOKUP(A940,'Compos DER'!J:K,2,FALSE)</f>
        <v>#N/A</v>
      </c>
      <c r="G940" s="198" t="e">
        <f t="shared" si="16"/>
        <v>#N/A</v>
      </c>
    </row>
    <row r="941" spans="1:7" x14ac:dyDescent="0.2">
      <c r="A941" s="1134">
        <v>40111</v>
      </c>
      <c r="B941" s="616" t="s">
        <v>1578</v>
      </c>
      <c r="C941" s="614" t="s">
        <v>717</v>
      </c>
      <c r="D941" s="1135">
        <v>9.1</v>
      </c>
      <c r="E941" s="616" t="s">
        <v>777</v>
      </c>
      <c r="F941" s="201" t="e">
        <f>VLOOKUP(A941,'Compos DER'!J:K,2,FALSE)</f>
        <v>#N/A</v>
      </c>
      <c r="G941" s="198" t="e">
        <f t="shared" si="16"/>
        <v>#N/A</v>
      </c>
    </row>
    <row r="942" spans="1:7" x14ac:dyDescent="0.2">
      <c r="A942" s="1134">
        <v>40126</v>
      </c>
      <c r="B942" s="616" t="s">
        <v>1579</v>
      </c>
      <c r="C942" s="614" t="s">
        <v>717</v>
      </c>
      <c r="D942" s="1135">
        <v>4.1100000000000003</v>
      </c>
      <c r="E942" s="616" t="s">
        <v>777</v>
      </c>
      <c r="F942" s="201" t="e">
        <f>VLOOKUP(A942,'Compos DER'!J:K,2,FALSE)</f>
        <v>#N/A</v>
      </c>
      <c r="G942" s="198" t="e">
        <f t="shared" si="16"/>
        <v>#N/A</v>
      </c>
    </row>
    <row r="943" spans="1:7" x14ac:dyDescent="0.2">
      <c r="A943" s="1134">
        <v>40127</v>
      </c>
      <c r="B943" s="616" t="s">
        <v>1580</v>
      </c>
      <c r="C943" s="614" t="s">
        <v>717</v>
      </c>
      <c r="D943" s="1135">
        <v>5.62</v>
      </c>
      <c r="E943" s="616" t="s">
        <v>777</v>
      </c>
      <c r="F943" s="201" t="e">
        <f>VLOOKUP(A943,'Compos DER'!J:K,2,FALSE)</f>
        <v>#N/A</v>
      </c>
      <c r="G943" s="198" t="e">
        <f t="shared" si="16"/>
        <v>#N/A</v>
      </c>
    </row>
    <row r="944" spans="1:7" x14ac:dyDescent="0.2">
      <c r="A944" s="1134">
        <v>40128</v>
      </c>
      <c r="B944" s="616" t="s">
        <v>1581</v>
      </c>
      <c r="C944" s="614" t="s">
        <v>717</v>
      </c>
      <c r="D944" s="1135">
        <v>7.42</v>
      </c>
      <c r="E944" s="616" t="s">
        <v>777</v>
      </c>
      <c r="F944" s="201" t="e">
        <f>VLOOKUP(A944,'Compos DER'!J:K,2,FALSE)</f>
        <v>#N/A</v>
      </c>
      <c r="G944" s="198" t="e">
        <f t="shared" si="16"/>
        <v>#N/A</v>
      </c>
    </row>
    <row r="945" spans="1:7" x14ac:dyDescent="0.2">
      <c r="A945" s="1134">
        <v>40129</v>
      </c>
      <c r="B945" s="616" t="s">
        <v>1582</v>
      </c>
      <c r="C945" s="614" t="s">
        <v>717</v>
      </c>
      <c r="D945" s="1135">
        <v>9.8000000000000007</v>
      </c>
      <c r="E945" s="616" t="s">
        <v>777</v>
      </c>
      <c r="F945" s="201" t="e">
        <f>VLOOKUP(A945,'Compos DER'!J:K,2,FALSE)</f>
        <v>#N/A</v>
      </c>
      <c r="G945" s="198" t="e">
        <f t="shared" si="16"/>
        <v>#N/A</v>
      </c>
    </row>
    <row r="946" spans="1:7" x14ac:dyDescent="0.2">
      <c r="A946" s="1134">
        <v>40085</v>
      </c>
      <c r="B946" s="616" t="s">
        <v>1583</v>
      </c>
      <c r="C946" s="614" t="s">
        <v>838</v>
      </c>
      <c r="D946" s="1135">
        <v>1.39</v>
      </c>
      <c r="E946" s="1136"/>
      <c r="F946" s="201" t="e">
        <f>VLOOKUP(A946,'Compos DER'!J:K,2,FALSE)</f>
        <v>#N/A</v>
      </c>
      <c r="G946" s="198" t="e">
        <f t="shared" si="16"/>
        <v>#N/A</v>
      </c>
    </row>
    <row r="947" spans="1:7" x14ac:dyDescent="0.2">
      <c r="A947" s="1134">
        <v>40086</v>
      </c>
      <c r="B947" s="616" t="s">
        <v>1584</v>
      </c>
      <c r="C947" s="614" t="s">
        <v>838</v>
      </c>
      <c r="D947" s="1135">
        <v>31.91</v>
      </c>
      <c r="E947" s="1136"/>
      <c r="F947" s="201" t="e">
        <f>VLOOKUP(A947,'Compos DER'!J:K,2,FALSE)</f>
        <v>#N/A</v>
      </c>
      <c r="G947" s="198" t="e">
        <f t="shared" si="16"/>
        <v>#N/A</v>
      </c>
    </row>
    <row r="948" spans="1:7" x14ac:dyDescent="0.2">
      <c r="A948" s="1134">
        <v>40087</v>
      </c>
      <c r="B948" s="616" t="s">
        <v>1585</v>
      </c>
      <c r="C948" s="614" t="s">
        <v>734</v>
      </c>
      <c r="D948" s="1135">
        <v>119.21</v>
      </c>
      <c r="E948" s="1136"/>
      <c r="F948" s="201" t="e">
        <f>VLOOKUP(A948,'Compos DER'!J:K,2,FALSE)</f>
        <v>#N/A</v>
      </c>
      <c r="G948" s="198" t="e">
        <f t="shared" si="16"/>
        <v>#N/A</v>
      </c>
    </row>
    <row r="949" spans="1:7" x14ac:dyDescent="0.2">
      <c r="A949" s="1134">
        <v>40983</v>
      </c>
      <c r="B949" s="616" t="s">
        <v>1586</v>
      </c>
      <c r="C949" s="614" t="s">
        <v>838</v>
      </c>
      <c r="D949" s="1135">
        <v>9.2899999999999991</v>
      </c>
      <c r="E949" s="1136"/>
      <c r="F949" s="201" t="e">
        <f>VLOOKUP(A949,'Compos DER'!J:K,2,FALSE)</f>
        <v>#N/A</v>
      </c>
      <c r="G949" s="198" t="e">
        <f t="shared" si="16"/>
        <v>#N/A</v>
      </c>
    </row>
    <row r="950" spans="1:7" x14ac:dyDescent="0.2">
      <c r="A950" s="1134">
        <v>40100</v>
      </c>
      <c r="B950" s="616" t="s">
        <v>1587</v>
      </c>
      <c r="C950" s="614" t="s">
        <v>838</v>
      </c>
      <c r="D950" s="1135">
        <v>97.01</v>
      </c>
      <c r="E950" s="1136"/>
      <c r="F950" s="201" t="e">
        <f>VLOOKUP(A950,'Compos DER'!J:K,2,FALSE)</f>
        <v>#N/A</v>
      </c>
      <c r="G950" s="198" t="e">
        <f t="shared" si="16"/>
        <v>#N/A</v>
      </c>
    </row>
    <row r="951" spans="1:7" x14ac:dyDescent="0.2">
      <c r="A951" s="1134">
        <v>40141</v>
      </c>
      <c r="B951" s="616" t="s">
        <v>1588</v>
      </c>
      <c r="C951" s="614" t="s">
        <v>838</v>
      </c>
      <c r="D951" s="1135">
        <v>62.11</v>
      </c>
      <c r="E951" s="616" t="s">
        <v>777</v>
      </c>
      <c r="F951" s="201" t="e">
        <f>VLOOKUP(A951,'Compos DER'!J:K,2,FALSE)</f>
        <v>#N/A</v>
      </c>
      <c r="G951" s="198" t="e">
        <f t="shared" si="16"/>
        <v>#N/A</v>
      </c>
    </row>
    <row r="952" spans="1:7" x14ac:dyDescent="0.2">
      <c r="A952" s="1134">
        <v>40118</v>
      </c>
      <c r="B952" s="616" t="s">
        <v>1589</v>
      </c>
      <c r="C952" s="614" t="s">
        <v>717</v>
      </c>
      <c r="D952" s="1135">
        <v>77.66</v>
      </c>
      <c r="E952" s="616" t="s">
        <v>777</v>
      </c>
    </row>
    <row r="953" spans="1:7" x14ac:dyDescent="0.2">
      <c r="A953" s="1134">
        <v>40116</v>
      </c>
      <c r="B953" s="616" t="s">
        <v>1590</v>
      </c>
      <c r="C953" s="614" t="s">
        <v>717</v>
      </c>
      <c r="D953" s="1135">
        <v>70.819999999999993</v>
      </c>
      <c r="E953" s="616" t="s">
        <v>777</v>
      </c>
    </row>
    <row r="954" spans="1:7" x14ac:dyDescent="0.2">
      <c r="A954" s="1134">
        <v>40117</v>
      </c>
      <c r="B954" s="616" t="s">
        <v>1591</v>
      </c>
      <c r="C954" s="614" t="s">
        <v>717</v>
      </c>
      <c r="D954" s="1135">
        <v>43.9</v>
      </c>
      <c r="E954" s="616" t="s">
        <v>777</v>
      </c>
      <c r="F954" s="201" t="e">
        <f>VLOOKUP(A954,'Compos DER'!J:K,2,FALSE)</f>
        <v>#N/A</v>
      </c>
      <c r="G954" s="198" t="e">
        <f t="shared" si="16"/>
        <v>#N/A</v>
      </c>
    </row>
    <row r="955" spans="1:7" x14ac:dyDescent="0.2">
      <c r="A955" s="1134">
        <v>40148</v>
      </c>
      <c r="B955" s="616" t="s">
        <v>1592</v>
      </c>
      <c r="C955" s="614" t="s">
        <v>838</v>
      </c>
      <c r="D955" s="1135">
        <v>3.3</v>
      </c>
      <c r="E955" s="1136"/>
      <c r="F955" s="201" t="e">
        <f>VLOOKUP(A955,'Compos DER'!J:K,2,FALSE)</f>
        <v>#N/A</v>
      </c>
      <c r="G955" s="198" t="e">
        <f t="shared" si="16"/>
        <v>#N/A</v>
      </c>
    </row>
    <row r="956" spans="1:7" x14ac:dyDescent="0.2">
      <c r="A956" s="1134">
        <v>40112</v>
      </c>
      <c r="B956" s="616" t="s">
        <v>1593</v>
      </c>
      <c r="C956" s="614" t="s">
        <v>717</v>
      </c>
      <c r="D956" s="1135">
        <v>2.4900000000000002</v>
      </c>
      <c r="E956" s="616" t="s">
        <v>777</v>
      </c>
      <c r="F956" s="201" t="e">
        <f>VLOOKUP(A956,'Compos DER'!J:K,2,FALSE)</f>
        <v>#N/A</v>
      </c>
      <c r="G956" s="198" t="e">
        <f t="shared" si="16"/>
        <v>#N/A</v>
      </c>
    </row>
    <row r="957" spans="1:7" x14ac:dyDescent="0.2">
      <c r="A957" s="1134">
        <v>40149</v>
      </c>
      <c r="B957" s="616" t="s">
        <v>1594</v>
      </c>
      <c r="C957" s="614" t="s">
        <v>717</v>
      </c>
      <c r="D957" s="1135">
        <v>6.78</v>
      </c>
      <c r="E957" s="1136"/>
      <c r="F957" s="201" t="e">
        <f>VLOOKUP(A957,'Compos DER'!J:K,2,FALSE)</f>
        <v>#N/A</v>
      </c>
      <c r="G957" s="198" t="e">
        <f t="shared" si="16"/>
        <v>#N/A</v>
      </c>
    </row>
    <row r="958" spans="1:7" x14ac:dyDescent="0.2">
      <c r="A958" s="1134">
        <v>40094</v>
      </c>
      <c r="B958" s="616" t="s">
        <v>1595</v>
      </c>
      <c r="C958" s="614" t="s">
        <v>717</v>
      </c>
      <c r="D958" s="1135">
        <v>95.38</v>
      </c>
      <c r="E958" s="1136"/>
      <c r="F958" s="201" t="e">
        <f>VLOOKUP(A958,'Compos DER'!J:K,2,FALSE)</f>
        <v>#N/A</v>
      </c>
      <c r="G958" s="198" t="e">
        <f t="shared" si="16"/>
        <v>#N/A</v>
      </c>
    </row>
    <row r="959" spans="1:7" x14ac:dyDescent="0.2">
      <c r="A959" s="1134">
        <v>40095</v>
      </c>
      <c r="B959" s="616" t="s">
        <v>1596</v>
      </c>
      <c r="C959" s="614" t="s">
        <v>717</v>
      </c>
      <c r="D959" s="1135">
        <v>739.95</v>
      </c>
      <c r="E959" s="616" t="s">
        <v>777</v>
      </c>
      <c r="F959" s="201" t="e">
        <f>VLOOKUP(A959,'Compos DER'!J:K,2,FALSE)</f>
        <v>#N/A</v>
      </c>
      <c r="G959" s="198" t="e">
        <f t="shared" si="16"/>
        <v>#N/A</v>
      </c>
    </row>
    <row r="960" spans="1:7" x14ac:dyDescent="0.2">
      <c r="A960" s="1134">
        <v>40114</v>
      </c>
      <c r="B960" s="616" t="s">
        <v>1597</v>
      </c>
      <c r="C960" s="614" t="s">
        <v>803</v>
      </c>
      <c r="D960" s="1135">
        <v>305.93</v>
      </c>
      <c r="E960" s="616" t="s">
        <v>777</v>
      </c>
      <c r="F960" s="201" t="e">
        <f>VLOOKUP(A960,'Compos DER'!J:K,2,FALSE)</f>
        <v>#N/A</v>
      </c>
      <c r="G960" s="198" t="e">
        <f t="shared" si="16"/>
        <v>#N/A</v>
      </c>
    </row>
    <row r="961" spans="1:7" x14ac:dyDescent="0.2">
      <c r="A961" s="1134">
        <v>41134</v>
      </c>
      <c r="B961" s="616" t="s">
        <v>1598</v>
      </c>
      <c r="C961" s="614" t="s">
        <v>719</v>
      </c>
      <c r="D961" s="1135">
        <v>118.75</v>
      </c>
      <c r="E961" s="616" t="s">
        <v>777</v>
      </c>
      <c r="F961" s="201" t="e">
        <f>VLOOKUP(A961,'Compos DER'!J:K,2,FALSE)</f>
        <v>#N/A</v>
      </c>
      <c r="G961" s="198" t="e">
        <f t="shared" si="16"/>
        <v>#N/A</v>
      </c>
    </row>
    <row r="962" spans="1:7" x14ac:dyDescent="0.2">
      <c r="A962" s="1134">
        <v>40130</v>
      </c>
      <c r="B962" s="616" t="s">
        <v>1599</v>
      </c>
      <c r="C962" s="614" t="s">
        <v>803</v>
      </c>
      <c r="D962" s="1135">
        <v>377.81</v>
      </c>
      <c r="E962" s="616" t="s">
        <v>777</v>
      </c>
      <c r="F962" s="201" t="e">
        <f>VLOOKUP(A962,'Compos DER'!J:K,2,FALSE)</f>
        <v>#N/A</v>
      </c>
      <c r="G962" s="198" t="e">
        <f t="shared" ref="G962:G1023" si="17">+F962/D962</f>
        <v>#N/A</v>
      </c>
    </row>
    <row r="963" spans="1:7" x14ac:dyDescent="0.2">
      <c r="A963" s="1134">
        <v>40131</v>
      </c>
      <c r="B963" s="616" t="s">
        <v>1600</v>
      </c>
      <c r="C963" s="614" t="s">
        <v>803</v>
      </c>
      <c r="D963" s="1135">
        <v>327.19</v>
      </c>
      <c r="E963" s="616" t="s">
        <v>777</v>
      </c>
      <c r="F963" s="201" t="e">
        <f>VLOOKUP(A963,'Compos DER'!J:K,2,FALSE)</f>
        <v>#N/A</v>
      </c>
      <c r="G963" s="198" t="e">
        <f t="shared" si="17"/>
        <v>#N/A</v>
      </c>
    </row>
    <row r="964" spans="1:7" x14ac:dyDescent="0.2">
      <c r="A964" s="1134">
        <v>40083</v>
      </c>
      <c r="B964" s="616" t="s">
        <v>1601</v>
      </c>
      <c r="C964" s="614" t="s">
        <v>717</v>
      </c>
      <c r="D964" s="1135">
        <v>2.93</v>
      </c>
      <c r="E964" s="616" t="s">
        <v>777</v>
      </c>
      <c r="F964" s="201" t="e">
        <f>VLOOKUP(A964,'Compos DER'!J:K,2,FALSE)</f>
        <v>#N/A</v>
      </c>
      <c r="G964" s="198" t="e">
        <f t="shared" si="17"/>
        <v>#N/A</v>
      </c>
    </row>
    <row r="965" spans="1:7" x14ac:dyDescent="0.2">
      <c r="A965" s="1134">
        <v>40079</v>
      </c>
      <c r="B965" s="616" t="s">
        <v>1602</v>
      </c>
      <c r="C965" s="614" t="s">
        <v>719</v>
      </c>
      <c r="D965" s="1135">
        <v>24.34</v>
      </c>
      <c r="E965" s="616" t="s">
        <v>777</v>
      </c>
      <c r="F965" s="201" t="e">
        <f>VLOOKUP(A965,'Compos DER'!J:K,2,FALSE)</f>
        <v>#N/A</v>
      </c>
      <c r="G965" s="198" t="e">
        <f t="shared" si="17"/>
        <v>#N/A</v>
      </c>
    </row>
    <row r="966" spans="1:7" x14ac:dyDescent="0.2">
      <c r="A966" s="1134">
        <v>40082</v>
      </c>
      <c r="B966" s="616" t="s">
        <v>1603</v>
      </c>
      <c r="C966" s="614" t="s">
        <v>717</v>
      </c>
      <c r="D966" s="1135">
        <v>0.12</v>
      </c>
      <c r="E966" s="1136"/>
      <c r="F966" s="201" t="e">
        <f>VLOOKUP(A966,'Compos DER'!J:K,2,FALSE)</f>
        <v>#N/A</v>
      </c>
      <c r="G966" s="198" t="e">
        <f t="shared" si="17"/>
        <v>#N/A</v>
      </c>
    </row>
    <row r="967" spans="1:7" x14ac:dyDescent="0.2">
      <c r="A967" s="1134">
        <v>40119</v>
      </c>
      <c r="B967" s="616" t="s">
        <v>1604</v>
      </c>
      <c r="C967" s="614" t="s">
        <v>717</v>
      </c>
      <c r="D967" s="1135">
        <v>39.72</v>
      </c>
      <c r="E967" s="616" t="s">
        <v>777</v>
      </c>
      <c r="F967" s="201" t="e">
        <f>VLOOKUP(A967,'Compos DER'!J:K,2,FALSE)</f>
        <v>#N/A</v>
      </c>
      <c r="G967" s="198" t="e">
        <f t="shared" si="17"/>
        <v>#N/A</v>
      </c>
    </row>
    <row r="968" spans="1:7" x14ac:dyDescent="0.2">
      <c r="A968" s="1134">
        <v>40122</v>
      </c>
      <c r="B968" s="616" t="s">
        <v>1604</v>
      </c>
      <c r="C968" s="614" t="s">
        <v>803</v>
      </c>
      <c r="D968" s="1135">
        <v>450.24</v>
      </c>
      <c r="E968" s="616" t="s">
        <v>777</v>
      </c>
      <c r="F968" s="201" t="e">
        <f>VLOOKUP(A968,'Compos DER'!J:K,2,FALSE)</f>
        <v>#N/A</v>
      </c>
      <c r="G968" s="198" t="e">
        <f t="shared" si="17"/>
        <v>#N/A</v>
      </c>
    </row>
    <row r="969" spans="1:7" x14ac:dyDescent="0.2">
      <c r="A969" s="1134">
        <v>40120</v>
      </c>
      <c r="B969" s="616" t="s">
        <v>1605</v>
      </c>
      <c r="C969" s="614" t="s">
        <v>717</v>
      </c>
      <c r="D969" s="1135">
        <v>12.8</v>
      </c>
      <c r="E969" s="616" t="s">
        <v>777</v>
      </c>
      <c r="F969" s="201" t="e">
        <f>VLOOKUP(A969,'Compos DER'!J:K,2,FALSE)</f>
        <v>#N/A</v>
      </c>
      <c r="G969" s="198" t="e">
        <f t="shared" si="17"/>
        <v>#N/A</v>
      </c>
    </row>
    <row r="970" spans="1:7" x14ac:dyDescent="0.2">
      <c r="A970" s="1134">
        <v>40121</v>
      </c>
      <c r="B970" s="616" t="s">
        <v>1606</v>
      </c>
      <c r="C970" s="614" t="s">
        <v>717</v>
      </c>
      <c r="D970" s="1135">
        <v>46.56</v>
      </c>
      <c r="E970" s="616" t="s">
        <v>777</v>
      </c>
      <c r="F970" s="201" t="e">
        <f>VLOOKUP(A970,'Compos DER'!J:K,2,FALSE)</f>
        <v>#N/A</v>
      </c>
      <c r="G970" s="198" t="e">
        <f t="shared" si="17"/>
        <v>#N/A</v>
      </c>
    </row>
    <row r="971" spans="1:7" x14ac:dyDescent="0.2">
      <c r="A971" s="1134">
        <v>40123</v>
      </c>
      <c r="B971" s="616" t="s">
        <v>1606</v>
      </c>
      <c r="C971" s="614" t="s">
        <v>803</v>
      </c>
      <c r="D971" s="1135">
        <v>494.24</v>
      </c>
      <c r="E971" s="616" t="s">
        <v>777</v>
      </c>
      <c r="F971" s="201" t="e">
        <f>VLOOKUP(A971,'Compos DER'!J:K,2,FALSE)</f>
        <v>#N/A</v>
      </c>
      <c r="G971" s="198" t="e">
        <f t="shared" si="17"/>
        <v>#N/A</v>
      </c>
    </row>
    <row r="972" spans="1:7" x14ac:dyDescent="0.2">
      <c r="A972" s="1134">
        <v>40080</v>
      </c>
      <c r="B972" s="616" t="s">
        <v>1607</v>
      </c>
      <c r="C972" s="614" t="s">
        <v>719</v>
      </c>
      <c r="D972" s="1135">
        <v>1.83</v>
      </c>
      <c r="E972" s="616" t="s">
        <v>777</v>
      </c>
      <c r="F972" s="201" t="e">
        <f>VLOOKUP(A972,'Compos DER'!J:K,2,FALSE)</f>
        <v>#N/A</v>
      </c>
      <c r="G972" s="198" t="e">
        <f t="shared" si="17"/>
        <v>#N/A</v>
      </c>
    </row>
    <row r="973" spans="1:7" x14ac:dyDescent="0.2">
      <c r="A973" s="1134">
        <v>40089</v>
      </c>
      <c r="B973" s="616" t="s">
        <v>1608</v>
      </c>
      <c r="C973" s="614" t="s">
        <v>734</v>
      </c>
      <c r="D973" s="1137">
        <v>2036.33</v>
      </c>
      <c r="E973" s="616" t="s">
        <v>777</v>
      </c>
      <c r="F973" s="201" t="e">
        <f>VLOOKUP(A973,'Compos DER'!J:K,2,FALSE)</f>
        <v>#N/A</v>
      </c>
      <c r="G973" s="198" t="e">
        <f t="shared" si="17"/>
        <v>#N/A</v>
      </c>
    </row>
    <row r="974" spans="1:7" x14ac:dyDescent="0.2">
      <c r="A974" s="1134">
        <v>40088</v>
      </c>
      <c r="B974" s="616" t="s">
        <v>1609</v>
      </c>
      <c r="C974" s="614" t="s">
        <v>734</v>
      </c>
      <c r="D974" s="1135">
        <v>803.88</v>
      </c>
      <c r="E974" s="616" t="s">
        <v>777</v>
      </c>
      <c r="F974" s="201" t="e">
        <f>VLOOKUP(A974,'Compos DER'!J:K,2,FALSE)</f>
        <v>#N/A</v>
      </c>
      <c r="G974" s="198" t="e">
        <f t="shared" si="17"/>
        <v>#N/A</v>
      </c>
    </row>
    <row r="975" spans="1:7" x14ac:dyDescent="0.2">
      <c r="A975" s="1134">
        <v>40092</v>
      </c>
      <c r="B975" s="616" t="s">
        <v>1610</v>
      </c>
      <c r="C975" s="614" t="s">
        <v>734</v>
      </c>
      <c r="D975" s="1135">
        <v>330.67</v>
      </c>
      <c r="E975" s="616" t="s">
        <v>777</v>
      </c>
      <c r="F975" s="201" t="e">
        <f>VLOOKUP(A975,'Compos DER'!J:K,2,FALSE)</f>
        <v>#N/A</v>
      </c>
      <c r="G975" s="198" t="e">
        <f t="shared" si="17"/>
        <v>#N/A</v>
      </c>
    </row>
    <row r="976" spans="1:7" x14ac:dyDescent="0.2">
      <c r="A976" s="1134">
        <v>40078</v>
      </c>
      <c r="B976" s="616" t="s">
        <v>1611</v>
      </c>
      <c r="C976" s="614" t="s">
        <v>838</v>
      </c>
      <c r="D976" s="1135">
        <v>8.84</v>
      </c>
      <c r="E976" s="616" t="s">
        <v>777</v>
      </c>
      <c r="F976" s="201" t="e">
        <f>VLOOKUP(A976,'Compos DER'!J:K,2,FALSE)</f>
        <v>#N/A</v>
      </c>
      <c r="G976" s="198" t="e">
        <f t="shared" si="17"/>
        <v>#N/A</v>
      </c>
    </row>
    <row r="977" spans="1:7" x14ac:dyDescent="0.2">
      <c r="A977" s="1134">
        <v>40097</v>
      </c>
      <c r="B977" s="616" t="s">
        <v>1612</v>
      </c>
      <c r="C977" s="614" t="s">
        <v>838</v>
      </c>
      <c r="D977" s="1135">
        <v>138.01</v>
      </c>
      <c r="E977" s="1136"/>
      <c r="F977" s="201" t="e">
        <f>VLOOKUP(A977,'Compos DER'!J:K,2,FALSE)</f>
        <v>#N/A</v>
      </c>
      <c r="G977" s="198" t="e">
        <f t="shared" si="17"/>
        <v>#N/A</v>
      </c>
    </row>
    <row r="978" spans="1:7" x14ac:dyDescent="0.2">
      <c r="A978" s="1134">
        <v>40090</v>
      </c>
      <c r="B978" s="616" t="s">
        <v>1613</v>
      </c>
      <c r="C978" s="614" t="s">
        <v>838</v>
      </c>
      <c r="D978" s="1135">
        <v>34.18</v>
      </c>
      <c r="E978" s="616" t="s">
        <v>777</v>
      </c>
      <c r="F978" s="201" t="e">
        <f>VLOOKUP(A978,'Compos DER'!J:K,2,FALSE)</f>
        <v>#N/A</v>
      </c>
      <c r="G978" s="198" t="e">
        <f t="shared" si="17"/>
        <v>#N/A</v>
      </c>
    </row>
    <row r="979" spans="1:7" x14ac:dyDescent="0.2">
      <c r="A979" s="1134">
        <v>40099</v>
      </c>
      <c r="B979" s="616" t="s">
        <v>1614</v>
      </c>
      <c r="C979" s="614" t="s">
        <v>719</v>
      </c>
      <c r="D979" s="1135">
        <v>798.73</v>
      </c>
      <c r="E979" s="616" t="s">
        <v>777</v>
      </c>
      <c r="F979" s="201" t="e">
        <f>VLOOKUP(A979,'Compos DER'!J:K,2,FALSE)</f>
        <v>#N/A</v>
      </c>
      <c r="G979" s="198" t="e">
        <f t="shared" si="17"/>
        <v>#N/A</v>
      </c>
    </row>
    <row r="980" spans="1:7" x14ac:dyDescent="0.2">
      <c r="A980" s="1134">
        <v>40091</v>
      </c>
      <c r="B980" s="616" t="s">
        <v>1615</v>
      </c>
      <c r="C980" s="614" t="s">
        <v>838</v>
      </c>
      <c r="D980" s="1135">
        <v>45.7</v>
      </c>
      <c r="E980" s="616" t="s">
        <v>777</v>
      </c>
      <c r="F980" s="201" t="e">
        <f>VLOOKUP(A980,'Compos DER'!J:K,2,FALSE)</f>
        <v>#N/A</v>
      </c>
      <c r="G980" s="198" t="e">
        <f t="shared" si="17"/>
        <v>#N/A</v>
      </c>
    </row>
    <row r="981" spans="1:7" x14ac:dyDescent="0.2">
      <c r="A981" s="1134">
        <v>40093</v>
      </c>
      <c r="B981" s="616" t="s">
        <v>1616</v>
      </c>
      <c r="C981" s="614" t="s">
        <v>717</v>
      </c>
      <c r="D981" s="1135">
        <v>86.91</v>
      </c>
      <c r="E981" s="1136"/>
      <c r="F981" s="201" t="e">
        <f>VLOOKUP(A981,'Compos DER'!J:K,2,FALSE)</f>
        <v>#N/A</v>
      </c>
      <c r="G981" s="198" t="e">
        <f t="shared" si="17"/>
        <v>#N/A</v>
      </c>
    </row>
    <row r="982" spans="1:7" x14ac:dyDescent="0.2">
      <c r="A982" s="1134">
        <v>43353</v>
      </c>
      <c r="B982" s="616" t="s">
        <v>1617</v>
      </c>
      <c r="C982" s="614" t="s">
        <v>717</v>
      </c>
      <c r="D982" s="1135">
        <v>0.76</v>
      </c>
      <c r="E982" s="1136"/>
      <c r="F982" s="201" t="e">
        <f>VLOOKUP(A982,'Compos DER'!J:K,2,FALSE)</f>
        <v>#N/A</v>
      </c>
      <c r="G982" s="198" t="e">
        <f t="shared" si="17"/>
        <v>#N/A</v>
      </c>
    </row>
    <row r="983" spans="1:7" x14ac:dyDescent="0.2">
      <c r="A983" s="1134">
        <v>43337</v>
      </c>
      <c r="B983" s="616" t="s">
        <v>1618</v>
      </c>
      <c r="C983" s="614" t="s">
        <v>717</v>
      </c>
      <c r="D983" s="1135">
        <v>0.65</v>
      </c>
      <c r="E983" s="1136"/>
      <c r="F983" s="201" t="e">
        <f>VLOOKUP(A983,'Compos DER'!J:K,2,FALSE)</f>
        <v>#N/A</v>
      </c>
      <c r="G983" s="198" t="e">
        <f t="shared" si="17"/>
        <v>#N/A</v>
      </c>
    </row>
    <row r="984" spans="1:7" x14ac:dyDescent="0.2">
      <c r="A984" s="1132" t="s">
        <v>773</v>
      </c>
      <c r="B984" s="617"/>
      <c r="C984" s="617"/>
      <c r="D984" s="617"/>
      <c r="E984" s="617"/>
      <c r="F984" s="201" t="e">
        <f>VLOOKUP(A984,'Compos DER'!J:K,2,FALSE)</f>
        <v>#N/A</v>
      </c>
      <c r="G984" s="198" t="e">
        <f t="shared" si="17"/>
        <v>#N/A</v>
      </c>
    </row>
    <row r="985" spans="1:7" x14ac:dyDescent="0.2">
      <c r="A985" s="1131" t="s">
        <v>708</v>
      </c>
      <c r="B985" s="617"/>
      <c r="C985" s="617"/>
      <c r="D985" s="617"/>
      <c r="E985" s="617"/>
      <c r="F985" s="201" t="e">
        <f>VLOOKUP(A985,'Compos DER'!J:K,2,FALSE)</f>
        <v>#N/A</v>
      </c>
      <c r="G985" s="198" t="e">
        <f t="shared" si="17"/>
        <v>#N/A</v>
      </c>
    </row>
    <row r="986" spans="1:7" x14ac:dyDescent="0.2">
      <c r="A986" s="1131" t="s">
        <v>709</v>
      </c>
      <c r="B986" s="617"/>
      <c r="C986" s="617"/>
      <c r="D986" s="617"/>
      <c r="E986" s="617"/>
      <c r="F986" s="201" t="e">
        <f>VLOOKUP(A986,'Compos DER'!J:K,2,FALSE)</f>
        <v>#N/A</v>
      </c>
      <c r="G986" s="198" t="e">
        <f t="shared" si="17"/>
        <v>#N/A</v>
      </c>
    </row>
    <row r="987" spans="1:7" x14ac:dyDescent="0.2">
      <c r="A987" s="1132" t="s">
        <v>1558</v>
      </c>
      <c r="B987" s="617"/>
      <c r="C987" s="617"/>
      <c r="D987" s="617"/>
      <c r="E987" s="617"/>
      <c r="F987" s="201" t="e">
        <f>VLOOKUP(A987,'Compos DER'!J:K,2,FALSE)</f>
        <v>#N/A</v>
      </c>
      <c r="G987" s="198" t="e">
        <f t="shared" si="17"/>
        <v>#N/A</v>
      </c>
    </row>
    <row r="988" spans="1:7" ht="18" x14ac:dyDescent="0.2">
      <c r="A988" s="1133" t="s">
        <v>711</v>
      </c>
      <c r="B988" s="1133" t="s">
        <v>712</v>
      </c>
      <c r="C988" s="1133" t="s">
        <v>713</v>
      </c>
      <c r="D988" s="1133" t="s">
        <v>714</v>
      </c>
      <c r="E988" s="1133" t="s">
        <v>715</v>
      </c>
      <c r="F988" s="201" t="e">
        <f>VLOOKUP(A988,'Compos DER'!J:K,2,FALSE)</f>
        <v>#N/A</v>
      </c>
      <c r="G988" s="198" t="e">
        <f t="shared" si="17"/>
        <v>#N/A</v>
      </c>
    </row>
    <row r="989" spans="1:7" x14ac:dyDescent="0.2">
      <c r="A989" s="1134">
        <v>40077</v>
      </c>
      <c r="B989" s="616" t="s">
        <v>1619</v>
      </c>
      <c r="C989" s="614" t="s">
        <v>717</v>
      </c>
      <c r="D989" s="1135">
        <v>0.22</v>
      </c>
      <c r="E989" s="1136"/>
      <c r="F989" s="201">
        <f>VLOOKUP(A989,'Compos DER'!J:K,2,FALSE)</f>
        <v>0.22</v>
      </c>
      <c r="G989" s="198">
        <f t="shared" si="17"/>
        <v>1</v>
      </c>
    </row>
    <row r="990" spans="1:7" x14ac:dyDescent="0.2">
      <c r="A990" s="1134">
        <v>40142</v>
      </c>
      <c r="B990" s="616" t="s">
        <v>1620</v>
      </c>
      <c r="C990" s="614" t="s">
        <v>838</v>
      </c>
      <c r="D990" s="1135">
        <v>103.31</v>
      </c>
      <c r="E990" s="616" t="s">
        <v>777</v>
      </c>
      <c r="F990" s="201" t="e">
        <f>VLOOKUP(A990,'Compos DER'!J:K,2,FALSE)</f>
        <v>#N/A</v>
      </c>
      <c r="G990" s="198" t="e">
        <f t="shared" si="17"/>
        <v>#N/A</v>
      </c>
    </row>
    <row r="991" spans="1:7" x14ac:dyDescent="0.2">
      <c r="A991" s="1134">
        <v>40124</v>
      </c>
      <c r="B991" s="616" t="s">
        <v>1621</v>
      </c>
      <c r="C991" s="614" t="s">
        <v>717</v>
      </c>
      <c r="D991" s="1135">
        <v>10.93</v>
      </c>
      <c r="E991" s="616" t="s">
        <v>777</v>
      </c>
      <c r="F991" s="201" t="e">
        <f>VLOOKUP(A991,'Compos DER'!J:K,2,FALSE)</f>
        <v>#N/A</v>
      </c>
      <c r="G991" s="198" t="e">
        <f t="shared" si="17"/>
        <v>#N/A</v>
      </c>
    </row>
    <row r="992" spans="1:7" x14ac:dyDescent="0.2">
      <c r="A992" s="1134">
        <v>40146</v>
      </c>
      <c r="B992" s="616" t="s">
        <v>1622</v>
      </c>
      <c r="C992" s="614" t="s">
        <v>717</v>
      </c>
      <c r="D992" s="1135">
        <v>21.24</v>
      </c>
      <c r="E992" s="616" t="s">
        <v>777</v>
      </c>
      <c r="F992" s="201" t="e">
        <f>VLOOKUP(A992,'Compos DER'!J:K,2,FALSE)</f>
        <v>#N/A</v>
      </c>
      <c r="G992" s="198" t="e">
        <f t="shared" si="17"/>
        <v>#N/A</v>
      </c>
    </row>
    <row r="993" spans="1:7" x14ac:dyDescent="0.2">
      <c r="A993" s="1134">
        <v>40145</v>
      </c>
      <c r="B993" s="616" t="s">
        <v>1623</v>
      </c>
      <c r="C993" s="614" t="s">
        <v>717</v>
      </c>
      <c r="D993" s="1135">
        <v>639.89</v>
      </c>
      <c r="E993" s="616" t="s">
        <v>777</v>
      </c>
      <c r="F993" s="201" t="e">
        <f>VLOOKUP(A993,'Compos DER'!J:K,2,FALSE)</f>
        <v>#N/A</v>
      </c>
      <c r="G993" s="198" t="e">
        <f t="shared" si="17"/>
        <v>#N/A</v>
      </c>
    </row>
    <row r="994" spans="1:7" x14ac:dyDescent="0.2">
      <c r="A994" s="1134">
        <v>40109</v>
      </c>
      <c r="B994" s="616" t="s">
        <v>1624</v>
      </c>
      <c r="C994" s="614" t="s">
        <v>719</v>
      </c>
      <c r="D994" s="1135">
        <v>32.51</v>
      </c>
      <c r="E994" s="1136"/>
      <c r="F994" s="201">
        <f>VLOOKUP(A994,'Compos DER'!J:K,2,FALSE)</f>
        <v>32.49</v>
      </c>
      <c r="G994" s="198">
        <f t="shared" si="17"/>
        <v>0.99938480467548496</v>
      </c>
    </row>
    <row r="995" spans="1:7" x14ac:dyDescent="0.2">
      <c r="A995" s="1134">
        <v>40125</v>
      </c>
      <c r="B995" s="616" t="s">
        <v>1625</v>
      </c>
      <c r="C995" s="614" t="s">
        <v>717</v>
      </c>
      <c r="D995" s="1135">
        <v>13.65</v>
      </c>
      <c r="E995" s="616" t="s">
        <v>777</v>
      </c>
      <c r="F995" s="201" t="e">
        <f>VLOOKUP(A995,'Compos DER'!J:K,2,FALSE)</f>
        <v>#N/A</v>
      </c>
      <c r="G995" s="198" t="e">
        <f t="shared" si="17"/>
        <v>#N/A</v>
      </c>
    </row>
    <row r="996" spans="1:7" x14ac:dyDescent="0.2">
      <c r="A996" s="1134">
        <v>40113</v>
      </c>
      <c r="B996" s="616" t="s">
        <v>1626</v>
      </c>
      <c r="C996" s="614" t="s">
        <v>717</v>
      </c>
      <c r="D996" s="1135">
        <v>17.73</v>
      </c>
      <c r="E996" s="616" t="s">
        <v>777</v>
      </c>
      <c r="F996" s="201" t="e">
        <f>VLOOKUP(A996,'Compos DER'!J:K,2,FALSE)</f>
        <v>#N/A</v>
      </c>
      <c r="G996" s="198" t="e">
        <f t="shared" si="17"/>
        <v>#N/A</v>
      </c>
    </row>
    <row r="997" spans="1:7" x14ac:dyDescent="0.2">
      <c r="A997" s="1134">
        <v>40140</v>
      </c>
      <c r="B997" s="616" t="s">
        <v>1627</v>
      </c>
      <c r="C997" s="614" t="s">
        <v>838</v>
      </c>
      <c r="D997" s="1135">
        <v>101.45</v>
      </c>
      <c r="E997" s="616" t="s">
        <v>777</v>
      </c>
      <c r="F997" s="201" t="e">
        <f>VLOOKUP(A997,'Compos DER'!J:K,2,FALSE)</f>
        <v>#N/A</v>
      </c>
      <c r="G997" s="198" t="e">
        <f t="shared" si="17"/>
        <v>#N/A</v>
      </c>
    </row>
    <row r="998" spans="1:7" x14ac:dyDescent="0.2">
      <c r="A998" s="1134">
        <v>40139</v>
      </c>
      <c r="B998" s="616" t="s">
        <v>1628</v>
      </c>
      <c r="C998" s="614" t="s">
        <v>838</v>
      </c>
      <c r="D998" s="1135">
        <v>11.64</v>
      </c>
      <c r="E998" s="1136"/>
      <c r="F998" s="201" t="e">
        <f>VLOOKUP(A998,'Compos DER'!J:K,2,FALSE)</f>
        <v>#N/A</v>
      </c>
      <c r="G998" s="198" t="e">
        <f t="shared" si="17"/>
        <v>#N/A</v>
      </c>
    </row>
    <row r="999" spans="1:7" x14ac:dyDescent="0.2">
      <c r="A999" s="1132" t="s">
        <v>1629</v>
      </c>
      <c r="B999" s="617"/>
      <c r="C999" s="617"/>
      <c r="D999" s="617"/>
      <c r="E999" s="617"/>
      <c r="F999" s="201" t="e">
        <f>VLOOKUP(A999,'Compos DER'!J:K,2,FALSE)</f>
        <v>#N/A</v>
      </c>
      <c r="G999" s="198" t="e">
        <f t="shared" si="17"/>
        <v>#N/A</v>
      </c>
    </row>
    <row r="1000" spans="1:7" ht="18" x14ac:dyDescent="0.2">
      <c r="A1000" s="1133" t="s">
        <v>711</v>
      </c>
      <c r="B1000" s="1133" t="s">
        <v>712</v>
      </c>
      <c r="C1000" s="1133" t="s">
        <v>713</v>
      </c>
      <c r="D1000" s="1133" t="s">
        <v>714</v>
      </c>
      <c r="E1000" s="1133" t="s">
        <v>715</v>
      </c>
      <c r="F1000" s="201" t="e">
        <f>VLOOKUP(A1000,'Compos DER'!J:K,2,FALSE)</f>
        <v>#N/A</v>
      </c>
      <c r="G1000" s="198" t="e">
        <f t="shared" si="17"/>
        <v>#N/A</v>
      </c>
    </row>
    <row r="1001" spans="1:7" x14ac:dyDescent="0.2">
      <c r="A1001" s="1134">
        <v>42186</v>
      </c>
      <c r="B1001" s="616" t="s">
        <v>1630</v>
      </c>
      <c r="C1001" s="616" t="s">
        <v>1306</v>
      </c>
      <c r="D1001" s="1137">
        <v>8124.32</v>
      </c>
      <c r="E1001" s="1136"/>
      <c r="F1001" s="201" t="e">
        <f>VLOOKUP(A1001,'Compos DER'!J:K,2,FALSE)</f>
        <v>#N/A</v>
      </c>
      <c r="G1001" s="198" t="e">
        <f t="shared" si="17"/>
        <v>#N/A</v>
      </c>
    </row>
    <row r="1002" spans="1:7" x14ac:dyDescent="0.2">
      <c r="A1002" s="1132" t="s">
        <v>1631</v>
      </c>
      <c r="B1002" s="617"/>
      <c r="C1002" s="617"/>
      <c r="D1002" s="617"/>
      <c r="E1002" s="617"/>
      <c r="F1002" s="201" t="e">
        <f>VLOOKUP(A1002,'Compos DER'!J:K,2,FALSE)</f>
        <v>#N/A</v>
      </c>
      <c r="G1002" s="198" t="e">
        <f t="shared" si="17"/>
        <v>#N/A</v>
      </c>
    </row>
    <row r="1003" spans="1:7" ht="18" x14ac:dyDescent="0.2">
      <c r="A1003" s="1133" t="s">
        <v>711</v>
      </c>
      <c r="B1003" s="1133" t="s">
        <v>712</v>
      </c>
      <c r="C1003" s="1133" t="s">
        <v>713</v>
      </c>
      <c r="D1003" s="1133" t="s">
        <v>714</v>
      </c>
      <c r="E1003" s="1133" t="s">
        <v>715</v>
      </c>
    </row>
    <row r="1004" spans="1:7" x14ac:dyDescent="0.2">
      <c r="A1004" s="1134">
        <v>41352</v>
      </c>
      <c r="B1004" s="616" t="s">
        <v>1632</v>
      </c>
      <c r="C1004" s="614" t="s">
        <v>734</v>
      </c>
      <c r="D1004" s="1135">
        <v>154.29</v>
      </c>
      <c r="E1004" s="1136"/>
    </row>
    <row r="1005" spans="1:7" x14ac:dyDescent="0.2">
      <c r="A1005" s="1134">
        <v>41340</v>
      </c>
      <c r="B1005" s="616" t="s">
        <v>1633</v>
      </c>
      <c r="C1005" s="614" t="s">
        <v>838</v>
      </c>
      <c r="D1005" s="1135">
        <v>737.73</v>
      </c>
      <c r="E1005" s="1136"/>
      <c r="F1005" s="201" t="e">
        <f>VLOOKUP(A1005,'Compos DER'!J:K,2,FALSE)</f>
        <v>#N/A</v>
      </c>
      <c r="G1005" s="198" t="e">
        <f t="shared" si="17"/>
        <v>#N/A</v>
      </c>
    </row>
    <row r="1006" spans="1:7" x14ac:dyDescent="0.2">
      <c r="A1006" s="1134">
        <v>40331</v>
      </c>
      <c r="B1006" s="616" t="s">
        <v>1634</v>
      </c>
      <c r="C1006" s="614" t="s">
        <v>717</v>
      </c>
      <c r="D1006" s="1135">
        <v>92.89</v>
      </c>
      <c r="E1006" s="616" t="s">
        <v>777</v>
      </c>
      <c r="F1006" s="201" t="e">
        <f>VLOOKUP(A1006,'Compos DER'!J:K,2,FALSE)</f>
        <v>#N/A</v>
      </c>
      <c r="G1006" s="198" t="e">
        <f t="shared" si="17"/>
        <v>#N/A</v>
      </c>
    </row>
    <row r="1007" spans="1:7" x14ac:dyDescent="0.2">
      <c r="A1007" s="1134">
        <v>40403</v>
      </c>
      <c r="B1007" s="616" t="s">
        <v>1635</v>
      </c>
      <c r="C1007" s="614" t="s">
        <v>838</v>
      </c>
      <c r="D1007" s="1135">
        <v>223.93</v>
      </c>
      <c r="E1007" s="616" t="s">
        <v>777</v>
      </c>
    </row>
    <row r="1008" spans="1:7" x14ac:dyDescent="0.2">
      <c r="A1008" s="1134">
        <v>40405</v>
      </c>
      <c r="B1008" s="616" t="s">
        <v>1636</v>
      </c>
      <c r="C1008" s="614" t="s">
        <v>838</v>
      </c>
      <c r="D1008" s="1135">
        <v>285.73</v>
      </c>
      <c r="E1008" s="1136"/>
    </row>
    <row r="1009" spans="1:7" x14ac:dyDescent="0.2">
      <c r="A1009" s="1134">
        <v>40408</v>
      </c>
      <c r="B1009" s="616" t="s">
        <v>1637</v>
      </c>
      <c r="C1009" s="614" t="s">
        <v>838</v>
      </c>
      <c r="D1009" s="1135">
        <v>527.20000000000005</v>
      </c>
      <c r="E1009" s="616" t="s">
        <v>777</v>
      </c>
      <c r="F1009" s="201" t="e">
        <f>VLOOKUP(A1009,'Compos DER'!J:K,2,FALSE)</f>
        <v>#N/A</v>
      </c>
      <c r="G1009" s="198" t="e">
        <f t="shared" si="17"/>
        <v>#N/A</v>
      </c>
    </row>
    <row r="1010" spans="1:7" x14ac:dyDescent="0.2">
      <c r="A1010" s="1134">
        <v>40406</v>
      </c>
      <c r="B1010" s="616" t="s">
        <v>1638</v>
      </c>
      <c r="C1010" s="614" t="s">
        <v>838</v>
      </c>
      <c r="D1010" s="1135">
        <v>482.05</v>
      </c>
      <c r="E1010" s="616" t="s">
        <v>777</v>
      </c>
      <c r="F1010" s="201" t="e">
        <f>VLOOKUP(A1010,'Compos DER'!J:K,2,FALSE)</f>
        <v>#N/A</v>
      </c>
      <c r="G1010" s="198" t="e">
        <f t="shared" si="17"/>
        <v>#N/A</v>
      </c>
    </row>
    <row r="1011" spans="1:7" x14ac:dyDescent="0.2">
      <c r="A1011" s="1134">
        <v>40407</v>
      </c>
      <c r="B1011" s="616" t="s">
        <v>1639</v>
      </c>
      <c r="C1011" s="614" t="s">
        <v>838</v>
      </c>
      <c r="D1011" s="1135">
        <v>817.67</v>
      </c>
      <c r="E1011" s="616" t="s">
        <v>777</v>
      </c>
      <c r="F1011" s="201" t="e">
        <f>VLOOKUP(A1011,'Compos DER'!J:K,2,FALSE)</f>
        <v>#N/A</v>
      </c>
      <c r="G1011" s="198" t="e">
        <f t="shared" si="17"/>
        <v>#N/A</v>
      </c>
    </row>
    <row r="1012" spans="1:7" x14ac:dyDescent="0.2">
      <c r="A1012" s="1134">
        <v>40409</v>
      </c>
      <c r="B1012" s="616" t="s">
        <v>1640</v>
      </c>
      <c r="C1012" s="614" t="s">
        <v>838</v>
      </c>
      <c r="D1012" s="1135">
        <v>907.98</v>
      </c>
      <c r="E1012" s="616" t="s">
        <v>777</v>
      </c>
      <c r="F1012" s="201" t="e">
        <f>VLOOKUP(A1012,'Compos DER'!J:K,2,FALSE)</f>
        <v>#N/A</v>
      </c>
      <c r="G1012" s="198" t="e">
        <f t="shared" si="17"/>
        <v>#N/A</v>
      </c>
    </row>
    <row r="1013" spans="1:7" x14ac:dyDescent="0.2">
      <c r="A1013" s="1134">
        <v>40404</v>
      </c>
      <c r="B1013" s="616" t="s">
        <v>1641</v>
      </c>
      <c r="C1013" s="614" t="s">
        <v>838</v>
      </c>
      <c r="D1013" s="1135">
        <v>196.33</v>
      </c>
      <c r="E1013" s="1136"/>
      <c r="F1013" s="201" t="e">
        <f>VLOOKUP(A1013,'Compos DER'!J:K,2,FALSE)</f>
        <v>#N/A</v>
      </c>
      <c r="G1013" s="198" t="e">
        <f t="shared" si="17"/>
        <v>#N/A</v>
      </c>
    </row>
    <row r="1014" spans="1:7" x14ac:dyDescent="0.2">
      <c r="A1014" s="1134">
        <v>42051</v>
      </c>
      <c r="B1014" s="616" t="s">
        <v>1642</v>
      </c>
      <c r="C1014" s="614" t="s">
        <v>838</v>
      </c>
      <c r="D1014" s="1137">
        <v>1222.17</v>
      </c>
      <c r="E1014" s="616" t="s">
        <v>777</v>
      </c>
      <c r="F1014" s="201" t="e">
        <f>VLOOKUP(A1014,'Compos DER'!J:K,2,FALSE)</f>
        <v>#N/A</v>
      </c>
      <c r="G1014" s="198" t="e">
        <f t="shared" si="17"/>
        <v>#N/A</v>
      </c>
    </row>
    <row r="1015" spans="1:7" x14ac:dyDescent="0.2">
      <c r="A1015" s="1134">
        <v>42052</v>
      </c>
      <c r="B1015" s="616" t="s">
        <v>1643</v>
      </c>
      <c r="C1015" s="614" t="s">
        <v>838</v>
      </c>
      <c r="D1015" s="1135">
        <v>704.77</v>
      </c>
      <c r="E1015" s="616" t="s">
        <v>777</v>
      </c>
      <c r="F1015" s="201" t="e">
        <f>VLOOKUP(A1015,'Compos DER'!J:K,2,FALSE)</f>
        <v>#N/A</v>
      </c>
      <c r="G1015" s="198" t="e">
        <f t="shared" si="17"/>
        <v>#N/A</v>
      </c>
    </row>
    <row r="1016" spans="1:7" x14ac:dyDescent="0.2">
      <c r="A1016" s="1134">
        <v>40410</v>
      </c>
      <c r="B1016" s="616" t="s">
        <v>1644</v>
      </c>
      <c r="C1016" s="614" t="s">
        <v>838</v>
      </c>
      <c r="D1016" s="1135">
        <v>477.19</v>
      </c>
      <c r="E1016" s="616" t="s">
        <v>777</v>
      </c>
      <c r="F1016" s="201" t="e">
        <f>VLOOKUP(A1016,'Compos DER'!J:K,2,FALSE)</f>
        <v>#N/A</v>
      </c>
      <c r="G1016" s="198" t="e">
        <f t="shared" si="17"/>
        <v>#N/A</v>
      </c>
    </row>
    <row r="1017" spans="1:7" x14ac:dyDescent="0.2">
      <c r="A1017" s="1134">
        <v>40309</v>
      </c>
      <c r="B1017" s="616" t="s">
        <v>1645</v>
      </c>
      <c r="C1017" s="614" t="s">
        <v>717</v>
      </c>
      <c r="D1017" s="1135">
        <v>198.1</v>
      </c>
      <c r="E1017" s="616" t="s">
        <v>777</v>
      </c>
      <c r="F1017" s="201" t="e">
        <f>VLOOKUP(A1017,'Compos DER'!J:K,2,FALSE)</f>
        <v>#N/A</v>
      </c>
      <c r="G1017" s="198" t="e">
        <f t="shared" si="17"/>
        <v>#N/A</v>
      </c>
    </row>
    <row r="1018" spans="1:7" x14ac:dyDescent="0.2">
      <c r="A1018" s="1134">
        <v>41258</v>
      </c>
      <c r="B1018" s="616" t="s">
        <v>1646</v>
      </c>
      <c r="C1018" s="614" t="s">
        <v>838</v>
      </c>
      <c r="D1018" s="1135">
        <v>249.73</v>
      </c>
      <c r="E1018" s="1136"/>
      <c r="F1018" s="201" t="e">
        <f>VLOOKUP(A1018,'Compos DER'!J:K,2,FALSE)</f>
        <v>#N/A</v>
      </c>
      <c r="G1018" s="198" t="e">
        <f t="shared" si="17"/>
        <v>#N/A</v>
      </c>
    </row>
    <row r="1019" spans="1:7" x14ac:dyDescent="0.2">
      <c r="A1019" s="1134">
        <v>41034</v>
      </c>
      <c r="B1019" s="616" t="s">
        <v>1647</v>
      </c>
      <c r="C1019" s="614" t="s">
        <v>838</v>
      </c>
      <c r="D1019" s="1135">
        <v>192.09</v>
      </c>
      <c r="E1019" s="1136"/>
      <c r="F1019" s="201" t="e">
        <f>VLOOKUP(A1019,'Compos DER'!J:K,2,FALSE)</f>
        <v>#N/A</v>
      </c>
      <c r="G1019" s="198" t="e">
        <f t="shared" si="17"/>
        <v>#N/A</v>
      </c>
    </row>
    <row r="1020" spans="1:7" x14ac:dyDescent="0.2">
      <c r="A1020" s="1134">
        <v>41026</v>
      </c>
      <c r="B1020" s="616" t="s">
        <v>1648</v>
      </c>
      <c r="C1020" s="614" t="s">
        <v>838</v>
      </c>
      <c r="D1020" s="1135">
        <v>161.03</v>
      </c>
      <c r="E1020" s="1136"/>
      <c r="F1020" s="201" t="e">
        <f>VLOOKUP(A1020,'Compos DER'!J:K,2,FALSE)</f>
        <v>#N/A</v>
      </c>
      <c r="G1020" s="198" t="e">
        <f t="shared" si="17"/>
        <v>#N/A</v>
      </c>
    </row>
    <row r="1021" spans="1:7" x14ac:dyDescent="0.2">
      <c r="A1021" s="1134">
        <v>41022</v>
      </c>
      <c r="B1021" s="616" t="s">
        <v>1649</v>
      </c>
      <c r="C1021" s="614" t="s">
        <v>838</v>
      </c>
      <c r="D1021" s="1135">
        <v>150.30000000000001</v>
      </c>
      <c r="E1021" s="1136"/>
      <c r="F1021" s="201" t="e">
        <f>VLOOKUP(A1021,'Compos DER'!J:K,2,FALSE)</f>
        <v>#N/A</v>
      </c>
      <c r="G1021" s="198" t="e">
        <f t="shared" si="17"/>
        <v>#N/A</v>
      </c>
    </row>
    <row r="1022" spans="1:7" x14ac:dyDescent="0.2">
      <c r="A1022" s="1132" t="s">
        <v>1650</v>
      </c>
      <c r="B1022" s="617"/>
      <c r="C1022" s="617"/>
      <c r="D1022" s="617"/>
      <c r="E1022" s="617"/>
      <c r="F1022" s="201" t="e">
        <f>VLOOKUP(A1022,'Compos DER'!J:K,2,FALSE)</f>
        <v>#N/A</v>
      </c>
      <c r="G1022" s="198" t="e">
        <f t="shared" si="17"/>
        <v>#N/A</v>
      </c>
    </row>
    <row r="1023" spans="1:7" ht="18" x14ac:dyDescent="0.2">
      <c r="A1023" s="1133" t="s">
        <v>711</v>
      </c>
      <c r="B1023" s="1133" t="s">
        <v>712</v>
      </c>
      <c r="C1023" s="1133" t="s">
        <v>713</v>
      </c>
      <c r="D1023" s="1133" t="s">
        <v>714</v>
      </c>
      <c r="E1023" s="1133" t="s">
        <v>715</v>
      </c>
      <c r="F1023" s="201" t="e">
        <f>VLOOKUP(A1023,'Compos DER'!J:K,2,FALSE)</f>
        <v>#N/A</v>
      </c>
      <c r="G1023" s="198" t="e">
        <f t="shared" si="17"/>
        <v>#N/A</v>
      </c>
    </row>
    <row r="1024" spans="1:7" x14ac:dyDescent="0.2">
      <c r="A1024" s="1134">
        <v>41403</v>
      </c>
      <c r="B1024" s="616" t="s">
        <v>1651</v>
      </c>
      <c r="C1024" s="614" t="s">
        <v>838</v>
      </c>
      <c r="D1024" s="1137">
        <v>1326.02</v>
      </c>
      <c r="E1024" s="1136"/>
      <c r="F1024" s="201" t="e">
        <f>VLOOKUP(A1024,'Compos DER'!J:K,2,FALSE)</f>
        <v>#N/A</v>
      </c>
      <c r="G1024" s="198" t="e">
        <f t="shared" ref="G1024:G1085" si="18">+F1024/D1024</f>
        <v>#N/A</v>
      </c>
    </row>
    <row r="1025" spans="1:7" x14ac:dyDescent="0.2">
      <c r="A1025" s="1134">
        <v>40398</v>
      </c>
      <c r="B1025" s="616" t="s">
        <v>1652</v>
      </c>
      <c r="C1025" s="614" t="s">
        <v>717</v>
      </c>
      <c r="D1025" s="1135">
        <v>227.03</v>
      </c>
      <c r="E1025" s="1136"/>
      <c r="F1025" s="201" t="e">
        <f>VLOOKUP(A1025,'Compos DER'!J:K,2,FALSE)</f>
        <v>#N/A</v>
      </c>
      <c r="G1025" s="198" t="e">
        <f t="shared" si="18"/>
        <v>#N/A</v>
      </c>
    </row>
    <row r="1026" spans="1:7" x14ac:dyDescent="0.2">
      <c r="A1026" s="1134">
        <v>41036</v>
      </c>
      <c r="B1026" s="616" t="s">
        <v>1653</v>
      </c>
      <c r="C1026" s="614" t="s">
        <v>1654</v>
      </c>
      <c r="D1026" s="1135">
        <v>94.1</v>
      </c>
      <c r="E1026" s="1136"/>
      <c r="F1026" s="201" t="e">
        <f>VLOOKUP(A1026,'Compos DER'!J:K,2,FALSE)</f>
        <v>#N/A</v>
      </c>
      <c r="G1026" s="198" t="e">
        <f t="shared" si="18"/>
        <v>#N/A</v>
      </c>
    </row>
    <row r="1027" spans="1:7" x14ac:dyDescent="0.2">
      <c r="A1027" s="1132" t="s">
        <v>1655</v>
      </c>
      <c r="B1027" s="617"/>
      <c r="C1027" s="617"/>
      <c r="D1027" s="617"/>
      <c r="E1027" s="617"/>
    </row>
    <row r="1028" spans="1:7" ht="18" x14ac:dyDescent="0.2">
      <c r="A1028" s="1133" t="s">
        <v>711</v>
      </c>
      <c r="B1028" s="1133" t="s">
        <v>712</v>
      </c>
      <c r="C1028" s="1133" t="s">
        <v>713</v>
      </c>
      <c r="D1028" s="1133" t="s">
        <v>714</v>
      </c>
      <c r="E1028" s="1133" t="s">
        <v>715</v>
      </c>
    </row>
    <row r="1029" spans="1:7" x14ac:dyDescent="0.2">
      <c r="A1029" s="1134">
        <v>40381</v>
      </c>
      <c r="B1029" s="616" t="s">
        <v>1656</v>
      </c>
      <c r="C1029" s="614" t="s">
        <v>717</v>
      </c>
      <c r="D1029" s="1135">
        <v>25.65</v>
      </c>
      <c r="E1029" s="1136"/>
      <c r="F1029" s="201" t="e">
        <f>VLOOKUP(A1029,'Compos DER'!J:K,2,FALSE)</f>
        <v>#N/A</v>
      </c>
      <c r="G1029" s="198" t="e">
        <f t="shared" si="18"/>
        <v>#N/A</v>
      </c>
    </row>
    <row r="1030" spans="1:7" x14ac:dyDescent="0.2">
      <c r="A1030" s="1134">
        <v>41260</v>
      </c>
      <c r="B1030" s="616" t="s">
        <v>1657</v>
      </c>
      <c r="C1030" s="614" t="s">
        <v>734</v>
      </c>
      <c r="D1030" s="1135">
        <v>953.33</v>
      </c>
      <c r="E1030" s="616" t="s">
        <v>777</v>
      </c>
      <c r="F1030" s="201" t="e">
        <f>VLOOKUP(A1030,'Compos DER'!J:K,2,FALSE)</f>
        <v>#N/A</v>
      </c>
      <c r="G1030" s="198" t="e">
        <f t="shared" si="18"/>
        <v>#N/A</v>
      </c>
    </row>
    <row r="1031" spans="1:7" x14ac:dyDescent="0.2">
      <c r="A1031" s="1134">
        <v>41045</v>
      </c>
      <c r="B1031" s="616" t="s">
        <v>1658</v>
      </c>
      <c r="C1031" s="614" t="s">
        <v>734</v>
      </c>
      <c r="D1031" s="1135">
        <v>914.44</v>
      </c>
      <c r="E1031" s="616" t="s">
        <v>777</v>
      </c>
      <c r="F1031" s="201" t="e">
        <f>VLOOKUP(A1031,'Compos DER'!J:K,2,FALSE)</f>
        <v>#N/A</v>
      </c>
      <c r="G1031" s="198" t="e">
        <f t="shared" si="18"/>
        <v>#N/A</v>
      </c>
    </row>
    <row r="1032" spans="1:7" x14ac:dyDescent="0.2">
      <c r="A1032" s="1134">
        <v>40387</v>
      </c>
      <c r="B1032" s="616" t="s">
        <v>1659</v>
      </c>
      <c r="C1032" s="616" t="s">
        <v>1660</v>
      </c>
      <c r="D1032" s="1135">
        <v>123.88</v>
      </c>
      <c r="E1032" s="616" t="s">
        <v>777</v>
      </c>
      <c r="F1032" s="201" t="e">
        <f>VLOOKUP(A1032,'Compos DER'!J:K,2,FALSE)</f>
        <v>#N/A</v>
      </c>
      <c r="G1032" s="198" t="e">
        <f t="shared" si="18"/>
        <v>#N/A</v>
      </c>
    </row>
    <row r="1033" spans="1:7" x14ac:dyDescent="0.2">
      <c r="A1033" s="1134">
        <v>40339</v>
      </c>
      <c r="B1033" s="616" t="s">
        <v>1661</v>
      </c>
      <c r="C1033" s="614" t="s">
        <v>838</v>
      </c>
      <c r="D1033" s="1135">
        <v>107.65</v>
      </c>
      <c r="E1033" s="1136"/>
      <c r="F1033" s="201" t="e">
        <f>VLOOKUP(A1033,'Compos DER'!J:K,2,FALSE)</f>
        <v>#N/A</v>
      </c>
      <c r="G1033" s="198" t="e">
        <f t="shared" si="18"/>
        <v>#N/A</v>
      </c>
    </row>
    <row r="1034" spans="1:7" x14ac:dyDescent="0.2">
      <c r="A1034" s="1134">
        <v>40379</v>
      </c>
      <c r="B1034" s="616" t="s">
        <v>1662</v>
      </c>
      <c r="C1034" s="614" t="s">
        <v>926</v>
      </c>
      <c r="D1034" s="1135">
        <v>15.5</v>
      </c>
      <c r="E1034" s="616" t="s">
        <v>777</v>
      </c>
      <c r="F1034" s="201" t="e">
        <f>VLOOKUP(A1034,'Compos DER'!J:K,2,FALSE)</f>
        <v>#N/A</v>
      </c>
      <c r="G1034" s="198" t="e">
        <f t="shared" si="18"/>
        <v>#N/A</v>
      </c>
    </row>
    <row r="1035" spans="1:7" x14ac:dyDescent="0.2">
      <c r="A1035" s="1134">
        <v>42875</v>
      </c>
      <c r="B1035" s="616" t="s">
        <v>1663</v>
      </c>
      <c r="C1035" s="614" t="s">
        <v>838</v>
      </c>
      <c r="D1035" s="1135">
        <v>57.1</v>
      </c>
      <c r="E1035" s="1136"/>
      <c r="F1035" s="201" t="e">
        <f>VLOOKUP(A1035,'Compos DER'!J:K,2,FALSE)</f>
        <v>#N/A</v>
      </c>
      <c r="G1035" s="198" t="e">
        <f t="shared" si="18"/>
        <v>#N/A</v>
      </c>
    </row>
    <row r="1036" spans="1:7" x14ac:dyDescent="0.2">
      <c r="A1036" s="1132" t="s">
        <v>773</v>
      </c>
      <c r="B1036" s="617"/>
      <c r="C1036" s="617"/>
      <c r="D1036" s="617"/>
      <c r="E1036" s="617"/>
      <c r="F1036" s="201" t="e">
        <f>VLOOKUP(A1036,'Compos DER'!J:K,2,FALSE)</f>
        <v>#N/A</v>
      </c>
      <c r="G1036" s="198" t="e">
        <f t="shared" si="18"/>
        <v>#N/A</v>
      </c>
    </row>
    <row r="1037" spans="1:7" x14ac:dyDescent="0.2">
      <c r="A1037" s="1131" t="s">
        <v>708</v>
      </c>
      <c r="B1037" s="617"/>
      <c r="C1037" s="617"/>
      <c r="D1037" s="617"/>
      <c r="E1037" s="617"/>
      <c r="F1037" s="201" t="e">
        <f>VLOOKUP(A1037,'Compos DER'!J:K,2,FALSE)</f>
        <v>#N/A</v>
      </c>
      <c r="G1037" s="198" t="e">
        <f t="shared" si="18"/>
        <v>#N/A</v>
      </c>
    </row>
    <row r="1038" spans="1:7" x14ac:dyDescent="0.2">
      <c r="A1038" s="1131" t="s">
        <v>709</v>
      </c>
      <c r="B1038" s="617"/>
      <c r="C1038" s="617"/>
      <c r="D1038" s="617"/>
      <c r="E1038" s="617"/>
      <c r="F1038" s="201" t="e">
        <f>VLOOKUP(A1038,'Compos DER'!J:K,2,FALSE)</f>
        <v>#N/A</v>
      </c>
      <c r="G1038" s="198" t="e">
        <f t="shared" si="18"/>
        <v>#N/A</v>
      </c>
    </row>
    <row r="1039" spans="1:7" x14ac:dyDescent="0.2">
      <c r="A1039" s="1132" t="s">
        <v>1655</v>
      </c>
      <c r="B1039" s="617"/>
      <c r="C1039" s="617"/>
      <c r="D1039" s="617"/>
      <c r="E1039" s="617"/>
      <c r="F1039" s="201" t="e">
        <f>VLOOKUP(A1039,'Compos DER'!J:K,2,FALSE)</f>
        <v>#N/A</v>
      </c>
      <c r="G1039" s="198" t="e">
        <f t="shared" si="18"/>
        <v>#N/A</v>
      </c>
    </row>
    <row r="1040" spans="1:7" ht="18" x14ac:dyDescent="0.2">
      <c r="A1040" s="1133" t="s">
        <v>711</v>
      </c>
      <c r="B1040" s="1133" t="s">
        <v>712</v>
      </c>
      <c r="C1040" s="1133" t="s">
        <v>713</v>
      </c>
      <c r="D1040" s="1133" t="s">
        <v>714</v>
      </c>
      <c r="E1040" s="1133" t="s">
        <v>715</v>
      </c>
      <c r="F1040" s="201" t="e">
        <f>VLOOKUP(A1040,'Compos DER'!J:K,2,FALSE)</f>
        <v>#N/A</v>
      </c>
      <c r="G1040" s="198" t="e">
        <f t="shared" si="18"/>
        <v>#N/A</v>
      </c>
    </row>
    <row r="1041" spans="1:7" x14ac:dyDescent="0.2">
      <c r="A1041" s="1134">
        <v>40991</v>
      </c>
      <c r="B1041" s="616" t="s">
        <v>1664</v>
      </c>
      <c r="C1041" s="614" t="s">
        <v>926</v>
      </c>
      <c r="D1041" s="1135">
        <v>47.9</v>
      </c>
      <c r="E1041" s="1136"/>
      <c r="F1041" s="201" t="e">
        <f>VLOOKUP(A1041,'Compos DER'!J:K,2,FALSE)</f>
        <v>#N/A</v>
      </c>
      <c r="G1041" s="198" t="e">
        <f t="shared" si="18"/>
        <v>#N/A</v>
      </c>
    </row>
    <row r="1042" spans="1:7" x14ac:dyDescent="0.2">
      <c r="A1042" s="1134">
        <v>40382</v>
      </c>
      <c r="B1042" s="616" t="s">
        <v>1665</v>
      </c>
      <c r="C1042" s="614" t="s">
        <v>719</v>
      </c>
      <c r="D1042" s="1135">
        <v>695.77</v>
      </c>
      <c r="E1042" s="1136"/>
      <c r="F1042" s="201" t="e">
        <f>VLOOKUP(A1042,'Compos DER'!J:K,2,FALSE)</f>
        <v>#N/A</v>
      </c>
      <c r="G1042" s="198" t="e">
        <f t="shared" si="18"/>
        <v>#N/A</v>
      </c>
    </row>
    <row r="1043" spans="1:7" x14ac:dyDescent="0.2">
      <c r="A1043" s="1134">
        <v>42660</v>
      </c>
      <c r="B1043" s="616" t="s">
        <v>1666</v>
      </c>
      <c r="C1043" s="614" t="s">
        <v>719</v>
      </c>
      <c r="D1043" s="1135">
        <v>886.7</v>
      </c>
      <c r="E1043" s="1136"/>
      <c r="F1043" s="201" t="e">
        <f>VLOOKUP(A1043,'Compos DER'!J:K,2,FALSE)</f>
        <v>#N/A</v>
      </c>
      <c r="G1043" s="198" t="e">
        <f t="shared" si="18"/>
        <v>#N/A</v>
      </c>
    </row>
    <row r="1044" spans="1:7" x14ac:dyDescent="0.2">
      <c r="A1044" s="1134">
        <v>40401</v>
      </c>
      <c r="B1044" s="616" t="s">
        <v>1667</v>
      </c>
      <c r="C1044" s="614" t="s">
        <v>734</v>
      </c>
      <c r="D1044" s="1135">
        <v>893.15</v>
      </c>
      <c r="E1044" s="616" t="s">
        <v>777</v>
      </c>
      <c r="F1044" s="201" t="e">
        <f>VLOOKUP(A1044,'Compos DER'!J:K,2,FALSE)</f>
        <v>#N/A</v>
      </c>
      <c r="G1044" s="198" t="e">
        <f t="shared" si="18"/>
        <v>#N/A</v>
      </c>
    </row>
    <row r="1045" spans="1:7" x14ac:dyDescent="0.2">
      <c r="A1045" s="1134">
        <v>41200</v>
      </c>
      <c r="B1045" s="616" t="s">
        <v>1668</v>
      </c>
      <c r="C1045" s="614" t="s">
        <v>734</v>
      </c>
      <c r="D1045" s="1135">
        <v>28.36</v>
      </c>
      <c r="E1045" s="1136"/>
      <c r="F1045" s="201" t="e">
        <f>VLOOKUP(A1045,'Compos DER'!J:K,2,FALSE)</f>
        <v>#N/A</v>
      </c>
      <c r="G1045" s="198" t="e">
        <f t="shared" si="18"/>
        <v>#N/A</v>
      </c>
    </row>
    <row r="1046" spans="1:7" x14ac:dyDescent="0.2">
      <c r="A1046" s="1134">
        <v>42876</v>
      </c>
      <c r="B1046" s="616" t="s">
        <v>1669</v>
      </c>
      <c r="C1046" s="614" t="s">
        <v>717</v>
      </c>
      <c r="D1046" s="1135">
        <v>230.58</v>
      </c>
      <c r="E1046" s="1136"/>
      <c r="F1046" s="201" t="e">
        <f>VLOOKUP(A1046,'Compos DER'!J:K,2,FALSE)</f>
        <v>#N/A</v>
      </c>
      <c r="G1046" s="198" t="e">
        <f t="shared" si="18"/>
        <v>#N/A</v>
      </c>
    </row>
    <row r="1047" spans="1:7" x14ac:dyDescent="0.2">
      <c r="A1047" s="1134">
        <v>42239</v>
      </c>
      <c r="B1047" s="616" t="s">
        <v>1670</v>
      </c>
      <c r="C1047" s="614" t="s">
        <v>719</v>
      </c>
      <c r="D1047" s="1135">
        <v>171.73</v>
      </c>
      <c r="E1047" s="616" t="s">
        <v>777</v>
      </c>
      <c r="F1047" s="201" t="e">
        <f>VLOOKUP(A1047,'Compos DER'!J:K,2,FALSE)</f>
        <v>#N/A</v>
      </c>
      <c r="G1047" s="198" t="e">
        <f t="shared" si="18"/>
        <v>#N/A</v>
      </c>
    </row>
    <row r="1048" spans="1:7" x14ac:dyDescent="0.2">
      <c r="A1048" s="1134">
        <v>40329</v>
      </c>
      <c r="B1048" s="616" t="s">
        <v>1671</v>
      </c>
      <c r="C1048" s="614" t="s">
        <v>719</v>
      </c>
      <c r="D1048" s="1135">
        <v>190.44</v>
      </c>
      <c r="E1048" s="616" t="s">
        <v>777</v>
      </c>
      <c r="F1048" s="201" t="e">
        <f>VLOOKUP(A1048,'Compos DER'!J:K,2,FALSE)</f>
        <v>#N/A</v>
      </c>
      <c r="G1048" s="198" t="e">
        <f t="shared" si="18"/>
        <v>#N/A</v>
      </c>
    </row>
    <row r="1049" spans="1:7" x14ac:dyDescent="0.2">
      <c r="A1049" s="1134">
        <v>41195</v>
      </c>
      <c r="B1049" s="616" t="s">
        <v>1672</v>
      </c>
      <c r="C1049" s="614" t="s">
        <v>926</v>
      </c>
      <c r="D1049" s="1135">
        <v>15.48</v>
      </c>
      <c r="E1049" s="1136"/>
      <c r="F1049" s="201" t="e">
        <f>VLOOKUP(A1049,'Compos DER'!J:K,2,FALSE)</f>
        <v>#N/A</v>
      </c>
      <c r="G1049" s="198" t="e">
        <f t="shared" si="18"/>
        <v>#N/A</v>
      </c>
    </row>
    <row r="1050" spans="1:7" x14ac:dyDescent="0.2">
      <c r="A1050" s="1134">
        <v>40315</v>
      </c>
      <c r="B1050" s="616" t="s">
        <v>1673</v>
      </c>
      <c r="C1050" s="614" t="s">
        <v>717</v>
      </c>
      <c r="D1050" s="1135">
        <v>300.45</v>
      </c>
      <c r="E1050" s="616" t="s">
        <v>777</v>
      </c>
      <c r="F1050" s="201" t="e">
        <f>VLOOKUP(A1050,'Compos DER'!J:K,2,FALSE)</f>
        <v>#N/A</v>
      </c>
      <c r="G1050" s="198" t="e">
        <f t="shared" si="18"/>
        <v>#N/A</v>
      </c>
    </row>
    <row r="1051" spans="1:7" x14ac:dyDescent="0.2">
      <c r="A1051" s="1134">
        <v>40314</v>
      </c>
      <c r="B1051" s="616" t="s">
        <v>1674</v>
      </c>
      <c r="C1051" s="614" t="s">
        <v>717</v>
      </c>
      <c r="D1051" s="1135">
        <v>135.29</v>
      </c>
      <c r="E1051" s="616" t="s">
        <v>777</v>
      </c>
      <c r="F1051" s="201" t="e">
        <f>VLOOKUP(A1051,'Compos DER'!J:K,2,FALSE)</f>
        <v>#N/A</v>
      </c>
      <c r="G1051" s="198" t="e">
        <f t="shared" si="18"/>
        <v>#N/A</v>
      </c>
    </row>
    <row r="1052" spans="1:7" x14ac:dyDescent="0.2">
      <c r="A1052" s="1134">
        <v>40321</v>
      </c>
      <c r="B1052" s="616" t="s">
        <v>1675</v>
      </c>
      <c r="C1052" s="614" t="s">
        <v>717</v>
      </c>
      <c r="D1052" s="1135">
        <v>90.6</v>
      </c>
      <c r="E1052" s="616" t="s">
        <v>777</v>
      </c>
      <c r="F1052" s="201" t="e">
        <f>VLOOKUP(A1052,'Compos DER'!J:K,2,FALSE)</f>
        <v>#N/A</v>
      </c>
      <c r="G1052" s="198" t="e">
        <f t="shared" si="18"/>
        <v>#N/A</v>
      </c>
    </row>
    <row r="1053" spans="1:7" x14ac:dyDescent="0.2">
      <c r="A1053" s="1134">
        <v>40323</v>
      </c>
      <c r="B1053" s="616" t="s">
        <v>1676</v>
      </c>
      <c r="C1053" s="614" t="s">
        <v>717</v>
      </c>
      <c r="D1053" s="1135">
        <v>93.36</v>
      </c>
      <c r="E1053" s="616" t="s">
        <v>777</v>
      </c>
      <c r="F1053" s="201" t="e">
        <f>VLOOKUP(A1053,'Compos DER'!J:K,2,FALSE)</f>
        <v>#N/A</v>
      </c>
      <c r="G1053" s="198" t="e">
        <f t="shared" si="18"/>
        <v>#N/A</v>
      </c>
    </row>
    <row r="1054" spans="1:7" x14ac:dyDescent="0.2">
      <c r="A1054" s="1134">
        <v>40324</v>
      </c>
      <c r="B1054" s="616" t="s">
        <v>1677</v>
      </c>
      <c r="C1054" s="614" t="s">
        <v>717</v>
      </c>
      <c r="D1054" s="1135">
        <v>81.67</v>
      </c>
      <c r="E1054" s="616" t="s">
        <v>777</v>
      </c>
      <c r="F1054" s="201" t="e">
        <f>VLOOKUP(A1054,'Compos DER'!J:K,2,FALSE)</f>
        <v>#N/A</v>
      </c>
      <c r="G1054" s="198" t="e">
        <f t="shared" si="18"/>
        <v>#N/A</v>
      </c>
    </row>
    <row r="1055" spans="1:7" x14ac:dyDescent="0.2">
      <c r="A1055" s="1134">
        <v>40325</v>
      </c>
      <c r="B1055" s="616" t="s">
        <v>1678</v>
      </c>
      <c r="C1055" s="614" t="s">
        <v>717</v>
      </c>
      <c r="D1055" s="1135">
        <v>71.55</v>
      </c>
      <c r="E1055" s="616" t="s">
        <v>777</v>
      </c>
      <c r="F1055" s="201" t="e">
        <f>VLOOKUP(A1055,'Compos DER'!J:K,2,FALSE)</f>
        <v>#N/A</v>
      </c>
      <c r="G1055" s="198" t="e">
        <f t="shared" si="18"/>
        <v>#N/A</v>
      </c>
    </row>
    <row r="1056" spans="1:7" x14ac:dyDescent="0.2">
      <c r="A1056" s="1134">
        <v>40319</v>
      </c>
      <c r="B1056" s="616" t="s">
        <v>1679</v>
      </c>
      <c r="C1056" s="614" t="s">
        <v>717</v>
      </c>
      <c r="D1056" s="1135">
        <v>123.67</v>
      </c>
      <c r="E1056" s="616" t="s">
        <v>777</v>
      </c>
      <c r="F1056" s="201" t="e">
        <f>VLOOKUP(A1056,'Compos DER'!J:K,2,FALSE)</f>
        <v>#N/A</v>
      </c>
      <c r="G1056" s="198" t="e">
        <f t="shared" si="18"/>
        <v>#N/A</v>
      </c>
    </row>
    <row r="1057" spans="1:7" x14ac:dyDescent="0.2">
      <c r="A1057" s="1134">
        <v>40320</v>
      </c>
      <c r="B1057" s="616" t="s">
        <v>1680</v>
      </c>
      <c r="C1057" s="614" t="s">
        <v>717</v>
      </c>
      <c r="D1057" s="1135">
        <v>125.78</v>
      </c>
      <c r="E1057" s="616" t="s">
        <v>777</v>
      </c>
      <c r="F1057" s="201" t="e">
        <f>VLOOKUP(A1057,'Compos DER'!J:K,2,FALSE)</f>
        <v>#N/A</v>
      </c>
      <c r="G1057" s="198" t="e">
        <f t="shared" si="18"/>
        <v>#N/A</v>
      </c>
    </row>
    <row r="1058" spans="1:7" x14ac:dyDescent="0.2">
      <c r="A1058" s="1134">
        <v>40322</v>
      </c>
      <c r="B1058" s="616" t="s">
        <v>1681</v>
      </c>
      <c r="C1058" s="614" t="s">
        <v>717</v>
      </c>
      <c r="D1058" s="1135">
        <v>130.43</v>
      </c>
      <c r="E1058" s="616" t="s">
        <v>777</v>
      </c>
      <c r="F1058" s="201" t="e">
        <f>VLOOKUP(A1058,'Compos DER'!J:K,2,FALSE)</f>
        <v>#N/A</v>
      </c>
      <c r="G1058" s="198" t="e">
        <f t="shared" si="18"/>
        <v>#N/A</v>
      </c>
    </row>
    <row r="1059" spans="1:7" x14ac:dyDescent="0.2">
      <c r="A1059" s="1134">
        <v>40342</v>
      </c>
      <c r="B1059" s="616" t="s">
        <v>1682</v>
      </c>
      <c r="C1059" s="614" t="s">
        <v>734</v>
      </c>
      <c r="D1059" s="1135">
        <v>43.55</v>
      </c>
      <c r="E1059" s="1136"/>
      <c r="F1059" s="201" t="e">
        <f>VLOOKUP(A1059,'Compos DER'!J:K,2,FALSE)</f>
        <v>#N/A</v>
      </c>
      <c r="G1059" s="198" t="e">
        <f t="shared" si="18"/>
        <v>#N/A</v>
      </c>
    </row>
    <row r="1060" spans="1:7" x14ac:dyDescent="0.2">
      <c r="A1060" s="1134">
        <v>40338</v>
      </c>
      <c r="B1060" s="616" t="s">
        <v>1683</v>
      </c>
      <c r="C1060" s="614" t="s">
        <v>734</v>
      </c>
      <c r="D1060" s="1135">
        <v>32.549999999999997</v>
      </c>
      <c r="E1060" s="1136"/>
    </row>
    <row r="1061" spans="1:7" x14ac:dyDescent="0.2">
      <c r="A1061" s="1134">
        <v>40341</v>
      </c>
      <c r="B1061" s="616" t="s">
        <v>1684</v>
      </c>
      <c r="C1061" s="614" t="s">
        <v>734</v>
      </c>
      <c r="D1061" s="1135">
        <v>9.0500000000000007</v>
      </c>
      <c r="E1061" s="1136"/>
    </row>
    <row r="1062" spans="1:7" x14ac:dyDescent="0.2">
      <c r="A1062" s="1134">
        <v>40416</v>
      </c>
      <c r="B1062" s="616" t="s">
        <v>1685</v>
      </c>
      <c r="C1062" s="614" t="s">
        <v>838</v>
      </c>
      <c r="D1062" s="1135">
        <v>394.45</v>
      </c>
      <c r="E1062" s="1136"/>
      <c r="F1062" s="201" t="e">
        <f>VLOOKUP(A1062,'Compos DER'!J:K,2,FALSE)</f>
        <v>#N/A</v>
      </c>
      <c r="G1062" s="198" t="e">
        <f t="shared" si="18"/>
        <v>#N/A</v>
      </c>
    </row>
    <row r="1063" spans="1:7" x14ac:dyDescent="0.2">
      <c r="A1063" s="1134">
        <v>40388</v>
      </c>
      <c r="B1063" s="616" t="s">
        <v>1686</v>
      </c>
      <c r="C1063" s="614" t="s">
        <v>838</v>
      </c>
      <c r="D1063" s="1135">
        <v>327.06</v>
      </c>
      <c r="E1063" s="1136"/>
      <c r="F1063" s="201" t="e">
        <f>VLOOKUP(A1063,'Compos DER'!J:K,2,FALSE)</f>
        <v>#N/A</v>
      </c>
      <c r="G1063" s="198" t="e">
        <f t="shared" si="18"/>
        <v>#N/A</v>
      </c>
    </row>
    <row r="1064" spans="1:7" x14ac:dyDescent="0.2">
      <c r="A1064" s="1134">
        <v>40402</v>
      </c>
      <c r="B1064" s="616" t="s">
        <v>1687</v>
      </c>
      <c r="C1064" s="614" t="s">
        <v>717</v>
      </c>
      <c r="D1064" s="1135">
        <v>17.3</v>
      </c>
      <c r="E1064" s="1136"/>
      <c r="F1064" s="201" t="e">
        <f>VLOOKUP(A1064,'Compos DER'!J:K,2,FALSE)</f>
        <v>#N/A</v>
      </c>
      <c r="G1064" s="198" t="e">
        <f t="shared" si="18"/>
        <v>#N/A</v>
      </c>
    </row>
    <row r="1065" spans="1:7" x14ac:dyDescent="0.2">
      <c r="A1065" s="1134">
        <v>41033</v>
      </c>
      <c r="B1065" s="616" t="s">
        <v>1688</v>
      </c>
      <c r="C1065" s="614" t="s">
        <v>1689</v>
      </c>
      <c r="D1065" s="1135">
        <v>44.66</v>
      </c>
      <c r="E1065" s="1136"/>
      <c r="F1065" s="201" t="e">
        <f>VLOOKUP(A1065,'Compos DER'!J:K,2,FALSE)</f>
        <v>#N/A</v>
      </c>
      <c r="G1065" s="198" t="e">
        <f t="shared" si="18"/>
        <v>#N/A</v>
      </c>
    </row>
    <row r="1066" spans="1:7" x14ac:dyDescent="0.2">
      <c r="A1066" s="1134">
        <v>41233</v>
      </c>
      <c r="B1066" s="616" t="s">
        <v>1690</v>
      </c>
      <c r="C1066" s="614" t="s">
        <v>926</v>
      </c>
      <c r="D1066" s="1135">
        <v>496.41</v>
      </c>
      <c r="E1066" s="1136"/>
      <c r="F1066" s="201" t="e">
        <f>VLOOKUP(A1066,'Compos DER'!J:K,2,FALSE)</f>
        <v>#N/A</v>
      </c>
      <c r="G1066" s="198" t="e">
        <f t="shared" si="18"/>
        <v>#N/A</v>
      </c>
    </row>
    <row r="1067" spans="1:7" x14ac:dyDescent="0.2">
      <c r="A1067" s="1134">
        <v>40386</v>
      </c>
      <c r="B1067" s="616" t="s">
        <v>1691</v>
      </c>
      <c r="C1067" s="614" t="s">
        <v>838</v>
      </c>
      <c r="D1067" s="1135">
        <v>205.26</v>
      </c>
      <c r="E1067" s="616" t="s">
        <v>777</v>
      </c>
      <c r="F1067" s="201" t="e">
        <f>VLOOKUP(A1067,'Compos DER'!J:K,2,FALSE)</f>
        <v>#N/A</v>
      </c>
      <c r="G1067" s="198" t="e">
        <f t="shared" si="18"/>
        <v>#N/A</v>
      </c>
    </row>
    <row r="1068" spans="1:7" x14ac:dyDescent="0.2">
      <c r="A1068" s="1134">
        <v>41199</v>
      </c>
      <c r="B1068" s="616" t="s">
        <v>1692</v>
      </c>
      <c r="C1068" s="614" t="s">
        <v>838</v>
      </c>
      <c r="D1068" s="1135">
        <v>78.540000000000006</v>
      </c>
      <c r="E1068" s="1136"/>
      <c r="F1068" s="201" t="e">
        <f>VLOOKUP(A1068,'Compos DER'!J:K,2,FALSE)</f>
        <v>#N/A</v>
      </c>
      <c r="G1068" s="198" t="e">
        <f t="shared" si="18"/>
        <v>#N/A</v>
      </c>
    </row>
    <row r="1069" spans="1:7" x14ac:dyDescent="0.2">
      <c r="A1069" s="1134">
        <v>42529</v>
      </c>
      <c r="B1069" s="616" t="s">
        <v>1693</v>
      </c>
      <c r="C1069" s="614" t="s">
        <v>838</v>
      </c>
      <c r="D1069" s="1135">
        <v>483.57</v>
      </c>
      <c r="E1069" s="1136"/>
      <c r="F1069" s="201" t="e">
        <f>VLOOKUP(A1069,'Compos DER'!J:K,2,FALSE)</f>
        <v>#N/A</v>
      </c>
      <c r="G1069" s="198" t="e">
        <f t="shared" si="18"/>
        <v>#N/A</v>
      </c>
    </row>
    <row r="1070" spans="1:7" x14ac:dyDescent="0.2">
      <c r="A1070" s="1134">
        <v>40384</v>
      </c>
      <c r="B1070" s="616" t="s">
        <v>1694</v>
      </c>
      <c r="C1070" s="614" t="s">
        <v>838</v>
      </c>
      <c r="D1070" s="1137">
        <v>1162.21</v>
      </c>
      <c r="E1070" s="1136"/>
      <c r="F1070" s="201" t="e">
        <f>VLOOKUP(A1070,'Compos DER'!J:K,2,FALSE)</f>
        <v>#N/A</v>
      </c>
      <c r="G1070" s="198" t="e">
        <f t="shared" si="18"/>
        <v>#N/A</v>
      </c>
    </row>
    <row r="1071" spans="1:7" x14ac:dyDescent="0.2">
      <c r="A1071" s="1134">
        <v>40385</v>
      </c>
      <c r="B1071" s="616" t="s">
        <v>1695</v>
      </c>
      <c r="C1071" s="614" t="s">
        <v>838</v>
      </c>
      <c r="D1071" s="1137">
        <v>1206.3499999999999</v>
      </c>
      <c r="E1071" s="1136"/>
      <c r="F1071" s="201" t="e">
        <f>VLOOKUP(A1071,'Compos DER'!J:K,2,FALSE)</f>
        <v>#N/A</v>
      </c>
      <c r="G1071" s="198" t="e">
        <f t="shared" si="18"/>
        <v>#N/A</v>
      </c>
    </row>
    <row r="1072" spans="1:7" x14ac:dyDescent="0.2">
      <c r="A1072" s="1134">
        <v>40393</v>
      </c>
      <c r="B1072" s="616" t="s">
        <v>1696</v>
      </c>
      <c r="C1072" s="614" t="s">
        <v>838</v>
      </c>
      <c r="D1072" s="1135">
        <v>20.16</v>
      </c>
      <c r="E1072" s="1136"/>
      <c r="F1072" s="201" t="e">
        <f>VLOOKUP(A1072,'Compos DER'!J:K,2,FALSE)</f>
        <v>#N/A</v>
      </c>
      <c r="G1072" s="198" t="e">
        <f t="shared" si="18"/>
        <v>#N/A</v>
      </c>
    </row>
    <row r="1073" spans="1:7" x14ac:dyDescent="0.2">
      <c r="A1073" s="1134">
        <v>40394</v>
      </c>
      <c r="B1073" s="616" t="s">
        <v>1697</v>
      </c>
      <c r="C1073" s="614" t="s">
        <v>838</v>
      </c>
      <c r="D1073" s="1135">
        <v>23.97</v>
      </c>
      <c r="E1073" s="1136"/>
      <c r="F1073" s="201" t="e">
        <f>VLOOKUP(A1073,'Compos DER'!J:K,2,FALSE)</f>
        <v>#N/A</v>
      </c>
      <c r="G1073" s="198" t="e">
        <f t="shared" si="18"/>
        <v>#N/A</v>
      </c>
    </row>
    <row r="1074" spans="1:7" x14ac:dyDescent="0.2">
      <c r="A1074" s="1134">
        <v>40390</v>
      </c>
      <c r="B1074" s="616" t="s">
        <v>1698</v>
      </c>
      <c r="C1074" s="614" t="s">
        <v>717</v>
      </c>
      <c r="D1074" s="1135">
        <v>4.47</v>
      </c>
      <c r="E1074" s="1136"/>
      <c r="F1074" s="201" t="e">
        <f>VLOOKUP(A1074,'Compos DER'!J:K,2,FALSE)</f>
        <v>#N/A</v>
      </c>
      <c r="G1074" s="198" t="e">
        <f t="shared" si="18"/>
        <v>#N/A</v>
      </c>
    </row>
    <row r="1075" spans="1:7" x14ac:dyDescent="0.2">
      <c r="A1075" s="1134">
        <v>42256</v>
      </c>
      <c r="B1075" s="616" t="s">
        <v>1699</v>
      </c>
      <c r="C1075" s="614" t="s">
        <v>717</v>
      </c>
      <c r="D1075" s="1137">
        <v>4513.49</v>
      </c>
      <c r="E1075" s="616" t="s">
        <v>777</v>
      </c>
      <c r="F1075" s="201" t="e">
        <f>VLOOKUP(A1075,'Compos DER'!J:K,2,FALSE)</f>
        <v>#N/A</v>
      </c>
      <c r="G1075" s="198" t="e">
        <f t="shared" si="18"/>
        <v>#N/A</v>
      </c>
    </row>
    <row r="1076" spans="1:7" x14ac:dyDescent="0.2">
      <c r="A1076" s="1134">
        <v>40400</v>
      </c>
      <c r="B1076" s="616" t="s">
        <v>1700</v>
      </c>
      <c r="C1076" s="614" t="s">
        <v>926</v>
      </c>
      <c r="D1076" s="1135">
        <v>19.05</v>
      </c>
      <c r="E1076" s="616" t="s">
        <v>777</v>
      </c>
      <c r="F1076" s="201" t="e">
        <f>VLOOKUP(A1076,'Compos DER'!J:K,2,FALSE)</f>
        <v>#N/A</v>
      </c>
      <c r="G1076" s="198" t="e">
        <f t="shared" si="18"/>
        <v>#N/A</v>
      </c>
    </row>
    <row r="1077" spans="1:7" x14ac:dyDescent="0.2">
      <c r="A1077" s="1134">
        <v>41201</v>
      </c>
      <c r="B1077" s="616" t="s">
        <v>1701</v>
      </c>
      <c r="C1077" s="614" t="s">
        <v>717</v>
      </c>
      <c r="D1077" s="1135">
        <v>341.6</v>
      </c>
      <c r="E1077" s="1136"/>
      <c r="F1077" s="201" t="e">
        <f>VLOOKUP(A1077,'Compos DER'!J:K,2,FALSE)</f>
        <v>#N/A</v>
      </c>
      <c r="G1077" s="198" t="e">
        <f t="shared" si="18"/>
        <v>#N/A</v>
      </c>
    </row>
    <row r="1078" spans="1:7" x14ac:dyDescent="0.2">
      <c r="A1078" s="1134">
        <v>41035</v>
      </c>
      <c r="B1078" s="616" t="s">
        <v>1702</v>
      </c>
      <c r="C1078" s="614" t="s">
        <v>838</v>
      </c>
      <c r="D1078" s="1135">
        <v>123.34</v>
      </c>
      <c r="E1078" s="1136"/>
      <c r="F1078" s="201" t="e">
        <f>VLOOKUP(A1078,'Compos DER'!J:K,2,FALSE)</f>
        <v>#N/A</v>
      </c>
      <c r="G1078" s="198" t="e">
        <f t="shared" si="18"/>
        <v>#N/A</v>
      </c>
    </row>
    <row r="1079" spans="1:7" x14ac:dyDescent="0.2">
      <c r="A1079" s="1134">
        <v>41263</v>
      </c>
      <c r="B1079" s="616" t="s">
        <v>1703</v>
      </c>
      <c r="C1079" s="614" t="s">
        <v>838</v>
      </c>
      <c r="D1079" s="1135">
        <v>200.69</v>
      </c>
      <c r="E1079" s="1136"/>
      <c r="F1079" s="201" t="e">
        <f>VLOOKUP(A1079,'Compos DER'!J:K,2,FALSE)</f>
        <v>#N/A</v>
      </c>
      <c r="G1079" s="198" t="e">
        <f t="shared" si="18"/>
        <v>#N/A</v>
      </c>
    </row>
    <row r="1080" spans="1:7" x14ac:dyDescent="0.2">
      <c r="A1080" s="1134">
        <v>41089</v>
      </c>
      <c r="B1080" s="616" t="s">
        <v>1704</v>
      </c>
      <c r="C1080" s="614" t="s">
        <v>838</v>
      </c>
      <c r="D1080" s="1135">
        <v>196.67</v>
      </c>
      <c r="E1080" s="1136"/>
      <c r="F1080" s="201" t="e">
        <f>VLOOKUP(A1080,'Compos DER'!J:K,2,FALSE)</f>
        <v>#N/A</v>
      </c>
      <c r="G1080" s="198" t="e">
        <f t="shared" si="18"/>
        <v>#N/A</v>
      </c>
    </row>
    <row r="1081" spans="1:7" x14ac:dyDescent="0.2">
      <c r="A1081" s="1134">
        <v>41039</v>
      </c>
      <c r="B1081" s="616" t="s">
        <v>1705</v>
      </c>
      <c r="C1081" s="614" t="s">
        <v>838</v>
      </c>
      <c r="D1081" s="1135">
        <v>251.2</v>
      </c>
      <c r="E1081" s="1136"/>
      <c r="F1081" s="201" t="e">
        <f>VLOOKUP(A1081,'Compos DER'!J:K,2,FALSE)</f>
        <v>#N/A</v>
      </c>
      <c r="G1081" s="198" t="e">
        <f t="shared" si="18"/>
        <v>#N/A</v>
      </c>
    </row>
    <row r="1082" spans="1:7" x14ac:dyDescent="0.2">
      <c r="A1082" s="1134">
        <v>41030</v>
      </c>
      <c r="B1082" s="616" t="s">
        <v>1706</v>
      </c>
      <c r="C1082" s="614" t="s">
        <v>838</v>
      </c>
      <c r="D1082" s="1135">
        <v>178.98</v>
      </c>
      <c r="E1082" s="1136"/>
      <c r="F1082" s="201" t="e">
        <f>VLOOKUP(A1082,'Compos DER'!J:K,2,FALSE)</f>
        <v>#N/A</v>
      </c>
      <c r="G1082" s="198" t="e">
        <f t="shared" si="18"/>
        <v>#N/A</v>
      </c>
    </row>
    <row r="1083" spans="1:7" x14ac:dyDescent="0.2">
      <c r="A1083" s="1132" t="s">
        <v>1707</v>
      </c>
      <c r="B1083" s="617"/>
      <c r="C1083" s="617"/>
      <c r="D1083" s="617"/>
      <c r="E1083" s="617"/>
      <c r="F1083" s="201" t="e">
        <f>VLOOKUP(A1083,'Compos DER'!J:K,2,FALSE)</f>
        <v>#N/A</v>
      </c>
      <c r="G1083" s="198" t="e">
        <f t="shared" si="18"/>
        <v>#N/A</v>
      </c>
    </row>
    <row r="1084" spans="1:7" ht="18" x14ac:dyDescent="0.2">
      <c r="A1084" s="1133" t="s">
        <v>711</v>
      </c>
      <c r="B1084" s="1133" t="s">
        <v>712</v>
      </c>
      <c r="C1084" s="1133" t="s">
        <v>713</v>
      </c>
      <c r="D1084" s="1133" t="s">
        <v>714</v>
      </c>
      <c r="E1084" s="1133" t="s">
        <v>715</v>
      </c>
      <c r="F1084" s="201" t="e">
        <f>VLOOKUP(A1084,'Compos DER'!J:K,2,FALSE)</f>
        <v>#N/A</v>
      </c>
      <c r="G1084" s="198" t="e">
        <f t="shared" si="18"/>
        <v>#N/A</v>
      </c>
    </row>
    <row r="1085" spans="1:7" x14ac:dyDescent="0.2">
      <c r="A1085" s="1134">
        <v>42045</v>
      </c>
      <c r="B1085" s="616" t="s">
        <v>1708</v>
      </c>
      <c r="C1085" s="614" t="s">
        <v>719</v>
      </c>
      <c r="D1085" s="1135">
        <v>10.18</v>
      </c>
      <c r="E1085" s="1136"/>
      <c r="F1085" s="201">
        <f>VLOOKUP(A1085,'Compos DER'!J:K,2,FALSE)</f>
        <v>10.18</v>
      </c>
      <c r="G1085" s="198">
        <f t="shared" si="18"/>
        <v>1</v>
      </c>
    </row>
    <row r="1086" spans="1:7" x14ac:dyDescent="0.2">
      <c r="A1086" s="1132" t="s">
        <v>773</v>
      </c>
      <c r="B1086" s="617"/>
      <c r="C1086" s="617"/>
      <c r="D1086" s="617"/>
      <c r="E1086" s="617"/>
      <c r="F1086" s="201" t="e">
        <f>VLOOKUP(A1086,'Compos DER'!J:K,2,FALSE)</f>
        <v>#N/A</v>
      </c>
      <c r="G1086" s="198" t="e">
        <f t="shared" ref="G1086:G1149" si="19">+F1086/D1086</f>
        <v>#N/A</v>
      </c>
    </row>
    <row r="1087" spans="1:7" x14ac:dyDescent="0.2">
      <c r="A1087" s="1131" t="s">
        <v>708</v>
      </c>
      <c r="B1087" s="617"/>
      <c r="C1087" s="617"/>
      <c r="D1087" s="617"/>
      <c r="E1087" s="617"/>
      <c r="F1087" s="201" t="e">
        <f>VLOOKUP(A1087,'Compos DER'!J:K,2,FALSE)</f>
        <v>#N/A</v>
      </c>
      <c r="G1087" s="198" t="e">
        <f t="shared" si="19"/>
        <v>#N/A</v>
      </c>
    </row>
    <row r="1088" spans="1:7" x14ac:dyDescent="0.2">
      <c r="A1088" s="1131" t="s">
        <v>709</v>
      </c>
      <c r="B1088" s="617"/>
      <c r="C1088" s="617"/>
      <c r="D1088" s="617"/>
      <c r="E1088" s="617"/>
      <c r="F1088" s="201" t="e">
        <f>VLOOKUP(A1088,'Compos DER'!J:K,2,FALSE)</f>
        <v>#N/A</v>
      </c>
      <c r="G1088" s="198" t="e">
        <f t="shared" si="19"/>
        <v>#N/A</v>
      </c>
    </row>
    <row r="1089" spans="1:7" x14ac:dyDescent="0.2">
      <c r="A1089" s="1132" t="s">
        <v>1707</v>
      </c>
      <c r="B1089" s="617"/>
      <c r="C1089" s="617"/>
      <c r="D1089" s="617"/>
      <c r="E1089" s="617"/>
      <c r="F1089" s="201" t="e">
        <f>VLOOKUP(A1089,'Compos DER'!J:K,2,FALSE)</f>
        <v>#N/A</v>
      </c>
      <c r="G1089" s="198" t="e">
        <f t="shared" si="19"/>
        <v>#N/A</v>
      </c>
    </row>
    <row r="1090" spans="1:7" ht="18" x14ac:dyDescent="0.2">
      <c r="A1090" s="1133" t="s">
        <v>711</v>
      </c>
      <c r="B1090" s="1133" t="s">
        <v>712</v>
      </c>
      <c r="C1090" s="1133" t="s">
        <v>713</v>
      </c>
      <c r="D1090" s="1133" t="s">
        <v>714</v>
      </c>
      <c r="E1090" s="1133" t="s">
        <v>715</v>
      </c>
      <c r="F1090" s="201" t="e">
        <f>VLOOKUP(A1090,'Compos DER'!J:K,2,FALSE)</f>
        <v>#N/A</v>
      </c>
      <c r="G1090" s="198" t="e">
        <f t="shared" si="19"/>
        <v>#N/A</v>
      </c>
    </row>
    <row r="1091" spans="1:7" x14ac:dyDescent="0.2">
      <c r="A1091" s="1134">
        <v>42043</v>
      </c>
      <c r="B1091" s="616" t="s">
        <v>1709</v>
      </c>
      <c r="C1091" s="614" t="s">
        <v>1430</v>
      </c>
      <c r="D1091" s="1135">
        <v>0</v>
      </c>
      <c r="E1091" s="1136"/>
      <c r="F1091" s="201" t="e">
        <f>VLOOKUP(A1091,'Compos DER'!J:K,2,FALSE)</f>
        <v>#N/A</v>
      </c>
      <c r="G1091" s="198" t="e">
        <f t="shared" si="19"/>
        <v>#N/A</v>
      </c>
    </row>
    <row r="1092" spans="1:7" x14ac:dyDescent="0.2">
      <c r="A1092" s="1132" t="s">
        <v>1710</v>
      </c>
      <c r="B1092" s="617"/>
      <c r="C1092" s="617"/>
      <c r="D1092" s="617"/>
      <c r="E1092" s="617"/>
      <c r="F1092" s="201" t="e">
        <f>VLOOKUP(A1092,'Compos DER'!J:K,2,FALSE)</f>
        <v>#N/A</v>
      </c>
      <c r="G1092" s="198" t="e">
        <f t="shared" si="19"/>
        <v>#N/A</v>
      </c>
    </row>
    <row r="1093" spans="1:7" ht="18" x14ac:dyDescent="0.2">
      <c r="A1093" s="1133" t="s">
        <v>711</v>
      </c>
      <c r="B1093" s="1133" t="s">
        <v>712</v>
      </c>
      <c r="C1093" s="1133" t="s">
        <v>713</v>
      </c>
      <c r="D1093" s="1133" t="s">
        <v>714</v>
      </c>
      <c r="E1093" s="1133" t="s">
        <v>715</v>
      </c>
      <c r="F1093" s="201" t="e">
        <f>VLOOKUP(A1093,'Compos DER'!J:K,2,FALSE)</f>
        <v>#N/A</v>
      </c>
      <c r="G1093" s="198" t="e">
        <f t="shared" si="19"/>
        <v>#N/A</v>
      </c>
    </row>
    <row r="1094" spans="1:7" x14ac:dyDescent="0.2">
      <c r="A1094" s="1134">
        <v>42512</v>
      </c>
      <c r="B1094" s="616" t="s">
        <v>1711</v>
      </c>
      <c r="C1094" s="614" t="s">
        <v>719</v>
      </c>
      <c r="D1094" s="1135">
        <v>3.71</v>
      </c>
      <c r="E1094" s="1136"/>
      <c r="F1094" s="201" t="e">
        <f>VLOOKUP(A1094,'Compos DER'!J:K,2,FALSE)</f>
        <v>#N/A</v>
      </c>
      <c r="G1094" s="198" t="e">
        <f t="shared" si="19"/>
        <v>#N/A</v>
      </c>
    </row>
    <row r="1095" spans="1:7" x14ac:dyDescent="0.2">
      <c r="A1095" s="1134">
        <v>42513</v>
      </c>
      <c r="B1095" s="616" t="s">
        <v>1712</v>
      </c>
      <c r="C1095" s="614" t="s">
        <v>719</v>
      </c>
      <c r="D1095" s="1135">
        <v>4.82</v>
      </c>
      <c r="E1095" s="1136"/>
      <c r="F1095" s="201" t="e">
        <f>VLOOKUP(A1095,'Compos DER'!J:K,2,FALSE)</f>
        <v>#N/A</v>
      </c>
      <c r="G1095" s="198" t="e">
        <f t="shared" si="19"/>
        <v>#N/A</v>
      </c>
    </row>
    <row r="1096" spans="1:7" x14ac:dyDescent="0.2">
      <c r="A1096" s="1134">
        <v>42514</v>
      </c>
      <c r="B1096" s="616" t="s">
        <v>1713</v>
      </c>
      <c r="C1096" s="614" t="s">
        <v>719</v>
      </c>
      <c r="D1096" s="1135">
        <v>7.38</v>
      </c>
      <c r="E1096" s="1136"/>
      <c r="F1096" s="201" t="e">
        <f>VLOOKUP(A1096,'Compos DER'!J:K,2,FALSE)</f>
        <v>#N/A</v>
      </c>
      <c r="G1096" s="198" t="e">
        <f t="shared" si="19"/>
        <v>#N/A</v>
      </c>
    </row>
    <row r="1097" spans="1:7" x14ac:dyDescent="0.2">
      <c r="A1097" s="1134">
        <v>43349</v>
      </c>
      <c r="B1097" s="616" t="s">
        <v>1714</v>
      </c>
      <c r="C1097" s="614" t="s">
        <v>719</v>
      </c>
      <c r="D1097" s="1135">
        <v>7.8</v>
      </c>
      <c r="E1097" s="1136"/>
      <c r="F1097" s="201" t="e">
        <f>VLOOKUP(A1097,'Compos DER'!J:K,2,FALSE)</f>
        <v>#N/A</v>
      </c>
      <c r="G1097" s="198" t="e">
        <f t="shared" si="19"/>
        <v>#N/A</v>
      </c>
    </row>
    <row r="1098" spans="1:7" x14ac:dyDescent="0.2">
      <c r="A1098" s="1134">
        <v>42515</v>
      </c>
      <c r="B1098" s="616" t="s">
        <v>1715</v>
      </c>
      <c r="C1098" s="614" t="s">
        <v>719</v>
      </c>
      <c r="D1098" s="1135">
        <v>6.01</v>
      </c>
      <c r="E1098" s="1136"/>
      <c r="F1098" s="201" t="e">
        <f>VLOOKUP(A1098,'Compos DER'!J:K,2,FALSE)</f>
        <v>#N/A</v>
      </c>
      <c r="G1098" s="198" t="e">
        <f t="shared" si="19"/>
        <v>#N/A</v>
      </c>
    </row>
    <row r="1099" spans="1:7" x14ac:dyDescent="0.2">
      <c r="A1099" s="1134">
        <v>42523</v>
      </c>
      <c r="B1099" s="616" t="s">
        <v>1716</v>
      </c>
      <c r="C1099" s="614" t="s">
        <v>719</v>
      </c>
      <c r="D1099" s="1135">
        <v>9.48</v>
      </c>
      <c r="E1099" s="1136"/>
      <c r="F1099" s="201" t="e">
        <f>VLOOKUP(A1099,'Compos DER'!J:K,2,FALSE)</f>
        <v>#N/A</v>
      </c>
      <c r="G1099" s="198" t="e">
        <f t="shared" si="19"/>
        <v>#N/A</v>
      </c>
    </row>
    <row r="1100" spans="1:7" x14ac:dyDescent="0.2">
      <c r="A1100" s="1134">
        <v>42576</v>
      </c>
      <c r="B1100" s="616" t="s">
        <v>1717</v>
      </c>
      <c r="C1100" s="614" t="s">
        <v>719</v>
      </c>
      <c r="D1100" s="1135">
        <v>113.08</v>
      </c>
      <c r="E1100" s="1136"/>
      <c r="F1100" s="201" t="e">
        <f>VLOOKUP(A1100,'Compos DER'!J:K,2,FALSE)</f>
        <v>#N/A</v>
      </c>
      <c r="G1100" s="198" t="e">
        <f t="shared" si="19"/>
        <v>#N/A</v>
      </c>
    </row>
    <row r="1101" spans="1:7" x14ac:dyDescent="0.2">
      <c r="A1101" s="1134">
        <v>42577</v>
      </c>
      <c r="B1101" s="616" t="s">
        <v>1718</v>
      </c>
      <c r="C1101" s="614" t="s">
        <v>719</v>
      </c>
      <c r="D1101" s="1135">
        <v>9.3800000000000008</v>
      </c>
      <c r="E1101" s="1136"/>
      <c r="F1101" s="201" t="e">
        <f>VLOOKUP(A1101,'Compos DER'!J:K,2,FALSE)</f>
        <v>#N/A</v>
      </c>
      <c r="G1101" s="198" t="e">
        <f t="shared" si="19"/>
        <v>#N/A</v>
      </c>
    </row>
    <row r="1102" spans="1:7" x14ac:dyDescent="0.2">
      <c r="A1102" s="1134">
        <v>42578</v>
      </c>
      <c r="B1102" s="616" t="s">
        <v>1719</v>
      </c>
      <c r="C1102" s="614" t="s">
        <v>719</v>
      </c>
      <c r="D1102" s="1135">
        <v>3.97</v>
      </c>
      <c r="E1102" s="1136"/>
      <c r="F1102" s="201" t="e">
        <f>VLOOKUP(A1102,'Compos DER'!J:K,2,FALSE)</f>
        <v>#N/A</v>
      </c>
      <c r="G1102" s="198" t="e">
        <f t="shared" si="19"/>
        <v>#N/A</v>
      </c>
    </row>
    <row r="1103" spans="1:7" x14ac:dyDescent="0.2">
      <c r="A1103" s="1134">
        <v>42580</v>
      </c>
      <c r="B1103" s="616" t="s">
        <v>1720</v>
      </c>
      <c r="C1103" s="614" t="s">
        <v>719</v>
      </c>
      <c r="D1103" s="1135">
        <v>5.87</v>
      </c>
      <c r="E1103" s="1136"/>
      <c r="F1103" s="201" t="e">
        <f>VLOOKUP(A1103,'Compos DER'!J:K,2,FALSE)</f>
        <v>#N/A</v>
      </c>
      <c r="G1103" s="198" t="e">
        <f t="shared" si="19"/>
        <v>#N/A</v>
      </c>
    </row>
    <row r="1104" spans="1:7" x14ac:dyDescent="0.2">
      <c r="A1104" s="1134">
        <v>42582</v>
      </c>
      <c r="B1104" s="616" t="s">
        <v>1721</v>
      </c>
      <c r="C1104" s="614" t="s">
        <v>719</v>
      </c>
      <c r="D1104" s="1135">
        <v>52.46</v>
      </c>
      <c r="E1104" s="1136"/>
      <c r="F1104" s="201" t="e">
        <f>VLOOKUP(A1104,'Compos DER'!J:K,2,FALSE)</f>
        <v>#N/A</v>
      </c>
      <c r="G1104" s="198" t="e">
        <f t="shared" si="19"/>
        <v>#N/A</v>
      </c>
    </row>
    <row r="1105" spans="1:7" x14ac:dyDescent="0.2">
      <c r="A1105" s="1134">
        <v>42586</v>
      </c>
      <c r="B1105" s="616" t="s">
        <v>1722</v>
      </c>
      <c r="C1105" s="614" t="s">
        <v>719</v>
      </c>
      <c r="D1105" s="1135">
        <v>61.08</v>
      </c>
      <c r="E1105" s="1136"/>
      <c r="F1105" s="201" t="e">
        <f>VLOOKUP(A1105,'Compos DER'!J:K,2,FALSE)</f>
        <v>#N/A</v>
      </c>
      <c r="G1105" s="198" t="e">
        <f t="shared" si="19"/>
        <v>#N/A</v>
      </c>
    </row>
    <row r="1106" spans="1:7" x14ac:dyDescent="0.2">
      <c r="A1106" s="1134">
        <v>42587</v>
      </c>
      <c r="B1106" s="616" t="s">
        <v>1723</v>
      </c>
      <c r="C1106" s="614" t="s">
        <v>717</v>
      </c>
      <c r="D1106" s="1135">
        <v>0.86</v>
      </c>
      <c r="E1106" s="1136"/>
      <c r="F1106" s="201" t="e">
        <f>VLOOKUP(A1106,'Compos DER'!J:K,2,FALSE)</f>
        <v>#N/A</v>
      </c>
      <c r="G1106" s="198" t="e">
        <f t="shared" si="19"/>
        <v>#N/A</v>
      </c>
    </row>
    <row r="1107" spans="1:7" x14ac:dyDescent="0.2">
      <c r="A1107" s="1134">
        <v>42590</v>
      </c>
      <c r="B1107" s="616" t="s">
        <v>1724</v>
      </c>
      <c r="C1107" s="614" t="s">
        <v>717</v>
      </c>
      <c r="D1107" s="1135">
        <v>11.38</v>
      </c>
      <c r="E1107" s="1136"/>
      <c r="F1107" s="201" t="e">
        <f>VLOOKUP(A1107,'Compos DER'!J:K,2,FALSE)</f>
        <v>#N/A</v>
      </c>
      <c r="G1107" s="198" t="e">
        <f t="shared" si="19"/>
        <v>#N/A</v>
      </c>
    </row>
    <row r="1108" spans="1:7" x14ac:dyDescent="0.2">
      <c r="A1108" s="1134">
        <v>42591</v>
      </c>
      <c r="B1108" s="616" t="s">
        <v>1725</v>
      </c>
      <c r="C1108" s="614" t="s">
        <v>717</v>
      </c>
      <c r="D1108" s="1135">
        <v>41.15</v>
      </c>
      <c r="E1108" s="1136"/>
      <c r="F1108" s="201" t="e">
        <f>VLOOKUP(A1108,'Compos DER'!J:K,2,FALSE)</f>
        <v>#N/A</v>
      </c>
      <c r="G1108" s="198" t="e">
        <f t="shared" si="19"/>
        <v>#N/A</v>
      </c>
    </row>
    <row r="1109" spans="1:7" x14ac:dyDescent="0.2">
      <c r="A1109" s="1134">
        <v>42592</v>
      </c>
      <c r="B1109" s="616" t="s">
        <v>1726</v>
      </c>
      <c r="C1109" s="614" t="s">
        <v>717</v>
      </c>
      <c r="D1109" s="1135">
        <v>15.55</v>
      </c>
      <c r="E1109" s="616" t="s">
        <v>777</v>
      </c>
      <c r="F1109" s="201" t="e">
        <f>VLOOKUP(A1109,'Compos DER'!J:K,2,FALSE)</f>
        <v>#N/A</v>
      </c>
      <c r="G1109" s="198" t="e">
        <f t="shared" si="19"/>
        <v>#N/A</v>
      </c>
    </row>
    <row r="1110" spans="1:7" x14ac:dyDescent="0.2">
      <c r="A1110" s="1134">
        <v>42593</v>
      </c>
      <c r="B1110" s="616" t="s">
        <v>1727</v>
      </c>
      <c r="C1110" s="614" t="s">
        <v>719</v>
      </c>
      <c r="D1110" s="1135">
        <v>34.29</v>
      </c>
      <c r="E1110" s="1136"/>
      <c r="F1110" s="201" t="e">
        <f>VLOOKUP(A1110,'Compos DER'!J:K,2,FALSE)</f>
        <v>#N/A</v>
      </c>
      <c r="G1110" s="198" t="e">
        <f t="shared" si="19"/>
        <v>#N/A</v>
      </c>
    </row>
    <row r="1111" spans="1:7" x14ac:dyDescent="0.2">
      <c r="A1111" s="1134">
        <v>42596</v>
      </c>
      <c r="B1111" s="616" t="s">
        <v>1728</v>
      </c>
      <c r="C1111" s="614" t="s">
        <v>719</v>
      </c>
      <c r="D1111" s="1135">
        <v>6.33</v>
      </c>
      <c r="E1111" s="1136"/>
      <c r="F1111" s="201" t="e">
        <f>VLOOKUP(A1111,'Compos DER'!J:K,2,FALSE)</f>
        <v>#N/A</v>
      </c>
      <c r="G1111" s="198" t="e">
        <f t="shared" si="19"/>
        <v>#N/A</v>
      </c>
    </row>
    <row r="1112" spans="1:7" x14ac:dyDescent="0.2">
      <c r="A1112" s="1132" t="s">
        <v>1729</v>
      </c>
      <c r="B1112" s="617"/>
      <c r="C1112" s="617"/>
      <c r="D1112" s="617"/>
      <c r="E1112" s="617"/>
      <c r="F1112" s="201" t="e">
        <f>VLOOKUP(A1112,'Compos DER'!J:K,2,FALSE)</f>
        <v>#N/A</v>
      </c>
      <c r="G1112" s="198" t="e">
        <f t="shared" si="19"/>
        <v>#N/A</v>
      </c>
    </row>
    <row r="1113" spans="1:7" ht="18" x14ac:dyDescent="0.2">
      <c r="A1113" s="1133" t="s">
        <v>711</v>
      </c>
      <c r="B1113" s="1133" t="s">
        <v>712</v>
      </c>
      <c r="C1113" s="1133" t="s">
        <v>713</v>
      </c>
      <c r="D1113" s="1133" t="s">
        <v>714</v>
      </c>
      <c r="E1113" s="1133" t="s">
        <v>715</v>
      </c>
      <c r="F1113" s="201" t="e">
        <f>VLOOKUP(A1113,'Compos DER'!J:K,2,FALSE)</f>
        <v>#N/A</v>
      </c>
      <c r="G1113" s="198" t="e">
        <f t="shared" si="19"/>
        <v>#N/A</v>
      </c>
    </row>
    <row r="1114" spans="1:7" x14ac:dyDescent="0.2">
      <c r="A1114" s="1134">
        <v>42483</v>
      </c>
      <c r="B1114" s="616" t="s">
        <v>1730</v>
      </c>
      <c r="C1114" s="614" t="s">
        <v>719</v>
      </c>
      <c r="D1114" s="1135">
        <v>104.02</v>
      </c>
      <c r="E1114" s="1136"/>
      <c r="F1114" s="201" t="e">
        <f>VLOOKUP(A1114,'Compos DER'!J:K,2,FALSE)</f>
        <v>#N/A</v>
      </c>
      <c r="G1114" s="198" t="e">
        <f t="shared" si="19"/>
        <v>#N/A</v>
      </c>
    </row>
    <row r="1115" spans="1:7" x14ac:dyDescent="0.2">
      <c r="A1115" s="1134">
        <v>42695</v>
      </c>
      <c r="B1115" s="616" t="s">
        <v>1731</v>
      </c>
      <c r="C1115" s="614" t="s">
        <v>719</v>
      </c>
      <c r="D1115" s="1135">
        <v>142.6</v>
      </c>
      <c r="E1115" s="1136"/>
      <c r="F1115" s="201" t="e">
        <f>VLOOKUP(A1115,'Compos DER'!J:K,2,FALSE)</f>
        <v>#N/A</v>
      </c>
      <c r="G1115" s="198" t="e">
        <f t="shared" si="19"/>
        <v>#N/A</v>
      </c>
    </row>
    <row r="1116" spans="1:7" x14ac:dyDescent="0.2">
      <c r="A1116" s="1134">
        <v>42481</v>
      </c>
      <c r="B1116" s="616" t="s">
        <v>1732</v>
      </c>
      <c r="C1116" s="614" t="s">
        <v>719</v>
      </c>
      <c r="D1116" s="1135">
        <v>75.69</v>
      </c>
      <c r="E1116" s="1136"/>
      <c r="F1116" s="201" t="e">
        <f>VLOOKUP(A1116,'Compos DER'!J:K,2,FALSE)</f>
        <v>#N/A</v>
      </c>
      <c r="G1116" s="198" t="e">
        <f t="shared" si="19"/>
        <v>#N/A</v>
      </c>
    </row>
    <row r="1117" spans="1:7" x14ac:dyDescent="0.2">
      <c r="A1117" s="1134">
        <v>42496</v>
      </c>
      <c r="B1117" s="616" t="s">
        <v>1733</v>
      </c>
      <c r="C1117" s="614" t="s">
        <v>717</v>
      </c>
      <c r="D1117" s="1135">
        <v>3.95</v>
      </c>
      <c r="E1117" s="1136"/>
      <c r="F1117" s="201" t="e">
        <f>VLOOKUP(A1117,'Compos DER'!J:K,2,FALSE)</f>
        <v>#N/A</v>
      </c>
      <c r="G1117" s="198" t="e">
        <f t="shared" si="19"/>
        <v>#N/A</v>
      </c>
    </row>
    <row r="1118" spans="1:7" x14ac:dyDescent="0.2">
      <c r="A1118" s="1134">
        <v>41133</v>
      </c>
      <c r="B1118" s="616" t="s">
        <v>1734</v>
      </c>
      <c r="C1118" s="614" t="s">
        <v>717</v>
      </c>
      <c r="D1118" s="1135">
        <v>16.329999999999998</v>
      </c>
      <c r="E1118" s="1136"/>
      <c r="F1118" s="201" t="e">
        <f>VLOOKUP(A1118,'Compos DER'!J:K,2,FALSE)</f>
        <v>#N/A</v>
      </c>
      <c r="G1118" s="198" t="e">
        <f t="shared" si="19"/>
        <v>#N/A</v>
      </c>
    </row>
    <row r="1119" spans="1:7" x14ac:dyDescent="0.2">
      <c r="A1119" s="1134">
        <v>42479</v>
      </c>
      <c r="B1119" s="616" t="s">
        <v>1735</v>
      </c>
      <c r="C1119" s="614" t="s">
        <v>717</v>
      </c>
      <c r="D1119" s="1135">
        <v>11.41</v>
      </c>
      <c r="E1119" s="1136"/>
      <c r="F1119" s="201" t="e">
        <f>VLOOKUP(A1119,'Compos DER'!J:K,2,FALSE)</f>
        <v>#N/A</v>
      </c>
      <c r="G1119" s="198" t="e">
        <f t="shared" si="19"/>
        <v>#N/A</v>
      </c>
    </row>
    <row r="1120" spans="1:7" x14ac:dyDescent="0.2">
      <c r="A1120" s="1134">
        <v>43333</v>
      </c>
      <c r="B1120" s="616" t="s">
        <v>1736</v>
      </c>
      <c r="C1120" s="614" t="s">
        <v>717</v>
      </c>
      <c r="D1120" s="1135">
        <v>1.24</v>
      </c>
      <c r="E1120" s="1136"/>
      <c r="F1120" s="201" t="e">
        <f>VLOOKUP(A1120,'Compos DER'!J:K,2,FALSE)</f>
        <v>#N/A</v>
      </c>
      <c r="G1120" s="198" t="e">
        <f t="shared" si="19"/>
        <v>#N/A</v>
      </c>
    </row>
    <row r="1121" spans="1:7" x14ac:dyDescent="0.2">
      <c r="A1121" s="1134">
        <v>42484</v>
      </c>
      <c r="B1121" s="616" t="s">
        <v>1737</v>
      </c>
      <c r="C1121" s="614" t="s">
        <v>717</v>
      </c>
      <c r="D1121" s="1135">
        <v>9.24</v>
      </c>
      <c r="E1121" s="616" t="s">
        <v>777</v>
      </c>
      <c r="F1121" s="201" t="e">
        <f>VLOOKUP(A1121,'Compos DER'!J:K,2,FALSE)</f>
        <v>#N/A</v>
      </c>
      <c r="G1121" s="198" t="e">
        <f t="shared" si="19"/>
        <v>#N/A</v>
      </c>
    </row>
    <row r="1122" spans="1:7" x14ac:dyDescent="0.2">
      <c r="A1122" s="1134">
        <v>42497</v>
      </c>
      <c r="B1122" s="616" t="s">
        <v>1738</v>
      </c>
      <c r="C1122" s="614" t="s">
        <v>717</v>
      </c>
      <c r="D1122" s="1135">
        <v>17.510000000000002</v>
      </c>
      <c r="E1122" s="616" t="s">
        <v>777</v>
      </c>
      <c r="F1122" s="201" t="e">
        <f>VLOOKUP(A1122,'Compos DER'!J:K,2,FALSE)</f>
        <v>#N/A</v>
      </c>
      <c r="G1122" s="198" t="e">
        <f t="shared" si="19"/>
        <v>#N/A</v>
      </c>
    </row>
    <row r="1123" spans="1:7" x14ac:dyDescent="0.2">
      <c r="A1123" s="1134">
        <v>42493</v>
      </c>
      <c r="B1123" s="616" t="s">
        <v>1739</v>
      </c>
      <c r="C1123" s="614" t="s">
        <v>717</v>
      </c>
      <c r="D1123" s="1135">
        <v>90.72</v>
      </c>
      <c r="E1123" s="616" t="s">
        <v>777</v>
      </c>
      <c r="F1123" s="201" t="e">
        <f>VLOOKUP(A1123,'Compos DER'!J:K,2,FALSE)</f>
        <v>#N/A</v>
      </c>
      <c r="G1123" s="198" t="e">
        <f t="shared" si="19"/>
        <v>#N/A</v>
      </c>
    </row>
    <row r="1124" spans="1:7" x14ac:dyDescent="0.2">
      <c r="A1124" s="1134">
        <v>42494</v>
      </c>
      <c r="B1124" s="616" t="s">
        <v>1740</v>
      </c>
      <c r="C1124" s="614" t="s">
        <v>803</v>
      </c>
      <c r="D1124" s="1135">
        <v>506</v>
      </c>
      <c r="E1124" s="616" t="s">
        <v>777</v>
      </c>
      <c r="F1124" s="201" t="e">
        <f>VLOOKUP(A1124,'Compos DER'!J:K,2,FALSE)</f>
        <v>#N/A</v>
      </c>
      <c r="G1124" s="198" t="e">
        <f t="shared" si="19"/>
        <v>#N/A</v>
      </c>
    </row>
    <row r="1125" spans="1:7" x14ac:dyDescent="0.2">
      <c r="A1125" s="1134">
        <v>42498</v>
      </c>
      <c r="B1125" s="616" t="s">
        <v>1741</v>
      </c>
      <c r="C1125" s="614" t="s">
        <v>717</v>
      </c>
      <c r="D1125" s="1135">
        <v>84.04</v>
      </c>
      <c r="E1125" s="616" t="s">
        <v>777</v>
      </c>
      <c r="F1125" s="201" t="e">
        <f>VLOOKUP(A1125,'Compos DER'!J:K,2,FALSE)</f>
        <v>#N/A</v>
      </c>
      <c r="G1125" s="198" t="e">
        <f t="shared" si="19"/>
        <v>#N/A</v>
      </c>
    </row>
    <row r="1126" spans="1:7" x14ac:dyDescent="0.2">
      <c r="A1126" s="1134">
        <v>42499</v>
      </c>
      <c r="B1126" s="616" t="s">
        <v>1742</v>
      </c>
      <c r="C1126" s="614" t="s">
        <v>717</v>
      </c>
      <c r="D1126" s="1135">
        <v>98.72</v>
      </c>
      <c r="E1126" s="616" t="s">
        <v>777</v>
      </c>
      <c r="F1126" s="201" t="e">
        <f>VLOOKUP(A1126,'Compos DER'!J:K,2,FALSE)</f>
        <v>#N/A</v>
      </c>
      <c r="G1126" s="198" t="e">
        <f t="shared" si="19"/>
        <v>#N/A</v>
      </c>
    </row>
    <row r="1127" spans="1:7" x14ac:dyDescent="0.2">
      <c r="A1127" s="1134">
        <v>42500</v>
      </c>
      <c r="B1127" s="616" t="s">
        <v>1743</v>
      </c>
      <c r="C1127" s="614" t="s">
        <v>717</v>
      </c>
      <c r="D1127" s="1135">
        <v>104</v>
      </c>
      <c r="E1127" s="616" t="s">
        <v>777</v>
      </c>
      <c r="F1127" s="201" t="e">
        <f>VLOOKUP(A1127,'Compos DER'!J:K,2,FALSE)</f>
        <v>#N/A</v>
      </c>
      <c r="G1127" s="198" t="e">
        <f t="shared" si="19"/>
        <v>#N/A</v>
      </c>
    </row>
    <row r="1128" spans="1:7" x14ac:dyDescent="0.2">
      <c r="A1128" s="1134">
        <v>42501</v>
      </c>
      <c r="B1128" s="616" t="s">
        <v>1744</v>
      </c>
      <c r="C1128" s="614" t="s">
        <v>717</v>
      </c>
      <c r="D1128" s="1135">
        <v>126.62</v>
      </c>
      <c r="E1128" s="616" t="s">
        <v>777</v>
      </c>
      <c r="F1128" s="201" t="e">
        <f>VLOOKUP(A1128,'Compos DER'!J:K,2,FALSE)</f>
        <v>#N/A</v>
      </c>
      <c r="G1128" s="198" t="e">
        <f t="shared" si="19"/>
        <v>#N/A</v>
      </c>
    </row>
    <row r="1129" spans="1:7" x14ac:dyDescent="0.2">
      <c r="A1129" s="1134">
        <v>42502</v>
      </c>
      <c r="B1129" s="616" t="s">
        <v>1745</v>
      </c>
      <c r="C1129" s="614" t="s">
        <v>717</v>
      </c>
      <c r="D1129" s="1135">
        <v>126.05</v>
      </c>
      <c r="E1129" s="616" t="s">
        <v>777</v>
      </c>
      <c r="F1129" s="201" t="e">
        <f>VLOOKUP(A1129,'Compos DER'!J:K,2,FALSE)</f>
        <v>#N/A</v>
      </c>
      <c r="G1129" s="198" t="e">
        <f t="shared" si="19"/>
        <v>#N/A</v>
      </c>
    </row>
    <row r="1130" spans="1:7" x14ac:dyDescent="0.2">
      <c r="A1130" s="1134">
        <v>42503</v>
      </c>
      <c r="B1130" s="616" t="s">
        <v>1746</v>
      </c>
      <c r="C1130" s="614" t="s">
        <v>717</v>
      </c>
      <c r="D1130" s="1135">
        <v>144.35</v>
      </c>
      <c r="E1130" s="616" t="s">
        <v>777</v>
      </c>
      <c r="F1130" s="201" t="e">
        <f>VLOOKUP(A1130,'Compos DER'!J:K,2,FALSE)</f>
        <v>#N/A</v>
      </c>
      <c r="G1130" s="198" t="e">
        <f t="shared" si="19"/>
        <v>#N/A</v>
      </c>
    </row>
    <row r="1131" spans="1:7" x14ac:dyDescent="0.2">
      <c r="A1131" s="1134">
        <v>43334</v>
      </c>
      <c r="B1131" s="616" t="s">
        <v>1747</v>
      </c>
      <c r="C1131" s="614" t="s">
        <v>717</v>
      </c>
      <c r="D1131" s="1135">
        <v>1.03</v>
      </c>
      <c r="E1131" s="1136"/>
      <c r="F1131" s="201" t="e">
        <f>VLOOKUP(A1131,'Compos DER'!J:K,2,FALSE)</f>
        <v>#N/A</v>
      </c>
      <c r="G1131" s="198" t="e">
        <f t="shared" si="19"/>
        <v>#N/A</v>
      </c>
    </row>
    <row r="1132" spans="1:7" x14ac:dyDescent="0.2">
      <c r="A1132" s="1134">
        <v>42485</v>
      </c>
      <c r="B1132" s="616" t="s">
        <v>1748</v>
      </c>
      <c r="C1132" s="614" t="s">
        <v>717</v>
      </c>
      <c r="D1132" s="1135">
        <v>2.65</v>
      </c>
      <c r="E1132" s="616" t="s">
        <v>777</v>
      </c>
      <c r="F1132" s="201" t="e">
        <f>VLOOKUP(A1132,'Compos DER'!J:K,2,FALSE)</f>
        <v>#N/A</v>
      </c>
      <c r="G1132" s="198" t="e">
        <f t="shared" si="19"/>
        <v>#N/A</v>
      </c>
    </row>
    <row r="1133" spans="1:7" x14ac:dyDescent="0.2">
      <c r="A1133" s="1134">
        <v>42495</v>
      </c>
      <c r="B1133" s="616" t="s">
        <v>1749</v>
      </c>
      <c r="C1133" s="614" t="s">
        <v>717</v>
      </c>
      <c r="D1133" s="1135">
        <v>1.22</v>
      </c>
      <c r="E1133" s="1136"/>
      <c r="F1133" s="201" t="e">
        <f>VLOOKUP(A1133,'Compos DER'!J:K,2,FALSE)</f>
        <v>#N/A</v>
      </c>
      <c r="G1133" s="198" t="e">
        <f t="shared" si="19"/>
        <v>#N/A</v>
      </c>
    </row>
    <row r="1134" spans="1:7" x14ac:dyDescent="0.2">
      <c r="A1134" s="1134">
        <v>42507</v>
      </c>
      <c r="B1134" s="616" t="s">
        <v>1750</v>
      </c>
      <c r="C1134" s="614" t="s">
        <v>838</v>
      </c>
      <c r="D1134" s="1135">
        <v>28.53</v>
      </c>
      <c r="E1134" s="1136"/>
      <c r="F1134" s="201" t="e">
        <f>VLOOKUP(A1134,'Compos DER'!J:K,2,FALSE)</f>
        <v>#N/A</v>
      </c>
      <c r="G1134" s="198" t="e">
        <f t="shared" si="19"/>
        <v>#N/A</v>
      </c>
    </row>
    <row r="1135" spans="1:7" x14ac:dyDescent="0.2">
      <c r="A1135" s="1134">
        <v>42505</v>
      </c>
      <c r="B1135" s="616" t="s">
        <v>1751</v>
      </c>
      <c r="C1135" s="614" t="s">
        <v>717</v>
      </c>
      <c r="D1135" s="1135">
        <v>23.07</v>
      </c>
      <c r="E1135" s="1136"/>
      <c r="F1135" s="201" t="e">
        <f>VLOOKUP(A1135,'Compos DER'!J:K,2,FALSE)</f>
        <v>#N/A</v>
      </c>
      <c r="G1135" s="198" t="e">
        <f t="shared" si="19"/>
        <v>#N/A</v>
      </c>
    </row>
    <row r="1136" spans="1:7" x14ac:dyDescent="0.2">
      <c r="A1136" s="1134">
        <v>42504</v>
      </c>
      <c r="B1136" s="616" t="s">
        <v>1752</v>
      </c>
      <c r="C1136" s="614" t="s">
        <v>717</v>
      </c>
      <c r="D1136" s="1135">
        <v>53.34</v>
      </c>
      <c r="E1136" s="616" t="s">
        <v>777</v>
      </c>
      <c r="F1136" s="201" t="e">
        <f>VLOOKUP(A1136,'Compos DER'!J:K,2,FALSE)</f>
        <v>#N/A</v>
      </c>
      <c r="G1136" s="198" t="e">
        <f t="shared" si="19"/>
        <v>#N/A</v>
      </c>
    </row>
    <row r="1137" spans="1:7" x14ac:dyDescent="0.2">
      <c r="A1137" s="1132" t="s">
        <v>773</v>
      </c>
      <c r="B1137" s="617"/>
      <c r="C1137" s="617"/>
      <c r="D1137" s="617"/>
      <c r="E1137" s="617"/>
      <c r="F1137" s="201" t="e">
        <f>VLOOKUP(A1137,'Compos DER'!J:K,2,FALSE)</f>
        <v>#N/A</v>
      </c>
      <c r="G1137" s="198" t="e">
        <f t="shared" si="19"/>
        <v>#N/A</v>
      </c>
    </row>
    <row r="1138" spans="1:7" x14ac:dyDescent="0.2">
      <c r="A1138" s="1131" t="s">
        <v>708</v>
      </c>
      <c r="B1138" s="617"/>
      <c r="C1138" s="617"/>
      <c r="D1138" s="617"/>
      <c r="E1138" s="617"/>
      <c r="F1138" s="201" t="e">
        <f>VLOOKUP(A1138,'Compos DER'!J:K,2,FALSE)</f>
        <v>#N/A</v>
      </c>
      <c r="G1138" s="198" t="e">
        <f t="shared" si="19"/>
        <v>#N/A</v>
      </c>
    </row>
    <row r="1139" spans="1:7" x14ac:dyDescent="0.2">
      <c r="A1139" s="1131" t="s">
        <v>709</v>
      </c>
      <c r="B1139" s="617"/>
      <c r="C1139" s="617"/>
      <c r="D1139" s="617"/>
      <c r="E1139" s="617"/>
      <c r="F1139" s="201" t="e">
        <f>VLOOKUP(A1139,'Compos DER'!J:K,2,FALSE)</f>
        <v>#N/A</v>
      </c>
      <c r="G1139" s="198" t="e">
        <f t="shared" si="19"/>
        <v>#N/A</v>
      </c>
    </row>
    <row r="1140" spans="1:7" x14ac:dyDescent="0.2">
      <c r="A1140" s="1132" t="s">
        <v>1729</v>
      </c>
      <c r="B1140" s="617"/>
      <c r="C1140" s="617"/>
      <c r="D1140" s="617"/>
      <c r="E1140" s="617"/>
      <c r="F1140" s="201" t="e">
        <f>VLOOKUP(A1140,'Compos DER'!J:K,2,FALSE)</f>
        <v>#N/A</v>
      </c>
      <c r="G1140" s="198" t="e">
        <f t="shared" si="19"/>
        <v>#N/A</v>
      </c>
    </row>
    <row r="1141" spans="1:7" ht="18" x14ac:dyDescent="0.2">
      <c r="A1141" s="1133" t="s">
        <v>711</v>
      </c>
      <c r="B1141" s="1133" t="s">
        <v>712</v>
      </c>
      <c r="C1141" s="1133" t="s">
        <v>713</v>
      </c>
      <c r="D1141" s="1133" t="s">
        <v>714</v>
      </c>
      <c r="E1141" s="1133" t="s">
        <v>715</v>
      </c>
      <c r="F1141" s="201" t="e">
        <f>VLOOKUP(A1141,'Compos DER'!J:K,2,FALSE)</f>
        <v>#N/A</v>
      </c>
      <c r="G1141" s="198" t="e">
        <f t="shared" si="19"/>
        <v>#N/A</v>
      </c>
    </row>
    <row r="1142" spans="1:7" x14ac:dyDescent="0.2">
      <c r="A1142" s="1134">
        <v>42506</v>
      </c>
      <c r="B1142" s="616" t="s">
        <v>1753</v>
      </c>
      <c r="C1142" s="614" t="s">
        <v>717</v>
      </c>
      <c r="D1142" s="1135">
        <v>55.61</v>
      </c>
      <c r="E1142" s="616" t="s">
        <v>777</v>
      </c>
      <c r="F1142" s="201" t="e">
        <f>VLOOKUP(A1142,'Compos DER'!J:K,2,FALSE)</f>
        <v>#N/A</v>
      </c>
      <c r="G1142" s="198" t="e">
        <f t="shared" si="19"/>
        <v>#N/A</v>
      </c>
    </row>
    <row r="1143" spans="1:7" x14ac:dyDescent="0.2">
      <c r="A1143" s="1134">
        <v>42482</v>
      </c>
      <c r="B1143" s="616" t="s">
        <v>1754</v>
      </c>
      <c r="C1143" s="614" t="s">
        <v>719</v>
      </c>
      <c r="D1143" s="1135">
        <v>97.87</v>
      </c>
      <c r="E1143" s="616" t="s">
        <v>777</v>
      </c>
      <c r="F1143" s="201" t="e">
        <f>VLOOKUP(A1143,'Compos DER'!J:K,2,FALSE)</f>
        <v>#N/A</v>
      </c>
      <c r="G1143" s="198" t="e">
        <f t="shared" si="19"/>
        <v>#N/A</v>
      </c>
    </row>
    <row r="1144" spans="1:7" x14ac:dyDescent="0.2">
      <c r="A1144" s="1134">
        <v>42702</v>
      </c>
      <c r="B1144" s="616" t="s">
        <v>1755</v>
      </c>
      <c r="C1144" s="614" t="s">
        <v>719</v>
      </c>
      <c r="D1144" s="1135">
        <v>142.6</v>
      </c>
      <c r="E1144" s="1136"/>
      <c r="F1144" s="201" t="e">
        <f>VLOOKUP(A1144,'Compos DER'!J:K,2,FALSE)</f>
        <v>#N/A</v>
      </c>
      <c r="G1144" s="198" t="e">
        <f t="shared" si="19"/>
        <v>#N/A</v>
      </c>
    </row>
    <row r="1145" spans="1:7" x14ac:dyDescent="0.2">
      <c r="A1145" s="1134">
        <v>42480</v>
      </c>
      <c r="B1145" s="616" t="s">
        <v>1756</v>
      </c>
      <c r="C1145" s="614" t="s">
        <v>719</v>
      </c>
      <c r="D1145" s="1135">
        <v>75.69</v>
      </c>
      <c r="E1145" s="616" t="s">
        <v>777</v>
      </c>
      <c r="F1145" s="201" t="e">
        <f>VLOOKUP(A1145,'Compos DER'!J:K,2,FALSE)</f>
        <v>#N/A</v>
      </c>
      <c r="G1145" s="198" t="e">
        <f t="shared" si="19"/>
        <v>#N/A</v>
      </c>
    </row>
    <row r="1146" spans="1:7" x14ac:dyDescent="0.2">
      <c r="A1146" s="1134">
        <v>42489</v>
      </c>
      <c r="B1146" s="616" t="s">
        <v>1757</v>
      </c>
      <c r="C1146" s="614" t="s">
        <v>717</v>
      </c>
      <c r="D1146" s="1135">
        <v>14.5</v>
      </c>
      <c r="E1146" s="616" t="s">
        <v>777</v>
      </c>
      <c r="F1146" s="201" t="e">
        <f>VLOOKUP(A1146,'Compos DER'!J:K,2,FALSE)</f>
        <v>#N/A</v>
      </c>
      <c r="G1146" s="198" t="e">
        <f t="shared" si="19"/>
        <v>#N/A</v>
      </c>
    </row>
    <row r="1147" spans="1:7" x14ac:dyDescent="0.2">
      <c r="A1147" s="1134">
        <v>42487</v>
      </c>
      <c r="B1147" s="616" t="s">
        <v>1758</v>
      </c>
      <c r="C1147" s="614" t="s">
        <v>717</v>
      </c>
      <c r="D1147" s="1135">
        <v>23.43</v>
      </c>
      <c r="E1147" s="616" t="s">
        <v>777</v>
      </c>
      <c r="F1147" s="201" t="e">
        <f>VLOOKUP(A1147,'Compos DER'!J:K,2,FALSE)</f>
        <v>#N/A</v>
      </c>
      <c r="G1147" s="198" t="e">
        <f t="shared" si="19"/>
        <v>#N/A</v>
      </c>
    </row>
    <row r="1148" spans="1:7" x14ac:dyDescent="0.2">
      <c r="A1148" s="1134">
        <v>42486</v>
      </c>
      <c r="B1148" s="616" t="s">
        <v>1759</v>
      </c>
      <c r="C1148" s="614" t="s">
        <v>717</v>
      </c>
      <c r="D1148" s="1135">
        <v>13.91</v>
      </c>
      <c r="E1148" s="616" t="s">
        <v>777</v>
      </c>
      <c r="F1148" s="201" t="e">
        <f>VLOOKUP(A1148,'Compos DER'!J:K,2,FALSE)</f>
        <v>#N/A</v>
      </c>
      <c r="G1148" s="198" t="e">
        <f t="shared" si="19"/>
        <v>#N/A</v>
      </c>
    </row>
    <row r="1149" spans="1:7" x14ac:dyDescent="0.2">
      <c r="A1149" s="1134">
        <v>42488</v>
      </c>
      <c r="B1149" s="616" t="s">
        <v>1760</v>
      </c>
      <c r="C1149" s="614" t="s">
        <v>717</v>
      </c>
      <c r="D1149" s="1135">
        <v>9.86</v>
      </c>
      <c r="E1149" s="616" t="s">
        <v>777</v>
      </c>
      <c r="F1149" s="201" t="e">
        <f>VLOOKUP(A1149,'Compos DER'!J:K,2,FALSE)</f>
        <v>#N/A</v>
      </c>
      <c r="G1149" s="198" t="e">
        <f t="shared" si="19"/>
        <v>#N/A</v>
      </c>
    </row>
    <row r="1150" spans="1:7" x14ac:dyDescent="0.2">
      <c r="A1150" s="1132" t="s">
        <v>1761</v>
      </c>
      <c r="B1150" s="617"/>
      <c r="C1150" s="617"/>
      <c r="D1150" s="617"/>
      <c r="E1150" s="617"/>
      <c r="F1150" s="201" t="e">
        <f>VLOOKUP(A1150,'Compos DER'!J:K,2,FALSE)</f>
        <v>#N/A</v>
      </c>
      <c r="G1150" s="198" t="e">
        <f t="shared" ref="G1150:G1213" si="20">+F1150/D1150</f>
        <v>#N/A</v>
      </c>
    </row>
    <row r="1151" spans="1:7" ht="18" x14ac:dyDescent="0.2">
      <c r="A1151" s="1133" t="s">
        <v>711</v>
      </c>
      <c r="B1151" s="1133" t="s">
        <v>712</v>
      </c>
      <c r="C1151" s="1133" t="s">
        <v>713</v>
      </c>
      <c r="D1151" s="1133" t="s">
        <v>714</v>
      </c>
      <c r="E1151" s="1133" t="s">
        <v>715</v>
      </c>
      <c r="F1151" s="201" t="e">
        <f>VLOOKUP(A1151,'Compos DER'!J:K,2,FALSE)</f>
        <v>#N/A</v>
      </c>
      <c r="G1151" s="198" t="e">
        <f t="shared" si="20"/>
        <v>#N/A</v>
      </c>
    </row>
    <row r="1152" spans="1:7" x14ac:dyDescent="0.2">
      <c r="A1152" s="1134">
        <v>42601</v>
      </c>
      <c r="B1152" s="616" t="s">
        <v>1762</v>
      </c>
      <c r="C1152" s="614" t="s">
        <v>717</v>
      </c>
      <c r="D1152" s="1135">
        <v>62.28</v>
      </c>
      <c r="E1152" s="616" t="s">
        <v>777</v>
      </c>
      <c r="F1152" s="201" t="e">
        <f>VLOOKUP(A1152,'Compos DER'!J:K,2,FALSE)</f>
        <v>#N/A</v>
      </c>
      <c r="G1152" s="198" t="e">
        <f t="shared" si="20"/>
        <v>#N/A</v>
      </c>
    </row>
    <row r="1153" spans="1:7" x14ac:dyDescent="0.2">
      <c r="A1153" s="1134">
        <v>43602</v>
      </c>
      <c r="B1153" s="616" t="s">
        <v>1763</v>
      </c>
      <c r="C1153" s="614" t="s">
        <v>717</v>
      </c>
      <c r="D1153" s="1135">
        <v>93.2</v>
      </c>
      <c r="E1153" s="616" t="s">
        <v>777</v>
      </c>
      <c r="F1153" s="201" t="e">
        <f>VLOOKUP(A1153,'Compos DER'!J:K,2,FALSE)</f>
        <v>#N/A</v>
      </c>
      <c r="G1153" s="198" t="e">
        <f t="shared" si="20"/>
        <v>#N/A</v>
      </c>
    </row>
    <row r="1154" spans="1:7" x14ac:dyDescent="0.2">
      <c r="A1154" s="1134">
        <v>42602</v>
      </c>
      <c r="B1154" s="616" t="s">
        <v>1764</v>
      </c>
      <c r="C1154" s="614" t="s">
        <v>717</v>
      </c>
      <c r="D1154" s="1135">
        <v>102.13</v>
      </c>
      <c r="E1154" s="616" t="s">
        <v>777</v>
      </c>
      <c r="F1154" s="201" t="e">
        <f>VLOOKUP(A1154,'Compos DER'!J:K,2,FALSE)</f>
        <v>#N/A</v>
      </c>
      <c r="G1154" s="198" t="e">
        <f t="shared" si="20"/>
        <v>#N/A</v>
      </c>
    </row>
    <row r="1155" spans="1:7" x14ac:dyDescent="0.2">
      <c r="A1155" s="1134">
        <v>42603</v>
      </c>
      <c r="B1155" s="616" t="s">
        <v>1765</v>
      </c>
      <c r="C1155" s="614" t="s">
        <v>717</v>
      </c>
      <c r="D1155" s="1135">
        <v>70.23</v>
      </c>
      <c r="E1155" s="616" t="s">
        <v>777</v>
      </c>
      <c r="F1155" s="201" t="e">
        <f>VLOOKUP(A1155,'Compos DER'!J:K,2,FALSE)</f>
        <v>#N/A</v>
      </c>
      <c r="G1155" s="198" t="e">
        <f t="shared" si="20"/>
        <v>#N/A</v>
      </c>
    </row>
    <row r="1156" spans="1:7" x14ac:dyDescent="0.2">
      <c r="A1156" s="1134">
        <v>42604</v>
      </c>
      <c r="B1156" s="616" t="s">
        <v>1766</v>
      </c>
      <c r="C1156" s="614" t="s">
        <v>719</v>
      </c>
      <c r="D1156" s="1135">
        <v>320.10000000000002</v>
      </c>
      <c r="E1156" s="616" t="s">
        <v>777</v>
      </c>
      <c r="F1156" s="201" t="e">
        <f>VLOOKUP(A1156,'Compos DER'!J:K,2,FALSE)</f>
        <v>#N/A</v>
      </c>
      <c r="G1156" s="198" t="e">
        <f t="shared" si="20"/>
        <v>#N/A</v>
      </c>
    </row>
    <row r="1157" spans="1:7" x14ac:dyDescent="0.2">
      <c r="A1157" s="1134">
        <v>42605</v>
      </c>
      <c r="B1157" s="616" t="s">
        <v>1767</v>
      </c>
      <c r="C1157" s="614" t="s">
        <v>719</v>
      </c>
      <c r="D1157" s="1135">
        <v>428.29</v>
      </c>
      <c r="E1157" s="616" t="s">
        <v>777</v>
      </c>
      <c r="F1157" s="201" t="e">
        <f>VLOOKUP(A1157,'Compos DER'!J:K,2,FALSE)</f>
        <v>#N/A</v>
      </c>
      <c r="G1157" s="198" t="e">
        <f t="shared" si="20"/>
        <v>#N/A</v>
      </c>
    </row>
    <row r="1158" spans="1:7" x14ac:dyDescent="0.2">
      <c r="A1158" s="1134">
        <v>42606</v>
      </c>
      <c r="B1158" s="616" t="s">
        <v>1768</v>
      </c>
      <c r="C1158" s="614" t="s">
        <v>719</v>
      </c>
      <c r="D1158" s="1135">
        <v>31.58</v>
      </c>
      <c r="E1158" s="1136"/>
      <c r="F1158" s="201" t="e">
        <f>VLOOKUP(A1158,'Compos DER'!J:K,2,FALSE)</f>
        <v>#N/A</v>
      </c>
      <c r="G1158" s="198" t="e">
        <f t="shared" si="20"/>
        <v>#N/A</v>
      </c>
    </row>
    <row r="1159" spans="1:7" x14ac:dyDescent="0.2">
      <c r="A1159" s="1134">
        <v>42607</v>
      </c>
      <c r="B1159" s="616" t="s">
        <v>1769</v>
      </c>
      <c r="C1159" s="614" t="s">
        <v>717</v>
      </c>
      <c r="D1159" s="1135">
        <v>180.05</v>
      </c>
      <c r="E1159" s="1136"/>
      <c r="F1159" s="201" t="e">
        <f>VLOOKUP(A1159,'Compos DER'!J:K,2,FALSE)</f>
        <v>#N/A</v>
      </c>
      <c r="G1159" s="198" t="e">
        <f t="shared" si="20"/>
        <v>#N/A</v>
      </c>
    </row>
    <row r="1160" spans="1:7" x14ac:dyDescent="0.2">
      <c r="A1160" s="1134">
        <v>42608</v>
      </c>
      <c r="B1160" s="616" t="s">
        <v>1770</v>
      </c>
      <c r="C1160" s="614" t="s">
        <v>717</v>
      </c>
      <c r="D1160" s="1135">
        <v>28.99</v>
      </c>
      <c r="E1160" s="1136"/>
      <c r="F1160" s="201" t="e">
        <f>VLOOKUP(A1160,'Compos DER'!J:K,2,FALSE)</f>
        <v>#N/A</v>
      </c>
      <c r="G1160" s="198" t="e">
        <f t="shared" si="20"/>
        <v>#N/A</v>
      </c>
    </row>
    <row r="1161" spans="1:7" x14ac:dyDescent="0.2">
      <c r="A1161" s="1134">
        <v>42609</v>
      </c>
      <c r="B1161" s="616" t="s">
        <v>1771</v>
      </c>
      <c r="C1161" s="614" t="s">
        <v>719</v>
      </c>
      <c r="D1161" s="1135">
        <v>61.86</v>
      </c>
      <c r="E1161" s="1136"/>
      <c r="F1161" s="201" t="e">
        <f>VLOOKUP(A1161,'Compos DER'!J:K,2,FALSE)</f>
        <v>#N/A</v>
      </c>
      <c r="G1161" s="198" t="e">
        <f t="shared" si="20"/>
        <v>#N/A</v>
      </c>
    </row>
    <row r="1162" spans="1:7" x14ac:dyDescent="0.2">
      <c r="A1162" s="1134">
        <v>42611</v>
      </c>
      <c r="B1162" s="616" t="s">
        <v>1772</v>
      </c>
      <c r="C1162" s="614" t="s">
        <v>719</v>
      </c>
      <c r="D1162" s="1135">
        <v>519.04999999999995</v>
      </c>
      <c r="E1162" s="616" t="s">
        <v>777</v>
      </c>
      <c r="F1162" s="201" t="e">
        <f>VLOOKUP(A1162,'Compos DER'!J:K,2,FALSE)</f>
        <v>#N/A</v>
      </c>
      <c r="G1162" s="198" t="e">
        <f t="shared" si="20"/>
        <v>#N/A</v>
      </c>
    </row>
    <row r="1163" spans="1:7" x14ac:dyDescent="0.2">
      <c r="A1163" s="1134">
        <v>42612</v>
      </c>
      <c r="B1163" s="616" t="s">
        <v>1773</v>
      </c>
      <c r="C1163" s="614" t="s">
        <v>719</v>
      </c>
      <c r="D1163" s="1135">
        <v>901.23</v>
      </c>
      <c r="E1163" s="616" t="s">
        <v>777</v>
      </c>
      <c r="F1163" s="201" t="e">
        <f>VLOOKUP(A1163,'Compos DER'!J:K,2,FALSE)</f>
        <v>#N/A</v>
      </c>
      <c r="G1163" s="198" t="e">
        <f t="shared" si="20"/>
        <v>#N/A</v>
      </c>
    </row>
    <row r="1164" spans="1:7" x14ac:dyDescent="0.2">
      <c r="A1164" s="1134">
        <v>42613</v>
      </c>
      <c r="B1164" s="616" t="s">
        <v>1774</v>
      </c>
      <c r="C1164" s="614" t="s">
        <v>719</v>
      </c>
      <c r="D1164" s="1135">
        <v>531.59</v>
      </c>
      <c r="E1164" s="616" t="s">
        <v>777</v>
      </c>
      <c r="F1164" s="201" t="e">
        <f>VLOOKUP(A1164,'Compos DER'!J:K,2,FALSE)</f>
        <v>#N/A</v>
      </c>
      <c r="G1164" s="198" t="e">
        <f t="shared" si="20"/>
        <v>#N/A</v>
      </c>
    </row>
    <row r="1165" spans="1:7" x14ac:dyDescent="0.2">
      <c r="A1165" s="1134">
        <v>42615</v>
      </c>
      <c r="B1165" s="616" t="s">
        <v>1775</v>
      </c>
      <c r="C1165" s="614" t="s">
        <v>838</v>
      </c>
      <c r="D1165" s="1135">
        <v>283.95999999999998</v>
      </c>
      <c r="E1165" s="616" t="s">
        <v>777</v>
      </c>
      <c r="F1165" s="201" t="e">
        <f>VLOOKUP(A1165,'Compos DER'!J:K,2,FALSE)</f>
        <v>#N/A</v>
      </c>
      <c r="G1165" s="198" t="e">
        <f t="shared" si="20"/>
        <v>#N/A</v>
      </c>
    </row>
    <row r="1166" spans="1:7" x14ac:dyDescent="0.2">
      <c r="A1166" s="1134">
        <v>41173</v>
      </c>
      <c r="B1166" s="616" t="s">
        <v>1776</v>
      </c>
      <c r="C1166" s="614" t="s">
        <v>838</v>
      </c>
      <c r="D1166" s="1135">
        <v>20.76</v>
      </c>
      <c r="E1166" s="616" t="s">
        <v>777</v>
      </c>
      <c r="F1166" s="201" t="e">
        <f>VLOOKUP(A1166,'Compos DER'!J:K,2,FALSE)</f>
        <v>#N/A</v>
      </c>
      <c r="G1166" s="198" t="e">
        <f t="shared" si="20"/>
        <v>#N/A</v>
      </c>
    </row>
    <row r="1167" spans="1:7" x14ac:dyDescent="0.2">
      <c r="A1167" s="1134">
        <v>41174</v>
      </c>
      <c r="B1167" s="616" t="s">
        <v>1777</v>
      </c>
      <c r="C1167" s="614" t="s">
        <v>838</v>
      </c>
      <c r="D1167" s="1135">
        <v>22.13</v>
      </c>
      <c r="E1167" s="616" t="s">
        <v>777</v>
      </c>
      <c r="F1167" s="201" t="e">
        <f>VLOOKUP(A1167,'Compos DER'!J:K,2,FALSE)</f>
        <v>#N/A</v>
      </c>
      <c r="G1167" s="198" t="e">
        <f t="shared" si="20"/>
        <v>#N/A</v>
      </c>
    </row>
    <row r="1168" spans="1:7" x14ac:dyDescent="0.2">
      <c r="A1168" s="1134">
        <v>41175</v>
      </c>
      <c r="B1168" s="616" t="s">
        <v>1778</v>
      </c>
      <c r="C1168" s="614" t="s">
        <v>838</v>
      </c>
      <c r="D1168" s="1135">
        <v>27.56</v>
      </c>
      <c r="E1168" s="616" t="s">
        <v>777</v>
      </c>
      <c r="F1168" s="201" t="e">
        <f>VLOOKUP(A1168,'Compos DER'!J:K,2,FALSE)</f>
        <v>#N/A</v>
      </c>
      <c r="G1168" s="198" t="e">
        <f t="shared" si="20"/>
        <v>#N/A</v>
      </c>
    </row>
    <row r="1169" spans="1:7" x14ac:dyDescent="0.2">
      <c r="A1169" s="1134">
        <v>41176</v>
      </c>
      <c r="B1169" s="616" t="s">
        <v>1779</v>
      </c>
      <c r="C1169" s="614" t="s">
        <v>838</v>
      </c>
      <c r="D1169" s="1135">
        <v>41.15</v>
      </c>
      <c r="E1169" s="616" t="s">
        <v>777</v>
      </c>
      <c r="F1169" s="201" t="e">
        <f>VLOOKUP(A1169,'Compos DER'!J:K,2,FALSE)</f>
        <v>#N/A</v>
      </c>
      <c r="G1169" s="198" t="e">
        <f t="shared" si="20"/>
        <v>#N/A</v>
      </c>
    </row>
    <row r="1170" spans="1:7" x14ac:dyDescent="0.2">
      <c r="A1170" s="1134">
        <v>42635</v>
      </c>
      <c r="B1170" s="616" t="s">
        <v>1780</v>
      </c>
      <c r="C1170" s="614" t="s">
        <v>734</v>
      </c>
      <c r="D1170" s="1137">
        <v>16557.12</v>
      </c>
      <c r="E1170" s="1136"/>
      <c r="F1170" s="201" t="e">
        <f>VLOOKUP(A1170,'Compos DER'!J:K,2,FALSE)</f>
        <v>#N/A</v>
      </c>
      <c r="G1170" s="198" t="e">
        <f t="shared" si="20"/>
        <v>#N/A</v>
      </c>
    </row>
    <row r="1171" spans="1:7" x14ac:dyDescent="0.2">
      <c r="A1171" s="1134">
        <v>40628</v>
      </c>
      <c r="B1171" s="616" t="s">
        <v>1781</v>
      </c>
      <c r="C1171" s="614" t="s">
        <v>734</v>
      </c>
      <c r="D1171" s="1137">
        <v>33245.03</v>
      </c>
      <c r="E1171" s="1136"/>
      <c r="F1171" s="201" t="e">
        <f>VLOOKUP(A1171,'Compos DER'!J:K,2,FALSE)</f>
        <v>#N/A</v>
      </c>
      <c r="G1171" s="198" t="e">
        <f t="shared" si="20"/>
        <v>#N/A</v>
      </c>
    </row>
    <row r="1172" spans="1:7" x14ac:dyDescent="0.2">
      <c r="A1172" s="1134">
        <v>40619</v>
      </c>
      <c r="B1172" s="616" t="s">
        <v>1782</v>
      </c>
      <c r="C1172" s="614" t="s">
        <v>734</v>
      </c>
      <c r="D1172" s="1137">
        <v>30690.63</v>
      </c>
      <c r="E1172" s="1136"/>
      <c r="F1172" s="201" t="e">
        <f>VLOOKUP(A1172,'Compos DER'!J:K,2,FALSE)</f>
        <v>#N/A</v>
      </c>
      <c r="G1172" s="198" t="e">
        <f t="shared" si="20"/>
        <v>#N/A</v>
      </c>
    </row>
    <row r="1173" spans="1:7" x14ac:dyDescent="0.2">
      <c r="A1173" s="1134">
        <v>41087</v>
      </c>
      <c r="B1173" s="616" t="s">
        <v>1783</v>
      </c>
      <c r="C1173" s="614" t="s">
        <v>734</v>
      </c>
      <c r="D1173" s="1137">
        <v>1500.17</v>
      </c>
      <c r="E1173" s="1136"/>
      <c r="F1173" s="201" t="e">
        <f>VLOOKUP(A1173,'Compos DER'!J:K,2,FALSE)</f>
        <v>#N/A</v>
      </c>
      <c r="G1173" s="198" t="e">
        <f t="shared" si="20"/>
        <v>#N/A</v>
      </c>
    </row>
    <row r="1174" spans="1:7" x14ac:dyDescent="0.2">
      <c r="A1174" s="1134">
        <v>42676</v>
      </c>
      <c r="B1174" s="616" t="s">
        <v>1784</v>
      </c>
      <c r="C1174" s="614" t="s">
        <v>838</v>
      </c>
      <c r="D1174" s="1137">
        <v>15718.73</v>
      </c>
      <c r="E1174" s="616" t="s">
        <v>777</v>
      </c>
      <c r="F1174" s="201" t="e">
        <f>VLOOKUP(A1174,'Compos DER'!J:K,2,FALSE)</f>
        <v>#N/A</v>
      </c>
      <c r="G1174" s="198" t="e">
        <f t="shared" si="20"/>
        <v>#N/A</v>
      </c>
    </row>
    <row r="1175" spans="1:7" x14ac:dyDescent="0.2">
      <c r="A1175" s="1134">
        <v>42677</v>
      </c>
      <c r="B1175" s="616" t="s">
        <v>1785</v>
      </c>
      <c r="C1175" s="614" t="s">
        <v>838</v>
      </c>
      <c r="D1175" s="1137">
        <v>11718.05</v>
      </c>
      <c r="E1175" s="616" t="s">
        <v>777</v>
      </c>
      <c r="F1175" s="201" t="e">
        <f>VLOOKUP(A1175,'Compos DER'!J:K,2,FALSE)</f>
        <v>#N/A</v>
      </c>
      <c r="G1175" s="198" t="e">
        <f t="shared" si="20"/>
        <v>#N/A</v>
      </c>
    </row>
    <row r="1176" spans="1:7" x14ac:dyDescent="0.2">
      <c r="A1176" s="1134">
        <v>42678</v>
      </c>
      <c r="B1176" s="616" t="s">
        <v>1786</v>
      </c>
      <c r="C1176" s="614" t="s">
        <v>717</v>
      </c>
      <c r="D1176" s="1135">
        <v>7.43</v>
      </c>
      <c r="E1176" s="1136"/>
      <c r="F1176" s="201" t="e">
        <f>VLOOKUP(A1176,'Compos DER'!J:K,2,FALSE)</f>
        <v>#N/A</v>
      </c>
      <c r="G1176" s="198" t="e">
        <f t="shared" si="20"/>
        <v>#N/A</v>
      </c>
    </row>
    <row r="1177" spans="1:7" x14ac:dyDescent="0.2">
      <c r="A1177" s="1134">
        <v>41159</v>
      </c>
      <c r="B1177" s="616" t="s">
        <v>1787</v>
      </c>
      <c r="C1177" s="614" t="s">
        <v>734</v>
      </c>
      <c r="D1177" s="1137">
        <v>3506.43</v>
      </c>
      <c r="E1177" s="1136"/>
      <c r="F1177" s="201" t="e">
        <f>VLOOKUP(A1177,'Compos DER'!J:K,2,FALSE)</f>
        <v>#N/A</v>
      </c>
      <c r="G1177" s="198" t="e">
        <f t="shared" si="20"/>
        <v>#N/A</v>
      </c>
    </row>
    <row r="1178" spans="1:7" x14ac:dyDescent="0.2">
      <c r="A1178" s="1134">
        <v>41144</v>
      </c>
      <c r="B1178" s="616" t="s">
        <v>1788</v>
      </c>
      <c r="C1178" s="614" t="s">
        <v>734</v>
      </c>
      <c r="D1178" s="1137">
        <v>2571.5500000000002</v>
      </c>
      <c r="E1178" s="1136"/>
      <c r="F1178" s="201" t="e">
        <f>VLOOKUP(A1178,'Compos DER'!J:K,2,FALSE)</f>
        <v>#N/A</v>
      </c>
      <c r="G1178" s="198" t="e">
        <f t="shared" si="20"/>
        <v>#N/A</v>
      </c>
    </row>
    <row r="1179" spans="1:7" x14ac:dyDescent="0.2">
      <c r="A1179" s="1134">
        <v>41158</v>
      </c>
      <c r="B1179" s="616" t="s">
        <v>1789</v>
      </c>
      <c r="C1179" s="614" t="s">
        <v>734</v>
      </c>
      <c r="D1179" s="1137">
        <v>3004.76</v>
      </c>
      <c r="E1179" s="1136"/>
      <c r="F1179" s="201" t="e">
        <f>VLOOKUP(A1179,'Compos DER'!J:K,2,FALSE)</f>
        <v>#N/A</v>
      </c>
      <c r="G1179" s="198" t="e">
        <f t="shared" si="20"/>
        <v>#N/A</v>
      </c>
    </row>
    <row r="1180" spans="1:7" x14ac:dyDescent="0.2">
      <c r="A1180" s="1134">
        <v>41160</v>
      </c>
      <c r="B1180" s="616" t="s">
        <v>1790</v>
      </c>
      <c r="C1180" s="614" t="s">
        <v>734</v>
      </c>
      <c r="D1180" s="1137">
        <v>4468.3500000000004</v>
      </c>
      <c r="E1180" s="1136"/>
      <c r="F1180" s="201" t="e">
        <f>VLOOKUP(A1180,'Compos DER'!J:K,2,FALSE)</f>
        <v>#N/A</v>
      </c>
      <c r="G1180" s="198" t="e">
        <f t="shared" si="20"/>
        <v>#N/A</v>
      </c>
    </row>
    <row r="1181" spans="1:7" x14ac:dyDescent="0.2">
      <c r="A1181" s="1134">
        <v>41101</v>
      </c>
      <c r="B1181" s="616" t="s">
        <v>1791</v>
      </c>
      <c r="C1181" s="614" t="s">
        <v>734</v>
      </c>
      <c r="D1181" s="1137">
        <v>2154.9899999999998</v>
      </c>
      <c r="E1181" s="1136"/>
      <c r="F1181" s="201" t="e">
        <f>VLOOKUP(A1181,'Compos DER'!J:K,2,FALSE)</f>
        <v>#N/A</v>
      </c>
      <c r="G1181" s="198" t="e">
        <f t="shared" si="20"/>
        <v>#N/A</v>
      </c>
    </row>
    <row r="1182" spans="1:7" x14ac:dyDescent="0.2">
      <c r="A1182" s="1134">
        <v>42679</v>
      </c>
      <c r="B1182" s="616" t="s">
        <v>1792</v>
      </c>
      <c r="C1182" s="614" t="s">
        <v>734</v>
      </c>
      <c r="D1182" s="1137">
        <v>4834.87</v>
      </c>
      <c r="E1182" s="1136"/>
      <c r="F1182" s="201" t="e">
        <f>VLOOKUP(A1182,'Compos DER'!J:K,2,FALSE)</f>
        <v>#N/A</v>
      </c>
      <c r="G1182" s="198" t="e">
        <f t="shared" si="20"/>
        <v>#N/A</v>
      </c>
    </row>
    <row r="1183" spans="1:7" x14ac:dyDescent="0.2">
      <c r="A1183" s="1134">
        <v>42680</v>
      </c>
      <c r="B1183" s="616" t="s">
        <v>1793</v>
      </c>
      <c r="C1183" s="614" t="s">
        <v>734</v>
      </c>
      <c r="D1183" s="1137">
        <v>5131.01</v>
      </c>
      <c r="E1183" s="1136"/>
      <c r="F1183" s="201" t="e">
        <f>VLOOKUP(A1183,'Compos DER'!J:K,2,FALSE)</f>
        <v>#N/A</v>
      </c>
      <c r="G1183" s="198" t="e">
        <f t="shared" si="20"/>
        <v>#N/A</v>
      </c>
    </row>
    <row r="1184" spans="1:7" x14ac:dyDescent="0.2">
      <c r="A1184" s="1134">
        <v>42681</v>
      </c>
      <c r="B1184" s="616" t="s">
        <v>1794</v>
      </c>
      <c r="C1184" s="614" t="s">
        <v>734</v>
      </c>
      <c r="D1184" s="1137">
        <v>6302.76</v>
      </c>
      <c r="E1184" s="1136"/>
      <c r="F1184" s="201" t="e">
        <f>VLOOKUP(A1184,'Compos DER'!J:K,2,FALSE)</f>
        <v>#N/A</v>
      </c>
      <c r="G1184" s="198" t="e">
        <f t="shared" si="20"/>
        <v>#N/A</v>
      </c>
    </row>
    <row r="1185" spans="1:7" x14ac:dyDescent="0.2">
      <c r="A1185" s="1134">
        <v>42682</v>
      </c>
      <c r="B1185" s="616" t="s">
        <v>1795</v>
      </c>
      <c r="C1185" s="614" t="s">
        <v>734</v>
      </c>
      <c r="D1185" s="1137">
        <v>2394.75</v>
      </c>
      <c r="E1185" s="616" t="s">
        <v>777</v>
      </c>
      <c r="F1185" s="201" t="e">
        <f>VLOOKUP(A1185,'Compos DER'!J:K,2,FALSE)</f>
        <v>#N/A</v>
      </c>
      <c r="G1185" s="198" t="e">
        <f t="shared" si="20"/>
        <v>#N/A</v>
      </c>
    </row>
    <row r="1186" spans="1:7" x14ac:dyDescent="0.2">
      <c r="A1186" s="1134">
        <v>41334</v>
      </c>
      <c r="B1186" s="616" t="s">
        <v>1796</v>
      </c>
      <c r="C1186" s="614" t="s">
        <v>734</v>
      </c>
      <c r="D1186" s="1137">
        <v>3017.68</v>
      </c>
      <c r="E1186" s="616" t="s">
        <v>777</v>
      </c>
      <c r="F1186" s="201" t="e">
        <f>VLOOKUP(A1186,'Compos DER'!J:K,2,FALSE)</f>
        <v>#N/A</v>
      </c>
      <c r="G1186" s="198" t="e">
        <f t="shared" si="20"/>
        <v>#N/A</v>
      </c>
    </row>
    <row r="1187" spans="1:7" x14ac:dyDescent="0.2">
      <c r="A1187" s="1134">
        <v>42683</v>
      </c>
      <c r="B1187" s="616" t="s">
        <v>1797</v>
      </c>
      <c r="C1187" s="614" t="s">
        <v>734</v>
      </c>
      <c r="D1187" s="1137">
        <v>2404.7800000000002</v>
      </c>
      <c r="E1187" s="616" t="s">
        <v>777</v>
      </c>
      <c r="F1187" s="201" t="e">
        <f>VLOOKUP(A1187,'Compos DER'!J:K,2,FALSE)</f>
        <v>#N/A</v>
      </c>
      <c r="G1187" s="198" t="e">
        <f t="shared" si="20"/>
        <v>#N/A</v>
      </c>
    </row>
    <row r="1188" spans="1:7" x14ac:dyDescent="0.2">
      <c r="A1188" s="1134">
        <v>42684</v>
      </c>
      <c r="B1188" s="616" t="s">
        <v>1798</v>
      </c>
      <c r="C1188" s="614" t="s">
        <v>734</v>
      </c>
      <c r="D1188" s="1137">
        <v>3733.04</v>
      </c>
      <c r="E1188" s="616" t="s">
        <v>777</v>
      </c>
      <c r="F1188" s="201" t="e">
        <f>VLOOKUP(A1188,'Compos DER'!J:K,2,FALSE)</f>
        <v>#N/A</v>
      </c>
      <c r="G1188" s="198" t="e">
        <f t="shared" si="20"/>
        <v>#N/A</v>
      </c>
    </row>
    <row r="1189" spans="1:7" x14ac:dyDescent="0.2">
      <c r="A1189" s="1134">
        <v>42685</v>
      </c>
      <c r="B1189" s="616" t="s">
        <v>1799</v>
      </c>
      <c r="C1189" s="614" t="s">
        <v>734</v>
      </c>
      <c r="D1189" s="1137">
        <v>4639.7299999999996</v>
      </c>
      <c r="E1189" s="616" t="s">
        <v>777</v>
      </c>
      <c r="F1189" s="201" t="e">
        <f>VLOOKUP(A1189,'Compos DER'!J:K,2,FALSE)</f>
        <v>#N/A</v>
      </c>
      <c r="G1189" s="198" t="e">
        <f t="shared" si="20"/>
        <v>#N/A</v>
      </c>
    </row>
    <row r="1190" spans="1:7" x14ac:dyDescent="0.2">
      <c r="A1190" s="1134">
        <v>42686</v>
      </c>
      <c r="B1190" s="616" t="s">
        <v>1800</v>
      </c>
      <c r="C1190" s="614" t="s">
        <v>734</v>
      </c>
      <c r="D1190" s="1137">
        <v>5510.94</v>
      </c>
      <c r="E1190" s="616" t="s">
        <v>777</v>
      </c>
      <c r="F1190" s="201" t="e">
        <f>VLOOKUP(A1190,'Compos DER'!J:K,2,FALSE)</f>
        <v>#N/A</v>
      </c>
      <c r="G1190" s="198" t="e">
        <f t="shared" si="20"/>
        <v>#N/A</v>
      </c>
    </row>
    <row r="1191" spans="1:7" x14ac:dyDescent="0.2">
      <c r="A1191" s="1134">
        <v>41162</v>
      </c>
      <c r="B1191" s="616" t="s">
        <v>1801</v>
      </c>
      <c r="C1191" s="614" t="s">
        <v>734</v>
      </c>
      <c r="D1191" s="1137">
        <v>2296.23</v>
      </c>
      <c r="E1191" s="1136"/>
      <c r="F1191" s="201" t="e">
        <f>VLOOKUP(A1191,'Compos DER'!J:K,2,FALSE)</f>
        <v>#N/A</v>
      </c>
      <c r="G1191" s="198" t="e">
        <f t="shared" si="20"/>
        <v>#N/A</v>
      </c>
    </row>
    <row r="1192" spans="1:7" x14ac:dyDescent="0.2">
      <c r="A1192" s="1134">
        <v>41163</v>
      </c>
      <c r="B1192" s="616" t="s">
        <v>1802</v>
      </c>
      <c r="C1192" s="614" t="s">
        <v>734</v>
      </c>
      <c r="D1192" s="1137">
        <v>2746.34</v>
      </c>
      <c r="E1192" s="1136"/>
      <c r="F1192" s="201" t="e">
        <f>VLOOKUP(A1192,'Compos DER'!J:K,2,FALSE)</f>
        <v>#N/A</v>
      </c>
      <c r="G1192" s="198" t="e">
        <f t="shared" si="20"/>
        <v>#N/A</v>
      </c>
    </row>
    <row r="1193" spans="1:7" x14ac:dyDescent="0.2">
      <c r="A1193" s="1132" t="s">
        <v>773</v>
      </c>
      <c r="B1193" s="617"/>
      <c r="C1193" s="617"/>
      <c r="D1193" s="617"/>
      <c r="E1193" s="617"/>
      <c r="F1193" s="201" t="e">
        <f>VLOOKUP(A1193,'Compos DER'!J:K,2,FALSE)</f>
        <v>#N/A</v>
      </c>
      <c r="G1193" s="198" t="e">
        <f t="shared" si="20"/>
        <v>#N/A</v>
      </c>
    </row>
    <row r="1194" spans="1:7" x14ac:dyDescent="0.2">
      <c r="A1194" s="1131" t="s">
        <v>708</v>
      </c>
      <c r="B1194" s="617"/>
      <c r="C1194" s="617"/>
      <c r="D1194" s="617"/>
      <c r="E1194" s="617"/>
      <c r="F1194" s="201" t="e">
        <f>VLOOKUP(A1194,'Compos DER'!J:K,2,FALSE)</f>
        <v>#N/A</v>
      </c>
      <c r="G1194" s="198" t="e">
        <f t="shared" si="20"/>
        <v>#N/A</v>
      </c>
    </row>
    <row r="1195" spans="1:7" x14ac:dyDescent="0.2">
      <c r="A1195" s="1131" t="s">
        <v>709</v>
      </c>
      <c r="B1195" s="617"/>
      <c r="C1195" s="617"/>
      <c r="D1195" s="617"/>
      <c r="E1195" s="617"/>
      <c r="F1195" s="201" t="e">
        <f>VLOOKUP(A1195,'Compos DER'!J:K,2,FALSE)</f>
        <v>#N/A</v>
      </c>
      <c r="G1195" s="198" t="e">
        <f t="shared" si="20"/>
        <v>#N/A</v>
      </c>
    </row>
    <row r="1196" spans="1:7" x14ac:dyDescent="0.2">
      <c r="A1196" s="1132" t="s">
        <v>1761</v>
      </c>
      <c r="B1196" s="617"/>
      <c r="C1196" s="617"/>
      <c r="D1196" s="617"/>
      <c r="E1196" s="617"/>
      <c r="F1196" s="201" t="e">
        <f>VLOOKUP(A1196,'Compos DER'!J:K,2,FALSE)</f>
        <v>#N/A</v>
      </c>
      <c r="G1196" s="198" t="e">
        <f t="shared" si="20"/>
        <v>#N/A</v>
      </c>
    </row>
    <row r="1197" spans="1:7" ht="18" x14ac:dyDescent="0.2">
      <c r="A1197" s="1133" t="s">
        <v>711</v>
      </c>
      <c r="B1197" s="1133" t="s">
        <v>712</v>
      </c>
      <c r="C1197" s="1133" t="s">
        <v>713</v>
      </c>
      <c r="D1197" s="1133" t="s">
        <v>714</v>
      </c>
      <c r="E1197" s="1133" t="s">
        <v>715</v>
      </c>
      <c r="F1197" s="201" t="e">
        <f>VLOOKUP(A1197,'Compos DER'!J:K,2,FALSE)</f>
        <v>#N/A</v>
      </c>
      <c r="G1197" s="198" t="e">
        <f t="shared" si="20"/>
        <v>#N/A</v>
      </c>
    </row>
    <row r="1198" spans="1:7" x14ac:dyDescent="0.2">
      <c r="A1198" s="1134">
        <v>41164</v>
      </c>
      <c r="B1198" s="616" t="s">
        <v>1803</v>
      </c>
      <c r="C1198" s="614" t="s">
        <v>734</v>
      </c>
      <c r="D1198" s="1137">
        <v>3344.29</v>
      </c>
      <c r="E1198" s="1136"/>
      <c r="F1198" s="201" t="e">
        <f>VLOOKUP(A1198,'Compos DER'!J:K,2,FALSE)</f>
        <v>#N/A</v>
      </c>
      <c r="G1198" s="198" t="e">
        <f t="shared" si="20"/>
        <v>#N/A</v>
      </c>
    </row>
    <row r="1199" spans="1:7" x14ac:dyDescent="0.2">
      <c r="A1199" s="1134">
        <v>41165</v>
      </c>
      <c r="B1199" s="616" t="s">
        <v>1804</v>
      </c>
      <c r="C1199" s="614" t="s">
        <v>734</v>
      </c>
      <c r="D1199" s="1137">
        <v>3732.04</v>
      </c>
      <c r="E1199" s="1136"/>
      <c r="F1199" s="201" t="e">
        <f>VLOOKUP(A1199,'Compos DER'!J:K,2,FALSE)</f>
        <v>#N/A</v>
      </c>
      <c r="G1199" s="198" t="e">
        <f t="shared" si="20"/>
        <v>#N/A</v>
      </c>
    </row>
    <row r="1200" spans="1:7" x14ac:dyDescent="0.2">
      <c r="A1200" s="1134">
        <v>41166</v>
      </c>
      <c r="B1200" s="616" t="s">
        <v>1805</v>
      </c>
      <c r="C1200" s="614" t="s">
        <v>734</v>
      </c>
      <c r="D1200" s="1137">
        <v>4571.63</v>
      </c>
      <c r="E1200" s="1136"/>
      <c r="F1200" s="201" t="e">
        <f>VLOOKUP(A1200,'Compos DER'!J:K,2,FALSE)</f>
        <v>#N/A</v>
      </c>
      <c r="G1200" s="198" t="e">
        <f t="shared" si="20"/>
        <v>#N/A</v>
      </c>
    </row>
    <row r="1201" spans="1:7" x14ac:dyDescent="0.2">
      <c r="A1201" s="1134">
        <v>42687</v>
      </c>
      <c r="B1201" s="616" t="s">
        <v>1806</v>
      </c>
      <c r="C1201" s="614" t="s">
        <v>734</v>
      </c>
      <c r="D1201" s="1137">
        <v>1591.01</v>
      </c>
      <c r="E1201" s="1136"/>
      <c r="F1201" s="201" t="e">
        <f>VLOOKUP(A1201,'Compos DER'!J:K,2,FALSE)</f>
        <v>#N/A</v>
      </c>
      <c r="G1201" s="198" t="e">
        <f t="shared" si="20"/>
        <v>#N/A</v>
      </c>
    </row>
    <row r="1202" spans="1:7" x14ac:dyDescent="0.2">
      <c r="A1202" s="1134">
        <v>42688</v>
      </c>
      <c r="B1202" s="616" t="s">
        <v>1807</v>
      </c>
      <c r="C1202" s="614" t="s">
        <v>734</v>
      </c>
      <c r="D1202" s="1137">
        <v>2012.97</v>
      </c>
      <c r="E1202" s="1136"/>
      <c r="F1202" s="201" t="e">
        <f>VLOOKUP(A1202,'Compos DER'!J:K,2,FALSE)</f>
        <v>#N/A</v>
      </c>
      <c r="G1202" s="198" t="e">
        <f t="shared" si="20"/>
        <v>#N/A</v>
      </c>
    </row>
    <row r="1203" spans="1:7" x14ac:dyDescent="0.2">
      <c r="A1203" s="1134">
        <v>42689</v>
      </c>
      <c r="B1203" s="616" t="s">
        <v>1808</v>
      </c>
      <c r="C1203" s="614" t="s">
        <v>734</v>
      </c>
      <c r="D1203" s="1137">
        <v>2531.46</v>
      </c>
      <c r="E1203" s="1136"/>
      <c r="F1203" s="201" t="e">
        <f>VLOOKUP(A1203,'Compos DER'!J:K,2,FALSE)</f>
        <v>#N/A</v>
      </c>
      <c r="G1203" s="198" t="e">
        <f t="shared" si="20"/>
        <v>#N/A</v>
      </c>
    </row>
    <row r="1204" spans="1:7" x14ac:dyDescent="0.2">
      <c r="A1204" s="1134">
        <v>42690</v>
      </c>
      <c r="B1204" s="616" t="s">
        <v>1809</v>
      </c>
      <c r="C1204" s="614" t="s">
        <v>734</v>
      </c>
      <c r="D1204" s="1137">
        <v>4039.4</v>
      </c>
      <c r="E1204" s="1136"/>
      <c r="F1204" s="201" t="e">
        <f>VLOOKUP(A1204,'Compos DER'!J:K,2,FALSE)</f>
        <v>#N/A</v>
      </c>
      <c r="G1204" s="198" t="e">
        <f t="shared" si="20"/>
        <v>#N/A</v>
      </c>
    </row>
    <row r="1205" spans="1:7" x14ac:dyDescent="0.2">
      <c r="A1205" s="1134">
        <v>42691</v>
      </c>
      <c r="B1205" s="616" t="s">
        <v>1810</v>
      </c>
      <c r="C1205" s="614" t="s">
        <v>734</v>
      </c>
      <c r="D1205" s="1137">
        <v>8913.23</v>
      </c>
      <c r="E1205" s="616" t="s">
        <v>777</v>
      </c>
      <c r="F1205" s="201" t="e">
        <f>VLOOKUP(A1205,'Compos DER'!J:K,2,FALSE)</f>
        <v>#N/A</v>
      </c>
      <c r="G1205" s="198" t="e">
        <f t="shared" si="20"/>
        <v>#N/A</v>
      </c>
    </row>
    <row r="1206" spans="1:7" x14ac:dyDescent="0.2">
      <c r="A1206" s="1134">
        <v>42693</v>
      </c>
      <c r="B1206" s="616" t="s">
        <v>1811</v>
      </c>
      <c r="C1206" s="614" t="s">
        <v>838</v>
      </c>
      <c r="D1206" s="1137">
        <v>4088.11</v>
      </c>
      <c r="E1206" s="1136"/>
      <c r="F1206" s="201" t="e">
        <f>VLOOKUP(A1206,'Compos DER'!J:K,2,FALSE)</f>
        <v>#N/A</v>
      </c>
      <c r="G1206" s="198" t="e">
        <f t="shared" si="20"/>
        <v>#N/A</v>
      </c>
    </row>
    <row r="1207" spans="1:7" x14ac:dyDescent="0.2">
      <c r="A1207" s="1134">
        <v>42692</v>
      </c>
      <c r="B1207" s="616" t="s">
        <v>1812</v>
      </c>
      <c r="C1207" s="614" t="s">
        <v>734</v>
      </c>
      <c r="D1207" s="1135">
        <v>712.56</v>
      </c>
      <c r="E1207" s="1136"/>
      <c r="F1207" s="201" t="e">
        <f>VLOOKUP(A1207,'Compos DER'!J:K,2,FALSE)</f>
        <v>#N/A</v>
      </c>
      <c r="G1207" s="198" t="e">
        <f t="shared" si="20"/>
        <v>#N/A</v>
      </c>
    </row>
    <row r="1208" spans="1:7" x14ac:dyDescent="0.2">
      <c r="A1208" s="1134">
        <v>41085</v>
      </c>
      <c r="B1208" s="616" t="s">
        <v>1813</v>
      </c>
      <c r="C1208" s="614" t="s">
        <v>734</v>
      </c>
      <c r="D1208" s="1137">
        <v>1579.9</v>
      </c>
      <c r="E1208" s="1136"/>
      <c r="F1208" s="201" t="e">
        <f>VLOOKUP(A1208,'Compos DER'!J:K,2,FALSE)</f>
        <v>#N/A</v>
      </c>
      <c r="G1208" s="198" t="e">
        <f t="shared" si="20"/>
        <v>#N/A</v>
      </c>
    </row>
    <row r="1209" spans="1:7" x14ac:dyDescent="0.2">
      <c r="A1209" s="1134">
        <v>42694</v>
      </c>
      <c r="B1209" s="616" t="s">
        <v>1814</v>
      </c>
      <c r="C1209" s="614" t="s">
        <v>734</v>
      </c>
      <c r="D1209" s="1135">
        <v>807.8</v>
      </c>
      <c r="E1209" s="616" t="s">
        <v>777</v>
      </c>
      <c r="F1209" s="201" t="e">
        <f>VLOOKUP(A1209,'Compos DER'!J:K,2,FALSE)</f>
        <v>#N/A</v>
      </c>
      <c r="G1209" s="198" t="e">
        <f t="shared" si="20"/>
        <v>#N/A</v>
      </c>
    </row>
    <row r="1210" spans="1:7" x14ac:dyDescent="0.2">
      <c r="A1210" s="1134">
        <v>41241</v>
      </c>
      <c r="B1210" s="616" t="s">
        <v>1815</v>
      </c>
      <c r="C1210" s="614" t="s">
        <v>734</v>
      </c>
      <c r="D1210" s="1137">
        <v>1409.39</v>
      </c>
      <c r="E1210" s="616" t="s">
        <v>777</v>
      </c>
      <c r="F1210" s="201" t="e">
        <f>VLOOKUP(A1210,'Compos DER'!J:K,2,FALSE)</f>
        <v>#N/A</v>
      </c>
      <c r="G1210" s="198" t="e">
        <f t="shared" si="20"/>
        <v>#N/A</v>
      </c>
    </row>
    <row r="1211" spans="1:7" x14ac:dyDescent="0.2">
      <c r="A1211" s="1134">
        <v>42697</v>
      </c>
      <c r="B1211" s="616" t="s">
        <v>1816</v>
      </c>
      <c r="C1211" s="614" t="s">
        <v>838</v>
      </c>
      <c r="D1211" s="1135">
        <v>716.36</v>
      </c>
      <c r="E1211" s="616" t="s">
        <v>777</v>
      </c>
      <c r="F1211" s="201" t="e">
        <f>VLOOKUP(A1211,'Compos DER'!J:K,2,FALSE)</f>
        <v>#N/A</v>
      </c>
      <c r="G1211" s="198" t="e">
        <f t="shared" si="20"/>
        <v>#N/A</v>
      </c>
    </row>
    <row r="1212" spans="1:7" x14ac:dyDescent="0.2">
      <c r="A1212" s="1134">
        <v>42698</v>
      </c>
      <c r="B1212" s="616" t="s">
        <v>1817</v>
      </c>
      <c r="C1212" s="614" t="s">
        <v>838</v>
      </c>
      <c r="D1212" s="1135">
        <v>221.66</v>
      </c>
      <c r="E1212" s="616" t="s">
        <v>777</v>
      </c>
      <c r="F1212" s="201" t="e">
        <f>VLOOKUP(A1212,'Compos DER'!J:K,2,FALSE)</f>
        <v>#N/A</v>
      </c>
      <c r="G1212" s="198" t="e">
        <f t="shared" si="20"/>
        <v>#N/A</v>
      </c>
    </row>
    <row r="1213" spans="1:7" x14ac:dyDescent="0.2">
      <c r="A1213" s="1134">
        <v>42699</v>
      </c>
      <c r="B1213" s="616" t="s">
        <v>1818</v>
      </c>
      <c r="C1213" s="614" t="s">
        <v>838</v>
      </c>
      <c r="D1213" s="1135">
        <v>292.05</v>
      </c>
      <c r="E1213" s="1136"/>
      <c r="F1213" s="201" t="e">
        <f>VLOOKUP(A1213,'Compos DER'!J:K,2,FALSE)</f>
        <v>#N/A</v>
      </c>
      <c r="G1213" s="198" t="e">
        <f t="shared" si="20"/>
        <v>#N/A</v>
      </c>
    </row>
    <row r="1214" spans="1:7" x14ac:dyDescent="0.2">
      <c r="A1214" s="1134">
        <v>42700</v>
      </c>
      <c r="B1214" s="616" t="s">
        <v>1819</v>
      </c>
      <c r="C1214" s="614" t="s">
        <v>838</v>
      </c>
      <c r="D1214" s="1135">
        <v>205.15</v>
      </c>
      <c r="E1214" s="616" t="s">
        <v>777</v>
      </c>
      <c r="F1214" s="201" t="e">
        <f>VLOOKUP(A1214,'Compos DER'!J:K,2,FALSE)</f>
        <v>#N/A</v>
      </c>
      <c r="G1214" s="198" t="e">
        <f t="shared" ref="G1214:G1277" si="21">+F1214/D1214</f>
        <v>#N/A</v>
      </c>
    </row>
    <row r="1215" spans="1:7" x14ac:dyDescent="0.2">
      <c r="A1215" s="1134">
        <v>42701</v>
      </c>
      <c r="B1215" s="616" t="s">
        <v>1820</v>
      </c>
      <c r="C1215" s="614" t="s">
        <v>717</v>
      </c>
      <c r="D1215" s="1135">
        <v>44.62</v>
      </c>
      <c r="E1215" s="1136"/>
      <c r="F1215" s="201" t="e">
        <f>VLOOKUP(A1215,'Compos DER'!J:K,2,FALSE)</f>
        <v>#N/A</v>
      </c>
      <c r="G1215" s="198" t="e">
        <f t="shared" si="21"/>
        <v>#N/A</v>
      </c>
    </row>
    <row r="1216" spans="1:7" x14ac:dyDescent="0.2">
      <c r="A1216" s="1134">
        <v>42703</v>
      </c>
      <c r="B1216" s="616" t="s">
        <v>1821</v>
      </c>
      <c r="C1216" s="614" t="s">
        <v>717</v>
      </c>
      <c r="D1216" s="1135">
        <v>103.99</v>
      </c>
      <c r="E1216" s="1136"/>
      <c r="F1216" s="201" t="e">
        <f>VLOOKUP(A1216,'Compos DER'!J:K,2,FALSE)</f>
        <v>#N/A</v>
      </c>
      <c r="G1216" s="198" t="e">
        <f t="shared" si="21"/>
        <v>#N/A</v>
      </c>
    </row>
    <row r="1217" spans="1:7" x14ac:dyDescent="0.2">
      <c r="A1217" s="1134">
        <v>42704</v>
      </c>
      <c r="B1217" s="616" t="s">
        <v>1822</v>
      </c>
      <c r="C1217" s="614" t="s">
        <v>717</v>
      </c>
      <c r="D1217" s="1135">
        <v>6.99</v>
      </c>
      <c r="E1217" s="1136"/>
      <c r="F1217" s="201" t="e">
        <f>VLOOKUP(A1217,'Compos DER'!J:K,2,FALSE)</f>
        <v>#N/A</v>
      </c>
      <c r="G1217" s="198" t="e">
        <f t="shared" si="21"/>
        <v>#N/A</v>
      </c>
    </row>
    <row r="1218" spans="1:7" x14ac:dyDescent="0.2">
      <c r="A1218" s="1134">
        <v>42705</v>
      </c>
      <c r="B1218" s="616" t="s">
        <v>1823</v>
      </c>
      <c r="C1218" s="614" t="s">
        <v>717</v>
      </c>
      <c r="D1218" s="1135">
        <v>11.87</v>
      </c>
      <c r="E1218" s="1136"/>
      <c r="F1218" s="201" t="e">
        <f>VLOOKUP(A1218,'Compos DER'!J:K,2,FALSE)</f>
        <v>#N/A</v>
      </c>
      <c r="G1218" s="198" t="e">
        <f t="shared" si="21"/>
        <v>#N/A</v>
      </c>
    </row>
    <row r="1219" spans="1:7" x14ac:dyDescent="0.2">
      <c r="A1219" s="1134">
        <v>42706</v>
      </c>
      <c r="B1219" s="616" t="s">
        <v>1824</v>
      </c>
      <c r="C1219" s="614" t="s">
        <v>719</v>
      </c>
      <c r="D1219" s="1135">
        <v>5.99</v>
      </c>
      <c r="E1219" s="1136"/>
      <c r="F1219" s="201" t="e">
        <f>VLOOKUP(A1219,'Compos DER'!J:K,2,FALSE)</f>
        <v>#N/A</v>
      </c>
      <c r="G1219" s="198" t="e">
        <f t="shared" si="21"/>
        <v>#N/A</v>
      </c>
    </row>
    <row r="1220" spans="1:7" x14ac:dyDescent="0.2">
      <c r="A1220" s="1134">
        <v>42707</v>
      </c>
      <c r="B1220" s="616" t="s">
        <v>1825</v>
      </c>
      <c r="C1220" s="614" t="s">
        <v>719</v>
      </c>
      <c r="D1220" s="1135">
        <v>79.98</v>
      </c>
      <c r="E1220" s="616" t="s">
        <v>777</v>
      </c>
      <c r="F1220" s="201" t="e">
        <f>VLOOKUP(A1220,'Compos DER'!J:K,2,FALSE)</f>
        <v>#N/A</v>
      </c>
      <c r="G1220" s="198" t="e">
        <f t="shared" si="21"/>
        <v>#N/A</v>
      </c>
    </row>
    <row r="1221" spans="1:7" x14ac:dyDescent="0.2">
      <c r="A1221" s="1134">
        <v>42708</v>
      </c>
      <c r="B1221" s="616" t="s">
        <v>1826</v>
      </c>
      <c r="C1221" s="614" t="s">
        <v>719</v>
      </c>
      <c r="D1221" s="1135">
        <v>107.36</v>
      </c>
      <c r="E1221" s="616" t="s">
        <v>777</v>
      </c>
      <c r="F1221" s="201" t="e">
        <f>VLOOKUP(A1221,'Compos DER'!J:K,2,FALSE)</f>
        <v>#N/A</v>
      </c>
      <c r="G1221" s="198" t="e">
        <f t="shared" si="21"/>
        <v>#N/A</v>
      </c>
    </row>
    <row r="1222" spans="1:7" x14ac:dyDescent="0.2">
      <c r="A1222" s="1134">
        <v>42709</v>
      </c>
      <c r="B1222" s="616" t="s">
        <v>1827</v>
      </c>
      <c r="C1222" s="614" t="s">
        <v>719</v>
      </c>
      <c r="D1222" s="1135">
        <v>107.36</v>
      </c>
      <c r="E1222" s="616" t="s">
        <v>777</v>
      </c>
      <c r="F1222" s="201" t="e">
        <f>VLOOKUP(A1222,'Compos DER'!J:K,2,FALSE)</f>
        <v>#N/A</v>
      </c>
      <c r="G1222" s="198" t="e">
        <f t="shared" si="21"/>
        <v>#N/A</v>
      </c>
    </row>
    <row r="1223" spans="1:7" x14ac:dyDescent="0.2">
      <c r="A1223" s="1134">
        <v>42710</v>
      </c>
      <c r="B1223" s="616" t="s">
        <v>1828</v>
      </c>
      <c r="C1223" s="614" t="s">
        <v>719</v>
      </c>
      <c r="D1223" s="1135">
        <v>107.36</v>
      </c>
      <c r="E1223" s="616" t="s">
        <v>777</v>
      </c>
      <c r="F1223" s="201" t="e">
        <f>VLOOKUP(A1223,'Compos DER'!J:K,2,FALSE)</f>
        <v>#N/A</v>
      </c>
      <c r="G1223" s="198" t="e">
        <f t="shared" si="21"/>
        <v>#N/A</v>
      </c>
    </row>
    <row r="1224" spans="1:7" x14ac:dyDescent="0.2">
      <c r="A1224" s="1134">
        <v>42711</v>
      </c>
      <c r="B1224" s="616" t="s">
        <v>1829</v>
      </c>
      <c r="C1224" s="614" t="s">
        <v>838</v>
      </c>
      <c r="D1224" s="1135">
        <v>452.85</v>
      </c>
      <c r="E1224" s="616" t="s">
        <v>777</v>
      </c>
      <c r="F1224" s="201" t="e">
        <f>VLOOKUP(A1224,'Compos DER'!J:K,2,FALSE)</f>
        <v>#N/A</v>
      </c>
      <c r="G1224" s="198" t="e">
        <f t="shared" si="21"/>
        <v>#N/A</v>
      </c>
    </row>
    <row r="1225" spans="1:7" x14ac:dyDescent="0.2">
      <c r="A1225" s="1134">
        <v>42712</v>
      </c>
      <c r="B1225" s="616" t="s">
        <v>1830</v>
      </c>
      <c r="C1225" s="614" t="s">
        <v>719</v>
      </c>
      <c r="D1225" s="1137">
        <v>1176</v>
      </c>
      <c r="E1225" s="1136"/>
      <c r="F1225" s="201" t="e">
        <f>VLOOKUP(A1225,'Compos DER'!J:K,2,FALSE)</f>
        <v>#N/A</v>
      </c>
      <c r="G1225" s="198" t="e">
        <f t="shared" si="21"/>
        <v>#N/A</v>
      </c>
    </row>
    <row r="1226" spans="1:7" x14ac:dyDescent="0.2">
      <c r="A1226" s="1134">
        <v>42714</v>
      </c>
      <c r="B1226" s="616" t="s">
        <v>1831</v>
      </c>
      <c r="C1226" s="614" t="s">
        <v>719</v>
      </c>
      <c r="D1226" s="1135">
        <v>529.41</v>
      </c>
      <c r="E1226" s="616" t="s">
        <v>777</v>
      </c>
      <c r="F1226" s="201" t="e">
        <f>VLOOKUP(A1226,'Compos DER'!J:K,2,FALSE)</f>
        <v>#N/A</v>
      </c>
      <c r="G1226" s="198" t="e">
        <f t="shared" si="21"/>
        <v>#N/A</v>
      </c>
    </row>
    <row r="1227" spans="1:7" x14ac:dyDescent="0.2">
      <c r="A1227" s="1134">
        <v>42717</v>
      </c>
      <c r="B1227" s="616" t="s">
        <v>1832</v>
      </c>
      <c r="C1227" s="614" t="s">
        <v>719</v>
      </c>
      <c r="D1227" s="1135">
        <v>702.59</v>
      </c>
      <c r="E1227" s="616" t="s">
        <v>777</v>
      </c>
      <c r="F1227" s="201" t="e">
        <f>VLOOKUP(A1227,'Compos DER'!J:K,2,FALSE)</f>
        <v>#N/A</v>
      </c>
      <c r="G1227" s="198" t="e">
        <f t="shared" si="21"/>
        <v>#N/A</v>
      </c>
    </row>
    <row r="1228" spans="1:7" x14ac:dyDescent="0.2">
      <c r="A1228" s="1134">
        <v>42716</v>
      </c>
      <c r="B1228" s="616" t="s">
        <v>1833</v>
      </c>
      <c r="C1228" s="614" t="s">
        <v>719</v>
      </c>
      <c r="D1228" s="1135">
        <v>697.46</v>
      </c>
      <c r="E1228" s="616" t="s">
        <v>777</v>
      </c>
      <c r="F1228" s="201" t="e">
        <f>VLOOKUP(A1228,'Compos DER'!J:K,2,FALSE)</f>
        <v>#N/A</v>
      </c>
      <c r="G1228" s="198" t="e">
        <f t="shared" si="21"/>
        <v>#N/A</v>
      </c>
    </row>
    <row r="1229" spans="1:7" x14ac:dyDescent="0.2">
      <c r="A1229" s="1134">
        <v>42719</v>
      </c>
      <c r="B1229" s="616" t="s">
        <v>1834</v>
      </c>
      <c r="C1229" s="614" t="s">
        <v>719</v>
      </c>
      <c r="D1229" s="1135">
        <v>726.5</v>
      </c>
      <c r="E1229" s="616" t="s">
        <v>777</v>
      </c>
      <c r="F1229" s="201" t="e">
        <f>VLOOKUP(A1229,'Compos DER'!J:K,2,FALSE)</f>
        <v>#N/A</v>
      </c>
      <c r="G1229" s="198" t="e">
        <f t="shared" si="21"/>
        <v>#N/A</v>
      </c>
    </row>
    <row r="1230" spans="1:7" x14ac:dyDescent="0.2">
      <c r="A1230" s="1134">
        <v>42718</v>
      </c>
      <c r="B1230" s="616" t="s">
        <v>1835</v>
      </c>
      <c r="C1230" s="614" t="s">
        <v>719</v>
      </c>
      <c r="D1230" s="1135">
        <v>720.75</v>
      </c>
      <c r="E1230" s="616" t="s">
        <v>777</v>
      </c>
      <c r="F1230" s="201" t="e">
        <f>VLOOKUP(A1230,'Compos DER'!J:K,2,FALSE)</f>
        <v>#N/A</v>
      </c>
      <c r="G1230" s="198" t="e">
        <f t="shared" si="21"/>
        <v>#N/A</v>
      </c>
    </row>
    <row r="1231" spans="1:7" x14ac:dyDescent="0.2">
      <c r="A1231" s="1134">
        <v>42722</v>
      </c>
      <c r="B1231" s="616" t="s">
        <v>1836</v>
      </c>
      <c r="C1231" s="614" t="s">
        <v>719</v>
      </c>
      <c r="D1231" s="1135">
        <v>900.67</v>
      </c>
      <c r="E1231" s="616" t="s">
        <v>777</v>
      </c>
      <c r="F1231" s="201" t="e">
        <f>VLOOKUP(A1231,'Compos DER'!J:K,2,FALSE)</f>
        <v>#N/A</v>
      </c>
      <c r="G1231" s="198" t="e">
        <f t="shared" si="21"/>
        <v>#N/A</v>
      </c>
    </row>
    <row r="1232" spans="1:7" x14ac:dyDescent="0.2">
      <c r="A1232" s="1134">
        <v>42721</v>
      </c>
      <c r="B1232" s="616" t="s">
        <v>1837</v>
      </c>
      <c r="C1232" s="614" t="s">
        <v>719</v>
      </c>
      <c r="D1232" s="1135">
        <v>748.56</v>
      </c>
      <c r="E1232" s="616" t="s">
        <v>777</v>
      </c>
      <c r="F1232" s="201" t="e">
        <f>VLOOKUP(A1232,'Compos DER'!J:K,2,FALSE)</f>
        <v>#N/A</v>
      </c>
      <c r="G1232" s="198" t="e">
        <f t="shared" si="21"/>
        <v>#N/A</v>
      </c>
    </row>
    <row r="1233" spans="1:7" x14ac:dyDescent="0.2">
      <c r="A1233" s="1134">
        <v>42720</v>
      </c>
      <c r="B1233" s="616" t="s">
        <v>1838</v>
      </c>
      <c r="C1233" s="614" t="s">
        <v>719</v>
      </c>
      <c r="D1233" s="1135">
        <v>742.23</v>
      </c>
      <c r="E1233" s="616" t="s">
        <v>777</v>
      </c>
      <c r="F1233" s="201" t="e">
        <f>VLOOKUP(A1233,'Compos DER'!J:K,2,FALSE)</f>
        <v>#N/A</v>
      </c>
      <c r="G1233" s="198" t="e">
        <f t="shared" si="21"/>
        <v>#N/A</v>
      </c>
    </row>
    <row r="1234" spans="1:7" x14ac:dyDescent="0.2">
      <c r="A1234" s="1134">
        <v>42723</v>
      </c>
      <c r="B1234" s="616" t="s">
        <v>1839</v>
      </c>
      <c r="C1234" s="614" t="s">
        <v>719</v>
      </c>
      <c r="D1234" s="1135">
        <v>856.03</v>
      </c>
      <c r="E1234" s="616" t="s">
        <v>777</v>
      </c>
      <c r="F1234" s="201" t="e">
        <f>VLOOKUP(A1234,'Compos DER'!J:K,2,FALSE)</f>
        <v>#N/A</v>
      </c>
      <c r="G1234" s="198" t="e">
        <f t="shared" si="21"/>
        <v>#N/A</v>
      </c>
    </row>
    <row r="1235" spans="1:7" x14ac:dyDescent="0.2">
      <c r="A1235" s="1134">
        <v>42724</v>
      </c>
      <c r="B1235" s="616" t="s">
        <v>1840</v>
      </c>
      <c r="C1235" s="614" t="s">
        <v>719</v>
      </c>
      <c r="D1235" s="1137">
        <v>1324.96</v>
      </c>
      <c r="E1235" s="616" t="s">
        <v>777</v>
      </c>
      <c r="F1235" s="201" t="e">
        <f>VLOOKUP(A1235,'Compos DER'!J:K,2,FALSE)</f>
        <v>#N/A</v>
      </c>
      <c r="G1235" s="198" t="e">
        <f t="shared" si="21"/>
        <v>#N/A</v>
      </c>
    </row>
    <row r="1236" spans="1:7" x14ac:dyDescent="0.2">
      <c r="A1236" s="1134">
        <v>42726</v>
      </c>
      <c r="B1236" s="616" t="s">
        <v>1841</v>
      </c>
      <c r="C1236" s="614" t="s">
        <v>838</v>
      </c>
      <c r="D1236" s="1135">
        <v>378.12</v>
      </c>
      <c r="E1236" s="616" t="s">
        <v>777</v>
      </c>
      <c r="F1236" s="201" t="e">
        <f>VLOOKUP(A1236,'Compos DER'!J:K,2,FALSE)</f>
        <v>#N/A</v>
      </c>
      <c r="G1236" s="198" t="e">
        <f t="shared" si="21"/>
        <v>#N/A</v>
      </c>
    </row>
    <row r="1237" spans="1:7" x14ac:dyDescent="0.2">
      <c r="A1237" s="1134">
        <v>42727</v>
      </c>
      <c r="B1237" s="616" t="s">
        <v>1842</v>
      </c>
      <c r="C1237" s="614" t="s">
        <v>838</v>
      </c>
      <c r="D1237" s="1135">
        <v>404.48</v>
      </c>
      <c r="E1237" s="616" t="s">
        <v>777</v>
      </c>
      <c r="F1237" s="201" t="e">
        <f>VLOOKUP(A1237,'Compos DER'!J:K,2,FALSE)</f>
        <v>#N/A</v>
      </c>
      <c r="G1237" s="198" t="e">
        <f t="shared" si="21"/>
        <v>#N/A</v>
      </c>
    </row>
    <row r="1238" spans="1:7" x14ac:dyDescent="0.2">
      <c r="A1238" s="1134">
        <v>42728</v>
      </c>
      <c r="B1238" s="616" t="s">
        <v>1843</v>
      </c>
      <c r="C1238" s="614" t="s">
        <v>838</v>
      </c>
      <c r="D1238" s="1135">
        <v>382.46</v>
      </c>
      <c r="E1238" s="616" t="s">
        <v>777</v>
      </c>
      <c r="F1238" s="201" t="e">
        <f>VLOOKUP(A1238,'Compos DER'!J:K,2,FALSE)</f>
        <v>#N/A</v>
      </c>
      <c r="G1238" s="198" t="e">
        <f t="shared" si="21"/>
        <v>#N/A</v>
      </c>
    </row>
    <row r="1239" spans="1:7" x14ac:dyDescent="0.2">
      <c r="A1239" s="1134">
        <v>42729</v>
      </c>
      <c r="B1239" s="616" t="s">
        <v>1844</v>
      </c>
      <c r="C1239" s="614" t="s">
        <v>838</v>
      </c>
      <c r="D1239" s="1135">
        <v>373.78</v>
      </c>
      <c r="E1239" s="616" t="s">
        <v>777</v>
      </c>
      <c r="F1239" s="201" t="e">
        <f>VLOOKUP(A1239,'Compos DER'!J:K,2,FALSE)</f>
        <v>#N/A</v>
      </c>
      <c r="G1239" s="198" t="e">
        <f t="shared" si="21"/>
        <v>#N/A</v>
      </c>
    </row>
    <row r="1240" spans="1:7" x14ac:dyDescent="0.2">
      <c r="A1240" s="1134">
        <v>42730</v>
      </c>
      <c r="B1240" s="616" t="s">
        <v>1845</v>
      </c>
      <c r="C1240" s="614" t="s">
        <v>838</v>
      </c>
      <c r="D1240" s="1135">
        <v>806.11</v>
      </c>
      <c r="E1240" s="616" t="s">
        <v>777</v>
      </c>
      <c r="F1240" s="201" t="e">
        <f>VLOOKUP(A1240,'Compos DER'!J:K,2,FALSE)</f>
        <v>#N/A</v>
      </c>
      <c r="G1240" s="198" t="e">
        <f t="shared" si="21"/>
        <v>#N/A</v>
      </c>
    </row>
    <row r="1241" spans="1:7" x14ac:dyDescent="0.2">
      <c r="A1241" s="1134">
        <v>42731</v>
      </c>
      <c r="B1241" s="616" t="s">
        <v>1846</v>
      </c>
      <c r="C1241" s="614" t="s">
        <v>838</v>
      </c>
      <c r="D1241" s="1135">
        <v>797.68</v>
      </c>
      <c r="E1241" s="616" t="s">
        <v>777</v>
      </c>
      <c r="F1241" s="201" t="e">
        <f>VLOOKUP(A1241,'Compos DER'!J:K,2,FALSE)</f>
        <v>#N/A</v>
      </c>
      <c r="G1241" s="198" t="e">
        <f t="shared" si="21"/>
        <v>#N/A</v>
      </c>
    </row>
    <row r="1242" spans="1:7" x14ac:dyDescent="0.2">
      <c r="A1242" s="1134">
        <v>42732</v>
      </c>
      <c r="B1242" s="616" t="s">
        <v>1847</v>
      </c>
      <c r="C1242" s="614" t="s">
        <v>838</v>
      </c>
      <c r="D1242" s="1135">
        <v>820.96</v>
      </c>
      <c r="E1242" s="616" t="s">
        <v>777</v>
      </c>
      <c r="F1242" s="201" t="e">
        <f>VLOOKUP(A1242,'Compos DER'!J:K,2,FALSE)</f>
        <v>#N/A</v>
      </c>
      <c r="G1242" s="198" t="e">
        <f t="shared" si="21"/>
        <v>#N/A</v>
      </c>
    </row>
    <row r="1243" spans="1:7" x14ac:dyDescent="0.2">
      <c r="A1243" s="1134">
        <v>42733</v>
      </c>
      <c r="B1243" s="616" t="s">
        <v>1848</v>
      </c>
      <c r="C1243" s="614" t="s">
        <v>838</v>
      </c>
      <c r="D1243" s="1135">
        <v>786.95</v>
      </c>
      <c r="E1243" s="616" t="s">
        <v>777</v>
      </c>
      <c r="F1243" s="201" t="e">
        <f>VLOOKUP(A1243,'Compos DER'!J:K,2,FALSE)</f>
        <v>#N/A</v>
      </c>
      <c r="G1243" s="198" t="e">
        <f t="shared" si="21"/>
        <v>#N/A</v>
      </c>
    </row>
    <row r="1244" spans="1:7" x14ac:dyDescent="0.2">
      <c r="A1244" s="1134">
        <v>42734</v>
      </c>
      <c r="B1244" s="616" t="s">
        <v>1849</v>
      </c>
      <c r="C1244" s="614" t="s">
        <v>838</v>
      </c>
      <c r="D1244" s="1135">
        <v>944.37</v>
      </c>
      <c r="E1244" s="616" t="s">
        <v>777</v>
      </c>
      <c r="F1244" s="201" t="e">
        <f>VLOOKUP(A1244,'Compos DER'!J:K,2,FALSE)</f>
        <v>#N/A</v>
      </c>
      <c r="G1244" s="198" t="e">
        <f t="shared" si="21"/>
        <v>#N/A</v>
      </c>
    </row>
    <row r="1245" spans="1:7" x14ac:dyDescent="0.2">
      <c r="A1245" s="1134">
        <v>42735</v>
      </c>
      <c r="B1245" s="616" t="s">
        <v>1850</v>
      </c>
      <c r="C1245" s="614" t="s">
        <v>838</v>
      </c>
      <c r="D1245" s="1135">
        <v>854.45</v>
      </c>
      <c r="E1245" s="616" t="s">
        <v>777</v>
      </c>
      <c r="F1245" s="201" t="e">
        <f>VLOOKUP(A1245,'Compos DER'!J:K,2,FALSE)</f>
        <v>#N/A</v>
      </c>
      <c r="G1245" s="198" t="e">
        <f t="shared" si="21"/>
        <v>#N/A</v>
      </c>
    </row>
    <row r="1246" spans="1:7" x14ac:dyDescent="0.2">
      <c r="A1246" s="1134">
        <v>42736</v>
      </c>
      <c r="B1246" s="616" t="s">
        <v>1851</v>
      </c>
      <c r="C1246" s="614" t="s">
        <v>838</v>
      </c>
      <c r="D1246" s="1135">
        <v>990.39</v>
      </c>
      <c r="E1246" s="616" t="s">
        <v>777</v>
      </c>
      <c r="F1246" s="201" t="e">
        <f>VLOOKUP(A1246,'Compos DER'!J:K,2,FALSE)</f>
        <v>#N/A</v>
      </c>
      <c r="G1246" s="198" t="e">
        <f t="shared" si="21"/>
        <v>#N/A</v>
      </c>
    </row>
    <row r="1247" spans="1:7" x14ac:dyDescent="0.2">
      <c r="A1247" s="1132" t="s">
        <v>773</v>
      </c>
      <c r="B1247" s="617"/>
      <c r="C1247" s="617"/>
      <c r="D1247" s="617"/>
      <c r="E1247" s="617"/>
      <c r="F1247" s="201" t="e">
        <f>VLOOKUP(A1247,'Compos DER'!J:K,2,FALSE)</f>
        <v>#N/A</v>
      </c>
      <c r="G1247" s="198" t="e">
        <f t="shared" si="21"/>
        <v>#N/A</v>
      </c>
    </row>
    <row r="1248" spans="1:7" x14ac:dyDescent="0.2">
      <c r="A1248" s="1131" t="s">
        <v>708</v>
      </c>
      <c r="B1248" s="617"/>
      <c r="C1248" s="617"/>
      <c r="D1248" s="617"/>
      <c r="E1248" s="617"/>
      <c r="F1248" s="201" t="e">
        <f>VLOOKUP(A1248,'Compos DER'!J:K,2,FALSE)</f>
        <v>#N/A</v>
      </c>
      <c r="G1248" s="198" t="e">
        <f t="shared" si="21"/>
        <v>#N/A</v>
      </c>
    </row>
    <row r="1249" spans="1:7" x14ac:dyDescent="0.2">
      <c r="A1249" s="1131" t="s">
        <v>709</v>
      </c>
      <c r="B1249" s="617"/>
      <c r="C1249" s="617"/>
      <c r="D1249" s="617"/>
      <c r="E1249" s="617"/>
      <c r="F1249" s="201" t="e">
        <f>VLOOKUP(A1249,'Compos DER'!J:K,2,FALSE)</f>
        <v>#N/A</v>
      </c>
      <c r="G1249" s="198" t="e">
        <f t="shared" si="21"/>
        <v>#N/A</v>
      </c>
    </row>
    <row r="1250" spans="1:7" x14ac:dyDescent="0.2">
      <c r="A1250" s="1132" t="s">
        <v>1761</v>
      </c>
      <c r="B1250" s="617"/>
      <c r="C1250" s="617"/>
      <c r="D1250" s="617"/>
      <c r="E1250" s="617"/>
      <c r="F1250" s="201" t="e">
        <f>VLOOKUP(A1250,'Compos DER'!J:K,2,FALSE)</f>
        <v>#N/A</v>
      </c>
      <c r="G1250" s="198" t="e">
        <f t="shared" si="21"/>
        <v>#N/A</v>
      </c>
    </row>
    <row r="1251" spans="1:7" ht="18" x14ac:dyDescent="0.2">
      <c r="A1251" s="1133" t="s">
        <v>711</v>
      </c>
      <c r="B1251" s="1133" t="s">
        <v>712</v>
      </c>
      <c r="C1251" s="1133" t="s">
        <v>713</v>
      </c>
      <c r="D1251" s="1133" t="s">
        <v>714</v>
      </c>
      <c r="E1251" s="1133" t="s">
        <v>715</v>
      </c>
      <c r="F1251" s="201" t="e">
        <f>VLOOKUP(A1251,'Compos DER'!J:K,2,FALSE)</f>
        <v>#N/A</v>
      </c>
      <c r="G1251" s="198" t="e">
        <f t="shared" si="21"/>
        <v>#N/A</v>
      </c>
    </row>
    <row r="1252" spans="1:7" x14ac:dyDescent="0.2">
      <c r="A1252" s="1134">
        <v>42737</v>
      </c>
      <c r="B1252" s="616" t="s">
        <v>1852</v>
      </c>
      <c r="C1252" s="614" t="s">
        <v>838</v>
      </c>
      <c r="D1252" s="1135">
        <v>966.59</v>
      </c>
      <c r="E1252" s="616" t="s">
        <v>777</v>
      </c>
      <c r="F1252" s="201" t="e">
        <f>VLOOKUP(A1252,'Compos DER'!J:K,2,FALSE)</f>
        <v>#N/A</v>
      </c>
      <c r="G1252" s="198" t="e">
        <f t="shared" si="21"/>
        <v>#N/A</v>
      </c>
    </row>
    <row r="1253" spans="1:7" x14ac:dyDescent="0.2">
      <c r="A1253" s="1134">
        <v>42738</v>
      </c>
      <c r="B1253" s="616" t="s">
        <v>1853</v>
      </c>
      <c r="C1253" s="614" t="s">
        <v>838</v>
      </c>
      <c r="D1253" s="1137">
        <v>1102.98</v>
      </c>
      <c r="E1253" s="616" t="s">
        <v>777</v>
      </c>
      <c r="F1253" s="201" t="e">
        <f>VLOOKUP(A1253,'Compos DER'!J:K,2,FALSE)</f>
        <v>#N/A</v>
      </c>
      <c r="G1253" s="198" t="e">
        <f t="shared" si="21"/>
        <v>#N/A</v>
      </c>
    </row>
    <row r="1254" spans="1:7" x14ac:dyDescent="0.2">
      <c r="A1254" s="1134">
        <v>42739</v>
      </c>
      <c r="B1254" s="616" t="s">
        <v>1854</v>
      </c>
      <c r="C1254" s="614" t="s">
        <v>838</v>
      </c>
      <c r="D1254" s="1137">
        <v>1264.57</v>
      </c>
      <c r="E1254" s="616" t="s">
        <v>777</v>
      </c>
      <c r="F1254" s="201" t="e">
        <f>VLOOKUP(A1254,'Compos DER'!J:K,2,FALSE)</f>
        <v>#N/A</v>
      </c>
      <c r="G1254" s="198" t="e">
        <f t="shared" si="21"/>
        <v>#N/A</v>
      </c>
    </row>
    <row r="1255" spans="1:7" x14ac:dyDescent="0.2">
      <c r="A1255" s="1134">
        <v>42740</v>
      </c>
      <c r="B1255" s="616" t="s">
        <v>1855</v>
      </c>
      <c r="C1255" s="614" t="s">
        <v>838</v>
      </c>
      <c r="D1255" s="1137">
        <v>1369.96</v>
      </c>
      <c r="E1255" s="616" t="s">
        <v>777</v>
      </c>
      <c r="F1255" s="201" t="e">
        <f>VLOOKUP(A1255,'Compos DER'!J:K,2,FALSE)</f>
        <v>#N/A</v>
      </c>
      <c r="G1255" s="198" t="e">
        <f t="shared" si="21"/>
        <v>#N/A</v>
      </c>
    </row>
    <row r="1256" spans="1:7" x14ac:dyDescent="0.2">
      <c r="A1256" s="1134">
        <v>42741</v>
      </c>
      <c r="B1256" s="616" t="s">
        <v>1856</v>
      </c>
      <c r="C1256" s="614" t="s">
        <v>838</v>
      </c>
      <c r="D1256" s="1137">
        <v>1318.14</v>
      </c>
      <c r="E1256" s="616" t="s">
        <v>777</v>
      </c>
      <c r="F1256" s="201" t="e">
        <f>VLOOKUP(A1256,'Compos DER'!J:K,2,FALSE)</f>
        <v>#N/A</v>
      </c>
      <c r="G1256" s="198" t="e">
        <f t="shared" si="21"/>
        <v>#N/A</v>
      </c>
    </row>
    <row r="1257" spans="1:7" x14ac:dyDescent="0.2">
      <c r="A1257" s="1134">
        <v>42742</v>
      </c>
      <c r="B1257" s="616" t="s">
        <v>1857</v>
      </c>
      <c r="C1257" s="614" t="s">
        <v>838</v>
      </c>
      <c r="D1257" s="1137">
        <v>1596.55</v>
      </c>
      <c r="E1257" s="616" t="s">
        <v>777</v>
      </c>
      <c r="F1257" s="201" t="e">
        <f>VLOOKUP(A1257,'Compos DER'!J:K,2,FALSE)</f>
        <v>#N/A</v>
      </c>
      <c r="G1257" s="198" t="e">
        <f t="shared" si="21"/>
        <v>#N/A</v>
      </c>
    </row>
    <row r="1258" spans="1:7" x14ac:dyDescent="0.2">
      <c r="A1258" s="1134">
        <v>42743</v>
      </c>
      <c r="B1258" s="616" t="s">
        <v>1858</v>
      </c>
      <c r="C1258" s="614" t="s">
        <v>838</v>
      </c>
      <c r="D1258" s="1137">
        <v>1728.42</v>
      </c>
      <c r="E1258" s="616" t="s">
        <v>777</v>
      </c>
      <c r="F1258" s="201" t="e">
        <f>VLOOKUP(A1258,'Compos DER'!J:K,2,FALSE)</f>
        <v>#N/A</v>
      </c>
      <c r="G1258" s="198" t="e">
        <f t="shared" si="21"/>
        <v>#N/A</v>
      </c>
    </row>
    <row r="1259" spans="1:7" x14ac:dyDescent="0.2">
      <c r="A1259" s="1134">
        <v>42744</v>
      </c>
      <c r="B1259" s="616" t="s">
        <v>1859</v>
      </c>
      <c r="C1259" s="614" t="s">
        <v>838</v>
      </c>
      <c r="D1259" s="1137">
        <v>1715.6</v>
      </c>
      <c r="E1259" s="616" t="s">
        <v>777</v>
      </c>
      <c r="F1259" s="201" t="e">
        <f>VLOOKUP(A1259,'Compos DER'!J:K,2,FALSE)</f>
        <v>#N/A</v>
      </c>
      <c r="G1259" s="198" t="e">
        <f t="shared" si="21"/>
        <v>#N/A</v>
      </c>
    </row>
    <row r="1260" spans="1:7" x14ac:dyDescent="0.2">
      <c r="A1260" s="1134">
        <v>42745</v>
      </c>
      <c r="B1260" s="616" t="s">
        <v>1860</v>
      </c>
      <c r="C1260" s="614" t="s">
        <v>838</v>
      </c>
      <c r="D1260" s="1137">
        <v>1726.06</v>
      </c>
      <c r="E1260" s="616" t="s">
        <v>777</v>
      </c>
      <c r="F1260" s="201" t="e">
        <f>VLOOKUP(A1260,'Compos DER'!J:K,2,FALSE)</f>
        <v>#N/A</v>
      </c>
      <c r="G1260" s="198" t="e">
        <f t="shared" si="21"/>
        <v>#N/A</v>
      </c>
    </row>
    <row r="1261" spans="1:7" x14ac:dyDescent="0.2">
      <c r="A1261" s="1134">
        <v>42746</v>
      </c>
      <c r="B1261" s="616" t="s">
        <v>1861</v>
      </c>
      <c r="C1261" s="614" t="s">
        <v>838</v>
      </c>
      <c r="D1261" s="1137">
        <v>1783.79</v>
      </c>
      <c r="E1261" s="616" t="s">
        <v>777</v>
      </c>
      <c r="F1261" s="201" t="e">
        <f>VLOOKUP(A1261,'Compos DER'!J:K,2,FALSE)</f>
        <v>#N/A</v>
      </c>
      <c r="G1261" s="198" t="e">
        <f t="shared" si="21"/>
        <v>#N/A</v>
      </c>
    </row>
    <row r="1262" spans="1:7" x14ac:dyDescent="0.2">
      <c r="A1262" s="1134">
        <v>42747</v>
      </c>
      <c r="B1262" s="616" t="s">
        <v>1862</v>
      </c>
      <c r="C1262" s="614" t="s">
        <v>838</v>
      </c>
      <c r="D1262" s="1137">
        <v>2266.96</v>
      </c>
      <c r="E1262" s="616" t="s">
        <v>777</v>
      </c>
      <c r="F1262" s="201" t="e">
        <f>VLOOKUP(A1262,'Compos DER'!J:K,2,FALSE)</f>
        <v>#N/A</v>
      </c>
      <c r="G1262" s="198" t="e">
        <f t="shared" si="21"/>
        <v>#N/A</v>
      </c>
    </row>
    <row r="1263" spans="1:7" x14ac:dyDescent="0.2">
      <c r="A1263" s="1134">
        <v>42748</v>
      </c>
      <c r="B1263" s="616" t="s">
        <v>1863</v>
      </c>
      <c r="C1263" s="614" t="s">
        <v>838</v>
      </c>
      <c r="D1263" s="1135">
        <v>102.62</v>
      </c>
      <c r="E1263" s="616" t="s">
        <v>777</v>
      </c>
      <c r="F1263" s="201" t="e">
        <f>VLOOKUP(A1263,'Compos DER'!J:K,2,FALSE)</f>
        <v>#N/A</v>
      </c>
      <c r="G1263" s="198" t="e">
        <f t="shared" si="21"/>
        <v>#N/A</v>
      </c>
    </row>
    <row r="1264" spans="1:7" x14ac:dyDescent="0.2">
      <c r="A1264" s="1134">
        <v>42749</v>
      </c>
      <c r="B1264" s="616" t="s">
        <v>1864</v>
      </c>
      <c r="C1264" s="614" t="s">
        <v>838</v>
      </c>
      <c r="D1264" s="1135">
        <v>108.44</v>
      </c>
      <c r="E1264" s="616" t="s">
        <v>777</v>
      </c>
      <c r="F1264" s="201" t="e">
        <f>VLOOKUP(A1264,'Compos DER'!J:K,2,FALSE)</f>
        <v>#N/A</v>
      </c>
      <c r="G1264" s="198" t="e">
        <f t="shared" si="21"/>
        <v>#N/A</v>
      </c>
    </row>
    <row r="1265" spans="1:7" x14ac:dyDescent="0.2">
      <c r="A1265" s="1134">
        <v>42750</v>
      </c>
      <c r="B1265" s="616" t="s">
        <v>1865</v>
      </c>
      <c r="C1265" s="614" t="s">
        <v>838</v>
      </c>
      <c r="D1265" s="1135">
        <v>132.05000000000001</v>
      </c>
      <c r="E1265" s="616" t="s">
        <v>777</v>
      </c>
      <c r="F1265" s="201" t="e">
        <f>VLOOKUP(A1265,'Compos DER'!J:K,2,FALSE)</f>
        <v>#N/A</v>
      </c>
      <c r="G1265" s="198" t="e">
        <f t="shared" si="21"/>
        <v>#N/A</v>
      </c>
    </row>
    <row r="1266" spans="1:7" x14ac:dyDescent="0.2">
      <c r="A1266" s="1134">
        <v>42751</v>
      </c>
      <c r="B1266" s="616" t="s">
        <v>1866</v>
      </c>
      <c r="C1266" s="614" t="s">
        <v>838</v>
      </c>
      <c r="D1266" s="1135">
        <v>139.27000000000001</v>
      </c>
      <c r="E1266" s="616" t="s">
        <v>777</v>
      </c>
      <c r="F1266" s="201" t="e">
        <f>VLOOKUP(A1266,'Compos DER'!J:K,2,FALSE)</f>
        <v>#N/A</v>
      </c>
      <c r="G1266" s="198" t="e">
        <f t="shared" si="21"/>
        <v>#N/A</v>
      </c>
    </row>
    <row r="1267" spans="1:7" x14ac:dyDescent="0.2">
      <c r="A1267" s="1134">
        <v>42752</v>
      </c>
      <c r="B1267" s="616" t="s">
        <v>1867</v>
      </c>
      <c r="C1267" s="614" t="s">
        <v>838</v>
      </c>
      <c r="D1267" s="1135">
        <v>185.78</v>
      </c>
      <c r="E1267" s="616" t="s">
        <v>777</v>
      </c>
      <c r="F1267" s="201" t="e">
        <f>VLOOKUP(A1267,'Compos DER'!J:K,2,FALSE)</f>
        <v>#N/A</v>
      </c>
      <c r="G1267" s="198" t="e">
        <f t="shared" si="21"/>
        <v>#N/A</v>
      </c>
    </row>
    <row r="1268" spans="1:7" x14ac:dyDescent="0.2">
      <c r="A1268" s="1134">
        <v>42753</v>
      </c>
      <c r="B1268" s="616" t="s">
        <v>1868</v>
      </c>
      <c r="C1268" s="614" t="s">
        <v>838</v>
      </c>
      <c r="D1268" s="1135">
        <v>186.63</v>
      </c>
      <c r="E1268" s="616" t="s">
        <v>777</v>
      </c>
      <c r="F1268" s="201" t="e">
        <f>VLOOKUP(A1268,'Compos DER'!J:K,2,FALSE)</f>
        <v>#N/A</v>
      </c>
      <c r="G1268" s="198" t="e">
        <f t="shared" si="21"/>
        <v>#N/A</v>
      </c>
    </row>
    <row r="1269" spans="1:7" x14ac:dyDescent="0.2">
      <c r="A1269" s="1134">
        <v>42754</v>
      </c>
      <c r="B1269" s="616" t="s">
        <v>1869</v>
      </c>
      <c r="C1269" s="614" t="s">
        <v>838</v>
      </c>
      <c r="D1269" s="1135">
        <v>292.44</v>
      </c>
      <c r="E1269" s="616" t="s">
        <v>777</v>
      </c>
      <c r="F1269" s="201" t="e">
        <f>VLOOKUP(A1269,'Compos DER'!J:K,2,FALSE)</f>
        <v>#N/A</v>
      </c>
      <c r="G1269" s="198" t="e">
        <f t="shared" si="21"/>
        <v>#N/A</v>
      </c>
    </row>
    <row r="1270" spans="1:7" x14ac:dyDescent="0.2">
      <c r="A1270" s="1134">
        <v>42755</v>
      </c>
      <c r="B1270" s="616" t="s">
        <v>1870</v>
      </c>
      <c r="C1270" s="614" t="s">
        <v>838</v>
      </c>
      <c r="D1270" s="1135">
        <v>299.33999999999997</v>
      </c>
      <c r="E1270" s="616" t="s">
        <v>777</v>
      </c>
      <c r="F1270" s="201" t="e">
        <f>VLOOKUP(A1270,'Compos DER'!J:K,2,FALSE)</f>
        <v>#N/A</v>
      </c>
      <c r="G1270" s="198" t="e">
        <f t="shared" si="21"/>
        <v>#N/A</v>
      </c>
    </row>
    <row r="1271" spans="1:7" x14ac:dyDescent="0.2">
      <c r="A1271" s="1134">
        <v>42756</v>
      </c>
      <c r="B1271" s="616" t="s">
        <v>1871</v>
      </c>
      <c r="C1271" s="614" t="s">
        <v>838</v>
      </c>
      <c r="D1271" s="1135">
        <v>149.26</v>
      </c>
      <c r="E1271" s="616" t="s">
        <v>777</v>
      </c>
      <c r="F1271" s="201" t="e">
        <f>VLOOKUP(A1271,'Compos DER'!J:K,2,FALSE)</f>
        <v>#N/A</v>
      </c>
      <c r="G1271" s="198" t="e">
        <f t="shared" si="21"/>
        <v>#N/A</v>
      </c>
    </row>
    <row r="1272" spans="1:7" x14ac:dyDescent="0.2">
      <c r="A1272" s="1134">
        <v>42757</v>
      </c>
      <c r="B1272" s="616" t="s">
        <v>1872</v>
      </c>
      <c r="C1272" s="614" t="s">
        <v>838</v>
      </c>
      <c r="D1272" s="1135">
        <v>195.59</v>
      </c>
      <c r="E1272" s="616" t="s">
        <v>777</v>
      </c>
      <c r="F1272" s="201" t="e">
        <f>VLOOKUP(A1272,'Compos DER'!J:K,2,FALSE)</f>
        <v>#N/A</v>
      </c>
      <c r="G1272" s="198" t="e">
        <f t="shared" si="21"/>
        <v>#N/A</v>
      </c>
    </row>
    <row r="1273" spans="1:7" x14ac:dyDescent="0.2">
      <c r="A1273" s="1134">
        <v>42759</v>
      </c>
      <c r="B1273" s="616" t="s">
        <v>1873</v>
      </c>
      <c r="C1273" s="614" t="s">
        <v>838</v>
      </c>
      <c r="D1273" s="1135">
        <v>199.01</v>
      </c>
      <c r="E1273" s="616" t="s">
        <v>777</v>
      </c>
      <c r="F1273" s="201" t="e">
        <f>VLOOKUP(A1273,'Compos DER'!J:K,2,FALSE)</f>
        <v>#N/A</v>
      </c>
      <c r="G1273" s="198" t="e">
        <f t="shared" si="21"/>
        <v>#N/A</v>
      </c>
    </row>
    <row r="1274" spans="1:7" x14ac:dyDescent="0.2">
      <c r="A1274" s="1134">
        <v>42760</v>
      </c>
      <c r="B1274" s="616" t="s">
        <v>1874</v>
      </c>
      <c r="C1274" s="614" t="s">
        <v>838</v>
      </c>
      <c r="D1274" s="1135">
        <v>311.33999999999997</v>
      </c>
      <c r="E1274" s="616" t="s">
        <v>777</v>
      </c>
      <c r="F1274" s="201" t="e">
        <f>VLOOKUP(A1274,'Compos DER'!J:K,2,FALSE)</f>
        <v>#N/A</v>
      </c>
      <c r="G1274" s="198" t="e">
        <f t="shared" si="21"/>
        <v>#N/A</v>
      </c>
    </row>
    <row r="1275" spans="1:7" x14ac:dyDescent="0.2">
      <c r="A1275" s="1134">
        <v>42761</v>
      </c>
      <c r="B1275" s="616" t="s">
        <v>1875</v>
      </c>
      <c r="C1275" s="614" t="s">
        <v>838</v>
      </c>
      <c r="D1275" s="1135">
        <v>324.52</v>
      </c>
      <c r="E1275" s="616" t="s">
        <v>777</v>
      </c>
      <c r="F1275" s="201" t="e">
        <f>VLOOKUP(A1275,'Compos DER'!J:K,2,FALSE)</f>
        <v>#N/A</v>
      </c>
      <c r="G1275" s="198" t="e">
        <f t="shared" si="21"/>
        <v>#N/A</v>
      </c>
    </row>
    <row r="1276" spans="1:7" x14ac:dyDescent="0.2">
      <c r="A1276" s="1134">
        <v>42762</v>
      </c>
      <c r="B1276" s="616" t="s">
        <v>1876</v>
      </c>
      <c r="C1276" s="614" t="s">
        <v>838</v>
      </c>
      <c r="D1276" s="1135">
        <v>313.51</v>
      </c>
      <c r="E1276" s="616" t="s">
        <v>777</v>
      </c>
      <c r="F1276" s="201" t="e">
        <f>VLOOKUP(A1276,'Compos DER'!J:K,2,FALSE)</f>
        <v>#N/A</v>
      </c>
      <c r="G1276" s="198" t="e">
        <f t="shared" si="21"/>
        <v>#N/A</v>
      </c>
    </row>
    <row r="1277" spans="1:7" x14ac:dyDescent="0.2">
      <c r="A1277" s="1134">
        <v>42763</v>
      </c>
      <c r="B1277" s="616" t="s">
        <v>1877</v>
      </c>
      <c r="C1277" s="614" t="s">
        <v>838</v>
      </c>
      <c r="D1277" s="1135">
        <v>309.17</v>
      </c>
      <c r="E1277" s="616" t="s">
        <v>777</v>
      </c>
      <c r="F1277" s="201" t="e">
        <f>VLOOKUP(A1277,'Compos DER'!J:K,2,FALSE)</f>
        <v>#N/A</v>
      </c>
      <c r="G1277" s="198" t="e">
        <f t="shared" si="21"/>
        <v>#N/A</v>
      </c>
    </row>
    <row r="1278" spans="1:7" x14ac:dyDescent="0.2">
      <c r="A1278" s="1134">
        <v>42764</v>
      </c>
      <c r="B1278" s="616" t="s">
        <v>1878</v>
      </c>
      <c r="C1278" s="614" t="s">
        <v>838</v>
      </c>
      <c r="D1278" s="1135">
        <v>624.98</v>
      </c>
      <c r="E1278" s="616" t="s">
        <v>777</v>
      </c>
      <c r="F1278" s="201" t="e">
        <f>VLOOKUP(A1278,'Compos DER'!J:K,2,FALSE)</f>
        <v>#N/A</v>
      </c>
      <c r="G1278" s="198" t="e">
        <f t="shared" ref="G1278:G1341" si="22">+F1278/D1278</f>
        <v>#N/A</v>
      </c>
    </row>
    <row r="1279" spans="1:7" x14ac:dyDescent="0.2">
      <c r="A1279" s="1134">
        <v>42765</v>
      </c>
      <c r="B1279" s="616" t="s">
        <v>1879</v>
      </c>
      <c r="C1279" s="614" t="s">
        <v>838</v>
      </c>
      <c r="D1279" s="1135">
        <v>620.76</v>
      </c>
      <c r="E1279" s="616" t="s">
        <v>777</v>
      </c>
      <c r="F1279" s="201" t="e">
        <f>VLOOKUP(A1279,'Compos DER'!J:K,2,FALSE)</f>
        <v>#N/A</v>
      </c>
      <c r="G1279" s="198" t="e">
        <f t="shared" si="22"/>
        <v>#N/A</v>
      </c>
    </row>
    <row r="1280" spans="1:7" x14ac:dyDescent="0.2">
      <c r="A1280" s="1134">
        <v>42766</v>
      </c>
      <c r="B1280" s="616" t="s">
        <v>1880</v>
      </c>
      <c r="C1280" s="614" t="s">
        <v>838</v>
      </c>
      <c r="D1280" s="1135">
        <v>632.4</v>
      </c>
      <c r="E1280" s="616" t="s">
        <v>777</v>
      </c>
      <c r="F1280" s="201" t="e">
        <f>VLOOKUP(A1280,'Compos DER'!J:K,2,FALSE)</f>
        <v>#N/A</v>
      </c>
      <c r="G1280" s="198" t="e">
        <f t="shared" si="22"/>
        <v>#N/A</v>
      </c>
    </row>
    <row r="1281" spans="1:7" x14ac:dyDescent="0.2">
      <c r="A1281" s="1134">
        <v>42767</v>
      </c>
      <c r="B1281" s="616" t="s">
        <v>1881</v>
      </c>
      <c r="C1281" s="614" t="s">
        <v>838</v>
      </c>
      <c r="D1281" s="1135">
        <v>615.4</v>
      </c>
      <c r="E1281" s="616" t="s">
        <v>777</v>
      </c>
      <c r="F1281" s="201" t="e">
        <f>VLOOKUP(A1281,'Compos DER'!J:K,2,FALSE)</f>
        <v>#N/A</v>
      </c>
      <c r="G1281" s="198" t="e">
        <f t="shared" si="22"/>
        <v>#N/A</v>
      </c>
    </row>
    <row r="1282" spans="1:7" x14ac:dyDescent="0.2">
      <c r="A1282" s="1134">
        <v>42768</v>
      </c>
      <c r="B1282" s="616" t="s">
        <v>1882</v>
      </c>
      <c r="C1282" s="614" t="s">
        <v>838</v>
      </c>
      <c r="D1282" s="1135">
        <v>796.69</v>
      </c>
      <c r="E1282" s="616" t="s">
        <v>777</v>
      </c>
      <c r="F1282" s="201" t="e">
        <f>VLOOKUP(A1282,'Compos DER'!J:K,2,FALSE)</f>
        <v>#N/A</v>
      </c>
      <c r="G1282" s="198" t="e">
        <f t="shared" si="22"/>
        <v>#N/A</v>
      </c>
    </row>
    <row r="1283" spans="1:7" x14ac:dyDescent="0.2">
      <c r="A1283" s="1134">
        <v>42769</v>
      </c>
      <c r="B1283" s="616" t="s">
        <v>1883</v>
      </c>
      <c r="C1283" s="614" t="s">
        <v>838</v>
      </c>
      <c r="D1283" s="1135">
        <v>789.07</v>
      </c>
      <c r="E1283" s="616" t="s">
        <v>777</v>
      </c>
      <c r="F1283" s="201" t="e">
        <f>VLOOKUP(A1283,'Compos DER'!J:K,2,FALSE)</f>
        <v>#N/A</v>
      </c>
      <c r="G1283" s="198" t="e">
        <f t="shared" si="22"/>
        <v>#N/A</v>
      </c>
    </row>
    <row r="1284" spans="1:7" x14ac:dyDescent="0.2">
      <c r="A1284" s="1134">
        <v>42770</v>
      </c>
      <c r="B1284" s="616" t="s">
        <v>1884</v>
      </c>
      <c r="C1284" s="614" t="s">
        <v>838</v>
      </c>
      <c r="D1284" s="1135">
        <v>819.7</v>
      </c>
      <c r="E1284" s="616" t="s">
        <v>777</v>
      </c>
      <c r="F1284" s="201" t="e">
        <f>VLOOKUP(A1284,'Compos DER'!J:K,2,FALSE)</f>
        <v>#N/A</v>
      </c>
      <c r="G1284" s="198" t="e">
        <f t="shared" si="22"/>
        <v>#N/A</v>
      </c>
    </row>
    <row r="1285" spans="1:7" x14ac:dyDescent="0.2">
      <c r="A1285" s="1134">
        <v>42771</v>
      </c>
      <c r="B1285" s="616" t="s">
        <v>1885</v>
      </c>
      <c r="C1285" s="614" t="s">
        <v>838</v>
      </c>
      <c r="D1285" s="1135">
        <v>807.8</v>
      </c>
      <c r="E1285" s="616" t="s">
        <v>777</v>
      </c>
      <c r="F1285" s="201" t="e">
        <f>VLOOKUP(A1285,'Compos DER'!J:K,2,FALSE)</f>
        <v>#N/A</v>
      </c>
      <c r="G1285" s="198" t="e">
        <f t="shared" si="22"/>
        <v>#N/A</v>
      </c>
    </row>
    <row r="1286" spans="1:7" x14ac:dyDescent="0.2">
      <c r="A1286" s="1134">
        <v>42772</v>
      </c>
      <c r="B1286" s="616" t="s">
        <v>1886</v>
      </c>
      <c r="C1286" s="614" t="s">
        <v>838</v>
      </c>
      <c r="D1286" s="1137">
        <v>1094.76</v>
      </c>
      <c r="E1286" s="616" t="s">
        <v>777</v>
      </c>
      <c r="F1286" s="201" t="e">
        <f>VLOOKUP(A1286,'Compos DER'!J:K,2,FALSE)</f>
        <v>#N/A</v>
      </c>
      <c r="G1286" s="198" t="e">
        <f t="shared" si="22"/>
        <v>#N/A</v>
      </c>
    </row>
    <row r="1287" spans="1:7" x14ac:dyDescent="0.2">
      <c r="A1287" s="1132" t="s">
        <v>773</v>
      </c>
      <c r="B1287" s="617"/>
      <c r="C1287" s="617"/>
      <c r="D1287" s="617"/>
      <c r="E1287" s="617"/>
      <c r="F1287" s="201" t="e">
        <f>VLOOKUP(A1287,'Compos DER'!J:K,2,FALSE)</f>
        <v>#N/A</v>
      </c>
      <c r="G1287" s="198" t="e">
        <f t="shared" si="22"/>
        <v>#N/A</v>
      </c>
    </row>
    <row r="1288" spans="1:7" x14ac:dyDescent="0.2">
      <c r="A1288" s="1131" t="s">
        <v>708</v>
      </c>
      <c r="B1288" s="617"/>
      <c r="C1288" s="617"/>
      <c r="D1288" s="617"/>
      <c r="E1288" s="617"/>
      <c r="F1288" s="201" t="e">
        <f>VLOOKUP(A1288,'Compos DER'!J:K,2,FALSE)</f>
        <v>#N/A</v>
      </c>
      <c r="G1288" s="198" t="e">
        <f t="shared" si="22"/>
        <v>#N/A</v>
      </c>
    </row>
    <row r="1289" spans="1:7" x14ac:dyDescent="0.2">
      <c r="A1289" s="1131" t="s">
        <v>709</v>
      </c>
      <c r="B1289" s="617"/>
      <c r="C1289" s="617"/>
      <c r="D1289" s="617"/>
      <c r="E1289" s="617"/>
      <c r="F1289" s="201" t="e">
        <f>VLOOKUP(A1289,'Compos DER'!J:K,2,FALSE)</f>
        <v>#N/A</v>
      </c>
      <c r="G1289" s="198" t="e">
        <f t="shared" si="22"/>
        <v>#N/A</v>
      </c>
    </row>
    <row r="1290" spans="1:7" x14ac:dyDescent="0.2">
      <c r="A1290" s="1132" t="s">
        <v>1761</v>
      </c>
      <c r="B1290" s="617"/>
      <c r="C1290" s="617"/>
      <c r="D1290" s="617"/>
      <c r="E1290" s="617"/>
      <c r="F1290" s="201" t="e">
        <f>VLOOKUP(A1290,'Compos DER'!J:K,2,FALSE)</f>
        <v>#N/A</v>
      </c>
      <c r="G1290" s="198" t="e">
        <f t="shared" si="22"/>
        <v>#N/A</v>
      </c>
    </row>
    <row r="1291" spans="1:7" ht="18" x14ac:dyDescent="0.2">
      <c r="A1291" s="1133" t="s">
        <v>711</v>
      </c>
      <c r="B1291" s="1133" t="s">
        <v>712</v>
      </c>
      <c r="C1291" s="1133" t="s">
        <v>713</v>
      </c>
      <c r="D1291" s="1133" t="s">
        <v>714</v>
      </c>
      <c r="E1291" s="1133" t="s">
        <v>715</v>
      </c>
      <c r="F1291" s="201" t="e">
        <f>VLOOKUP(A1291,'Compos DER'!J:K,2,FALSE)</f>
        <v>#N/A</v>
      </c>
      <c r="G1291" s="198" t="e">
        <f t="shared" si="22"/>
        <v>#N/A</v>
      </c>
    </row>
    <row r="1292" spans="1:7" x14ac:dyDescent="0.2">
      <c r="A1292" s="1134">
        <v>42773</v>
      </c>
      <c r="B1292" s="616" t="s">
        <v>1887</v>
      </c>
      <c r="C1292" s="614" t="s">
        <v>838</v>
      </c>
      <c r="D1292" s="1137">
        <v>1057.77</v>
      </c>
      <c r="E1292" s="616" t="s">
        <v>777</v>
      </c>
      <c r="F1292" s="201" t="e">
        <f>VLOOKUP(A1292,'Compos DER'!J:K,2,FALSE)</f>
        <v>#N/A</v>
      </c>
      <c r="G1292" s="198" t="e">
        <f t="shared" si="22"/>
        <v>#N/A</v>
      </c>
    </row>
    <row r="1293" spans="1:7" x14ac:dyDescent="0.2">
      <c r="A1293" s="1134">
        <v>42774</v>
      </c>
      <c r="B1293" s="616" t="s">
        <v>1888</v>
      </c>
      <c r="C1293" s="614" t="s">
        <v>838</v>
      </c>
      <c r="D1293" s="1137">
        <v>1110.47</v>
      </c>
      <c r="E1293" s="616" t="s">
        <v>777</v>
      </c>
      <c r="F1293" s="201" t="e">
        <f>VLOOKUP(A1293,'Compos DER'!J:K,2,FALSE)</f>
        <v>#N/A</v>
      </c>
      <c r="G1293" s="198" t="e">
        <f t="shared" si="22"/>
        <v>#N/A</v>
      </c>
    </row>
    <row r="1294" spans="1:7" x14ac:dyDescent="0.2">
      <c r="A1294" s="1134">
        <v>42775</v>
      </c>
      <c r="B1294" s="616" t="s">
        <v>1889</v>
      </c>
      <c r="C1294" s="614" t="s">
        <v>838</v>
      </c>
      <c r="D1294" s="1137">
        <v>1084.56</v>
      </c>
      <c r="E1294" s="616" t="s">
        <v>777</v>
      </c>
      <c r="F1294" s="201" t="e">
        <f>VLOOKUP(A1294,'Compos DER'!J:K,2,FALSE)</f>
        <v>#N/A</v>
      </c>
      <c r="G1294" s="198" t="e">
        <f t="shared" si="22"/>
        <v>#N/A</v>
      </c>
    </row>
    <row r="1295" spans="1:7" x14ac:dyDescent="0.2">
      <c r="A1295" s="1134">
        <v>42776</v>
      </c>
      <c r="B1295" s="616" t="s">
        <v>1890</v>
      </c>
      <c r="C1295" s="614" t="s">
        <v>838</v>
      </c>
      <c r="D1295" s="1135">
        <v>191.24</v>
      </c>
      <c r="E1295" s="616" t="s">
        <v>777</v>
      </c>
      <c r="F1295" s="201" t="e">
        <f>VLOOKUP(A1295,'Compos DER'!J:K,2,FALSE)</f>
        <v>#N/A</v>
      </c>
      <c r="G1295" s="198" t="e">
        <f t="shared" si="22"/>
        <v>#N/A</v>
      </c>
    </row>
    <row r="1296" spans="1:7" x14ac:dyDescent="0.2">
      <c r="A1296" s="1134">
        <v>42777</v>
      </c>
      <c r="B1296" s="616" t="s">
        <v>1891</v>
      </c>
      <c r="C1296" s="614" t="s">
        <v>838</v>
      </c>
      <c r="D1296" s="1135">
        <v>204.42</v>
      </c>
      <c r="E1296" s="616" t="s">
        <v>777</v>
      </c>
      <c r="F1296" s="201" t="e">
        <f>VLOOKUP(A1296,'Compos DER'!J:K,2,FALSE)</f>
        <v>#N/A</v>
      </c>
      <c r="G1296" s="198" t="e">
        <f t="shared" si="22"/>
        <v>#N/A</v>
      </c>
    </row>
    <row r="1297" spans="1:7" x14ac:dyDescent="0.2">
      <c r="A1297" s="1134">
        <v>42778</v>
      </c>
      <c r="B1297" s="616" t="s">
        <v>1892</v>
      </c>
      <c r="C1297" s="614" t="s">
        <v>838</v>
      </c>
      <c r="D1297" s="1135">
        <v>193.41</v>
      </c>
      <c r="E1297" s="616" t="s">
        <v>777</v>
      </c>
      <c r="F1297" s="201" t="e">
        <f>VLOOKUP(A1297,'Compos DER'!J:K,2,FALSE)</f>
        <v>#N/A</v>
      </c>
      <c r="G1297" s="198" t="e">
        <f t="shared" si="22"/>
        <v>#N/A</v>
      </c>
    </row>
    <row r="1298" spans="1:7" x14ac:dyDescent="0.2">
      <c r="A1298" s="1134">
        <v>42779</v>
      </c>
      <c r="B1298" s="616" t="s">
        <v>1893</v>
      </c>
      <c r="C1298" s="614" t="s">
        <v>838</v>
      </c>
      <c r="D1298" s="1135">
        <v>189.07</v>
      </c>
      <c r="E1298" s="616" t="s">
        <v>777</v>
      </c>
      <c r="F1298" s="201" t="e">
        <f>VLOOKUP(A1298,'Compos DER'!J:K,2,FALSE)</f>
        <v>#N/A</v>
      </c>
      <c r="G1298" s="198" t="e">
        <f t="shared" si="22"/>
        <v>#N/A</v>
      </c>
    </row>
    <row r="1299" spans="1:7" x14ac:dyDescent="0.2">
      <c r="A1299" s="1134">
        <v>42780</v>
      </c>
      <c r="B1299" s="616" t="s">
        <v>1894</v>
      </c>
      <c r="C1299" s="614" t="s">
        <v>838</v>
      </c>
      <c r="D1299" s="1135">
        <v>455.48</v>
      </c>
      <c r="E1299" s="616" t="s">
        <v>777</v>
      </c>
      <c r="F1299" s="201" t="e">
        <f>VLOOKUP(A1299,'Compos DER'!J:K,2,FALSE)</f>
        <v>#N/A</v>
      </c>
      <c r="G1299" s="198" t="e">
        <f t="shared" si="22"/>
        <v>#N/A</v>
      </c>
    </row>
    <row r="1300" spans="1:7" x14ac:dyDescent="0.2">
      <c r="A1300" s="1134">
        <v>42781</v>
      </c>
      <c r="B1300" s="616" t="s">
        <v>1895</v>
      </c>
      <c r="C1300" s="614" t="s">
        <v>838</v>
      </c>
      <c r="D1300" s="1135">
        <v>451.26</v>
      </c>
      <c r="E1300" s="616" t="s">
        <v>777</v>
      </c>
      <c r="F1300" s="201" t="e">
        <f>VLOOKUP(A1300,'Compos DER'!J:K,2,FALSE)</f>
        <v>#N/A</v>
      </c>
      <c r="G1300" s="198" t="e">
        <f t="shared" si="22"/>
        <v>#N/A</v>
      </c>
    </row>
    <row r="1301" spans="1:7" x14ac:dyDescent="0.2">
      <c r="A1301" s="1134">
        <v>42782</v>
      </c>
      <c r="B1301" s="616" t="s">
        <v>1896</v>
      </c>
      <c r="C1301" s="614" t="s">
        <v>838</v>
      </c>
      <c r="D1301" s="1135">
        <v>462.9</v>
      </c>
      <c r="E1301" s="616" t="s">
        <v>777</v>
      </c>
      <c r="F1301" s="201" t="e">
        <f>VLOOKUP(A1301,'Compos DER'!J:K,2,FALSE)</f>
        <v>#N/A</v>
      </c>
      <c r="G1301" s="198" t="e">
        <f t="shared" si="22"/>
        <v>#N/A</v>
      </c>
    </row>
    <row r="1302" spans="1:7" x14ac:dyDescent="0.2">
      <c r="A1302" s="1134">
        <v>42783</v>
      </c>
      <c r="B1302" s="616" t="s">
        <v>1897</v>
      </c>
      <c r="C1302" s="614" t="s">
        <v>838</v>
      </c>
      <c r="D1302" s="1135">
        <v>445.9</v>
      </c>
      <c r="E1302" s="616" t="s">
        <v>777</v>
      </c>
      <c r="F1302" s="201" t="e">
        <f>VLOOKUP(A1302,'Compos DER'!J:K,2,FALSE)</f>
        <v>#N/A</v>
      </c>
      <c r="G1302" s="198" t="e">
        <f t="shared" si="22"/>
        <v>#N/A</v>
      </c>
    </row>
    <row r="1303" spans="1:7" x14ac:dyDescent="0.2">
      <c r="A1303" s="1134">
        <v>42784</v>
      </c>
      <c r="B1303" s="616" t="s">
        <v>1898</v>
      </c>
      <c r="C1303" s="614" t="s">
        <v>838</v>
      </c>
      <c r="D1303" s="1135">
        <v>523.39</v>
      </c>
      <c r="E1303" s="616" t="s">
        <v>777</v>
      </c>
      <c r="F1303" s="201" t="e">
        <f>VLOOKUP(A1303,'Compos DER'!J:K,2,FALSE)</f>
        <v>#N/A</v>
      </c>
      <c r="G1303" s="198" t="e">
        <f t="shared" si="22"/>
        <v>#N/A</v>
      </c>
    </row>
    <row r="1304" spans="1:7" x14ac:dyDescent="0.2">
      <c r="A1304" s="1134">
        <v>42785</v>
      </c>
      <c r="B1304" s="616" t="s">
        <v>1899</v>
      </c>
      <c r="C1304" s="614" t="s">
        <v>838</v>
      </c>
      <c r="D1304" s="1135">
        <v>515.77</v>
      </c>
      <c r="E1304" s="616" t="s">
        <v>777</v>
      </c>
      <c r="F1304" s="201" t="e">
        <f>VLOOKUP(A1304,'Compos DER'!J:K,2,FALSE)</f>
        <v>#N/A</v>
      </c>
      <c r="G1304" s="198" t="e">
        <f t="shared" si="22"/>
        <v>#N/A</v>
      </c>
    </row>
    <row r="1305" spans="1:7" x14ac:dyDescent="0.2">
      <c r="A1305" s="1134">
        <v>42786</v>
      </c>
      <c r="B1305" s="616" t="s">
        <v>1900</v>
      </c>
      <c r="C1305" s="614" t="s">
        <v>838</v>
      </c>
      <c r="D1305" s="1135">
        <v>546.4</v>
      </c>
      <c r="E1305" s="616" t="s">
        <v>777</v>
      </c>
      <c r="F1305" s="201" t="e">
        <f>VLOOKUP(A1305,'Compos DER'!J:K,2,FALSE)</f>
        <v>#N/A</v>
      </c>
      <c r="G1305" s="198" t="e">
        <f t="shared" si="22"/>
        <v>#N/A</v>
      </c>
    </row>
    <row r="1306" spans="1:7" x14ac:dyDescent="0.2">
      <c r="A1306" s="1134">
        <v>42787</v>
      </c>
      <c r="B1306" s="616" t="s">
        <v>1901</v>
      </c>
      <c r="C1306" s="614" t="s">
        <v>838</v>
      </c>
      <c r="D1306" s="1135">
        <v>534.5</v>
      </c>
      <c r="E1306" s="616" t="s">
        <v>777</v>
      </c>
      <c r="F1306" s="201" t="e">
        <f>VLOOKUP(A1306,'Compos DER'!J:K,2,FALSE)</f>
        <v>#N/A</v>
      </c>
      <c r="G1306" s="198" t="e">
        <f t="shared" si="22"/>
        <v>#N/A</v>
      </c>
    </row>
    <row r="1307" spans="1:7" x14ac:dyDescent="0.2">
      <c r="A1307" s="1134">
        <v>42788</v>
      </c>
      <c r="B1307" s="616" t="s">
        <v>1902</v>
      </c>
      <c r="C1307" s="614" t="s">
        <v>838</v>
      </c>
      <c r="D1307" s="1135">
        <v>602.70000000000005</v>
      </c>
      <c r="E1307" s="616" t="s">
        <v>777</v>
      </c>
      <c r="F1307" s="201" t="e">
        <f>VLOOKUP(A1307,'Compos DER'!J:K,2,FALSE)</f>
        <v>#N/A</v>
      </c>
      <c r="G1307" s="198" t="e">
        <f t="shared" si="22"/>
        <v>#N/A</v>
      </c>
    </row>
    <row r="1308" spans="1:7" x14ac:dyDescent="0.2">
      <c r="A1308" s="1134">
        <v>42789</v>
      </c>
      <c r="B1308" s="616" t="s">
        <v>1903</v>
      </c>
      <c r="C1308" s="614" t="s">
        <v>838</v>
      </c>
      <c r="D1308" s="1135">
        <v>724.87</v>
      </c>
      <c r="E1308" s="616" t="s">
        <v>777</v>
      </c>
      <c r="F1308" s="201" t="e">
        <f>VLOOKUP(A1308,'Compos DER'!J:K,2,FALSE)</f>
        <v>#N/A</v>
      </c>
      <c r="G1308" s="198" t="e">
        <f t="shared" si="22"/>
        <v>#N/A</v>
      </c>
    </row>
    <row r="1309" spans="1:7" x14ac:dyDescent="0.2">
      <c r="A1309" s="1134">
        <v>42790</v>
      </c>
      <c r="B1309" s="616" t="s">
        <v>1904</v>
      </c>
      <c r="C1309" s="614" t="s">
        <v>838</v>
      </c>
      <c r="D1309" s="1135">
        <v>687.89</v>
      </c>
      <c r="E1309" s="616" t="s">
        <v>777</v>
      </c>
      <c r="F1309" s="201" t="e">
        <f>VLOOKUP(A1309,'Compos DER'!J:K,2,FALSE)</f>
        <v>#N/A</v>
      </c>
      <c r="G1309" s="198" t="e">
        <f t="shared" si="22"/>
        <v>#N/A</v>
      </c>
    </row>
    <row r="1310" spans="1:7" x14ac:dyDescent="0.2">
      <c r="A1310" s="1134">
        <v>42791</v>
      </c>
      <c r="B1310" s="616" t="s">
        <v>1905</v>
      </c>
      <c r="C1310" s="614" t="s">
        <v>838</v>
      </c>
      <c r="D1310" s="1135">
        <v>740.58</v>
      </c>
      <c r="E1310" s="616" t="s">
        <v>777</v>
      </c>
      <c r="F1310" s="201" t="e">
        <f>VLOOKUP(A1310,'Compos DER'!J:K,2,FALSE)</f>
        <v>#N/A</v>
      </c>
      <c r="G1310" s="198" t="e">
        <f t="shared" si="22"/>
        <v>#N/A</v>
      </c>
    </row>
    <row r="1311" spans="1:7" x14ac:dyDescent="0.2">
      <c r="A1311" s="1134">
        <v>42792</v>
      </c>
      <c r="B1311" s="616" t="s">
        <v>1906</v>
      </c>
      <c r="C1311" s="614" t="s">
        <v>838</v>
      </c>
      <c r="D1311" s="1135">
        <v>714.67</v>
      </c>
      <c r="E1311" s="616" t="s">
        <v>777</v>
      </c>
      <c r="F1311" s="201" t="e">
        <f>VLOOKUP(A1311,'Compos DER'!J:K,2,FALSE)</f>
        <v>#N/A</v>
      </c>
      <c r="G1311" s="198" t="e">
        <f t="shared" si="22"/>
        <v>#N/A</v>
      </c>
    </row>
    <row r="1312" spans="1:7" x14ac:dyDescent="0.2">
      <c r="A1312" s="1134">
        <v>42793</v>
      </c>
      <c r="B1312" s="616" t="s">
        <v>1907</v>
      </c>
      <c r="C1312" s="614" t="s">
        <v>838</v>
      </c>
      <c r="D1312" s="1135">
        <v>853.88</v>
      </c>
      <c r="E1312" s="616" t="s">
        <v>777</v>
      </c>
      <c r="F1312" s="201" t="e">
        <f>VLOOKUP(A1312,'Compos DER'!J:K,2,FALSE)</f>
        <v>#N/A</v>
      </c>
      <c r="G1312" s="198" t="e">
        <f t="shared" si="22"/>
        <v>#N/A</v>
      </c>
    </row>
    <row r="1313" spans="1:7" x14ac:dyDescent="0.2">
      <c r="A1313" s="1134">
        <v>42794</v>
      </c>
      <c r="B1313" s="616" t="s">
        <v>1908</v>
      </c>
      <c r="C1313" s="614" t="s">
        <v>838</v>
      </c>
      <c r="D1313" s="1135">
        <v>915.4</v>
      </c>
      <c r="E1313" s="616" t="s">
        <v>777</v>
      </c>
      <c r="F1313" s="201" t="e">
        <f>VLOOKUP(A1313,'Compos DER'!J:K,2,FALSE)</f>
        <v>#N/A</v>
      </c>
      <c r="G1313" s="198" t="e">
        <f t="shared" si="22"/>
        <v>#N/A</v>
      </c>
    </row>
    <row r="1314" spans="1:7" x14ac:dyDescent="0.2">
      <c r="A1314" s="1134">
        <v>42758</v>
      </c>
      <c r="B1314" s="616" t="s">
        <v>1909</v>
      </c>
      <c r="C1314" s="614" t="s">
        <v>838</v>
      </c>
      <c r="D1314" s="1135">
        <v>908.99</v>
      </c>
      <c r="E1314" s="616" t="s">
        <v>777</v>
      </c>
      <c r="F1314" s="201" t="e">
        <f>VLOOKUP(A1314,'Compos DER'!J:K,2,FALSE)</f>
        <v>#N/A</v>
      </c>
      <c r="G1314" s="198" t="e">
        <f t="shared" si="22"/>
        <v>#N/A</v>
      </c>
    </row>
    <row r="1315" spans="1:7" x14ac:dyDescent="0.2">
      <c r="A1315" s="1134">
        <v>42795</v>
      </c>
      <c r="B1315" s="616" t="s">
        <v>1910</v>
      </c>
      <c r="C1315" s="614" t="s">
        <v>838</v>
      </c>
      <c r="D1315" s="1135">
        <v>914.22</v>
      </c>
      <c r="E1315" s="616" t="s">
        <v>777</v>
      </c>
      <c r="F1315" s="201" t="e">
        <f>VLOOKUP(A1315,'Compos DER'!J:K,2,FALSE)</f>
        <v>#N/A</v>
      </c>
      <c r="G1315" s="198" t="e">
        <f t="shared" si="22"/>
        <v>#N/A</v>
      </c>
    </row>
    <row r="1316" spans="1:7" x14ac:dyDescent="0.2">
      <c r="A1316" s="1134">
        <v>42796</v>
      </c>
      <c r="B1316" s="616" t="s">
        <v>1911</v>
      </c>
      <c r="C1316" s="614" t="s">
        <v>838</v>
      </c>
      <c r="D1316" s="1135">
        <v>943.08</v>
      </c>
      <c r="E1316" s="616" t="s">
        <v>777</v>
      </c>
      <c r="F1316" s="201" t="e">
        <f>VLOOKUP(A1316,'Compos DER'!J:K,2,FALSE)</f>
        <v>#N/A</v>
      </c>
      <c r="G1316" s="198" t="e">
        <f t="shared" si="22"/>
        <v>#N/A</v>
      </c>
    </row>
    <row r="1317" spans="1:7" x14ac:dyDescent="0.2">
      <c r="A1317" s="1134">
        <v>42797</v>
      </c>
      <c r="B1317" s="616" t="s">
        <v>1912</v>
      </c>
      <c r="C1317" s="614" t="s">
        <v>838</v>
      </c>
      <c r="D1317" s="1137">
        <v>1184.67</v>
      </c>
      <c r="E1317" s="616" t="s">
        <v>777</v>
      </c>
      <c r="F1317" s="201" t="e">
        <f>VLOOKUP(A1317,'Compos DER'!J:K,2,FALSE)</f>
        <v>#N/A</v>
      </c>
      <c r="G1317" s="198" t="e">
        <f t="shared" si="22"/>
        <v>#N/A</v>
      </c>
    </row>
    <row r="1318" spans="1:7" x14ac:dyDescent="0.2">
      <c r="A1318" s="1134">
        <v>42798</v>
      </c>
      <c r="B1318" s="616" t="s">
        <v>1913</v>
      </c>
      <c r="C1318" s="614" t="s">
        <v>838</v>
      </c>
      <c r="D1318" s="1135">
        <v>569.4</v>
      </c>
      <c r="E1318" s="616" t="s">
        <v>777</v>
      </c>
      <c r="F1318" s="201" t="e">
        <f>VLOOKUP(A1318,'Compos DER'!J:K,2,FALSE)</f>
        <v>#N/A</v>
      </c>
      <c r="G1318" s="198" t="e">
        <f t="shared" si="22"/>
        <v>#N/A</v>
      </c>
    </row>
    <row r="1319" spans="1:7" x14ac:dyDescent="0.2">
      <c r="A1319" s="1134">
        <v>42799</v>
      </c>
      <c r="B1319" s="616" t="s">
        <v>1914</v>
      </c>
      <c r="C1319" s="614" t="s">
        <v>838</v>
      </c>
      <c r="D1319" s="1135">
        <v>608.95000000000005</v>
      </c>
      <c r="E1319" s="616" t="s">
        <v>777</v>
      </c>
      <c r="F1319" s="201" t="e">
        <f>VLOOKUP(A1319,'Compos DER'!J:K,2,FALSE)</f>
        <v>#N/A</v>
      </c>
      <c r="G1319" s="198" t="e">
        <f t="shared" si="22"/>
        <v>#N/A</v>
      </c>
    </row>
    <row r="1320" spans="1:7" x14ac:dyDescent="0.2">
      <c r="A1320" s="1134">
        <v>42800</v>
      </c>
      <c r="B1320" s="616" t="s">
        <v>1915</v>
      </c>
      <c r="C1320" s="614" t="s">
        <v>838</v>
      </c>
      <c r="D1320" s="1135">
        <v>575.91</v>
      </c>
      <c r="E1320" s="616" t="s">
        <v>777</v>
      </c>
      <c r="F1320" s="201" t="e">
        <f>VLOOKUP(A1320,'Compos DER'!J:K,2,FALSE)</f>
        <v>#N/A</v>
      </c>
      <c r="G1320" s="198" t="e">
        <f t="shared" si="22"/>
        <v>#N/A</v>
      </c>
    </row>
    <row r="1321" spans="1:7" x14ac:dyDescent="0.2">
      <c r="A1321" s="1134">
        <v>42801</v>
      </c>
      <c r="B1321" s="616" t="s">
        <v>1916</v>
      </c>
      <c r="C1321" s="614" t="s">
        <v>838</v>
      </c>
      <c r="D1321" s="1135">
        <v>562.89</v>
      </c>
      <c r="E1321" s="616" t="s">
        <v>777</v>
      </c>
      <c r="F1321" s="201" t="e">
        <f>VLOOKUP(A1321,'Compos DER'!J:K,2,FALSE)</f>
        <v>#N/A</v>
      </c>
      <c r="G1321" s="198" t="e">
        <f t="shared" si="22"/>
        <v>#N/A</v>
      </c>
    </row>
    <row r="1322" spans="1:7" x14ac:dyDescent="0.2">
      <c r="A1322" s="1134">
        <v>42802</v>
      </c>
      <c r="B1322" s="616" t="s">
        <v>1917</v>
      </c>
      <c r="C1322" s="614" t="s">
        <v>838</v>
      </c>
      <c r="D1322" s="1137">
        <v>1161.6199999999999</v>
      </c>
      <c r="E1322" s="616" t="s">
        <v>777</v>
      </c>
      <c r="F1322" s="201" t="e">
        <f>VLOOKUP(A1322,'Compos DER'!J:K,2,FALSE)</f>
        <v>#N/A</v>
      </c>
      <c r="G1322" s="198" t="e">
        <f t="shared" si="22"/>
        <v>#N/A</v>
      </c>
    </row>
    <row r="1323" spans="1:7" x14ac:dyDescent="0.2">
      <c r="A1323" s="1134">
        <v>42803</v>
      </c>
      <c r="B1323" s="616" t="s">
        <v>1918</v>
      </c>
      <c r="C1323" s="614" t="s">
        <v>838</v>
      </c>
      <c r="D1323" s="1137">
        <v>1148.97</v>
      </c>
      <c r="E1323" s="616" t="s">
        <v>777</v>
      </c>
      <c r="F1323" s="201" t="e">
        <f>VLOOKUP(A1323,'Compos DER'!J:K,2,FALSE)</f>
        <v>#N/A</v>
      </c>
      <c r="G1323" s="198" t="e">
        <f t="shared" si="22"/>
        <v>#N/A</v>
      </c>
    </row>
    <row r="1324" spans="1:7" x14ac:dyDescent="0.2">
      <c r="A1324" s="1134">
        <v>42804</v>
      </c>
      <c r="B1324" s="616" t="s">
        <v>1919</v>
      </c>
      <c r="C1324" s="614" t="s">
        <v>838</v>
      </c>
      <c r="D1324" s="1137">
        <v>1183.8900000000001</v>
      </c>
      <c r="E1324" s="616" t="s">
        <v>777</v>
      </c>
      <c r="F1324" s="201" t="e">
        <f>VLOOKUP(A1324,'Compos DER'!J:K,2,FALSE)</f>
        <v>#N/A</v>
      </c>
      <c r="G1324" s="198" t="e">
        <f t="shared" si="22"/>
        <v>#N/A</v>
      </c>
    </row>
    <row r="1325" spans="1:7" x14ac:dyDescent="0.2">
      <c r="A1325" s="1134">
        <v>42805</v>
      </c>
      <c r="B1325" s="616" t="s">
        <v>1920</v>
      </c>
      <c r="C1325" s="614" t="s">
        <v>838</v>
      </c>
      <c r="D1325" s="1137">
        <v>1132.8699999999999</v>
      </c>
      <c r="E1325" s="616" t="s">
        <v>777</v>
      </c>
      <c r="F1325" s="201" t="e">
        <f>VLOOKUP(A1325,'Compos DER'!J:K,2,FALSE)</f>
        <v>#N/A</v>
      </c>
      <c r="G1325" s="198" t="e">
        <f t="shared" si="22"/>
        <v>#N/A</v>
      </c>
    </row>
    <row r="1326" spans="1:7" x14ac:dyDescent="0.2">
      <c r="A1326" s="1134">
        <v>42806</v>
      </c>
      <c r="B1326" s="616" t="s">
        <v>1921</v>
      </c>
      <c r="C1326" s="614" t="s">
        <v>838</v>
      </c>
      <c r="D1326" s="1137">
        <v>1365.36</v>
      </c>
      <c r="E1326" s="616" t="s">
        <v>777</v>
      </c>
      <c r="F1326" s="201" t="e">
        <f>VLOOKUP(A1326,'Compos DER'!J:K,2,FALSE)</f>
        <v>#N/A</v>
      </c>
      <c r="G1326" s="198" t="e">
        <f t="shared" si="22"/>
        <v>#N/A</v>
      </c>
    </row>
    <row r="1327" spans="1:7" x14ac:dyDescent="0.2">
      <c r="A1327" s="1132" t="s">
        <v>773</v>
      </c>
      <c r="B1327" s="617"/>
      <c r="C1327" s="617"/>
      <c r="D1327" s="617"/>
      <c r="E1327" s="617"/>
      <c r="F1327" s="201" t="e">
        <f>VLOOKUP(A1327,'Compos DER'!J:K,2,FALSE)</f>
        <v>#N/A</v>
      </c>
      <c r="G1327" s="198" t="e">
        <f t="shared" si="22"/>
        <v>#N/A</v>
      </c>
    </row>
    <row r="1328" spans="1:7" x14ac:dyDescent="0.2">
      <c r="A1328" s="1131" t="s">
        <v>708</v>
      </c>
      <c r="B1328" s="617"/>
      <c r="C1328" s="617"/>
      <c r="D1328" s="617"/>
      <c r="E1328" s="617"/>
      <c r="F1328" s="201" t="e">
        <f>VLOOKUP(A1328,'Compos DER'!J:K,2,FALSE)</f>
        <v>#N/A</v>
      </c>
      <c r="G1328" s="198" t="e">
        <f t="shared" si="22"/>
        <v>#N/A</v>
      </c>
    </row>
    <row r="1329" spans="1:7" x14ac:dyDescent="0.2">
      <c r="A1329" s="1131" t="s">
        <v>709</v>
      </c>
      <c r="B1329" s="617"/>
      <c r="C1329" s="617"/>
      <c r="D1329" s="617"/>
      <c r="E1329" s="617"/>
      <c r="F1329" s="201" t="e">
        <f>VLOOKUP(A1329,'Compos DER'!J:K,2,FALSE)</f>
        <v>#N/A</v>
      </c>
      <c r="G1329" s="198" t="e">
        <f t="shared" si="22"/>
        <v>#N/A</v>
      </c>
    </row>
    <row r="1330" spans="1:7" x14ac:dyDescent="0.2">
      <c r="A1330" s="1132" t="s">
        <v>1761</v>
      </c>
      <c r="B1330" s="617"/>
      <c r="C1330" s="617"/>
      <c r="D1330" s="617"/>
      <c r="E1330" s="617"/>
      <c r="F1330" s="201" t="e">
        <f>VLOOKUP(A1330,'Compos DER'!J:K,2,FALSE)</f>
        <v>#N/A</v>
      </c>
      <c r="G1330" s="198" t="e">
        <f t="shared" si="22"/>
        <v>#N/A</v>
      </c>
    </row>
    <row r="1331" spans="1:7" ht="18" x14ac:dyDescent="0.2">
      <c r="A1331" s="1133" t="s">
        <v>711</v>
      </c>
      <c r="B1331" s="1133" t="s">
        <v>712</v>
      </c>
      <c r="C1331" s="1133" t="s">
        <v>713</v>
      </c>
      <c r="D1331" s="1133" t="s">
        <v>714</v>
      </c>
      <c r="E1331" s="1133" t="s">
        <v>715</v>
      </c>
      <c r="F1331" s="201" t="e">
        <f>VLOOKUP(A1331,'Compos DER'!J:K,2,FALSE)</f>
        <v>#N/A</v>
      </c>
      <c r="G1331" s="198" t="e">
        <f t="shared" si="22"/>
        <v>#N/A</v>
      </c>
    </row>
    <row r="1332" spans="1:7" x14ac:dyDescent="0.2">
      <c r="A1332" s="1134">
        <v>42807</v>
      </c>
      <c r="B1332" s="616" t="s">
        <v>1922</v>
      </c>
      <c r="C1332" s="614" t="s">
        <v>838</v>
      </c>
      <c r="D1332" s="1137">
        <v>1342.49</v>
      </c>
      <c r="E1332" s="616" t="s">
        <v>777</v>
      </c>
      <c r="F1332" s="201" t="e">
        <f>VLOOKUP(A1332,'Compos DER'!J:K,2,FALSE)</f>
        <v>#N/A</v>
      </c>
      <c r="G1332" s="198" t="e">
        <f t="shared" si="22"/>
        <v>#N/A</v>
      </c>
    </row>
    <row r="1333" spans="1:7" x14ac:dyDescent="0.2">
      <c r="A1333" s="1134">
        <v>42808</v>
      </c>
      <c r="B1333" s="616" t="s">
        <v>1923</v>
      </c>
      <c r="C1333" s="614" t="s">
        <v>838</v>
      </c>
      <c r="D1333" s="1137">
        <v>1434.39</v>
      </c>
      <c r="E1333" s="616" t="s">
        <v>777</v>
      </c>
      <c r="F1333" s="201" t="e">
        <f>VLOOKUP(A1333,'Compos DER'!J:K,2,FALSE)</f>
        <v>#N/A</v>
      </c>
      <c r="G1333" s="198" t="e">
        <f t="shared" si="22"/>
        <v>#N/A</v>
      </c>
    </row>
    <row r="1334" spans="1:7" x14ac:dyDescent="0.2">
      <c r="A1334" s="1134">
        <v>42809</v>
      </c>
      <c r="B1334" s="616" t="s">
        <v>1924</v>
      </c>
      <c r="C1334" s="614" t="s">
        <v>838</v>
      </c>
      <c r="D1334" s="1137">
        <v>1398.69</v>
      </c>
      <c r="E1334" s="616" t="s">
        <v>777</v>
      </c>
      <c r="F1334" s="201" t="e">
        <f>VLOOKUP(A1334,'Compos DER'!J:K,2,FALSE)</f>
        <v>#N/A</v>
      </c>
      <c r="G1334" s="198" t="e">
        <f t="shared" si="22"/>
        <v>#N/A</v>
      </c>
    </row>
    <row r="1335" spans="1:7" x14ac:dyDescent="0.2">
      <c r="A1335" s="1134">
        <v>42810</v>
      </c>
      <c r="B1335" s="616" t="s">
        <v>1925</v>
      </c>
      <c r="C1335" s="614" t="s">
        <v>838</v>
      </c>
      <c r="D1335" s="1137">
        <v>1603.28</v>
      </c>
      <c r="E1335" s="616" t="s">
        <v>777</v>
      </c>
      <c r="F1335" s="201" t="e">
        <f>VLOOKUP(A1335,'Compos DER'!J:K,2,FALSE)</f>
        <v>#N/A</v>
      </c>
      <c r="G1335" s="198" t="e">
        <f t="shared" si="22"/>
        <v>#N/A</v>
      </c>
    </row>
    <row r="1336" spans="1:7" x14ac:dyDescent="0.2">
      <c r="A1336" s="1134">
        <v>42811</v>
      </c>
      <c r="B1336" s="616" t="s">
        <v>1926</v>
      </c>
      <c r="C1336" s="614" t="s">
        <v>838</v>
      </c>
      <c r="D1336" s="1137">
        <v>1969.82</v>
      </c>
      <c r="E1336" s="616" t="s">
        <v>777</v>
      </c>
      <c r="F1336" s="201" t="e">
        <f>VLOOKUP(A1336,'Compos DER'!J:K,2,FALSE)</f>
        <v>#N/A</v>
      </c>
      <c r="G1336" s="198" t="e">
        <f t="shared" si="22"/>
        <v>#N/A</v>
      </c>
    </row>
    <row r="1337" spans="1:7" x14ac:dyDescent="0.2">
      <c r="A1337" s="1134">
        <v>42812</v>
      </c>
      <c r="B1337" s="616" t="s">
        <v>1927</v>
      </c>
      <c r="C1337" s="614" t="s">
        <v>838</v>
      </c>
      <c r="D1337" s="1137">
        <v>1858.87</v>
      </c>
      <c r="E1337" s="616" t="s">
        <v>777</v>
      </c>
      <c r="F1337" s="201" t="e">
        <f>VLOOKUP(A1337,'Compos DER'!J:K,2,FALSE)</f>
        <v>#N/A</v>
      </c>
      <c r="G1337" s="198" t="e">
        <f t="shared" si="22"/>
        <v>#N/A</v>
      </c>
    </row>
    <row r="1338" spans="1:7" x14ac:dyDescent="0.2">
      <c r="A1338" s="1134">
        <v>42813</v>
      </c>
      <c r="B1338" s="616" t="s">
        <v>1928</v>
      </c>
      <c r="C1338" s="614" t="s">
        <v>838</v>
      </c>
      <c r="D1338" s="1137">
        <v>2016.96</v>
      </c>
      <c r="E1338" s="616" t="s">
        <v>777</v>
      </c>
      <c r="F1338" s="201" t="e">
        <f>VLOOKUP(A1338,'Compos DER'!J:K,2,FALSE)</f>
        <v>#N/A</v>
      </c>
      <c r="G1338" s="198" t="e">
        <f t="shared" si="22"/>
        <v>#N/A</v>
      </c>
    </row>
    <row r="1339" spans="1:7" x14ac:dyDescent="0.2">
      <c r="A1339" s="1134">
        <v>42814</v>
      </c>
      <c r="B1339" s="616" t="s">
        <v>1929</v>
      </c>
      <c r="C1339" s="614" t="s">
        <v>838</v>
      </c>
      <c r="D1339" s="1137">
        <v>1939.23</v>
      </c>
      <c r="E1339" s="616" t="s">
        <v>777</v>
      </c>
      <c r="F1339" s="201" t="e">
        <f>VLOOKUP(A1339,'Compos DER'!J:K,2,FALSE)</f>
        <v>#N/A</v>
      </c>
      <c r="G1339" s="198" t="e">
        <f t="shared" si="22"/>
        <v>#N/A</v>
      </c>
    </row>
    <row r="1340" spans="1:7" x14ac:dyDescent="0.2">
      <c r="A1340" s="1134">
        <v>42815</v>
      </c>
      <c r="B1340" s="616" t="s">
        <v>1930</v>
      </c>
      <c r="C1340" s="614" t="s">
        <v>838</v>
      </c>
      <c r="D1340" s="1137">
        <v>2356.84</v>
      </c>
      <c r="E1340" s="616" t="s">
        <v>777</v>
      </c>
      <c r="F1340" s="201" t="e">
        <f>VLOOKUP(A1340,'Compos DER'!J:K,2,FALSE)</f>
        <v>#N/A</v>
      </c>
      <c r="G1340" s="198" t="e">
        <f t="shared" si="22"/>
        <v>#N/A</v>
      </c>
    </row>
    <row r="1341" spans="1:7" x14ac:dyDescent="0.2">
      <c r="A1341" s="1134">
        <v>42816</v>
      </c>
      <c r="B1341" s="616" t="s">
        <v>1931</v>
      </c>
      <c r="C1341" s="614" t="s">
        <v>838</v>
      </c>
      <c r="D1341" s="1137">
        <v>2541.4499999999998</v>
      </c>
      <c r="E1341" s="616" t="s">
        <v>777</v>
      </c>
      <c r="F1341" s="201" t="e">
        <f>VLOOKUP(A1341,'Compos DER'!J:K,2,FALSE)</f>
        <v>#N/A</v>
      </c>
      <c r="G1341" s="198" t="e">
        <f t="shared" si="22"/>
        <v>#N/A</v>
      </c>
    </row>
    <row r="1342" spans="1:7" x14ac:dyDescent="0.2">
      <c r="A1342" s="1134">
        <v>42817</v>
      </c>
      <c r="B1342" s="616" t="s">
        <v>1932</v>
      </c>
      <c r="C1342" s="614" t="s">
        <v>838</v>
      </c>
      <c r="D1342" s="1137">
        <v>2522.21</v>
      </c>
      <c r="E1342" s="616" t="s">
        <v>777</v>
      </c>
      <c r="F1342" s="201" t="e">
        <f>VLOOKUP(A1342,'Compos DER'!J:K,2,FALSE)</f>
        <v>#N/A</v>
      </c>
      <c r="G1342" s="198" t="e">
        <f t="shared" ref="G1342:G1405" si="23">+F1342/D1342</f>
        <v>#N/A</v>
      </c>
    </row>
    <row r="1343" spans="1:7" x14ac:dyDescent="0.2">
      <c r="A1343" s="1134">
        <v>42818</v>
      </c>
      <c r="B1343" s="616" t="s">
        <v>1933</v>
      </c>
      <c r="C1343" s="614" t="s">
        <v>838</v>
      </c>
      <c r="D1343" s="1137">
        <v>2537.9</v>
      </c>
      <c r="E1343" s="616" t="s">
        <v>777</v>
      </c>
      <c r="F1343" s="201" t="e">
        <f>VLOOKUP(A1343,'Compos DER'!J:K,2,FALSE)</f>
        <v>#N/A</v>
      </c>
      <c r="G1343" s="198" t="e">
        <f t="shared" si="23"/>
        <v>#N/A</v>
      </c>
    </row>
    <row r="1344" spans="1:7" x14ac:dyDescent="0.2">
      <c r="A1344" s="1134">
        <v>42819</v>
      </c>
      <c r="B1344" s="616" t="s">
        <v>1934</v>
      </c>
      <c r="C1344" s="614" t="s">
        <v>838</v>
      </c>
      <c r="D1344" s="1137">
        <v>2624.5</v>
      </c>
      <c r="E1344" s="616" t="s">
        <v>777</v>
      </c>
      <c r="F1344" s="201" t="e">
        <f>VLOOKUP(A1344,'Compos DER'!J:K,2,FALSE)</f>
        <v>#N/A</v>
      </c>
      <c r="G1344" s="198" t="e">
        <f t="shared" si="23"/>
        <v>#N/A</v>
      </c>
    </row>
    <row r="1345" spans="1:7" x14ac:dyDescent="0.2">
      <c r="A1345" s="1134">
        <v>42820</v>
      </c>
      <c r="B1345" s="616" t="s">
        <v>1935</v>
      </c>
      <c r="C1345" s="614" t="s">
        <v>838</v>
      </c>
      <c r="D1345" s="1137">
        <v>3349.26</v>
      </c>
      <c r="E1345" s="616" t="s">
        <v>777</v>
      </c>
      <c r="F1345" s="201" t="e">
        <f>VLOOKUP(A1345,'Compos DER'!J:K,2,FALSE)</f>
        <v>#N/A</v>
      </c>
      <c r="G1345" s="198" t="e">
        <f t="shared" si="23"/>
        <v>#N/A</v>
      </c>
    </row>
    <row r="1346" spans="1:7" x14ac:dyDescent="0.2">
      <c r="A1346" s="1134">
        <v>41321</v>
      </c>
      <c r="B1346" s="616" t="s">
        <v>1936</v>
      </c>
      <c r="C1346" s="614" t="s">
        <v>838</v>
      </c>
      <c r="D1346" s="1137">
        <v>6218.42</v>
      </c>
      <c r="E1346" s="1136"/>
      <c r="F1346" s="201" t="e">
        <f>VLOOKUP(A1346,'Compos DER'!J:K,2,FALSE)</f>
        <v>#N/A</v>
      </c>
      <c r="G1346" s="198" t="e">
        <f t="shared" si="23"/>
        <v>#N/A</v>
      </c>
    </row>
    <row r="1347" spans="1:7" x14ac:dyDescent="0.2">
      <c r="A1347" s="1134">
        <v>42821</v>
      </c>
      <c r="B1347" s="616" t="s">
        <v>1937</v>
      </c>
      <c r="C1347" s="614" t="s">
        <v>838</v>
      </c>
      <c r="D1347" s="1137">
        <v>4896.32</v>
      </c>
      <c r="E1347" s="1136"/>
      <c r="F1347" s="201" t="e">
        <f>VLOOKUP(A1347,'Compos DER'!J:K,2,FALSE)</f>
        <v>#N/A</v>
      </c>
      <c r="G1347" s="198" t="e">
        <f t="shared" si="23"/>
        <v>#N/A</v>
      </c>
    </row>
    <row r="1348" spans="1:7" x14ac:dyDescent="0.2">
      <c r="A1348" s="1134">
        <v>42822</v>
      </c>
      <c r="B1348" s="616" t="s">
        <v>1938</v>
      </c>
      <c r="C1348" s="614" t="s">
        <v>838</v>
      </c>
      <c r="D1348" s="1137">
        <v>5158.25</v>
      </c>
      <c r="E1348" s="1136"/>
      <c r="F1348" s="201" t="e">
        <f>VLOOKUP(A1348,'Compos DER'!J:K,2,FALSE)</f>
        <v>#N/A</v>
      </c>
      <c r="G1348" s="198" t="e">
        <f t="shared" si="23"/>
        <v>#N/A</v>
      </c>
    </row>
    <row r="1349" spans="1:7" x14ac:dyDescent="0.2">
      <c r="A1349" s="1134">
        <v>42823</v>
      </c>
      <c r="B1349" s="616" t="s">
        <v>1939</v>
      </c>
      <c r="C1349" s="614" t="s">
        <v>838</v>
      </c>
      <c r="D1349" s="1137">
        <v>7229.84</v>
      </c>
      <c r="E1349" s="1136"/>
      <c r="F1349" s="201" t="e">
        <f>VLOOKUP(A1349,'Compos DER'!J:K,2,FALSE)</f>
        <v>#N/A</v>
      </c>
      <c r="G1349" s="198" t="e">
        <f t="shared" si="23"/>
        <v>#N/A</v>
      </c>
    </row>
    <row r="1350" spans="1:7" x14ac:dyDescent="0.2">
      <c r="A1350" s="1134">
        <v>42824</v>
      </c>
      <c r="B1350" s="616" t="s">
        <v>1940</v>
      </c>
      <c r="C1350" s="614" t="s">
        <v>838</v>
      </c>
      <c r="D1350" s="1137">
        <v>7090.34</v>
      </c>
      <c r="E1350" s="1136"/>
      <c r="F1350" s="201" t="e">
        <f>VLOOKUP(A1350,'Compos DER'!J:K,2,FALSE)</f>
        <v>#N/A</v>
      </c>
      <c r="G1350" s="198" t="e">
        <f t="shared" si="23"/>
        <v>#N/A</v>
      </c>
    </row>
    <row r="1351" spans="1:7" x14ac:dyDescent="0.2">
      <c r="A1351" s="1134">
        <v>42825</v>
      </c>
      <c r="B1351" s="616" t="s">
        <v>1941</v>
      </c>
      <c r="C1351" s="614" t="s">
        <v>838</v>
      </c>
      <c r="D1351" s="1137">
        <v>7987.12</v>
      </c>
      <c r="E1351" s="1136"/>
      <c r="F1351" s="201" t="e">
        <f>VLOOKUP(A1351,'Compos DER'!J:K,2,FALSE)</f>
        <v>#N/A</v>
      </c>
      <c r="G1351" s="198" t="e">
        <f t="shared" si="23"/>
        <v>#N/A</v>
      </c>
    </row>
    <row r="1352" spans="1:7" x14ac:dyDescent="0.2">
      <c r="A1352" s="1134">
        <v>40600</v>
      </c>
      <c r="B1352" s="616" t="s">
        <v>1942</v>
      </c>
      <c r="C1352" s="614" t="s">
        <v>838</v>
      </c>
      <c r="D1352" s="1137">
        <v>10640.38</v>
      </c>
      <c r="E1352" s="1136"/>
      <c r="F1352" s="201" t="e">
        <f>VLOOKUP(A1352,'Compos DER'!J:K,2,FALSE)</f>
        <v>#N/A</v>
      </c>
      <c r="G1352" s="198" t="e">
        <f t="shared" si="23"/>
        <v>#N/A</v>
      </c>
    </row>
    <row r="1353" spans="1:7" x14ac:dyDescent="0.2">
      <c r="A1353" s="1134">
        <v>42827</v>
      </c>
      <c r="B1353" s="616" t="s">
        <v>1943</v>
      </c>
      <c r="C1353" s="614" t="s">
        <v>838</v>
      </c>
      <c r="D1353" s="1137">
        <v>11780.5</v>
      </c>
      <c r="E1353" s="1136"/>
      <c r="F1353" s="201" t="e">
        <f>VLOOKUP(A1353,'Compos DER'!J:K,2,FALSE)</f>
        <v>#N/A</v>
      </c>
      <c r="G1353" s="198" t="e">
        <f t="shared" si="23"/>
        <v>#N/A</v>
      </c>
    </row>
    <row r="1354" spans="1:7" x14ac:dyDescent="0.2">
      <c r="A1354" s="1134">
        <v>42826</v>
      </c>
      <c r="B1354" s="616" t="s">
        <v>1944</v>
      </c>
      <c r="C1354" s="614" t="s">
        <v>838</v>
      </c>
      <c r="D1354" s="1137">
        <v>10017.540000000001</v>
      </c>
      <c r="E1354" s="1136"/>
      <c r="F1354" s="201" t="e">
        <f>VLOOKUP(A1354,'Compos DER'!J:K,2,FALSE)</f>
        <v>#N/A</v>
      </c>
      <c r="G1354" s="198" t="e">
        <f t="shared" si="23"/>
        <v>#N/A</v>
      </c>
    </row>
    <row r="1355" spans="1:7" x14ac:dyDescent="0.2">
      <c r="A1355" s="1134">
        <v>42828</v>
      </c>
      <c r="B1355" s="616" t="s">
        <v>1945</v>
      </c>
      <c r="C1355" s="614" t="s">
        <v>838</v>
      </c>
      <c r="D1355" s="1137">
        <v>10411.219999999999</v>
      </c>
      <c r="E1355" s="1136"/>
      <c r="F1355" s="201" t="e">
        <f>VLOOKUP(A1355,'Compos DER'!J:K,2,FALSE)</f>
        <v>#N/A</v>
      </c>
      <c r="G1355" s="198" t="e">
        <f t="shared" si="23"/>
        <v>#N/A</v>
      </c>
    </row>
    <row r="1356" spans="1:7" x14ac:dyDescent="0.2">
      <c r="A1356" s="1134">
        <v>42830</v>
      </c>
      <c r="B1356" s="616" t="s">
        <v>1946</v>
      </c>
      <c r="C1356" s="614" t="s">
        <v>838</v>
      </c>
      <c r="D1356" s="1137">
        <v>10664.24</v>
      </c>
      <c r="E1356" s="1136"/>
      <c r="F1356" s="201" t="e">
        <f>VLOOKUP(A1356,'Compos DER'!J:K,2,FALSE)</f>
        <v>#N/A</v>
      </c>
      <c r="G1356" s="198" t="e">
        <f t="shared" si="23"/>
        <v>#N/A</v>
      </c>
    </row>
    <row r="1357" spans="1:7" x14ac:dyDescent="0.2">
      <c r="A1357" s="1134">
        <v>42829</v>
      </c>
      <c r="B1357" s="616" t="s">
        <v>1947</v>
      </c>
      <c r="C1357" s="614" t="s">
        <v>838</v>
      </c>
      <c r="D1357" s="1137">
        <v>9577.5400000000009</v>
      </c>
      <c r="E1357" s="1136"/>
      <c r="F1357" s="201" t="e">
        <f>VLOOKUP(A1357,'Compos DER'!J:K,2,FALSE)</f>
        <v>#N/A</v>
      </c>
      <c r="G1357" s="198" t="e">
        <f t="shared" si="23"/>
        <v>#N/A</v>
      </c>
    </row>
    <row r="1358" spans="1:7" x14ac:dyDescent="0.2">
      <c r="A1358" s="1134">
        <v>42831</v>
      </c>
      <c r="B1358" s="616" t="s">
        <v>1948</v>
      </c>
      <c r="C1358" s="614" t="s">
        <v>838</v>
      </c>
      <c r="D1358" s="1137">
        <v>11500.67</v>
      </c>
      <c r="E1358" s="1136"/>
      <c r="F1358" s="201" t="e">
        <f>VLOOKUP(A1358,'Compos DER'!J:K,2,FALSE)</f>
        <v>#N/A</v>
      </c>
      <c r="G1358" s="198" t="e">
        <f t="shared" si="23"/>
        <v>#N/A</v>
      </c>
    </row>
    <row r="1359" spans="1:7" x14ac:dyDescent="0.2">
      <c r="A1359" s="1134">
        <v>42832</v>
      </c>
      <c r="B1359" s="616" t="s">
        <v>1949</v>
      </c>
      <c r="C1359" s="614" t="s">
        <v>838</v>
      </c>
      <c r="D1359" s="1137">
        <v>12703.92</v>
      </c>
      <c r="E1359" s="1136"/>
      <c r="F1359" s="201" t="e">
        <f>VLOOKUP(A1359,'Compos DER'!J:K,2,FALSE)</f>
        <v>#N/A</v>
      </c>
      <c r="G1359" s="198" t="e">
        <f t="shared" si="23"/>
        <v>#N/A</v>
      </c>
    </row>
    <row r="1360" spans="1:7" x14ac:dyDescent="0.2">
      <c r="A1360" s="1134">
        <v>42834</v>
      </c>
      <c r="B1360" s="616" t="s">
        <v>1950</v>
      </c>
      <c r="C1360" s="614" t="s">
        <v>838</v>
      </c>
      <c r="D1360" s="1137">
        <v>13481.87</v>
      </c>
      <c r="E1360" s="1136"/>
      <c r="F1360" s="201" t="e">
        <f>VLOOKUP(A1360,'Compos DER'!J:K,2,FALSE)</f>
        <v>#N/A</v>
      </c>
      <c r="G1360" s="198" t="e">
        <f t="shared" si="23"/>
        <v>#N/A</v>
      </c>
    </row>
    <row r="1361" spans="1:7" x14ac:dyDescent="0.2">
      <c r="A1361" s="1134">
        <v>42833</v>
      </c>
      <c r="B1361" s="616" t="s">
        <v>1951</v>
      </c>
      <c r="C1361" s="614" t="s">
        <v>838</v>
      </c>
      <c r="D1361" s="1137">
        <v>12589.5</v>
      </c>
      <c r="E1361" s="1136"/>
      <c r="F1361" s="201" t="e">
        <f>VLOOKUP(A1361,'Compos DER'!J:K,2,FALSE)</f>
        <v>#N/A</v>
      </c>
      <c r="G1361" s="198" t="e">
        <f t="shared" si="23"/>
        <v>#N/A</v>
      </c>
    </row>
    <row r="1362" spans="1:7" x14ac:dyDescent="0.2">
      <c r="A1362" s="1134">
        <v>42835</v>
      </c>
      <c r="B1362" s="616" t="s">
        <v>1952</v>
      </c>
      <c r="C1362" s="614" t="s">
        <v>838</v>
      </c>
      <c r="D1362" s="1137">
        <v>2997.77</v>
      </c>
      <c r="E1362" s="1136"/>
      <c r="F1362" s="201" t="e">
        <f>VLOOKUP(A1362,'Compos DER'!J:K,2,FALSE)</f>
        <v>#N/A</v>
      </c>
      <c r="G1362" s="198" t="e">
        <f t="shared" si="23"/>
        <v>#N/A</v>
      </c>
    </row>
    <row r="1363" spans="1:7" x14ac:dyDescent="0.2">
      <c r="A1363" s="1134">
        <v>42836</v>
      </c>
      <c r="B1363" s="616" t="s">
        <v>1953</v>
      </c>
      <c r="C1363" s="614" t="s">
        <v>838</v>
      </c>
      <c r="D1363" s="1137">
        <v>3194.22</v>
      </c>
      <c r="E1363" s="1136"/>
      <c r="F1363" s="201" t="e">
        <f>VLOOKUP(A1363,'Compos DER'!J:K,2,FALSE)</f>
        <v>#N/A</v>
      </c>
      <c r="G1363" s="198" t="e">
        <f t="shared" si="23"/>
        <v>#N/A</v>
      </c>
    </row>
    <row r="1364" spans="1:7" x14ac:dyDescent="0.2">
      <c r="A1364" s="1134">
        <v>42837</v>
      </c>
      <c r="B1364" s="616" t="s">
        <v>1954</v>
      </c>
      <c r="C1364" s="614" t="s">
        <v>838</v>
      </c>
      <c r="D1364" s="1137">
        <v>5231.7700000000004</v>
      </c>
      <c r="E1364" s="1136"/>
      <c r="F1364" s="201" t="e">
        <f>VLOOKUP(A1364,'Compos DER'!J:K,2,FALSE)</f>
        <v>#N/A</v>
      </c>
      <c r="G1364" s="198" t="e">
        <f t="shared" si="23"/>
        <v>#N/A</v>
      </c>
    </row>
    <row r="1365" spans="1:7" x14ac:dyDescent="0.2">
      <c r="A1365" s="1134">
        <v>42838</v>
      </c>
      <c r="B1365" s="616" t="s">
        <v>1955</v>
      </c>
      <c r="C1365" s="614" t="s">
        <v>838</v>
      </c>
      <c r="D1365" s="1137">
        <v>4268.1000000000004</v>
      </c>
      <c r="E1365" s="1136"/>
      <c r="F1365" s="201" t="e">
        <f>VLOOKUP(A1365,'Compos DER'!J:K,2,FALSE)</f>
        <v>#N/A</v>
      </c>
      <c r="G1365" s="198" t="e">
        <f t="shared" si="23"/>
        <v>#N/A</v>
      </c>
    </row>
    <row r="1366" spans="1:7" x14ac:dyDescent="0.2">
      <c r="A1366" s="1134">
        <v>42839</v>
      </c>
      <c r="B1366" s="616" t="s">
        <v>1956</v>
      </c>
      <c r="C1366" s="614" t="s">
        <v>838</v>
      </c>
      <c r="D1366" s="1137">
        <v>4773.3900000000003</v>
      </c>
      <c r="E1366" s="1136"/>
      <c r="F1366" s="201" t="e">
        <f>VLOOKUP(A1366,'Compos DER'!J:K,2,FALSE)</f>
        <v>#N/A</v>
      </c>
      <c r="G1366" s="198" t="e">
        <f t="shared" si="23"/>
        <v>#N/A</v>
      </c>
    </row>
    <row r="1367" spans="1:7" x14ac:dyDescent="0.2">
      <c r="A1367" s="1134">
        <v>42840</v>
      </c>
      <c r="B1367" s="616" t="s">
        <v>1957</v>
      </c>
      <c r="C1367" s="614" t="s">
        <v>838</v>
      </c>
      <c r="D1367" s="1137">
        <v>6135.88</v>
      </c>
      <c r="E1367" s="1136"/>
      <c r="F1367" s="201" t="e">
        <f>VLOOKUP(A1367,'Compos DER'!J:K,2,FALSE)</f>
        <v>#N/A</v>
      </c>
      <c r="G1367" s="198" t="e">
        <f t="shared" si="23"/>
        <v>#N/A</v>
      </c>
    </row>
    <row r="1368" spans="1:7" x14ac:dyDescent="0.2">
      <c r="A1368" s="1134">
        <v>42841</v>
      </c>
      <c r="B1368" s="616" t="s">
        <v>1958</v>
      </c>
      <c r="C1368" s="614" t="s">
        <v>838</v>
      </c>
      <c r="D1368" s="1137">
        <v>7744.23</v>
      </c>
      <c r="E1368" s="1136"/>
      <c r="F1368" s="201" t="e">
        <f>VLOOKUP(A1368,'Compos DER'!J:K,2,FALSE)</f>
        <v>#N/A</v>
      </c>
      <c r="G1368" s="198" t="e">
        <f t="shared" si="23"/>
        <v>#N/A</v>
      </c>
    </row>
    <row r="1369" spans="1:7" x14ac:dyDescent="0.2">
      <c r="A1369" s="1134">
        <v>40585</v>
      </c>
      <c r="B1369" s="616" t="s">
        <v>1959</v>
      </c>
      <c r="C1369" s="614" t="s">
        <v>838</v>
      </c>
      <c r="D1369" s="1137">
        <v>6688.43</v>
      </c>
      <c r="E1369" s="1136"/>
      <c r="F1369" s="201" t="e">
        <f>VLOOKUP(A1369,'Compos DER'!J:K,2,FALSE)</f>
        <v>#N/A</v>
      </c>
      <c r="G1369" s="198" t="e">
        <f t="shared" si="23"/>
        <v>#N/A</v>
      </c>
    </row>
    <row r="1370" spans="1:7" x14ac:dyDescent="0.2">
      <c r="A1370" s="1134">
        <v>42843</v>
      </c>
      <c r="B1370" s="616" t="s">
        <v>1960</v>
      </c>
      <c r="C1370" s="614" t="s">
        <v>838</v>
      </c>
      <c r="D1370" s="1137">
        <v>6712.12</v>
      </c>
      <c r="E1370" s="1136"/>
      <c r="F1370" s="201" t="e">
        <f>VLOOKUP(A1370,'Compos DER'!J:K,2,FALSE)</f>
        <v>#N/A</v>
      </c>
      <c r="G1370" s="198" t="e">
        <f t="shared" si="23"/>
        <v>#N/A</v>
      </c>
    </row>
    <row r="1371" spans="1:7" x14ac:dyDescent="0.2">
      <c r="A1371" s="1134">
        <v>42844</v>
      </c>
      <c r="B1371" s="616" t="s">
        <v>1961</v>
      </c>
      <c r="C1371" s="614" t="s">
        <v>838</v>
      </c>
      <c r="D1371" s="1137">
        <v>7579.93</v>
      </c>
      <c r="E1371" s="1136"/>
      <c r="F1371" s="201" t="e">
        <f>VLOOKUP(A1371,'Compos DER'!J:K,2,FALSE)</f>
        <v>#N/A</v>
      </c>
      <c r="G1371" s="198" t="e">
        <f t="shared" si="23"/>
        <v>#N/A</v>
      </c>
    </row>
    <row r="1372" spans="1:7" x14ac:dyDescent="0.2">
      <c r="A1372" s="1134">
        <v>42845</v>
      </c>
      <c r="B1372" s="616" t="s">
        <v>1962</v>
      </c>
      <c r="C1372" s="614" t="s">
        <v>838</v>
      </c>
      <c r="D1372" s="1137">
        <v>9122.81</v>
      </c>
      <c r="E1372" s="1136"/>
      <c r="F1372" s="201" t="e">
        <f>VLOOKUP(A1372,'Compos DER'!J:K,2,FALSE)</f>
        <v>#N/A</v>
      </c>
      <c r="G1372" s="198" t="e">
        <f t="shared" si="23"/>
        <v>#N/A</v>
      </c>
    </row>
    <row r="1373" spans="1:7" x14ac:dyDescent="0.2">
      <c r="A1373" s="1134">
        <v>41179</v>
      </c>
      <c r="B1373" s="616" t="s">
        <v>1963</v>
      </c>
      <c r="C1373" s="614" t="s">
        <v>838</v>
      </c>
      <c r="D1373" s="1137">
        <v>7644.26</v>
      </c>
      <c r="E1373" s="1136"/>
      <c r="F1373" s="201" t="e">
        <f>VLOOKUP(A1373,'Compos DER'!J:K,2,FALSE)</f>
        <v>#N/A</v>
      </c>
      <c r="G1373" s="198" t="e">
        <f t="shared" si="23"/>
        <v>#N/A</v>
      </c>
    </row>
    <row r="1374" spans="1:7" x14ac:dyDescent="0.2">
      <c r="A1374" s="1134">
        <v>42842</v>
      </c>
      <c r="B1374" s="616" t="s">
        <v>1964</v>
      </c>
      <c r="C1374" s="614" t="s">
        <v>838</v>
      </c>
      <c r="D1374" s="1137">
        <v>8214.93</v>
      </c>
      <c r="E1374" s="1136"/>
      <c r="F1374" s="201" t="e">
        <f>VLOOKUP(A1374,'Compos DER'!J:K,2,FALSE)</f>
        <v>#N/A</v>
      </c>
      <c r="G1374" s="198" t="e">
        <f t="shared" si="23"/>
        <v>#N/A</v>
      </c>
    </row>
    <row r="1375" spans="1:7" x14ac:dyDescent="0.2">
      <c r="A1375" s="1134">
        <v>42848</v>
      </c>
      <c r="B1375" s="616" t="s">
        <v>1965</v>
      </c>
      <c r="C1375" s="614" t="s">
        <v>838</v>
      </c>
      <c r="D1375" s="1137">
        <v>9424.33</v>
      </c>
      <c r="E1375" s="1136"/>
      <c r="F1375" s="201" t="e">
        <f>VLOOKUP(A1375,'Compos DER'!J:K,2,FALSE)</f>
        <v>#N/A</v>
      </c>
      <c r="G1375" s="198" t="e">
        <f t="shared" si="23"/>
        <v>#N/A</v>
      </c>
    </row>
    <row r="1376" spans="1:7" x14ac:dyDescent="0.2">
      <c r="A1376" s="1134">
        <v>42849</v>
      </c>
      <c r="B1376" s="616" t="s">
        <v>1966</v>
      </c>
      <c r="C1376" s="614" t="s">
        <v>838</v>
      </c>
      <c r="D1376" s="1137">
        <v>6857.18</v>
      </c>
      <c r="E1376" s="1136"/>
      <c r="F1376" s="201" t="e">
        <f>VLOOKUP(A1376,'Compos DER'!J:K,2,FALSE)</f>
        <v>#N/A</v>
      </c>
      <c r="G1376" s="198" t="e">
        <f t="shared" si="23"/>
        <v>#N/A</v>
      </c>
    </row>
    <row r="1377" spans="1:7" x14ac:dyDescent="0.2">
      <c r="A1377" s="1134">
        <v>42850</v>
      </c>
      <c r="B1377" s="616" t="s">
        <v>1967</v>
      </c>
      <c r="C1377" s="614" t="s">
        <v>838</v>
      </c>
      <c r="D1377" s="1137">
        <v>7341.75</v>
      </c>
      <c r="E1377" s="1136"/>
      <c r="F1377" s="201" t="e">
        <f>VLOOKUP(A1377,'Compos DER'!J:K,2,FALSE)</f>
        <v>#N/A</v>
      </c>
      <c r="G1377" s="198" t="e">
        <f t="shared" si="23"/>
        <v>#N/A</v>
      </c>
    </row>
    <row r="1378" spans="1:7" x14ac:dyDescent="0.2">
      <c r="A1378" s="1134">
        <v>42851</v>
      </c>
      <c r="B1378" s="616" t="s">
        <v>1968</v>
      </c>
      <c r="C1378" s="614" t="s">
        <v>838</v>
      </c>
      <c r="D1378" s="1137">
        <v>10082.48</v>
      </c>
      <c r="E1378" s="1136"/>
      <c r="F1378" s="201" t="e">
        <f>VLOOKUP(A1378,'Compos DER'!J:K,2,FALSE)</f>
        <v>#N/A</v>
      </c>
      <c r="G1378" s="198" t="e">
        <f t="shared" si="23"/>
        <v>#N/A</v>
      </c>
    </row>
    <row r="1379" spans="1:7" x14ac:dyDescent="0.2">
      <c r="A1379" s="1134">
        <v>42852</v>
      </c>
      <c r="B1379" s="616" t="s">
        <v>1969</v>
      </c>
      <c r="C1379" s="614" t="s">
        <v>838</v>
      </c>
      <c r="D1379" s="1137">
        <v>10914.44</v>
      </c>
      <c r="E1379" s="1136"/>
      <c r="F1379" s="201" t="e">
        <f>VLOOKUP(A1379,'Compos DER'!J:K,2,FALSE)</f>
        <v>#N/A</v>
      </c>
      <c r="G1379" s="198" t="e">
        <f t="shared" si="23"/>
        <v>#N/A</v>
      </c>
    </row>
    <row r="1380" spans="1:7" x14ac:dyDescent="0.2">
      <c r="A1380" s="1134">
        <v>42853</v>
      </c>
      <c r="B1380" s="616" t="s">
        <v>1970</v>
      </c>
      <c r="C1380" s="614" t="s">
        <v>838</v>
      </c>
      <c r="D1380" s="1137">
        <v>14584.11</v>
      </c>
      <c r="E1380" s="1136"/>
      <c r="F1380" s="201" t="e">
        <f>VLOOKUP(A1380,'Compos DER'!J:K,2,FALSE)</f>
        <v>#N/A</v>
      </c>
      <c r="G1380" s="198" t="e">
        <f t="shared" si="23"/>
        <v>#N/A</v>
      </c>
    </row>
    <row r="1381" spans="1:7" x14ac:dyDescent="0.2">
      <c r="A1381" s="1134">
        <v>42854</v>
      </c>
      <c r="B1381" s="616" t="s">
        <v>1971</v>
      </c>
      <c r="C1381" s="614" t="s">
        <v>838</v>
      </c>
      <c r="D1381" s="1137">
        <v>16552.189999999999</v>
      </c>
      <c r="E1381" s="1136"/>
      <c r="F1381" s="201" t="e">
        <f>VLOOKUP(A1381,'Compos DER'!J:K,2,FALSE)</f>
        <v>#N/A</v>
      </c>
      <c r="G1381" s="198" t="e">
        <f t="shared" si="23"/>
        <v>#N/A</v>
      </c>
    </row>
    <row r="1382" spans="1:7" x14ac:dyDescent="0.2">
      <c r="A1382" s="1134">
        <v>42855</v>
      </c>
      <c r="B1382" s="616" t="s">
        <v>1972</v>
      </c>
      <c r="C1382" s="614" t="s">
        <v>838</v>
      </c>
      <c r="D1382" s="1137">
        <v>13181.14</v>
      </c>
      <c r="E1382" s="1136"/>
      <c r="F1382" s="201" t="e">
        <f>VLOOKUP(A1382,'Compos DER'!J:K,2,FALSE)</f>
        <v>#N/A</v>
      </c>
      <c r="G1382" s="198" t="e">
        <f t="shared" si="23"/>
        <v>#N/A</v>
      </c>
    </row>
    <row r="1383" spans="1:7" x14ac:dyDescent="0.2">
      <c r="A1383" s="1134">
        <v>42856</v>
      </c>
      <c r="B1383" s="616" t="s">
        <v>1973</v>
      </c>
      <c r="C1383" s="614" t="s">
        <v>838</v>
      </c>
      <c r="D1383" s="1137">
        <v>14732.67</v>
      </c>
      <c r="E1383" s="1136"/>
      <c r="F1383" s="201" t="e">
        <f>VLOOKUP(A1383,'Compos DER'!J:K,2,FALSE)</f>
        <v>#N/A</v>
      </c>
      <c r="G1383" s="198" t="e">
        <f t="shared" si="23"/>
        <v>#N/A</v>
      </c>
    </row>
    <row r="1384" spans="1:7" x14ac:dyDescent="0.2">
      <c r="A1384" s="1134">
        <v>42858</v>
      </c>
      <c r="B1384" s="616" t="s">
        <v>1974</v>
      </c>
      <c r="C1384" s="614" t="s">
        <v>838</v>
      </c>
      <c r="D1384" s="1137">
        <v>16291.5</v>
      </c>
      <c r="E1384" s="1136"/>
      <c r="F1384" s="201" t="e">
        <f>VLOOKUP(A1384,'Compos DER'!J:K,2,FALSE)</f>
        <v>#N/A</v>
      </c>
      <c r="G1384" s="198" t="e">
        <f t="shared" si="23"/>
        <v>#N/A</v>
      </c>
    </row>
    <row r="1385" spans="1:7" x14ac:dyDescent="0.2">
      <c r="A1385" s="1134">
        <v>42857</v>
      </c>
      <c r="B1385" s="616" t="s">
        <v>1975</v>
      </c>
      <c r="C1385" s="614" t="s">
        <v>838</v>
      </c>
      <c r="D1385" s="1137">
        <v>16291.5</v>
      </c>
      <c r="E1385" s="1136"/>
      <c r="F1385" s="201" t="e">
        <f>VLOOKUP(A1385,'Compos DER'!J:K,2,FALSE)</f>
        <v>#N/A</v>
      </c>
      <c r="G1385" s="198" t="e">
        <f t="shared" si="23"/>
        <v>#N/A</v>
      </c>
    </row>
    <row r="1386" spans="1:7" x14ac:dyDescent="0.2">
      <c r="A1386" s="1134">
        <v>42859</v>
      </c>
      <c r="B1386" s="616" t="s">
        <v>1976</v>
      </c>
      <c r="C1386" s="614" t="s">
        <v>838</v>
      </c>
      <c r="D1386" s="1137">
        <v>18491.72</v>
      </c>
      <c r="E1386" s="1136"/>
      <c r="F1386" s="201" t="e">
        <f>VLOOKUP(A1386,'Compos DER'!J:K,2,FALSE)</f>
        <v>#N/A</v>
      </c>
      <c r="G1386" s="198" t="e">
        <f t="shared" si="23"/>
        <v>#N/A</v>
      </c>
    </row>
    <row r="1387" spans="1:7" x14ac:dyDescent="0.2">
      <c r="A1387" s="1134">
        <v>42860</v>
      </c>
      <c r="B1387" s="616" t="s">
        <v>1977</v>
      </c>
      <c r="C1387" s="614" t="s">
        <v>838</v>
      </c>
      <c r="D1387" s="1137">
        <v>17403.71</v>
      </c>
      <c r="E1387" s="1136"/>
      <c r="F1387" s="201" t="e">
        <f>VLOOKUP(A1387,'Compos DER'!J:K,2,FALSE)</f>
        <v>#N/A</v>
      </c>
      <c r="G1387" s="198" t="e">
        <f t="shared" si="23"/>
        <v>#N/A</v>
      </c>
    </row>
    <row r="1388" spans="1:7" x14ac:dyDescent="0.2">
      <c r="A1388" s="1132" t="s">
        <v>773</v>
      </c>
      <c r="B1388" s="617"/>
      <c r="C1388" s="617"/>
      <c r="D1388" s="617"/>
      <c r="E1388" s="617"/>
      <c r="F1388" s="201" t="e">
        <f>VLOOKUP(A1388,'Compos DER'!J:K,2,FALSE)</f>
        <v>#N/A</v>
      </c>
      <c r="G1388" s="198" t="e">
        <f t="shared" si="23"/>
        <v>#N/A</v>
      </c>
    </row>
    <row r="1389" spans="1:7" x14ac:dyDescent="0.2">
      <c r="A1389" s="1131" t="s">
        <v>708</v>
      </c>
      <c r="B1389" s="617"/>
      <c r="C1389" s="617"/>
      <c r="D1389" s="617"/>
      <c r="E1389" s="617"/>
      <c r="F1389" s="201" t="e">
        <f>VLOOKUP(A1389,'Compos DER'!J:K,2,FALSE)</f>
        <v>#N/A</v>
      </c>
      <c r="G1389" s="198" t="e">
        <f t="shared" si="23"/>
        <v>#N/A</v>
      </c>
    </row>
    <row r="1390" spans="1:7" x14ac:dyDescent="0.2">
      <c r="A1390" s="1131" t="s">
        <v>709</v>
      </c>
      <c r="B1390" s="617"/>
      <c r="C1390" s="617"/>
      <c r="D1390" s="617"/>
      <c r="E1390" s="617"/>
      <c r="F1390" s="201" t="e">
        <f>VLOOKUP(A1390,'Compos DER'!J:K,2,FALSE)</f>
        <v>#N/A</v>
      </c>
      <c r="G1390" s="198" t="e">
        <f t="shared" si="23"/>
        <v>#N/A</v>
      </c>
    </row>
    <row r="1391" spans="1:7" x14ac:dyDescent="0.2">
      <c r="A1391" s="1132" t="s">
        <v>1761</v>
      </c>
      <c r="B1391" s="617"/>
      <c r="C1391" s="617"/>
      <c r="D1391" s="617"/>
      <c r="E1391" s="617"/>
      <c r="F1391" s="201" t="e">
        <f>VLOOKUP(A1391,'Compos DER'!J:K,2,FALSE)</f>
        <v>#N/A</v>
      </c>
      <c r="G1391" s="198" t="e">
        <f t="shared" si="23"/>
        <v>#N/A</v>
      </c>
    </row>
    <row r="1392" spans="1:7" ht="18" x14ac:dyDescent="0.2">
      <c r="A1392" s="1133" t="s">
        <v>711</v>
      </c>
      <c r="B1392" s="1133" t="s">
        <v>712</v>
      </c>
      <c r="C1392" s="1133" t="s">
        <v>713</v>
      </c>
      <c r="D1392" s="1133" t="s">
        <v>714</v>
      </c>
      <c r="E1392" s="1133" t="s">
        <v>715</v>
      </c>
      <c r="F1392" s="201" t="e">
        <f>VLOOKUP(A1392,'Compos DER'!J:K,2,FALSE)</f>
        <v>#N/A</v>
      </c>
      <c r="G1392" s="198" t="e">
        <f t="shared" si="23"/>
        <v>#N/A</v>
      </c>
    </row>
    <row r="1393" spans="1:7" x14ac:dyDescent="0.2">
      <c r="A1393" s="1134">
        <v>42861</v>
      </c>
      <c r="B1393" s="616" t="s">
        <v>1978</v>
      </c>
      <c r="C1393" s="614" t="s">
        <v>838</v>
      </c>
      <c r="D1393" s="1137">
        <v>19499.14</v>
      </c>
      <c r="E1393" s="1136"/>
      <c r="F1393" s="201" t="e">
        <f>VLOOKUP(A1393,'Compos DER'!J:K,2,FALSE)</f>
        <v>#N/A</v>
      </c>
      <c r="G1393" s="198" t="e">
        <f t="shared" si="23"/>
        <v>#N/A</v>
      </c>
    </row>
    <row r="1394" spans="1:7" x14ac:dyDescent="0.2">
      <c r="A1394" s="1134">
        <v>42862</v>
      </c>
      <c r="B1394" s="616" t="s">
        <v>1979</v>
      </c>
      <c r="C1394" s="614" t="s">
        <v>719</v>
      </c>
      <c r="D1394" s="1135">
        <v>18.89</v>
      </c>
      <c r="E1394" s="1136"/>
      <c r="F1394" s="201" t="e">
        <f>VLOOKUP(A1394,'Compos DER'!J:K,2,FALSE)</f>
        <v>#N/A</v>
      </c>
      <c r="G1394" s="198" t="e">
        <f t="shared" si="23"/>
        <v>#N/A</v>
      </c>
    </row>
    <row r="1395" spans="1:7" x14ac:dyDescent="0.2">
      <c r="A1395" s="1134">
        <v>42863</v>
      </c>
      <c r="B1395" s="616" t="s">
        <v>1980</v>
      </c>
      <c r="C1395" s="614" t="s">
        <v>719</v>
      </c>
      <c r="D1395" s="1135">
        <v>37.78</v>
      </c>
      <c r="E1395" s="1136"/>
      <c r="F1395" s="201" t="e">
        <f>VLOOKUP(A1395,'Compos DER'!J:K,2,FALSE)</f>
        <v>#N/A</v>
      </c>
      <c r="G1395" s="198" t="e">
        <f t="shared" si="23"/>
        <v>#N/A</v>
      </c>
    </row>
    <row r="1396" spans="1:7" x14ac:dyDescent="0.2">
      <c r="A1396" s="1134">
        <v>42864</v>
      </c>
      <c r="B1396" s="616" t="s">
        <v>1981</v>
      </c>
      <c r="C1396" s="614" t="s">
        <v>719</v>
      </c>
      <c r="D1396" s="1135">
        <v>148.62</v>
      </c>
      <c r="E1396" s="1136"/>
      <c r="F1396" s="201" t="e">
        <f>VLOOKUP(A1396,'Compos DER'!J:K,2,FALSE)</f>
        <v>#N/A</v>
      </c>
      <c r="G1396" s="198" t="e">
        <f t="shared" si="23"/>
        <v>#N/A</v>
      </c>
    </row>
    <row r="1397" spans="1:7" x14ac:dyDescent="0.2">
      <c r="A1397" s="1134">
        <v>42865</v>
      </c>
      <c r="B1397" s="616" t="s">
        <v>1982</v>
      </c>
      <c r="C1397" s="614" t="s">
        <v>838</v>
      </c>
      <c r="D1397" s="1135">
        <v>26.26</v>
      </c>
      <c r="E1397" s="1136"/>
      <c r="F1397" s="201" t="e">
        <f>VLOOKUP(A1397,'Compos DER'!J:K,2,FALSE)</f>
        <v>#N/A</v>
      </c>
      <c r="G1397" s="198" t="e">
        <f t="shared" si="23"/>
        <v>#N/A</v>
      </c>
    </row>
    <row r="1398" spans="1:7" x14ac:dyDescent="0.2">
      <c r="A1398" s="1134">
        <v>42867</v>
      </c>
      <c r="B1398" s="616" t="s">
        <v>1983</v>
      </c>
      <c r="C1398" s="614" t="s">
        <v>719</v>
      </c>
      <c r="D1398" s="1135">
        <v>238.55</v>
      </c>
      <c r="E1398" s="1136"/>
      <c r="F1398" s="201" t="e">
        <f>VLOOKUP(A1398,'Compos DER'!J:K,2,FALSE)</f>
        <v>#N/A</v>
      </c>
      <c r="G1398" s="198" t="e">
        <f t="shared" si="23"/>
        <v>#N/A</v>
      </c>
    </row>
    <row r="1399" spans="1:7" x14ac:dyDescent="0.2">
      <c r="A1399" s="1134">
        <v>42868</v>
      </c>
      <c r="B1399" s="616" t="s">
        <v>1984</v>
      </c>
      <c r="C1399" s="614" t="s">
        <v>719</v>
      </c>
      <c r="D1399" s="1135">
        <v>352.09</v>
      </c>
      <c r="E1399" s="1136"/>
      <c r="F1399" s="201" t="e">
        <f>VLOOKUP(A1399,'Compos DER'!J:K,2,FALSE)</f>
        <v>#N/A</v>
      </c>
      <c r="G1399" s="198" t="e">
        <f t="shared" si="23"/>
        <v>#N/A</v>
      </c>
    </row>
    <row r="1400" spans="1:7" x14ac:dyDescent="0.2">
      <c r="A1400" s="1134">
        <v>42869</v>
      </c>
      <c r="B1400" s="616" t="s">
        <v>1985</v>
      </c>
      <c r="C1400" s="614" t="s">
        <v>719</v>
      </c>
      <c r="D1400" s="1135">
        <v>310.66000000000003</v>
      </c>
      <c r="E1400" s="1136"/>
      <c r="F1400" s="201" t="e">
        <f>VLOOKUP(A1400,'Compos DER'!J:K,2,FALSE)</f>
        <v>#N/A</v>
      </c>
      <c r="G1400" s="198" t="e">
        <f t="shared" si="23"/>
        <v>#N/A</v>
      </c>
    </row>
    <row r="1401" spans="1:7" x14ac:dyDescent="0.2">
      <c r="A1401" s="1134">
        <v>42870</v>
      </c>
      <c r="B1401" s="616" t="s">
        <v>1986</v>
      </c>
      <c r="C1401" s="614" t="s">
        <v>719</v>
      </c>
      <c r="D1401" s="1135">
        <v>199.45</v>
      </c>
      <c r="E1401" s="1136"/>
      <c r="F1401" s="201" t="e">
        <f>VLOOKUP(A1401,'Compos DER'!J:K,2,FALSE)</f>
        <v>#N/A</v>
      </c>
      <c r="G1401" s="198" t="e">
        <f t="shared" si="23"/>
        <v>#N/A</v>
      </c>
    </row>
    <row r="1402" spans="1:7" x14ac:dyDescent="0.2">
      <c r="A1402" s="1134">
        <v>42880</v>
      </c>
      <c r="B1402" s="616" t="s">
        <v>1987</v>
      </c>
      <c r="C1402" s="614" t="s">
        <v>734</v>
      </c>
      <c r="D1402" s="1135">
        <v>777.01</v>
      </c>
      <c r="E1402" s="1136"/>
      <c r="F1402" s="201" t="e">
        <f>VLOOKUP(A1402,'Compos DER'!J:K,2,FALSE)</f>
        <v>#N/A</v>
      </c>
      <c r="G1402" s="198" t="e">
        <f t="shared" si="23"/>
        <v>#N/A</v>
      </c>
    </row>
    <row r="1403" spans="1:7" x14ac:dyDescent="0.2">
      <c r="A1403" s="1134">
        <v>42883</v>
      </c>
      <c r="B1403" s="616" t="s">
        <v>1988</v>
      </c>
      <c r="C1403" s="614" t="s">
        <v>838</v>
      </c>
      <c r="D1403" s="1135">
        <v>45.22</v>
      </c>
      <c r="E1403" s="616" t="s">
        <v>777</v>
      </c>
      <c r="F1403" s="201" t="e">
        <f>VLOOKUP(A1403,'Compos DER'!J:K,2,FALSE)</f>
        <v>#N/A</v>
      </c>
      <c r="G1403" s="198" t="e">
        <f t="shared" si="23"/>
        <v>#N/A</v>
      </c>
    </row>
    <row r="1404" spans="1:7" x14ac:dyDescent="0.2">
      <c r="A1404" s="1134">
        <v>42899</v>
      </c>
      <c r="B1404" s="616" t="s">
        <v>1989</v>
      </c>
      <c r="C1404" s="614" t="s">
        <v>838</v>
      </c>
      <c r="D1404" s="1135">
        <v>67.06</v>
      </c>
      <c r="E1404" s="616" t="s">
        <v>777</v>
      </c>
      <c r="F1404" s="201" t="e">
        <f>VLOOKUP(A1404,'Compos DER'!J:K,2,FALSE)</f>
        <v>#N/A</v>
      </c>
      <c r="G1404" s="198" t="e">
        <f t="shared" si="23"/>
        <v>#N/A</v>
      </c>
    </row>
    <row r="1405" spans="1:7" x14ac:dyDescent="0.2">
      <c r="A1405" s="1134">
        <v>42901</v>
      </c>
      <c r="B1405" s="616" t="s">
        <v>1990</v>
      </c>
      <c r="C1405" s="614" t="s">
        <v>838</v>
      </c>
      <c r="D1405" s="1135">
        <v>34.909999999999997</v>
      </c>
      <c r="E1405" s="1136"/>
      <c r="F1405" s="201" t="e">
        <f>VLOOKUP(A1405,'Compos DER'!J:K,2,FALSE)</f>
        <v>#N/A</v>
      </c>
      <c r="G1405" s="198" t="e">
        <f t="shared" si="23"/>
        <v>#N/A</v>
      </c>
    </row>
    <row r="1406" spans="1:7" x14ac:dyDescent="0.2">
      <c r="A1406" s="1134">
        <v>42900</v>
      </c>
      <c r="B1406" s="616" t="s">
        <v>1991</v>
      </c>
      <c r="C1406" s="614" t="s">
        <v>838</v>
      </c>
      <c r="D1406" s="1135">
        <v>32.54</v>
      </c>
      <c r="E1406" s="1136"/>
      <c r="F1406" s="201" t="e">
        <f>VLOOKUP(A1406,'Compos DER'!J:K,2,FALSE)</f>
        <v>#N/A</v>
      </c>
      <c r="G1406" s="198" t="e">
        <f t="shared" ref="G1406:G1468" si="24">+F1406/D1406</f>
        <v>#N/A</v>
      </c>
    </row>
    <row r="1407" spans="1:7" x14ac:dyDescent="0.2">
      <c r="A1407" s="1134">
        <v>41185</v>
      </c>
      <c r="B1407" s="616" t="s">
        <v>1992</v>
      </c>
      <c r="C1407" s="614" t="s">
        <v>838</v>
      </c>
      <c r="D1407" s="1135">
        <v>8.9</v>
      </c>
      <c r="E1407" s="616" t="s">
        <v>777</v>
      </c>
      <c r="F1407" s="201" t="e">
        <f>VLOOKUP(A1407,'Compos DER'!J:K,2,FALSE)</f>
        <v>#N/A</v>
      </c>
      <c r="G1407" s="198" t="e">
        <f t="shared" si="24"/>
        <v>#N/A</v>
      </c>
    </row>
    <row r="1408" spans="1:7" x14ac:dyDescent="0.2">
      <c r="A1408" s="1134">
        <v>42903</v>
      </c>
      <c r="B1408" s="616" t="s">
        <v>1993</v>
      </c>
      <c r="C1408" s="614" t="s">
        <v>838</v>
      </c>
      <c r="D1408" s="1135">
        <v>128.36000000000001</v>
      </c>
      <c r="E1408" s="616" t="s">
        <v>777</v>
      </c>
      <c r="F1408" s="201" t="e">
        <f>VLOOKUP(A1408,'Compos DER'!J:K,2,FALSE)</f>
        <v>#N/A</v>
      </c>
      <c r="G1408" s="198" t="e">
        <f t="shared" si="24"/>
        <v>#N/A</v>
      </c>
    </row>
    <row r="1409" spans="1:7" x14ac:dyDescent="0.2">
      <c r="A1409" s="1134">
        <v>42904</v>
      </c>
      <c r="B1409" s="616" t="s">
        <v>1994</v>
      </c>
      <c r="C1409" s="614" t="s">
        <v>838</v>
      </c>
      <c r="D1409" s="1135">
        <v>99.61</v>
      </c>
      <c r="E1409" s="616" t="s">
        <v>777</v>
      </c>
      <c r="F1409" s="201" t="e">
        <f>VLOOKUP(A1409,'Compos DER'!J:K,2,FALSE)</f>
        <v>#N/A</v>
      </c>
      <c r="G1409" s="198" t="e">
        <f t="shared" si="24"/>
        <v>#N/A</v>
      </c>
    </row>
    <row r="1410" spans="1:7" x14ac:dyDescent="0.2">
      <c r="A1410" s="1134">
        <v>42902</v>
      </c>
      <c r="B1410" s="616" t="s">
        <v>1995</v>
      </c>
      <c r="C1410" s="614" t="s">
        <v>838</v>
      </c>
      <c r="D1410" s="1135">
        <v>107.91</v>
      </c>
      <c r="E1410" s="1136"/>
      <c r="F1410" s="201" t="e">
        <f>VLOOKUP(A1410,'Compos DER'!J:K,2,FALSE)</f>
        <v>#N/A</v>
      </c>
      <c r="G1410" s="198" t="e">
        <f t="shared" si="24"/>
        <v>#N/A</v>
      </c>
    </row>
    <row r="1411" spans="1:7" x14ac:dyDescent="0.2">
      <c r="A1411" s="1134">
        <v>42905</v>
      </c>
      <c r="B1411" s="616" t="s">
        <v>1996</v>
      </c>
      <c r="C1411" s="614" t="s">
        <v>838</v>
      </c>
      <c r="D1411" s="1135">
        <v>29.73</v>
      </c>
      <c r="E1411" s="1136"/>
      <c r="F1411" s="201" t="e">
        <f>VLOOKUP(A1411,'Compos DER'!J:K,2,FALSE)</f>
        <v>#N/A</v>
      </c>
      <c r="G1411" s="198" t="e">
        <f t="shared" si="24"/>
        <v>#N/A</v>
      </c>
    </row>
    <row r="1412" spans="1:7" x14ac:dyDescent="0.2">
      <c r="A1412" s="1134">
        <v>43120</v>
      </c>
      <c r="B1412" s="616" t="s">
        <v>1997</v>
      </c>
      <c r="C1412" s="614" t="s">
        <v>838</v>
      </c>
      <c r="D1412" s="1135">
        <v>111.28</v>
      </c>
      <c r="E1412" s="616" t="s">
        <v>777</v>
      </c>
      <c r="F1412" s="201" t="e">
        <f>VLOOKUP(A1412,'Compos DER'!J:K,2,FALSE)</f>
        <v>#N/A</v>
      </c>
      <c r="G1412" s="198" t="e">
        <f t="shared" si="24"/>
        <v>#N/A</v>
      </c>
    </row>
    <row r="1413" spans="1:7" x14ac:dyDescent="0.2">
      <c r="A1413" s="1134">
        <v>42906</v>
      </c>
      <c r="B1413" s="616" t="s">
        <v>1998</v>
      </c>
      <c r="C1413" s="614" t="s">
        <v>838</v>
      </c>
      <c r="D1413" s="1135">
        <v>116.45</v>
      </c>
      <c r="E1413" s="616" t="s">
        <v>777</v>
      </c>
      <c r="F1413" s="201" t="e">
        <f>VLOOKUP(A1413,'Compos DER'!J:K,2,FALSE)</f>
        <v>#N/A</v>
      </c>
      <c r="G1413" s="198" t="e">
        <f t="shared" si="24"/>
        <v>#N/A</v>
      </c>
    </row>
    <row r="1414" spans="1:7" x14ac:dyDescent="0.2">
      <c r="A1414" s="1134">
        <v>42907</v>
      </c>
      <c r="B1414" s="616" t="s">
        <v>1999</v>
      </c>
      <c r="C1414" s="614" t="s">
        <v>838</v>
      </c>
      <c r="D1414" s="1135">
        <v>125.35</v>
      </c>
      <c r="E1414" s="616" t="s">
        <v>777</v>
      </c>
      <c r="F1414" s="201" t="e">
        <f>VLOOKUP(A1414,'Compos DER'!J:K,2,FALSE)</f>
        <v>#N/A</v>
      </c>
      <c r="G1414" s="198" t="e">
        <f t="shared" si="24"/>
        <v>#N/A</v>
      </c>
    </row>
    <row r="1415" spans="1:7" x14ac:dyDescent="0.2">
      <c r="A1415" s="1134">
        <v>42908</v>
      </c>
      <c r="B1415" s="616" t="s">
        <v>2000</v>
      </c>
      <c r="C1415" s="614" t="s">
        <v>838</v>
      </c>
      <c r="D1415" s="1135">
        <v>111.74</v>
      </c>
      <c r="E1415" s="616" t="s">
        <v>777</v>
      </c>
      <c r="F1415" s="201" t="e">
        <f>VLOOKUP(A1415,'Compos DER'!J:K,2,FALSE)</f>
        <v>#N/A</v>
      </c>
      <c r="G1415" s="198" t="e">
        <f t="shared" si="24"/>
        <v>#N/A</v>
      </c>
    </row>
    <row r="1416" spans="1:7" x14ac:dyDescent="0.2">
      <c r="A1416" s="1134">
        <v>43122</v>
      </c>
      <c r="B1416" s="616" t="s">
        <v>2001</v>
      </c>
      <c r="C1416" s="614" t="s">
        <v>838</v>
      </c>
      <c r="D1416" s="1135">
        <v>115.25</v>
      </c>
      <c r="E1416" s="616" t="s">
        <v>777</v>
      </c>
      <c r="F1416" s="201" t="e">
        <f>VLOOKUP(A1416,'Compos DER'!J:K,2,FALSE)</f>
        <v>#N/A</v>
      </c>
      <c r="G1416" s="198" t="e">
        <f t="shared" si="24"/>
        <v>#N/A</v>
      </c>
    </row>
    <row r="1417" spans="1:7" x14ac:dyDescent="0.2">
      <c r="A1417" s="1134">
        <v>42913</v>
      </c>
      <c r="B1417" s="616" t="s">
        <v>2002</v>
      </c>
      <c r="C1417" s="614" t="s">
        <v>838</v>
      </c>
      <c r="D1417" s="1135">
        <v>138.32</v>
      </c>
      <c r="E1417" s="616" t="s">
        <v>777</v>
      </c>
      <c r="F1417" s="201" t="e">
        <f>VLOOKUP(A1417,'Compos DER'!J:K,2,FALSE)</f>
        <v>#N/A</v>
      </c>
      <c r="G1417" s="198" t="e">
        <f t="shared" si="24"/>
        <v>#N/A</v>
      </c>
    </row>
    <row r="1418" spans="1:7" x14ac:dyDescent="0.2">
      <c r="A1418" s="1134">
        <v>42910</v>
      </c>
      <c r="B1418" s="616" t="s">
        <v>2003</v>
      </c>
      <c r="C1418" s="614" t="s">
        <v>838</v>
      </c>
      <c r="D1418" s="1135">
        <v>239.84</v>
      </c>
      <c r="E1418" s="616" t="s">
        <v>777</v>
      </c>
      <c r="F1418" s="201" t="e">
        <f>VLOOKUP(A1418,'Compos DER'!J:K,2,FALSE)</f>
        <v>#N/A</v>
      </c>
      <c r="G1418" s="198" t="e">
        <f t="shared" si="24"/>
        <v>#N/A</v>
      </c>
    </row>
    <row r="1419" spans="1:7" x14ac:dyDescent="0.2">
      <c r="A1419" s="1134">
        <v>42909</v>
      </c>
      <c r="B1419" s="616" t="s">
        <v>2004</v>
      </c>
      <c r="C1419" s="614" t="s">
        <v>838</v>
      </c>
      <c r="D1419" s="1135">
        <v>155.51</v>
      </c>
      <c r="E1419" s="616" t="s">
        <v>777</v>
      </c>
      <c r="F1419" s="201" t="e">
        <f>VLOOKUP(A1419,'Compos DER'!J:K,2,FALSE)</f>
        <v>#N/A</v>
      </c>
      <c r="G1419" s="198" t="e">
        <f t="shared" si="24"/>
        <v>#N/A</v>
      </c>
    </row>
    <row r="1420" spans="1:7" ht="18" x14ac:dyDescent="0.2">
      <c r="A1420" s="1134">
        <v>42911</v>
      </c>
      <c r="B1420" s="1136" t="s">
        <v>2005</v>
      </c>
      <c r="C1420" s="614" t="s">
        <v>838</v>
      </c>
      <c r="D1420" s="1135">
        <v>133.29</v>
      </c>
      <c r="E1420" s="616" t="s">
        <v>777</v>
      </c>
      <c r="F1420" s="201" t="e">
        <f>VLOOKUP(A1420,'Compos DER'!J:K,2,FALSE)</f>
        <v>#N/A</v>
      </c>
      <c r="G1420" s="198" t="e">
        <f t="shared" si="24"/>
        <v>#N/A</v>
      </c>
    </row>
    <row r="1421" spans="1:7" x14ac:dyDescent="0.2">
      <c r="A1421" s="1134">
        <v>42912</v>
      </c>
      <c r="B1421" s="616" t="s">
        <v>2006</v>
      </c>
      <c r="C1421" s="614" t="s">
        <v>838</v>
      </c>
      <c r="D1421" s="1135">
        <v>129.41999999999999</v>
      </c>
      <c r="E1421" s="616" t="s">
        <v>777</v>
      </c>
      <c r="F1421" s="201" t="e">
        <f>VLOOKUP(A1421,'Compos DER'!J:K,2,FALSE)</f>
        <v>#N/A</v>
      </c>
      <c r="G1421" s="198" t="e">
        <f t="shared" si="24"/>
        <v>#N/A</v>
      </c>
    </row>
    <row r="1422" spans="1:7" x14ac:dyDescent="0.2">
      <c r="A1422" s="1134">
        <v>42915</v>
      </c>
      <c r="B1422" s="616" t="s">
        <v>2007</v>
      </c>
      <c r="C1422" s="614" t="s">
        <v>838</v>
      </c>
      <c r="D1422" s="1135">
        <v>141.69999999999999</v>
      </c>
      <c r="E1422" s="616" t="s">
        <v>777</v>
      </c>
      <c r="F1422" s="201" t="e">
        <f>VLOOKUP(A1422,'Compos DER'!J:K,2,FALSE)</f>
        <v>#N/A</v>
      </c>
      <c r="G1422" s="198" t="e">
        <f t="shared" si="24"/>
        <v>#N/A</v>
      </c>
    </row>
    <row r="1423" spans="1:7" x14ac:dyDescent="0.2">
      <c r="A1423" s="1134">
        <v>42914</v>
      </c>
      <c r="B1423" s="616" t="s">
        <v>2008</v>
      </c>
      <c r="C1423" s="614" t="s">
        <v>838</v>
      </c>
      <c r="D1423" s="1135">
        <v>106.06</v>
      </c>
      <c r="E1423" s="616" t="s">
        <v>777</v>
      </c>
      <c r="F1423" s="201" t="e">
        <f>VLOOKUP(A1423,'Compos DER'!J:K,2,FALSE)</f>
        <v>#N/A</v>
      </c>
      <c r="G1423" s="198" t="e">
        <f t="shared" si="24"/>
        <v>#N/A</v>
      </c>
    </row>
    <row r="1424" spans="1:7" x14ac:dyDescent="0.2">
      <c r="A1424" s="1134">
        <v>42917</v>
      </c>
      <c r="B1424" s="616" t="s">
        <v>2009</v>
      </c>
      <c r="C1424" s="614" t="s">
        <v>838</v>
      </c>
      <c r="D1424" s="1135">
        <v>860.63</v>
      </c>
      <c r="E1424" s="1136"/>
      <c r="F1424" s="201" t="e">
        <f>VLOOKUP(A1424,'Compos DER'!J:K,2,FALSE)</f>
        <v>#N/A</v>
      </c>
      <c r="G1424" s="198" t="e">
        <f t="shared" si="24"/>
        <v>#N/A</v>
      </c>
    </row>
    <row r="1425" spans="1:7" x14ac:dyDescent="0.2">
      <c r="A1425" s="1134">
        <v>42918</v>
      </c>
      <c r="B1425" s="616" t="s">
        <v>2010</v>
      </c>
      <c r="C1425" s="614" t="s">
        <v>838</v>
      </c>
      <c r="D1425" s="1137">
        <v>1115.28</v>
      </c>
      <c r="E1425" s="1136"/>
      <c r="F1425" s="201" t="e">
        <f>VLOOKUP(A1425,'Compos DER'!J:K,2,FALSE)</f>
        <v>#N/A</v>
      </c>
      <c r="G1425" s="198" t="e">
        <f t="shared" si="24"/>
        <v>#N/A</v>
      </c>
    </row>
    <row r="1426" spans="1:7" x14ac:dyDescent="0.2">
      <c r="A1426" s="1134">
        <v>42916</v>
      </c>
      <c r="B1426" s="616" t="s">
        <v>2011</v>
      </c>
      <c r="C1426" s="614" t="s">
        <v>838</v>
      </c>
      <c r="D1426" s="1135">
        <v>616.16</v>
      </c>
      <c r="E1426" s="1136"/>
      <c r="F1426" s="201" t="e">
        <f>VLOOKUP(A1426,'Compos DER'!J:K,2,FALSE)</f>
        <v>#N/A</v>
      </c>
      <c r="G1426" s="198" t="e">
        <f t="shared" si="24"/>
        <v>#N/A</v>
      </c>
    </row>
    <row r="1427" spans="1:7" x14ac:dyDescent="0.2">
      <c r="A1427" s="1134">
        <v>42919</v>
      </c>
      <c r="B1427" s="616" t="s">
        <v>2012</v>
      </c>
      <c r="C1427" s="614" t="s">
        <v>838</v>
      </c>
      <c r="D1427" s="1135">
        <v>83.13</v>
      </c>
      <c r="E1427" s="616" t="s">
        <v>777</v>
      </c>
      <c r="F1427" s="201" t="e">
        <f>VLOOKUP(A1427,'Compos DER'!J:K,2,FALSE)</f>
        <v>#N/A</v>
      </c>
      <c r="G1427" s="198" t="e">
        <f t="shared" si="24"/>
        <v>#N/A</v>
      </c>
    </row>
    <row r="1428" spans="1:7" x14ac:dyDescent="0.2">
      <c r="A1428" s="1134">
        <v>42920</v>
      </c>
      <c r="B1428" s="616" t="s">
        <v>2013</v>
      </c>
      <c r="C1428" s="614" t="s">
        <v>838</v>
      </c>
      <c r="D1428" s="1135">
        <v>623.29</v>
      </c>
      <c r="E1428" s="1136"/>
      <c r="F1428" s="201" t="e">
        <f>VLOOKUP(A1428,'Compos DER'!J:K,2,FALSE)</f>
        <v>#N/A</v>
      </c>
      <c r="G1428" s="198" t="e">
        <f t="shared" si="24"/>
        <v>#N/A</v>
      </c>
    </row>
    <row r="1429" spans="1:7" x14ac:dyDescent="0.2">
      <c r="A1429" s="1134">
        <v>42921</v>
      </c>
      <c r="B1429" s="616" t="s">
        <v>2014</v>
      </c>
      <c r="C1429" s="614" t="s">
        <v>838</v>
      </c>
      <c r="D1429" s="1135">
        <v>156.35</v>
      </c>
      <c r="E1429" s="1136"/>
      <c r="F1429" s="201" t="e">
        <f>VLOOKUP(A1429,'Compos DER'!J:K,2,FALSE)</f>
        <v>#N/A</v>
      </c>
      <c r="G1429" s="198" t="e">
        <f t="shared" si="24"/>
        <v>#N/A</v>
      </c>
    </row>
    <row r="1430" spans="1:7" x14ac:dyDescent="0.2">
      <c r="A1430" s="1134">
        <v>42922</v>
      </c>
      <c r="B1430" s="616" t="s">
        <v>2015</v>
      </c>
      <c r="C1430" s="614" t="s">
        <v>838</v>
      </c>
      <c r="D1430" s="1135">
        <v>28.78</v>
      </c>
      <c r="E1430" s="1136"/>
      <c r="F1430" s="201" t="e">
        <f>VLOOKUP(A1430,'Compos DER'!J:K,2,FALSE)</f>
        <v>#N/A</v>
      </c>
      <c r="G1430" s="198" t="e">
        <f t="shared" si="24"/>
        <v>#N/A</v>
      </c>
    </row>
    <row r="1431" spans="1:7" x14ac:dyDescent="0.2">
      <c r="A1431" s="1134">
        <v>42923</v>
      </c>
      <c r="B1431" s="616" t="s">
        <v>2016</v>
      </c>
      <c r="C1431" s="614" t="s">
        <v>838</v>
      </c>
      <c r="D1431" s="1135">
        <v>28.83</v>
      </c>
      <c r="E1431" s="1136"/>
      <c r="F1431" s="201" t="e">
        <f>VLOOKUP(A1431,'Compos DER'!J:K,2,FALSE)</f>
        <v>#N/A</v>
      </c>
      <c r="G1431" s="198" t="e">
        <f t="shared" si="24"/>
        <v>#N/A</v>
      </c>
    </row>
    <row r="1432" spans="1:7" x14ac:dyDescent="0.2">
      <c r="A1432" s="1134">
        <v>42924</v>
      </c>
      <c r="B1432" s="616" t="s">
        <v>2017</v>
      </c>
      <c r="C1432" s="614" t="s">
        <v>838</v>
      </c>
      <c r="D1432" s="1135">
        <v>18.059999999999999</v>
      </c>
      <c r="E1432" s="1136"/>
      <c r="F1432" s="201" t="e">
        <f>VLOOKUP(A1432,'Compos DER'!J:K,2,FALSE)</f>
        <v>#N/A</v>
      </c>
      <c r="G1432" s="198" t="e">
        <f t="shared" si="24"/>
        <v>#N/A</v>
      </c>
    </row>
    <row r="1433" spans="1:7" x14ac:dyDescent="0.2">
      <c r="A1433" s="1134">
        <v>42925</v>
      </c>
      <c r="B1433" s="616" t="s">
        <v>2018</v>
      </c>
      <c r="C1433" s="614" t="s">
        <v>838</v>
      </c>
      <c r="D1433" s="1135">
        <v>8.08</v>
      </c>
      <c r="E1433" s="1136"/>
      <c r="F1433" s="201" t="e">
        <f>VLOOKUP(A1433,'Compos DER'!J:K,2,FALSE)</f>
        <v>#N/A</v>
      </c>
      <c r="G1433" s="198" t="e">
        <f t="shared" si="24"/>
        <v>#N/A</v>
      </c>
    </row>
    <row r="1434" spans="1:7" x14ac:dyDescent="0.2">
      <c r="A1434" s="1134">
        <v>42926</v>
      </c>
      <c r="B1434" s="616" t="s">
        <v>2019</v>
      </c>
      <c r="C1434" s="614" t="s">
        <v>838</v>
      </c>
      <c r="D1434" s="1135">
        <v>8.84</v>
      </c>
      <c r="E1434" s="1136"/>
      <c r="F1434" s="201" t="e">
        <f>VLOOKUP(A1434,'Compos DER'!J:K,2,FALSE)</f>
        <v>#N/A</v>
      </c>
      <c r="G1434" s="198" t="e">
        <f t="shared" si="24"/>
        <v>#N/A</v>
      </c>
    </row>
    <row r="1435" spans="1:7" x14ac:dyDescent="0.2">
      <c r="A1435" s="1134">
        <v>42927</v>
      </c>
      <c r="B1435" s="616" t="s">
        <v>2020</v>
      </c>
      <c r="C1435" s="614" t="s">
        <v>838</v>
      </c>
      <c r="D1435" s="1135">
        <v>10.28</v>
      </c>
      <c r="E1435" s="1136"/>
      <c r="F1435" s="201" t="e">
        <f>VLOOKUP(A1435,'Compos DER'!J:K,2,FALSE)</f>
        <v>#N/A</v>
      </c>
      <c r="G1435" s="198" t="e">
        <f t="shared" si="24"/>
        <v>#N/A</v>
      </c>
    </row>
    <row r="1436" spans="1:7" x14ac:dyDescent="0.2">
      <c r="A1436" s="1134">
        <v>42928</v>
      </c>
      <c r="B1436" s="616" t="s">
        <v>2021</v>
      </c>
      <c r="C1436" s="614" t="s">
        <v>838</v>
      </c>
      <c r="D1436" s="1135">
        <v>15.09</v>
      </c>
      <c r="E1436" s="1136"/>
      <c r="F1436" s="201" t="e">
        <f>VLOOKUP(A1436,'Compos DER'!J:K,2,FALSE)</f>
        <v>#N/A</v>
      </c>
      <c r="G1436" s="198" t="e">
        <f t="shared" si="24"/>
        <v>#N/A</v>
      </c>
    </row>
    <row r="1437" spans="1:7" x14ac:dyDescent="0.2">
      <c r="A1437" s="1134">
        <v>42942</v>
      </c>
      <c r="B1437" s="616" t="s">
        <v>2022</v>
      </c>
      <c r="C1437" s="614" t="s">
        <v>838</v>
      </c>
      <c r="D1437" s="1135">
        <v>87.22</v>
      </c>
      <c r="E1437" s="1136"/>
    </row>
    <row r="1438" spans="1:7" x14ac:dyDescent="0.2">
      <c r="A1438" s="1134">
        <v>42944</v>
      </c>
      <c r="B1438" s="616" t="s">
        <v>2023</v>
      </c>
      <c r="C1438" s="614" t="s">
        <v>719</v>
      </c>
      <c r="D1438" s="1135">
        <v>79.83</v>
      </c>
      <c r="E1438" s="1136"/>
    </row>
    <row r="1439" spans="1:7" x14ac:dyDescent="0.2">
      <c r="A1439" s="1132" t="s">
        <v>773</v>
      </c>
      <c r="B1439" s="617"/>
      <c r="C1439" s="617"/>
      <c r="D1439" s="617"/>
      <c r="E1439" s="617"/>
      <c r="F1439" s="201" t="e">
        <f>VLOOKUP(A1439,'Compos DER'!J:K,2,FALSE)</f>
        <v>#N/A</v>
      </c>
      <c r="G1439" s="198" t="e">
        <f t="shared" si="24"/>
        <v>#N/A</v>
      </c>
    </row>
    <row r="1440" spans="1:7" x14ac:dyDescent="0.2">
      <c r="A1440" s="1131" t="s">
        <v>708</v>
      </c>
      <c r="B1440" s="617"/>
      <c r="C1440" s="617"/>
      <c r="D1440" s="617"/>
      <c r="E1440" s="617"/>
      <c r="F1440" s="201" t="e">
        <f>VLOOKUP(A1440,'Compos DER'!J:K,2,FALSE)</f>
        <v>#N/A</v>
      </c>
      <c r="G1440" s="198" t="e">
        <f t="shared" si="24"/>
        <v>#N/A</v>
      </c>
    </row>
    <row r="1441" spans="1:7" x14ac:dyDescent="0.2">
      <c r="A1441" s="1131" t="s">
        <v>709</v>
      </c>
      <c r="B1441" s="617"/>
      <c r="C1441" s="617"/>
      <c r="D1441" s="617"/>
      <c r="E1441" s="617"/>
      <c r="F1441" s="201" t="e">
        <f>VLOOKUP(A1441,'Compos DER'!J:K,2,FALSE)</f>
        <v>#N/A</v>
      </c>
      <c r="G1441" s="198" t="e">
        <f t="shared" si="24"/>
        <v>#N/A</v>
      </c>
    </row>
    <row r="1442" spans="1:7" x14ac:dyDescent="0.2">
      <c r="A1442" s="1132" t="s">
        <v>1761</v>
      </c>
      <c r="B1442" s="617"/>
      <c r="C1442" s="617"/>
      <c r="D1442" s="617"/>
      <c r="E1442" s="617"/>
      <c r="F1442" s="201" t="e">
        <f>VLOOKUP(A1442,'Compos DER'!J:K,2,FALSE)</f>
        <v>#N/A</v>
      </c>
      <c r="G1442" s="198" t="e">
        <f t="shared" si="24"/>
        <v>#N/A</v>
      </c>
    </row>
    <row r="1443" spans="1:7" ht="18" x14ac:dyDescent="0.2">
      <c r="A1443" s="1133" t="s">
        <v>711</v>
      </c>
      <c r="B1443" s="1133" t="s">
        <v>712</v>
      </c>
      <c r="C1443" s="1133" t="s">
        <v>713</v>
      </c>
      <c r="D1443" s="1133" t="s">
        <v>714</v>
      </c>
      <c r="E1443" s="1133" t="s">
        <v>715</v>
      </c>
      <c r="F1443" s="201" t="e">
        <f>VLOOKUP(A1443,'Compos DER'!J:K,2,FALSE)</f>
        <v>#N/A</v>
      </c>
      <c r="G1443" s="198" t="e">
        <f t="shared" si="24"/>
        <v>#N/A</v>
      </c>
    </row>
    <row r="1444" spans="1:7" x14ac:dyDescent="0.2">
      <c r="A1444" s="1134">
        <v>42943</v>
      </c>
      <c r="B1444" s="616" t="s">
        <v>2024</v>
      </c>
      <c r="C1444" s="614" t="s">
        <v>719</v>
      </c>
      <c r="D1444" s="1135">
        <v>75.86</v>
      </c>
      <c r="E1444" s="1136"/>
      <c r="F1444" s="201" t="e">
        <f>VLOOKUP(A1444,'Compos DER'!J:K,2,FALSE)</f>
        <v>#N/A</v>
      </c>
      <c r="G1444" s="198" t="e">
        <f t="shared" si="24"/>
        <v>#N/A</v>
      </c>
    </row>
    <row r="1445" spans="1:7" x14ac:dyDescent="0.2">
      <c r="A1445" s="1134">
        <v>42946</v>
      </c>
      <c r="B1445" s="616" t="s">
        <v>2025</v>
      </c>
      <c r="C1445" s="614" t="s">
        <v>719</v>
      </c>
      <c r="D1445" s="1135">
        <v>112.91</v>
      </c>
      <c r="E1445" s="1136"/>
      <c r="F1445" s="201" t="e">
        <f>VLOOKUP(A1445,'Compos DER'!J:K,2,FALSE)</f>
        <v>#N/A</v>
      </c>
      <c r="G1445" s="198" t="e">
        <f t="shared" si="24"/>
        <v>#N/A</v>
      </c>
    </row>
    <row r="1446" spans="1:7" x14ac:dyDescent="0.2">
      <c r="A1446" s="1134">
        <v>42945</v>
      </c>
      <c r="B1446" s="616" t="s">
        <v>2026</v>
      </c>
      <c r="C1446" s="614" t="s">
        <v>719</v>
      </c>
      <c r="D1446" s="1135">
        <v>111.81</v>
      </c>
      <c r="E1446" s="1136"/>
      <c r="F1446" s="201" t="e">
        <f>VLOOKUP(A1446,'Compos DER'!J:K,2,FALSE)</f>
        <v>#N/A</v>
      </c>
      <c r="G1446" s="198" t="e">
        <f t="shared" si="24"/>
        <v>#N/A</v>
      </c>
    </row>
    <row r="1447" spans="1:7" x14ac:dyDescent="0.2">
      <c r="A1447" s="1134">
        <v>42948</v>
      </c>
      <c r="B1447" s="616" t="s">
        <v>2027</v>
      </c>
      <c r="C1447" s="614" t="s">
        <v>719</v>
      </c>
      <c r="D1447" s="1135">
        <v>162.51</v>
      </c>
      <c r="E1447" s="1136"/>
      <c r="F1447" s="201" t="e">
        <f>VLOOKUP(A1447,'Compos DER'!J:K,2,FALSE)</f>
        <v>#N/A</v>
      </c>
      <c r="G1447" s="198" t="e">
        <f t="shared" si="24"/>
        <v>#N/A</v>
      </c>
    </row>
    <row r="1448" spans="1:7" x14ac:dyDescent="0.2">
      <c r="A1448" s="1134">
        <v>42947</v>
      </c>
      <c r="B1448" s="616" t="s">
        <v>2028</v>
      </c>
      <c r="C1448" s="614" t="s">
        <v>719</v>
      </c>
      <c r="D1448" s="1135">
        <v>165.72</v>
      </c>
      <c r="E1448" s="1136"/>
      <c r="F1448" s="201" t="e">
        <f>VLOOKUP(A1448,'Compos DER'!J:K,2,FALSE)</f>
        <v>#N/A</v>
      </c>
      <c r="G1448" s="198" t="e">
        <f t="shared" si="24"/>
        <v>#N/A</v>
      </c>
    </row>
    <row r="1449" spans="1:7" x14ac:dyDescent="0.2">
      <c r="A1449" s="1134">
        <v>42949</v>
      </c>
      <c r="B1449" s="616" t="s">
        <v>2029</v>
      </c>
      <c r="C1449" s="614" t="s">
        <v>719</v>
      </c>
      <c r="D1449" s="1135">
        <v>167.41</v>
      </c>
      <c r="E1449" s="1136"/>
      <c r="F1449" s="201" t="e">
        <f>VLOOKUP(A1449,'Compos DER'!J:K,2,FALSE)</f>
        <v>#N/A</v>
      </c>
      <c r="G1449" s="198" t="e">
        <f t="shared" si="24"/>
        <v>#N/A</v>
      </c>
    </row>
    <row r="1450" spans="1:7" x14ac:dyDescent="0.2">
      <c r="A1450" s="1134">
        <v>42950</v>
      </c>
      <c r="B1450" s="616" t="s">
        <v>2030</v>
      </c>
      <c r="C1450" s="614" t="s">
        <v>719</v>
      </c>
      <c r="D1450" s="1135">
        <v>171.05</v>
      </c>
      <c r="E1450" s="1136"/>
      <c r="F1450" s="201" t="e">
        <f>VLOOKUP(A1450,'Compos DER'!J:K,2,FALSE)</f>
        <v>#N/A</v>
      </c>
      <c r="G1450" s="198" t="e">
        <f t="shared" si="24"/>
        <v>#N/A</v>
      </c>
    </row>
    <row r="1451" spans="1:7" x14ac:dyDescent="0.2">
      <c r="A1451" s="1134">
        <v>42951</v>
      </c>
      <c r="B1451" s="616" t="s">
        <v>2031</v>
      </c>
      <c r="C1451" s="614" t="s">
        <v>719</v>
      </c>
      <c r="D1451" s="1135">
        <v>205.89</v>
      </c>
      <c r="E1451" s="1136"/>
      <c r="F1451" s="201" t="e">
        <f>VLOOKUP(A1451,'Compos DER'!J:K,2,FALSE)</f>
        <v>#N/A</v>
      </c>
      <c r="G1451" s="198" t="e">
        <f t="shared" si="24"/>
        <v>#N/A</v>
      </c>
    </row>
    <row r="1452" spans="1:7" x14ac:dyDescent="0.2">
      <c r="A1452" s="1134">
        <v>42952</v>
      </c>
      <c r="B1452" s="616" t="s">
        <v>2032</v>
      </c>
      <c r="C1452" s="614" t="s">
        <v>719</v>
      </c>
      <c r="D1452" s="1135">
        <v>212.88</v>
      </c>
      <c r="E1452" s="1136"/>
      <c r="F1452" s="201" t="e">
        <f>VLOOKUP(A1452,'Compos DER'!J:K,2,FALSE)</f>
        <v>#N/A</v>
      </c>
      <c r="G1452" s="198" t="e">
        <f t="shared" si="24"/>
        <v>#N/A</v>
      </c>
    </row>
    <row r="1453" spans="1:7" x14ac:dyDescent="0.2">
      <c r="A1453" s="1134">
        <v>42953</v>
      </c>
      <c r="B1453" s="616" t="s">
        <v>2033</v>
      </c>
      <c r="C1453" s="614" t="s">
        <v>719</v>
      </c>
      <c r="D1453" s="1135">
        <v>357.88</v>
      </c>
      <c r="E1453" s="1136"/>
      <c r="F1453" s="201" t="e">
        <f>VLOOKUP(A1453,'Compos DER'!J:K,2,FALSE)</f>
        <v>#N/A</v>
      </c>
      <c r="G1453" s="198" t="e">
        <f t="shared" si="24"/>
        <v>#N/A</v>
      </c>
    </row>
    <row r="1454" spans="1:7" x14ac:dyDescent="0.2">
      <c r="A1454" s="1134">
        <v>42954</v>
      </c>
      <c r="B1454" s="616" t="s">
        <v>2034</v>
      </c>
      <c r="C1454" s="614" t="s">
        <v>719</v>
      </c>
      <c r="D1454" s="1135">
        <v>378.08</v>
      </c>
      <c r="E1454" s="1136"/>
      <c r="F1454" s="201" t="e">
        <f>VLOOKUP(A1454,'Compos DER'!J:K,2,FALSE)</f>
        <v>#N/A</v>
      </c>
      <c r="G1454" s="198" t="e">
        <f t="shared" si="24"/>
        <v>#N/A</v>
      </c>
    </row>
    <row r="1455" spans="1:7" x14ac:dyDescent="0.2">
      <c r="A1455" s="1134">
        <v>42955</v>
      </c>
      <c r="B1455" s="616" t="s">
        <v>2035</v>
      </c>
      <c r="C1455" s="614" t="s">
        <v>719</v>
      </c>
      <c r="D1455" s="1135">
        <v>304.47000000000003</v>
      </c>
      <c r="E1455" s="1136"/>
      <c r="F1455" s="201" t="e">
        <f>VLOOKUP(A1455,'Compos DER'!J:K,2,FALSE)</f>
        <v>#N/A</v>
      </c>
      <c r="G1455" s="198" t="e">
        <f t="shared" si="24"/>
        <v>#N/A</v>
      </c>
    </row>
    <row r="1456" spans="1:7" x14ac:dyDescent="0.2">
      <c r="A1456" s="1134">
        <v>42956</v>
      </c>
      <c r="B1456" s="616" t="s">
        <v>2036</v>
      </c>
      <c r="C1456" s="614" t="s">
        <v>719</v>
      </c>
      <c r="D1456" s="1135">
        <v>111.81</v>
      </c>
      <c r="E1456" s="1136"/>
      <c r="F1456" s="201" t="e">
        <f>VLOOKUP(A1456,'Compos DER'!J:K,2,FALSE)</f>
        <v>#N/A</v>
      </c>
      <c r="G1456" s="198" t="e">
        <f t="shared" si="24"/>
        <v>#N/A</v>
      </c>
    </row>
    <row r="1457" spans="1:7" x14ac:dyDescent="0.2">
      <c r="A1457" s="1134">
        <v>42957</v>
      </c>
      <c r="B1457" s="616" t="s">
        <v>2037</v>
      </c>
      <c r="C1457" s="614" t="s">
        <v>719</v>
      </c>
      <c r="D1457" s="1135">
        <v>254.6</v>
      </c>
      <c r="E1457" s="1136"/>
      <c r="F1457" s="201" t="e">
        <f>VLOOKUP(A1457,'Compos DER'!J:K,2,FALSE)</f>
        <v>#N/A</v>
      </c>
      <c r="G1457" s="198" t="e">
        <f t="shared" si="24"/>
        <v>#N/A</v>
      </c>
    </row>
    <row r="1458" spans="1:7" x14ac:dyDescent="0.2">
      <c r="A1458" s="1134">
        <v>42958</v>
      </c>
      <c r="B1458" s="616" t="s">
        <v>2038</v>
      </c>
      <c r="C1458" s="614" t="s">
        <v>719</v>
      </c>
      <c r="D1458" s="1135">
        <v>252.47</v>
      </c>
      <c r="E1458" s="616" t="s">
        <v>777</v>
      </c>
      <c r="F1458" s="201" t="e">
        <f>VLOOKUP(A1458,'Compos DER'!J:K,2,FALSE)</f>
        <v>#N/A</v>
      </c>
      <c r="G1458" s="198" t="e">
        <f t="shared" si="24"/>
        <v>#N/A</v>
      </c>
    </row>
    <row r="1459" spans="1:7" x14ac:dyDescent="0.2">
      <c r="A1459" s="1134">
        <v>42959</v>
      </c>
      <c r="B1459" s="616" t="s">
        <v>2039</v>
      </c>
      <c r="C1459" s="614" t="s">
        <v>719</v>
      </c>
      <c r="D1459" s="1135">
        <v>254.97</v>
      </c>
      <c r="E1459" s="616" t="s">
        <v>777</v>
      </c>
      <c r="F1459" s="201" t="e">
        <f>VLOOKUP(A1459,'Compos DER'!J:K,2,FALSE)</f>
        <v>#N/A</v>
      </c>
      <c r="G1459" s="198" t="e">
        <f t="shared" si="24"/>
        <v>#N/A</v>
      </c>
    </row>
    <row r="1460" spans="1:7" x14ac:dyDescent="0.2">
      <c r="A1460" s="1134">
        <v>42961</v>
      </c>
      <c r="B1460" s="616" t="s">
        <v>2040</v>
      </c>
      <c r="C1460" s="614" t="s">
        <v>719</v>
      </c>
      <c r="D1460" s="1135">
        <v>24.29</v>
      </c>
      <c r="E1460" s="1136"/>
      <c r="F1460" s="201" t="e">
        <f>VLOOKUP(A1460,'Compos DER'!J:K,2,FALSE)</f>
        <v>#N/A</v>
      </c>
      <c r="G1460" s="198" t="e">
        <f t="shared" si="24"/>
        <v>#N/A</v>
      </c>
    </row>
    <row r="1461" spans="1:7" x14ac:dyDescent="0.2">
      <c r="A1461" s="1134">
        <v>42962</v>
      </c>
      <c r="B1461" s="616" t="s">
        <v>2040</v>
      </c>
      <c r="C1461" s="614" t="s">
        <v>719</v>
      </c>
      <c r="D1461" s="1135">
        <v>24.29</v>
      </c>
      <c r="E1461" s="1136"/>
      <c r="F1461" s="201" t="e">
        <f>VLOOKUP(A1461,'Compos DER'!J:K,2,FALSE)</f>
        <v>#N/A</v>
      </c>
      <c r="G1461" s="198" t="e">
        <f t="shared" si="24"/>
        <v>#N/A</v>
      </c>
    </row>
    <row r="1462" spans="1:7" x14ac:dyDescent="0.2">
      <c r="A1462" s="1134">
        <v>42960</v>
      </c>
      <c r="B1462" s="616" t="s">
        <v>2041</v>
      </c>
      <c r="C1462" s="614" t="s">
        <v>719</v>
      </c>
      <c r="D1462" s="1135">
        <v>15.67</v>
      </c>
      <c r="E1462" s="1136"/>
      <c r="F1462" s="201" t="e">
        <f>VLOOKUP(A1462,'Compos DER'!J:K,2,FALSE)</f>
        <v>#N/A</v>
      </c>
      <c r="G1462" s="198" t="e">
        <f t="shared" si="24"/>
        <v>#N/A</v>
      </c>
    </row>
    <row r="1463" spans="1:7" x14ac:dyDescent="0.2">
      <c r="A1463" s="1134">
        <v>42964</v>
      </c>
      <c r="B1463" s="616" t="s">
        <v>2042</v>
      </c>
      <c r="C1463" s="614" t="s">
        <v>719</v>
      </c>
      <c r="D1463" s="1135">
        <v>25.71</v>
      </c>
      <c r="E1463" s="1136"/>
      <c r="F1463" s="201" t="e">
        <f>VLOOKUP(A1463,'Compos DER'!J:K,2,FALSE)</f>
        <v>#N/A</v>
      </c>
      <c r="G1463" s="198" t="e">
        <f t="shared" si="24"/>
        <v>#N/A</v>
      </c>
    </row>
    <row r="1464" spans="1:7" x14ac:dyDescent="0.2">
      <c r="A1464" s="1134">
        <v>42963</v>
      </c>
      <c r="B1464" s="616" t="s">
        <v>2043</v>
      </c>
      <c r="C1464" s="614" t="s">
        <v>719</v>
      </c>
      <c r="D1464" s="1135">
        <v>17.04</v>
      </c>
      <c r="E1464" s="1136"/>
      <c r="F1464" s="201" t="e">
        <f>VLOOKUP(A1464,'Compos DER'!J:K,2,FALSE)</f>
        <v>#N/A</v>
      </c>
      <c r="G1464" s="198" t="e">
        <f t="shared" si="24"/>
        <v>#N/A</v>
      </c>
    </row>
    <row r="1465" spans="1:7" x14ac:dyDescent="0.2">
      <c r="A1465" s="1134">
        <v>42966</v>
      </c>
      <c r="B1465" s="616" t="s">
        <v>2044</v>
      </c>
      <c r="C1465" s="614" t="s">
        <v>719</v>
      </c>
      <c r="D1465" s="1135">
        <v>28.48</v>
      </c>
      <c r="E1465" s="1136"/>
      <c r="F1465" s="201" t="e">
        <f>VLOOKUP(A1465,'Compos DER'!J:K,2,FALSE)</f>
        <v>#N/A</v>
      </c>
      <c r="G1465" s="198" t="e">
        <f t="shared" si="24"/>
        <v>#N/A</v>
      </c>
    </row>
    <row r="1466" spans="1:7" x14ac:dyDescent="0.2">
      <c r="A1466" s="1134">
        <v>42965</v>
      </c>
      <c r="B1466" s="616" t="s">
        <v>2045</v>
      </c>
      <c r="C1466" s="614" t="s">
        <v>719</v>
      </c>
      <c r="D1466" s="1135">
        <v>19.78</v>
      </c>
      <c r="E1466" s="1136"/>
      <c r="F1466" s="201" t="e">
        <f>VLOOKUP(A1466,'Compos DER'!J:K,2,FALSE)</f>
        <v>#N/A</v>
      </c>
      <c r="G1466" s="198" t="e">
        <f t="shared" si="24"/>
        <v>#N/A</v>
      </c>
    </row>
    <row r="1467" spans="1:7" x14ac:dyDescent="0.2">
      <c r="A1467" s="1134">
        <v>42968</v>
      </c>
      <c r="B1467" s="616" t="s">
        <v>2046</v>
      </c>
      <c r="C1467" s="614" t="s">
        <v>719</v>
      </c>
      <c r="D1467" s="1135">
        <v>36.159999999999997</v>
      </c>
      <c r="E1467" s="1136"/>
      <c r="F1467" s="201" t="e">
        <f>VLOOKUP(A1467,'Compos DER'!J:K,2,FALSE)</f>
        <v>#N/A</v>
      </c>
      <c r="G1467" s="198" t="e">
        <f t="shared" si="24"/>
        <v>#N/A</v>
      </c>
    </row>
    <row r="1468" spans="1:7" x14ac:dyDescent="0.2">
      <c r="A1468" s="1134">
        <v>42967</v>
      </c>
      <c r="B1468" s="616" t="s">
        <v>2047</v>
      </c>
      <c r="C1468" s="614" t="s">
        <v>719</v>
      </c>
      <c r="D1468" s="1135">
        <v>28.51</v>
      </c>
      <c r="E1468" s="1136"/>
      <c r="F1468" s="201" t="e">
        <f>VLOOKUP(A1468,'Compos DER'!J:K,2,FALSE)</f>
        <v>#N/A</v>
      </c>
      <c r="G1468" s="198" t="e">
        <f t="shared" si="24"/>
        <v>#N/A</v>
      </c>
    </row>
    <row r="1469" spans="1:7" x14ac:dyDescent="0.2">
      <c r="A1469" s="1134">
        <v>42970</v>
      </c>
      <c r="B1469" s="616" t="s">
        <v>2048</v>
      </c>
      <c r="C1469" s="614" t="s">
        <v>719</v>
      </c>
      <c r="D1469" s="1135">
        <v>41.39</v>
      </c>
      <c r="E1469" s="1136"/>
      <c r="F1469" s="201" t="e">
        <f>VLOOKUP(A1469,'Compos DER'!J:K,2,FALSE)</f>
        <v>#N/A</v>
      </c>
      <c r="G1469" s="198" t="e">
        <f>+F1469/D1469</f>
        <v>#N/A</v>
      </c>
    </row>
    <row r="1470" spans="1:7" x14ac:dyDescent="0.2">
      <c r="A1470" s="1134">
        <v>42969</v>
      </c>
      <c r="B1470" s="616" t="s">
        <v>2049</v>
      </c>
      <c r="C1470" s="614" t="s">
        <v>719</v>
      </c>
      <c r="D1470" s="1135">
        <v>34.08</v>
      </c>
      <c r="E1470" s="1136"/>
      <c r="F1470" s="201" t="e">
        <f>VLOOKUP(A1470,'Compos DER'!J:K,2,FALSE)</f>
        <v>#N/A</v>
      </c>
      <c r="G1470" s="198" t="e">
        <f>+F1470/D1470</f>
        <v>#N/A</v>
      </c>
    </row>
    <row r="1471" spans="1:7" x14ac:dyDescent="0.2">
      <c r="A1471" s="1134">
        <v>42973</v>
      </c>
      <c r="B1471" s="616" t="s">
        <v>2050</v>
      </c>
      <c r="C1471" s="614" t="s">
        <v>719</v>
      </c>
      <c r="D1471" s="1135">
        <v>49.24</v>
      </c>
      <c r="E1471" s="1136"/>
    </row>
    <row r="1472" spans="1:7" x14ac:dyDescent="0.2">
      <c r="A1472" s="1134">
        <v>42979</v>
      </c>
      <c r="B1472" s="616" t="s">
        <v>2051</v>
      </c>
      <c r="C1472" s="614" t="s">
        <v>719</v>
      </c>
      <c r="D1472" s="1135">
        <v>49.24</v>
      </c>
      <c r="E1472" s="1136"/>
    </row>
    <row r="1473" spans="1:5" s="617" customFormat="1" ht="14.25" customHeight="1" x14ac:dyDescent="0.2">
      <c r="A1473" s="1134">
        <v>42971</v>
      </c>
      <c r="B1473" s="616" t="s">
        <v>2052</v>
      </c>
      <c r="C1473" s="614" t="s">
        <v>719</v>
      </c>
      <c r="D1473" s="1135">
        <v>42.66</v>
      </c>
      <c r="E1473" s="1136"/>
    </row>
    <row r="1474" spans="1:5" s="617" customFormat="1" ht="14.25" customHeight="1" x14ac:dyDescent="0.2">
      <c r="A1474" s="1134">
        <v>42981</v>
      </c>
      <c r="B1474" s="616" t="s">
        <v>2053</v>
      </c>
      <c r="C1474" s="614" t="s">
        <v>717</v>
      </c>
      <c r="D1474" s="1135">
        <v>246.55</v>
      </c>
      <c r="E1474" s="616" t="s">
        <v>777</v>
      </c>
    </row>
    <row r="1475" spans="1:5" ht="18" x14ac:dyDescent="0.2">
      <c r="A1475" s="1134">
        <v>42982</v>
      </c>
      <c r="B1475" s="1136" t="s">
        <v>2054</v>
      </c>
      <c r="C1475" s="614" t="s">
        <v>719</v>
      </c>
      <c r="D1475" s="1135">
        <v>180.52</v>
      </c>
      <c r="E1475" s="616" t="s">
        <v>777</v>
      </c>
    </row>
    <row r="1476" spans="1:5" x14ac:dyDescent="0.2">
      <c r="A1476" s="1134">
        <v>42987</v>
      </c>
      <c r="B1476" s="616" t="s">
        <v>2055</v>
      </c>
      <c r="C1476" s="614" t="s">
        <v>717</v>
      </c>
      <c r="D1476" s="1135">
        <v>84.67</v>
      </c>
      <c r="E1476" s="616" t="s">
        <v>777</v>
      </c>
    </row>
    <row r="1477" spans="1:5" x14ac:dyDescent="0.2">
      <c r="A1477" s="1134">
        <v>42988</v>
      </c>
      <c r="B1477" s="616" t="s">
        <v>2056</v>
      </c>
      <c r="C1477" s="614" t="s">
        <v>717</v>
      </c>
      <c r="D1477" s="1135">
        <v>71.290000000000006</v>
      </c>
      <c r="E1477" s="616" t="s">
        <v>777</v>
      </c>
    </row>
    <row r="1478" spans="1:5" x14ac:dyDescent="0.2">
      <c r="A1478" s="1134">
        <v>42989</v>
      </c>
      <c r="B1478" s="616" t="s">
        <v>2057</v>
      </c>
      <c r="C1478" s="614" t="s">
        <v>717</v>
      </c>
      <c r="D1478" s="1135">
        <v>10.26</v>
      </c>
      <c r="E1478" s="1136"/>
    </row>
    <row r="1479" spans="1:5" x14ac:dyDescent="0.2">
      <c r="A1479" s="1134">
        <v>42991</v>
      </c>
      <c r="B1479" s="616" t="s">
        <v>2058</v>
      </c>
      <c r="C1479" s="614" t="s">
        <v>717</v>
      </c>
      <c r="D1479" s="1135">
        <v>136.44</v>
      </c>
      <c r="E1479" s="616" t="s">
        <v>777</v>
      </c>
    </row>
    <row r="1480" spans="1:5" x14ac:dyDescent="0.2">
      <c r="A1480" s="1134">
        <v>42992</v>
      </c>
      <c r="B1480" s="616" t="s">
        <v>2059</v>
      </c>
      <c r="C1480" s="614" t="s">
        <v>717</v>
      </c>
      <c r="D1480" s="1135">
        <v>115.03</v>
      </c>
      <c r="E1480" s="616" t="s">
        <v>777</v>
      </c>
    </row>
    <row r="1481" spans="1:5" x14ac:dyDescent="0.2">
      <c r="A1481" s="1134">
        <v>42993</v>
      </c>
      <c r="B1481" s="616" t="s">
        <v>2060</v>
      </c>
      <c r="C1481" s="614" t="s">
        <v>717</v>
      </c>
      <c r="D1481" s="1135">
        <v>96.99</v>
      </c>
      <c r="E1481" s="616" t="s">
        <v>777</v>
      </c>
    </row>
    <row r="1482" spans="1:5" x14ac:dyDescent="0.2">
      <c r="A1482" s="1134">
        <v>42994</v>
      </c>
      <c r="B1482" s="616" t="s">
        <v>2061</v>
      </c>
      <c r="C1482" s="614" t="s">
        <v>717</v>
      </c>
      <c r="D1482" s="1135">
        <v>197.74</v>
      </c>
      <c r="E1482" s="616" t="s">
        <v>777</v>
      </c>
    </row>
    <row r="1483" spans="1:5" x14ac:dyDescent="0.2">
      <c r="A1483" s="1134">
        <v>43070</v>
      </c>
      <c r="B1483" s="616" t="s">
        <v>2062</v>
      </c>
      <c r="C1483" s="614" t="s">
        <v>717</v>
      </c>
      <c r="D1483" s="1135">
        <v>270.77</v>
      </c>
      <c r="E1483" s="1136"/>
    </row>
    <row r="1484" spans="1:5" x14ac:dyDescent="0.2">
      <c r="A1484" s="1134">
        <v>42996</v>
      </c>
      <c r="B1484" s="616" t="s">
        <v>2063</v>
      </c>
      <c r="C1484" s="614" t="s">
        <v>719</v>
      </c>
      <c r="D1484" s="1135">
        <v>564.63</v>
      </c>
      <c r="E1484" s="616" t="s">
        <v>777</v>
      </c>
    </row>
    <row r="1485" spans="1:5" x14ac:dyDescent="0.2">
      <c r="A1485" s="1134">
        <v>43012</v>
      </c>
      <c r="B1485" s="616" t="s">
        <v>2064</v>
      </c>
      <c r="C1485" s="614" t="s">
        <v>717</v>
      </c>
      <c r="D1485" s="1135">
        <v>11.54</v>
      </c>
      <c r="E1485" s="1136"/>
    </row>
    <row r="1486" spans="1:5" x14ac:dyDescent="0.2">
      <c r="A1486" s="1134">
        <v>43011</v>
      </c>
      <c r="B1486" s="616" t="s">
        <v>2065</v>
      </c>
      <c r="C1486" s="614" t="s">
        <v>717</v>
      </c>
      <c r="D1486" s="1135">
        <v>8.18</v>
      </c>
      <c r="E1486" s="1136"/>
    </row>
    <row r="1487" spans="1:5" x14ac:dyDescent="0.2">
      <c r="A1487" s="1134">
        <v>43003</v>
      </c>
      <c r="B1487" s="616" t="s">
        <v>2066</v>
      </c>
      <c r="C1487" s="614" t="s">
        <v>719</v>
      </c>
      <c r="D1487" s="1135">
        <v>145.82</v>
      </c>
      <c r="E1487" s="616" t="s">
        <v>777</v>
      </c>
    </row>
    <row r="1488" spans="1:5" x14ac:dyDescent="0.2">
      <c r="A1488" s="1134">
        <v>43004</v>
      </c>
      <c r="B1488" s="616" t="s">
        <v>2067</v>
      </c>
      <c r="C1488" s="614" t="s">
        <v>717</v>
      </c>
      <c r="D1488" s="1135">
        <v>46.04</v>
      </c>
      <c r="E1488" s="1136"/>
    </row>
    <row r="1489" spans="1:6" x14ac:dyDescent="0.2">
      <c r="A1489" s="1134">
        <v>43005</v>
      </c>
      <c r="B1489" s="616" t="s">
        <v>2068</v>
      </c>
      <c r="C1489" s="614" t="s">
        <v>838</v>
      </c>
      <c r="D1489" s="1135">
        <v>41.25</v>
      </c>
      <c r="E1489" s="1136"/>
    </row>
    <row r="1490" spans="1:6" x14ac:dyDescent="0.2">
      <c r="A1490" s="1134">
        <v>43006</v>
      </c>
      <c r="B1490" s="616" t="s">
        <v>2069</v>
      </c>
      <c r="C1490" s="614" t="s">
        <v>838</v>
      </c>
      <c r="D1490" s="1135">
        <v>66.66</v>
      </c>
      <c r="E1490" s="1136"/>
      <c r="F1490" s="198"/>
    </row>
    <row r="1491" spans="1:6" x14ac:dyDescent="0.2">
      <c r="A1491" s="1134">
        <v>43007</v>
      </c>
      <c r="B1491" s="616" t="s">
        <v>2070</v>
      </c>
      <c r="C1491" s="614" t="s">
        <v>838</v>
      </c>
      <c r="D1491" s="1135">
        <v>21.71</v>
      </c>
      <c r="E1491" s="1136"/>
      <c r="F1491" s="198"/>
    </row>
    <row r="1492" spans="1:6" x14ac:dyDescent="0.2">
      <c r="A1492" s="1134">
        <v>43008</v>
      </c>
      <c r="B1492" s="616" t="s">
        <v>2071</v>
      </c>
      <c r="C1492" s="614" t="s">
        <v>838</v>
      </c>
      <c r="D1492" s="1135">
        <v>60.77</v>
      </c>
      <c r="E1492" s="1136"/>
      <c r="F1492" s="198"/>
    </row>
    <row r="1493" spans="1:6" x14ac:dyDescent="0.2">
      <c r="A1493" s="1132" t="s">
        <v>773</v>
      </c>
      <c r="B1493" s="617"/>
      <c r="C1493" s="617"/>
      <c r="D1493" s="617"/>
      <c r="E1493" s="617"/>
      <c r="F1493" s="198"/>
    </row>
    <row r="1494" spans="1:6" x14ac:dyDescent="0.2">
      <c r="A1494" s="1131" t="s">
        <v>708</v>
      </c>
      <c r="B1494" s="617"/>
      <c r="C1494" s="617"/>
      <c r="D1494" s="617"/>
      <c r="E1494" s="617"/>
      <c r="F1494" s="198"/>
    </row>
    <row r="1495" spans="1:6" x14ac:dyDescent="0.2">
      <c r="A1495" s="1131" t="s">
        <v>709</v>
      </c>
      <c r="B1495" s="617"/>
      <c r="C1495" s="617"/>
      <c r="D1495" s="617"/>
      <c r="E1495" s="617"/>
      <c r="F1495" s="198"/>
    </row>
    <row r="1496" spans="1:6" x14ac:dyDescent="0.2">
      <c r="A1496" s="1132" t="s">
        <v>1761</v>
      </c>
      <c r="B1496" s="617"/>
      <c r="C1496" s="617"/>
      <c r="D1496" s="617"/>
      <c r="E1496" s="617"/>
    </row>
    <row r="1497" spans="1:6" ht="18" x14ac:dyDescent="0.2">
      <c r="A1497" s="1133" t="s">
        <v>711</v>
      </c>
      <c r="B1497" s="1133" t="s">
        <v>712</v>
      </c>
      <c r="C1497" s="1133" t="s">
        <v>713</v>
      </c>
      <c r="D1497" s="1133" t="s">
        <v>714</v>
      </c>
      <c r="E1497" s="1133" t="s">
        <v>715</v>
      </c>
    </row>
    <row r="1498" spans="1:6" x14ac:dyDescent="0.2">
      <c r="A1498" s="1134">
        <v>43009</v>
      </c>
      <c r="B1498" s="616" t="s">
        <v>2072</v>
      </c>
      <c r="C1498" s="614" t="s">
        <v>717</v>
      </c>
      <c r="D1498" s="1135">
        <v>107.53</v>
      </c>
      <c r="E1498" s="1136"/>
    </row>
    <row r="1499" spans="1:6" x14ac:dyDescent="0.2">
      <c r="A1499" s="1134">
        <v>43018</v>
      </c>
      <c r="B1499" s="616" t="s">
        <v>2073</v>
      </c>
      <c r="C1499" s="614" t="s">
        <v>838</v>
      </c>
      <c r="D1499" s="1135">
        <v>68.23</v>
      </c>
      <c r="E1499" s="616" t="s">
        <v>777</v>
      </c>
    </row>
    <row r="1500" spans="1:6" x14ac:dyDescent="0.2">
      <c r="A1500" s="1134">
        <v>43026</v>
      </c>
      <c r="B1500" s="616" t="s">
        <v>2074</v>
      </c>
      <c r="C1500" s="614" t="s">
        <v>838</v>
      </c>
      <c r="D1500" s="1135">
        <v>26.52</v>
      </c>
      <c r="E1500" s="1136"/>
    </row>
    <row r="1501" spans="1:6" x14ac:dyDescent="0.2">
      <c r="A1501" s="1134">
        <v>43033</v>
      </c>
      <c r="B1501" s="616" t="s">
        <v>2075</v>
      </c>
      <c r="C1501" s="614" t="s">
        <v>734</v>
      </c>
      <c r="D1501" s="1137">
        <v>1217.53</v>
      </c>
      <c r="E1501" s="616" t="s">
        <v>777</v>
      </c>
      <c r="F1501" s="198"/>
    </row>
    <row r="1502" spans="1:6" x14ac:dyDescent="0.2">
      <c r="A1502" s="1134">
        <v>43037</v>
      </c>
      <c r="B1502" s="616" t="s">
        <v>2076</v>
      </c>
      <c r="C1502" s="614" t="s">
        <v>719</v>
      </c>
      <c r="D1502" s="1135">
        <v>59.94</v>
      </c>
      <c r="E1502" s="1136"/>
      <c r="F1502" s="198"/>
    </row>
    <row r="1503" spans="1:6" x14ac:dyDescent="0.2">
      <c r="A1503" s="1134">
        <v>43038</v>
      </c>
      <c r="B1503" s="616" t="s">
        <v>2077</v>
      </c>
      <c r="C1503" s="614" t="s">
        <v>734</v>
      </c>
      <c r="D1503" s="1135">
        <v>112.24</v>
      </c>
      <c r="E1503" s="616" t="s">
        <v>777</v>
      </c>
      <c r="F1503" s="198"/>
    </row>
    <row r="1504" spans="1:6" x14ac:dyDescent="0.2">
      <c r="A1504" s="1134">
        <v>43039</v>
      </c>
      <c r="B1504" s="616" t="s">
        <v>2078</v>
      </c>
      <c r="C1504" s="614" t="s">
        <v>717</v>
      </c>
      <c r="D1504" s="1135">
        <v>5.83</v>
      </c>
      <c r="E1504" s="1136"/>
      <c r="F1504" s="198"/>
    </row>
    <row r="1505" spans="1:6" x14ac:dyDescent="0.2">
      <c r="A1505" s="1134">
        <v>43040</v>
      </c>
      <c r="B1505" s="616" t="s">
        <v>2079</v>
      </c>
      <c r="C1505" s="614" t="s">
        <v>717</v>
      </c>
      <c r="D1505" s="1135">
        <v>66.849999999999994</v>
      </c>
      <c r="E1505" s="1136"/>
      <c r="F1505" s="198"/>
    </row>
    <row r="1506" spans="1:6" x14ac:dyDescent="0.2">
      <c r="A1506" s="1134">
        <v>43042</v>
      </c>
      <c r="B1506" s="616" t="s">
        <v>2080</v>
      </c>
      <c r="C1506" s="614" t="s">
        <v>717</v>
      </c>
      <c r="D1506" s="1135">
        <v>4.08</v>
      </c>
      <c r="E1506" s="1136"/>
      <c r="F1506" s="198"/>
    </row>
    <row r="1507" spans="1:6" x14ac:dyDescent="0.2">
      <c r="A1507" s="1134">
        <v>43043</v>
      </c>
      <c r="B1507" s="616" t="s">
        <v>2081</v>
      </c>
      <c r="C1507" s="614" t="s">
        <v>734</v>
      </c>
      <c r="D1507" s="1137">
        <v>2889.83</v>
      </c>
      <c r="E1507" s="1136"/>
      <c r="F1507" s="198"/>
    </row>
    <row r="1508" spans="1:6" x14ac:dyDescent="0.2">
      <c r="A1508" s="1134">
        <v>43044</v>
      </c>
      <c r="B1508" s="616" t="s">
        <v>2082</v>
      </c>
      <c r="C1508" s="614" t="s">
        <v>734</v>
      </c>
      <c r="D1508" s="1137">
        <v>3339.94</v>
      </c>
      <c r="E1508" s="1136"/>
      <c r="F1508" s="198"/>
    </row>
    <row r="1509" spans="1:6" x14ac:dyDescent="0.2">
      <c r="A1509" s="1134">
        <v>41169</v>
      </c>
      <c r="B1509" s="616" t="s">
        <v>2083</v>
      </c>
      <c r="C1509" s="614" t="s">
        <v>734</v>
      </c>
      <c r="D1509" s="1137">
        <v>3937.89</v>
      </c>
      <c r="E1509" s="1136"/>
      <c r="F1509" s="198"/>
    </row>
    <row r="1510" spans="1:6" x14ac:dyDescent="0.2">
      <c r="A1510" s="1134">
        <v>41170</v>
      </c>
      <c r="B1510" s="616" t="s">
        <v>2084</v>
      </c>
      <c r="C1510" s="614" t="s">
        <v>734</v>
      </c>
      <c r="D1510" s="1137">
        <v>4325.6400000000003</v>
      </c>
      <c r="E1510" s="1136"/>
      <c r="F1510" s="198"/>
    </row>
    <row r="1511" spans="1:6" x14ac:dyDescent="0.2">
      <c r="A1511" s="1134">
        <v>41171</v>
      </c>
      <c r="B1511" s="616" t="s">
        <v>2085</v>
      </c>
      <c r="C1511" s="614" t="s">
        <v>734</v>
      </c>
      <c r="D1511" s="1137">
        <v>5153.24</v>
      </c>
      <c r="E1511" s="1136"/>
      <c r="F1511" s="198"/>
    </row>
    <row r="1512" spans="1:6" x14ac:dyDescent="0.2">
      <c r="A1512" s="1134">
        <v>43046</v>
      </c>
      <c r="B1512" s="616" t="s">
        <v>2086</v>
      </c>
      <c r="C1512" s="614" t="s">
        <v>734</v>
      </c>
      <c r="D1512" s="1137">
        <v>1677.79</v>
      </c>
      <c r="E1512" s="1136"/>
      <c r="F1512" s="198"/>
    </row>
    <row r="1513" spans="1:6" x14ac:dyDescent="0.2">
      <c r="A1513" s="1134">
        <v>43047</v>
      </c>
      <c r="B1513" s="616" t="s">
        <v>2087</v>
      </c>
      <c r="C1513" s="614" t="s">
        <v>734</v>
      </c>
      <c r="D1513" s="1137">
        <v>2145.41</v>
      </c>
      <c r="E1513" s="1136"/>
      <c r="F1513" s="198"/>
    </row>
    <row r="1514" spans="1:6" x14ac:dyDescent="0.2">
      <c r="A1514" s="1134">
        <v>43048</v>
      </c>
      <c r="B1514" s="616" t="s">
        <v>2088</v>
      </c>
      <c r="C1514" s="614" t="s">
        <v>734</v>
      </c>
      <c r="D1514" s="1137">
        <v>2614.16</v>
      </c>
      <c r="E1514" s="1136"/>
      <c r="F1514" s="198"/>
    </row>
    <row r="1515" spans="1:6" x14ac:dyDescent="0.2">
      <c r="A1515" s="1134">
        <v>43050</v>
      </c>
      <c r="B1515" s="616" t="s">
        <v>2089</v>
      </c>
      <c r="C1515" s="614" t="s">
        <v>734</v>
      </c>
      <c r="D1515" s="1137">
        <v>4420.33</v>
      </c>
      <c r="E1515" s="616" t="s">
        <v>777</v>
      </c>
      <c r="F1515" s="198"/>
    </row>
    <row r="1516" spans="1:6" x14ac:dyDescent="0.2">
      <c r="A1516" s="1134">
        <v>43051</v>
      </c>
      <c r="B1516" s="616" t="s">
        <v>2090</v>
      </c>
      <c r="C1516" s="614" t="s">
        <v>734</v>
      </c>
      <c r="D1516" s="1137">
        <v>4893.96</v>
      </c>
      <c r="E1516" s="616" t="s">
        <v>777</v>
      </c>
    </row>
    <row r="1517" spans="1:6" x14ac:dyDescent="0.2">
      <c r="A1517" s="1134">
        <v>43052</v>
      </c>
      <c r="B1517" s="616" t="s">
        <v>2091</v>
      </c>
      <c r="C1517" s="614" t="s">
        <v>734</v>
      </c>
      <c r="D1517" s="1137">
        <v>5367.58</v>
      </c>
      <c r="E1517" s="616" t="s">
        <v>777</v>
      </c>
      <c r="F1517" s="198"/>
    </row>
    <row r="1518" spans="1:6" x14ac:dyDescent="0.2">
      <c r="A1518" s="1134">
        <v>43053</v>
      </c>
      <c r="B1518" s="616" t="s">
        <v>2092</v>
      </c>
      <c r="C1518" s="614" t="s">
        <v>734</v>
      </c>
      <c r="D1518" s="1137">
        <v>5841.21</v>
      </c>
      <c r="E1518" s="616" t="s">
        <v>777</v>
      </c>
      <c r="F1518" s="198"/>
    </row>
    <row r="1519" spans="1:6" x14ac:dyDescent="0.2">
      <c r="A1519" s="1134">
        <v>43054</v>
      </c>
      <c r="B1519" s="616" t="s">
        <v>2093</v>
      </c>
      <c r="C1519" s="614" t="s">
        <v>717</v>
      </c>
      <c r="D1519" s="1135">
        <v>12.54</v>
      </c>
      <c r="E1519" s="1136"/>
      <c r="F1519" s="198"/>
    </row>
    <row r="1520" spans="1:6" x14ac:dyDescent="0.2">
      <c r="A1520" s="1134">
        <v>43055</v>
      </c>
      <c r="B1520" s="616" t="s">
        <v>2094</v>
      </c>
      <c r="C1520" s="614" t="s">
        <v>717</v>
      </c>
      <c r="D1520" s="1135">
        <v>10.06</v>
      </c>
      <c r="E1520" s="1136"/>
      <c r="F1520" s="198"/>
    </row>
    <row r="1521" spans="1:6" x14ac:dyDescent="0.2">
      <c r="A1521" s="1134">
        <v>43056</v>
      </c>
      <c r="B1521" s="616" t="s">
        <v>2095</v>
      </c>
      <c r="C1521" s="614" t="s">
        <v>719</v>
      </c>
      <c r="D1521" s="1135">
        <v>64.64</v>
      </c>
      <c r="E1521" s="616" t="s">
        <v>777</v>
      </c>
      <c r="F1521" s="198"/>
    </row>
    <row r="1522" spans="1:6" x14ac:dyDescent="0.2">
      <c r="A1522" s="1134">
        <v>43058</v>
      </c>
      <c r="B1522" s="616" t="s">
        <v>2096</v>
      </c>
      <c r="C1522" s="614" t="s">
        <v>719</v>
      </c>
      <c r="D1522" s="1135">
        <v>115.79</v>
      </c>
      <c r="E1522" s="1136"/>
      <c r="F1522" s="198"/>
    </row>
    <row r="1523" spans="1:6" x14ac:dyDescent="0.2">
      <c r="A1523" s="1134">
        <v>43057</v>
      </c>
      <c r="B1523" s="616" t="s">
        <v>2097</v>
      </c>
      <c r="C1523" s="614" t="s">
        <v>719</v>
      </c>
      <c r="D1523" s="1135">
        <v>79.84</v>
      </c>
      <c r="E1523" s="1136"/>
      <c r="F1523" s="198"/>
    </row>
    <row r="1524" spans="1:6" x14ac:dyDescent="0.2">
      <c r="A1524" s="1134">
        <v>43059</v>
      </c>
      <c r="B1524" s="616" t="s">
        <v>2098</v>
      </c>
      <c r="C1524" s="614" t="s">
        <v>719</v>
      </c>
      <c r="D1524" s="1135">
        <v>50.25</v>
      </c>
      <c r="E1524" s="1136"/>
      <c r="F1524" s="198"/>
    </row>
    <row r="1525" spans="1:6" x14ac:dyDescent="0.2">
      <c r="A1525" s="1134">
        <v>43060</v>
      </c>
      <c r="B1525" s="616" t="s">
        <v>2099</v>
      </c>
      <c r="C1525" s="614" t="s">
        <v>734</v>
      </c>
      <c r="D1525" s="1135">
        <v>916.31</v>
      </c>
      <c r="E1525" s="616" t="s">
        <v>777</v>
      </c>
      <c r="F1525" s="198"/>
    </row>
    <row r="1526" spans="1:6" x14ac:dyDescent="0.2">
      <c r="A1526" s="1134">
        <v>43064</v>
      </c>
      <c r="B1526" s="616" t="s">
        <v>2100</v>
      </c>
      <c r="C1526" s="614" t="s">
        <v>838</v>
      </c>
      <c r="D1526" s="1135">
        <v>22.44</v>
      </c>
      <c r="E1526" s="1136"/>
      <c r="F1526" s="198"/>
    </row>
    <row r="1527" spans="1:6" x14ac:dyDescent="0.2">
      <c r="A1527" s="1134">
        <v>43065</v>
      </c>
      <c r="B1527" s="616" t="s">
        <v>2101</v>
      </c>
      <c r="C1527" s="614" t="s">
        <v>838</v>
      </c>
      <c r="D1527" s="1135">
        <v>25.68</v>
      </c>
      <c r="E1527" s="1136"/>
      <c r="F1527" s="198"/>
    </row>
    <row r="1528" spans="1:6" x14ac:dyDescent="0.2">
      <c r="A1528" s="1134">
        <v>43066</v>
      </c>
      <c r="B1528" s="616" t="s">
        <v>2102</v>
      </c>
      <c r="C1528" s="614" t="s">
        <v>838</v>
      </c>
      <c r="D1528" s="1135">
        <v>33.479999999999997</v>
      </c>
      <c r="E1528" s="1136"/>
      <c r="F1528" s="198"/>
    </row>
    <row r="1529" spans="1:6" x14ac:dyDescent="0.2">
      <c r="A1529" s="1134">
        <v>43067</v>
      </c>
      <c r="B1529" s="616" t="s">
        <v>2103</v>
      </c>
      <c r="C1529" s="614" t="s">
        <v>838</v>
      </c>
      <c r="D1529" s="1135">
        <v>93.79</v>
      </c>
      <c r="E1529" s="1136"/>
      <c r="F1529" s="198"/>
    </row>
    <row r="1530" spans="1:6" x14ac:dyDescent="0.2">
      <c r="A1530" s="1134">
        <v>43063</v>
      </c>
      <c r="B1530" s="616" t="s">
        <v>2104</v>
      </c>
      <c r="C1530" s="614" t="s">
        <v>838</v>
      </c>
      <c r="D1530" s="1135">
        <v>128.93</v>
      </c>
      <c r="E1530" s="1136"/>
      <c r="F1530" s="198"/>
    </row>
    <row r="1531" spans="1:6" x14ac:dyDescent="0.2">
      <c r="A1531" s="1134">
        <v>43068</v>
      </c>
      <c r="B1531" s="616" t="s">
        <v>2105</v>
      </c>
      <c r="C1531" s="614" t="s">
        <v>838</v>
      </c>
      <c r="D1531" s="1135">
        <v>86.95</v>
      </c>
      <c r="E1531" s="1136"/>
      <c r="F1531" s="198"/>
    </row>
    <row r="1532" spans="1:6" x14ac:dyDescent="0.2">
      <c r="A1532" s="1134">
        <v>43069</v>
      </c>
      <c r="B1532" s="616" t="s">
        <v>2106</v>
      </c>
      <c r="C1532" s="614" t="s">
        <v>838</v>
      </c>
      <c r="D1532" s="1135">
        <v>170.71</v>
      </c>
      <c r="E1532" s="616" t="s">
        <v>777</v>
      </c>
      <c r="F1532" s="198"/>
    </row>
    <row r="1533" spans="1:6" x14ac:dyDescent="0.2">
      <c r="A1533" s="1134">
        <v>43071</v>
      </c>
      <c r="B1533" s="616" t="s">
        <v>2107</v>
      </c>
      <c r="C1533" s="614" t="s">
        <v>719</v>
      </c>
      <c r="D1533" s="1135">
        <v>344.02</v>
      </c>
      <c r="E1533" s="616" t="s">
        <v>777</v>
      </c>
      <c r="F1533" s="198"/>
    </row>
    <row r="1534" spans="1:6" x14ac:dyDescent="0.2">
      <c r="A1534" s="1134">
        <v>43078</v>
      </c>
      <c r="B1534" s="616" t="s">
        <v>2108</v>
      </c>
      <c r="C1534" s="614" t="s">
        <v>838</v>
      </c>
      <c r="D1534" s="1135">
        <v>96.85</v>
      </c>
      <c r="E1534" s="1136"/>
      <c r="F1534" s="198"/>
    </row>
    <row r="1535" spans="1:6" x14ac:dyDescent="0.2">
      <c r="A1535" s="1134">
        <v>43079</v>
      </c>
      <c r="B1535" s="616" t="s">
        <v>2109</v>
      </c>
      <c r="C1535" s="614" t="s">
        <v>838</v>
      </c>
      <c r="D1535" s="1135">
        <v>101.09</v>
      </c>
      <c r="E1535" s="1136"/>
      <c r="F1535" s="198"/>
    </row>
    <row r="1536" spans="1:6" x14ac:dyDescent="0.2">
      <c r="A1536" s="1134">
        <v>43080</v>
      </c>
      <c r="B1536" s="616" t="s">
        <v>2110</v>
      </c>
      <c r="C1536" s="614" t="s">
        <v>838</v>
      </c>
      <c r="D1536" s="1135">
        <v>86.45</v>
      </c>
      <c r="E1536" s="616" t="s">
        <v>777</v>
      </c>
      <c r="F1536" s="198"/>
    </row>
    <row r="1537" spans="1:6" x14ac:dyDescent="0.2">
      <c r="A1537" s="1134">
        <v>43081</v>
      </c>
      <c r="B1537" s="616" t="s">
        <v>2111</v>
      </c>
      <c r="C1537" s="614" t="s">
        <v>838</v>
      </c>
      <c r="D1537" s="1135">
        <v>111.3</v>
      </c>
      <c r="E1537" s="1136"/>
      <c r="F1537" s="198"/>
    </row>
    <row r="1538" spans="1:6" x14ac:dyDescent="0.2">
      <c r="A1538" s="1134">
        <v>43085</v>
      </c>
      <c r="B1538" s="616" t="s">
        <v>2112</v>
      </c>
      <c r="C1538" s="614" t="s">
        <v>838</v>
      </c>
      <c r="D1538" s="1135">
        <v>195.47</v>
      </c>
      <c r="E1538" s="1136"/>
      <c r="F1538" s="198"/>
    </row>
    <row r="1539" spans="1:6" x14ac:dyDescent="0.2">
      <c r="A1539" s="1134">
        <v>43083</v>
      </c>
      <c r="B1539" s="616" t="s">
        <v>2113</v>
      </c>
      <c r="C1539" s="614" t="s">
        <v>838</v>
      </c>
      <c r="D1539" s="1135">
        <v>95.86</v>
      </c>
      <c r="E1539" s="1136"/>
      <c r="F1539" s="198"/>
    </row>
    <row r="1540" spans="1:6" x14ac:dyDescent="0.2">
      <c r="A1540" s="1134">
        <v>43084</v>
      </c>
      <c r="B1540" s="616" t="s">
        <v>2114</v>
      </c>
      <c r="C1540" s="614" t="s">
        <v>838</v>
      </c>
      <c r="D1540" s="1135">
        <v>72.38</v>
      </c>
      <c r="E1540" s="1136"/>
      <c r="F1540" s="198"/>
    </row>
    <row r="1541" spans="1:6" x14ac:dyDescent="0.2">
      <c r="A1541" s="1134">
        <v>43086</v>
      </c>
      <c r="B1541" s="616" t="s">
        <v>2115</v>
      </c>
      <c r="C1541" s="614" t="s">
        <v>734</v>
      </c>
      <c r="D1541" s="1135">
        <v>230.8</v>
      </c>
      <c r="E1541" s="616" t="s">
        <v>777</v>
      </c>
      <c r="F1541" s="198"/>
    </row>
    <row r="1542" spans="1:6" x14ac:dyDescent="0.2">
      <c r="A1542" s="1134">
        <v>43087</v>
      </c>
      <c r="B1542" s="616" t="s">
        <v>2116</v>
      </c>
      <c r="C1542" s="614" t="s">
        <v>734</v>
      </c>
      <c r="D1542" s="1135">
        <v>590.05999999999995</v>
      </c>
      <c r="E1542" s="616" t="s">
        <v>777</v>
      </c>
      <c r="F1542" s="198"/>
    </row>
    <row r="1543" spans="1:6" x14ac:dyDescent="0.2">
      <c r="A1543" s="1134">
        <v>43089</v>
      </c>
      <c r="B1543" s="616" t="s">
        <v>2117</v>
      </c>
      <c r="C1543" s="614" t="s">
        <v>717</v>
      </c>
      <c r="D1543" s="1135">
        <v>50.58</v>
      </c>
      <c r="E1543" s="1136"/>
      <c r="F1543" s="198"/>
    </row>
    <row r="1544" spans="1:6" x14ac:dyDescent="0.2">
      <c r="A1544" s="1134">
        <v>43090</v>
      </c>
      <c r="B1544" s="616" t="s">
        <v>2118</v>
      </c>
      <c r="C1544" s="614" t="s">
        <v>717</v>
      </c>
      <c r="D1544" s="1135">
        <v>38.96</v>
      </c>
      <c r="E1544" s="1136"/>
      <c r="F1544" s="198"/>
    </row>
    <row r="1545" spans="1:6" x14ac:dyDescent="0.2">
      <c r="A1545" s="1134">
        <v>43088</v>
      </c>
      <c r="B1545" s="616" t="s">
        <v>2119</v>
      </c>
      <c r="C1545" s="614" t="s">
        <v>838</v>
      </c>
      <c r="D1545" s="1135">
        <v>21.17</v>
      </c>
      <c r="E1545" s="616" t="s">
        <v>777</v>
      </c>
      <c r="F1545" s="198"/>
    </row>
    <row r="1546" spans="1:6" x14ac:dyDescent="0.2">
      <c r="A1546" s="1134">
        <v>43091</v>
      </c>
      <c r="B1546" s="616" t="s">
        <v>2120</v>
      </c>
      <c r="C1546" s="614" t="s">
        <v>734</v>
      </c>
      <c r="D1546" s="1135">
        <v>438.69</v>
      </c>
      <c r="E1546" s="616" t="s">
        <v>777</v>
      </c>
      <c r="F1546" s="198"/>
    </row>
    <row r="1547" spans="1:6" x14ac:dyDescent="0.2">
      <c r="A1547" s="1134">
        <v>43092</v>
      </c>
      <c r="B1547" s="616" t="s">
        <v>2121</v>
      </c>
      <c r="C1547" s="616" t="s">
        <v>1406</v>
      </c>
      <c r="D1547" s="1135">
        <v>28.52</v>
      </c>
      <c r="E1547" s="1136"/>
      <c r="F1547" s="198"/>
    </row>
    <row r="1548" spans="1:6" x14ac:dyDescent="0.2">
      <c r="A1548" s="1134">
        <v>43093</v>
      </c>
      <c r="B1548" s="616" t="s">
        <v>2122</v>
      </c>
      <c r="C1548" s="616" t="s">
        <v>1406</v>
      </c>
      <c r="D1548" s="1135">
        <v>38.58</v>
      </c>
      <c r="E1548" s="1136"/>
      <c r="F1548" s="198"/>
    </row>
    <row r="1549" spans="1:6" x14ac:dyDescent="0.2">
      <c r="A1549" s="1132" t="s">
        <v>773</v>
      </c>
      <c r="B1549" s="617"/>
      <c r="C1549" s="617"/>
      <c r="D1549" s="617"/>
      <c r="E1549" s="617"/>
      <c r="F1549" s="198"/>
    </row>
    <row r="1550" spans="1:6" x14ac:dyDescent="0.2">
      <c r="A1550" s="1131" t="s">
        <v>708</v>
      </c>
      <c r="B1550" s="617"/>
      <c r="C1550" s="617"/>
      <c r="D1550" s="617"/>
      <c r="E1550" s="617"/>
      <c r="F1550" s="198"/>
    </row>
    <row r="1551" spans="1:6" x14ac:dyDescent="0.2">
      <c r="A1551" s="1131" t="s">
        <v>709</v>
      </c>
      <c r="B1551" s="617"/>
      <c r="C1551" s="617"/>
      <c r="D1551" s="617"/>
      <c r="E1551" s="617"/>
      <c r="F1551" s="198"/>
    </row>
    <row r="1552" spans="1:6" x14ac:dyDescent="0.2">
      <c r="A1552" s="1132" t="s">
        <v>1761</v>
      </c>
      <c r="B1552" s="617"/>
      <c r="C1552" s="617"/>
      <c r="D1552" s="617"/>
      <c r="E1552" s="617"/>
      <c r="F1552" s="198"/>
    </row>
    <row r="1553" spans="1:6" ht="18" x14ac:dyDescent="0.2">
      <c r="A1553" s="1133" t="s">
        <v>711</v>
      </c>
      <c r="B1553" s="1133" t="s">
        <v>712</v>
      </c>
      <c r="C1553" s="1133" t="s">
        <v>713</v>
      </c>
      <c r="D1553" s="1133" t="s">
        <v>714</v>
      </c>
      <c r="E1553" s="1133" t="s">
        <v>715</v>
      </c>
      <c r="F1553" s="198"/>
    </row>
    <row r="1554" spans="1:6" x14ac:dyDescent="0.2">
      <c r="A1554" s="1134">
        <v>43094</v>
      </c>
      <c r="B1554" s="616" t="s">
        <v>2123</v>
      </c>
      <c r="C1554" s="614" t="s">
        <v>838</v>
      </c>
      <c r="D1554" s="1135">
        <v>336.08</v>
      </c>
      <c r="E1554" s="616" t="s">
        <v>777</v>
      </c>
      <c r="F1554" s="198"/>
    </row>
    <row r="1555" spans="1:6" x14ac:dyDescent="0.2">
      <c r="A1555" s="1134">
        <v>43095</v>
      </c>
      <c r="B1555" s="616" t="s">
        <v>2124</v>
      </c>
      <c r="C1555" s="614" t="s">
        <v>838</v>
      </c>
      <c r="D1555" s="1135">
        <v>481.5</v>
      </c>
      <c r="E1555" s="616" t="s">
        <v>777</v>
      </c>
      <c r="F1555" s="198"/>
    </row>
    <row r="1556" spans="1:6" x14ac:dyDescent="0.2">
      <c r="A1556" s="1134">
        <v>43096</v>
      </c>
      <c r="B1556" s="616" t="s">
        <v>2125</v>
      </c>
      <c r="C1556" s="614" t="s">
        <v>838</v>
      </c>
      <c r="D1556" s="1135">
        <v>740.1</v>
      </c>
      <c r="E1556" s="1136"/>
      <c r="F1556" s="198"/>
    </row>
    <row r="1557" spans="1:6" x14ac:dyDescent="0.2">
      <c r="A1557" s="1134">
        <v>43098</v>
      </c>
      <c r="B1557" s="616" t="s">
        <v>2126</v>
      </c>
      <c r="C1557" s="614" t="s">
        <v>838</v>
      </c>
      <c r="D1557" s="1135">
        <v>23.94</v>
      </c>
      <c r="E1557" s="1136"/>
      <c r="F1557" s="198"/>
    </row>
    <row r="1558" spans="1:6" x14ac:dyDescent="0.2">
      <c r="A1558" s="1134">
        <v>43097</v>
      </c>
      <c r="B1558" s="616" t="s">
        <v>2127</v>
      </c>
      <c r="C1558" s="614" t="s">
        <v>838</v>
      </c>
      <c r="D1558" s="1135">
        <v>58.35</v>
      </c>
      <c r="E1558" s="1136"/>
      <c r="F1558" s="198"/>
    </row>
    <row r="1559" spans="1:6" x14ac:dyDescent="0.2">
      <c r="A1559" s="1134">
        <v>43100</v>
      </c>
      <c r="B1559" s="616" t="s">
        <v>2128</v>
      </c>
      <c r="C1559" s="614" t="s">
        <v>838</v>
      </c>
      <c r="D1559" s="1135">
        <v>49.62</v>
      </c>
      <c r="E1559" s="1136"/>
      <c r="F1559" s="198"/>
    </row>
    <row r="1560" spans="1:6" x14ac:dyDescent="0.2">
      <c r="A1560" s="1134">
        <v>43101</v>
      </c>
      <c r="B1560" s="616" t="s">
        <v>2129</v>
      </c>
      <c r="C1560" s="614" t="s">
        <v>838</v>
      </c>
      <c r="D1560" s="1135">
        <v>11.09</v>
      </c>
      <c r="E1560" s="1136"/>
      <c r="F1560" s="198"/>
    </row>
    <row r="1561" spans="1:6" x14ac:dyDescent="0.2">
      <c r="A1561" s="1134">
        <v>43102</v>
      </c>
      <c r="B1561" s="616" t="s">
        <v>2130</v>
      </c>
      <c r="C1561" s="614" t="s">
        <v>838</v>
      </c>
      <c r="D1561" s="1135">
        <v>10.56</v>
      </c>
      <c r="E1561" s="1136"/>
      <c r="F1561" s="198"/>
    </row>
    <row r="1562" spans="1:6" x14ac:dyDescent="0.2">
      <c r="A1562" s="1134">
        <v>42614</v>
      </c>
      <c r="B1562" s="616" t="s">
        <v>2131</v>
      </c>
      <c r="C1562" s="614" t="s">
        <v>838</v>
      </c>
      <c r="D1562" s="1135">
        <v>232.64</v>
      </c>
      <c r="E1562" s="616" t="s">
        <v>777</v>
      </c>
      <c r="F1562" s="198"/>
    </row>
    <row r="1563" spans="1:6" x14ac:dyDescent="0.2">
      <c r="A1563" s="1134">
        <v>43104</v>
      </c>
      <c r="B1563" s="616" t="s">
        <v>2132</v>
      </c>
      <c r="C1563" s="614" t="s">
        <v>838</v>
      </c>
      <c r="D1563" s="1135">
        <v>19.2</v>
      </c>
      <c r="E1563" s="1136"/>
      <c r="F1563" s="198"/>
    </row>
    <row r="1564" spans="1:6" x14ac:dyDescent="0.2">
      <c r="A1564" s="1134">
        <v>43105</v>
      </c>
      <c r="B1564" s="616" t="s">
        <v>2133</v>
      </c>
      <c r="C1564" s="614" t="s">
        <v>719</v>
      </c>
      <c r="D1564" s="1135">
        <v>397.02</v>
      </c>
      <c r="E1564" s="616" t="s">
        <v>777</v>
      </c>
      <c r="F1564" s="198"/>
    </row>
    <row r="1565" spans="1:6" x14ac:dyDescent="0.2">
      <c r="A1565" s="1134">
        <v>43106</v>
      </c>
      <c r="B1565" s="616" t="s">
        <v>2134</v>
      </c>
      <c r="C1565" s="614" t="s">
        <v>719</v>
      </c>
      <c r="D1565" s="1135">
        <v>210.93</v>
      </c>
      <c r="E1565" s="616" t="s">
        <v>777</v>
      </c>
      <c r="F1565" s="198"/>
    </row>
    <row r="1566" spans="1:6" x14ac:dyDescent="0.2">
      <c r="A1566" s="1134">
        <v>43111</v>
      </c>
      <c r="B1566" s="616" t="s">
        <v>2135</v>
      </c>
      <c r="C1566" s="614" t="s">
        <v>838</v>
      </c>
      <c r="D1566" s="1135">
        <v>4.3899999999999997</v>
      </c>
      <c r="E1566" s="1136"/>
      <c r="F1566" s="198"/>
    </row>
    <row r="1567" spans="1:6" x14ac:dyDescent="0.2">
      <c r="A1567" s="1132" t="s">
        <v>2136</v>
      </c>
      <c r="B1567" s="617"/>
      <c r="C1567" s="617"/>
      <c r="D1567" s="617"/>
      <c r="E1567" s="617"/>
      <c r="F1567" s="198"/>
    </row>
    <row r="1568" spans="1:6" ht="18" x14ac:dyDescent="0.2">
      <c r="A1568" s="1133" t="s">
        <v>711</v>
      </c>
      <c r="B1568" s="1133" t="s">
        <v>712</v>
      </c>
      <c r="C1568" s="1133" t="s">
        <v>713</v>
      </c>
      <c r="D1568" s="1133" t="s">
        <v>714</v>
      </c>
      <c r="E1568" s="1133" t="s">
        <v>715</v>
      </c>
      <c r="F1568" s="198"/>
    </row>
    <row r="1569" spans="1:6" x14ac:dyDescent="0.2">
      <c r="A1569" s="1134">
        <v>41578</v>
      </c>
      <c r="B1569" s="616" t="s">
        <v>2137</v>
      </c>
      <c r="C1569" s="616" t="s">
        <v>1306</v>
      </c>
      <c r="D1569" s="1135">
        <v>842.76</v>
      </c>
      <c r="E1569" s="1136"/>
      <c r="F1569" s="198"/>
    </row>
    <row r="1570" spans="1:6" x14ac:dyDescent="0.2">
      <c r="A1570" s="1134">
        <v>42511</v>
      </c>
      <c r="B1570" s="616" t="s">
        <v>2138</v>
      </c>
      <c r="C1570" s="616" t="s">
        <v>1306</v>
      </c>
      <c r="D1570" s="1135">
        <v>768.77</v>
      </c>
      <c r="E1570" s="1136"/>
      <c r="F1570" s="198"/>
    </row>
    <row r="1571" spans="1:6" x14ac:dyDescent="0.2">
      <c r="A1571" s="1134">
        <v>41579</v>
      </c>
      <c r="B1571" s="616" t="s">
        <v>2139</v>
      </c>
      <c r="C1571" s="616" t="s">
        <v>1306</v>
      </c>
      <c r="D1571" s="1135">
        <v>582.47</v>
      </c>
      <c r="E1571" s="1136"/>
      <c r="F1571" s="198"/>
    </row>
    <row r="1572" spans="1:6" x14ac:dyDescent="0.2">
      <c r="A1572" s="1134">
        <v>41494</v>
      </c>
      <c r="B1572" s="616" t="s">
        <v>2140</v>
      </c>
      <c r="C1572" s="616" t="s">
        <v>1306</v>
      </c>
      <c r="D1572" s="1135">
        <v>995.1</v>
      </c>
      <c r="E1572" s="1136"/>
      <c r="F1572" s="198"/>
    </row>
    <row r="1573" spans="1:6" x14ac:dyDescent="0.2">
      <c r="A1573" s="1134">
        <v>41678</v>
      </c>
      <c r="B1573" s="616" t="s">
        <v>2141</v>
      </c>
      <c r="C1573" s="616" t="s">
        <v>1306</v>
      </c>
      <c r="D1573" s="1135">
        <v>842.68</v>
      </c>
      <c r="E1573" s="1136"/>
      <c r="F1573" s="198"/>
    </row>
    <row r="1574" spans="1:6" x14ac:dyDescent="0.2">
      <c r="A1574" s="1134">
        <v>41455</v>
      </c>
      <c r="B1574" s="616" t="s">
        <v>2142</v>
      </c>
      <c r="C1574" s="616" t="s">
        <v>1306</v>
      </c>
      <c r="D1574" s="1137">
        <v>1788.14</v>
      </c>
      <c r="E1574" s="1136"/>
      <c r="F1574" s="198"/>
    </row>
    <row r="1575" spans="1:6" ht="18" x14ac:dyDescent="0.2">
      <c r="A1575" s="1134">
        <v>41456</v>
      </c>
      <c r="B1575" s="1136" t="s">
        <v>2143</v>
      </c>
      <c r="C1575" s="616" t="s">
        <v>1306</v>
      </c>
      <c r="D1575" s="1137">
        <v>2774.7</v>
      </c>
      <c r="E1575" s="1136"/>
      <c r="F1575" s="198"/>
    </row>
    <row r="1576" spans="1:6" x14ac:dyDescent="0.2">
      <c r="A1576" s="1134">
        <v>41580</v>
      </c>
      <c r="B1576" s="616" t="s">
        <v>2144</v>
      </c>
      <c r="C1576" s="616" t="s">
        <v>1306</v>
      </c>
      <c r="D1576" s="1135">
        <v>868.48</v>
      </c>
      <c r="E1576" s="1136"/>
      <c r="F1576" s="198"/>
    </row>
    <row r="1577" spans="1:6" x14ac:dyDescent="0.2">
      <c r="A1577" s="1134">
        <v>41454</v>
      </c>
      <c r="B1577" s="616" t="s">
        <v>2145</v>
      </c>
      <c r="C1577" s="616" t="s">
        <v>1306</v>
      </c>
      <c r="D1577" s="1135">
        <v>584.84</v>
      </c>
      <c r="E1577" s="1136"/>
      <c r="F1577" s="198"/>
    </row>
    <row r="1578" spans="1:6" x14ac:dyDescent="0.2">
      <c r="A1578" s="1134">
        <v>41498</v>
      </c>
      <c r="B1578" s="616" t="s">
        <v>2146</v>
      </c>
      <c r="C1578" s="614" t="s">
        <v>717</v>
      </c>
      <c r="D1578" s="1135">
        <v>715.94</v>
      </c>
      <c r="E1578" s="1136"/>
      <c r="F1578" s="198"/>
    </row>
    <row r="1579" spans="1:6" x14ac:dyDescent="0.2">
      <c r="A1579" s="1134">
        <v>41531</v>
      </c>
      <c r="B1579" s="616" t="s">
        <v>2147</v>
      </c>
      <c r="C1579" s="614" t="s">
        <v>717</v>
      </c>
      <c r="D1579" s="1135">
        <v>493.1</v>
      </c>
      <c r="E1579" s="1136"/>
      <c r="F1579" s="198"/>
    </row>
    <row r="1580" spans="1:6" x14ac:dyDescent="0.2">
      <c r="A1580" s="1134">
        <v>41557</v>
      </c>
      <c r="B1580" s="616" t="s">
        <v>2148</v>
      </c>
      <c r="C1580" s="614" t="s">
        <v>838</v>
      </c>
      <c r="D1580" s="1135">
        <v>196.1</v>
      </c>
      <c r="E1580" s="1136"/>
      <c r="F1580" s="198"/>
    </row>
    <row r="1581" spans="1:6" x14ac:dyDescent="0.2">
      <c r="A1581" s="1134">
        <v>41506</v>
      </c>
      <c r="B1581" s="616" t="s">
        <v>2149</v>
      </c>
      <c r="C1581" s="614" t="s">
        <v>717</v>
      </c>
      <c r="D1581" s="1135">
        <v>56.89</v>
      </c>
      <c r="E1581" s="1136"/>
      <c r="F1581" s="198"/>
    </row>
    <row r="1582" spans="1:6" x14ac:dyDescent="0.2">
      <c r="A1582" s="1134">
        <v>41505</v>
      </c>
      <c r="B1582" s="616" t="s">
        <v>2150</v>
      </c>
      <c r="C1582" s="614" t="s">
        <v>717</v>
      </c>
      <c r="D1582" s="1135">
        <v>110.58</v>
      </c>
      <c r="E1582" s="1136"/>
      <c r="F1582" s="198"/>
    </row>
    <row r="1583" spans="1:6" x14ac:dyDescent="0.2">
      <c r="A1583" s="1134">
        <v>41528</v>
      </c>
      <c r="B1583" s="616" t="s">
        <v>2151</v>
      </c>
      <c r="C1583" s="614" t="s">
        <v>717</v>
      </c>
      <c r="D1583" s="1135">
        <v>265</v>
      </c>
      <c r="E1583" s="1136"/>
      <c r="F1583" s="198"/>
    </row>
    <row r="1584" spans="1:6" x14ac:dyDescent="0.2">
      <c r="A1584" s="1134">
        <v>41546</v>
      </c>
      <c r="B1584" s="616" t="s">
        <v>2152</v>
      </c>
      <c r="C1584" s="614" t="s">
        <v>2153</v>
      </c>
      <c r="D1584" s="1135">
        <v>246.07</v>
      </c>
      <c r="E1584" s="1136"/>
      <c r="F1584" s="198"/>
    </row>
    <row r="1585" spans="1:6" x14ac:dyDescent="0.2">
      <c r="A1585" s="1134">
        <v>41545</v>
      </c>
      <c r="B1585" s="616" t="s">
        <v>2154</v>
      </c>
      <c r="C1585" s="614" t="s">
        <v>2153</v>
      </c>
      <c r="D1585" s="1135">
        <v>210.81</v>
      </c>
      <c r="E1585" s="1136"/>
      <c r="F1585" s="198"/>
    </row>
    <row r="1586" spans="1:6" x14ac:dyDescent="0.2">
      <c r="A1586" s="1134">
        <v>41547</v>
      </c>
      <c r="B1586" s="616" t="s">
        <v>2155</v>
      </c>
      <c r="C1586" s="614" t="s">
        <v>2153</v>
      </c>
      <c r="D1586" s="1135">
        <v>206.75</v>
      </c>
      <c r="E1586" s="1136"/>
      <c r="F1586" s="198"/>
    </row>
    <row r="1587" spans="1:6" x14ac:dyDescent="0.2">
      <c r="A1587" s="1134">
        <v>41497</v>
      </c>
      <c r="B1587" s="616" t="s">
        <v>2156</v>
      </c>
      <c r="C1587" s="614" t="s">
        <v>734</v>
      </c>
      <c r="D1587" s="1137">
        <v>3400.15</v>
      </c>
      <c r="E1587" s="1136"/>
      <c r="F1587" s="198"/>
    </row>
    <row r="1588" spans="1:6" x14ac:dyDescent="0.2">
      <c r="A1588" s="1134">
        <v>41495</v>
      </c>
      <c r="B1588" s="616" t="s">
        <v>2157</v>
      </c>
      <c r="C1588" s="614" t="s">
        <v>734</v>
      </c>
      <c r="D1588" s="1135">
        <v>904.34</v>
      </c>
      <c r="E1588" s="1136"/>
      <c r="F1588" s="198"/>
    </row>
    <row r="1589" spans="1:6" x14ac:dyDescent="0.2">
      <c r="A1589" s="1134">
        <v>41496</v>
      </c>
      <c r="B1589" s="616" t="s">
        <v>2158</v>
      </c>
      <c r="C1589" s="614" t="s">
        <v>734</v>
      </c>
      <c r="D1589" s="1137">
        <v>1360.05</v>
      </c>
      <c r="E1589" s="1136"/>
      <c r="F1589" s="198"/>
    </row>
    <row r="1590" spans="1:6" x14ac:dyDescent="0.2">
      <c r="A1590" s="1134">
        <v>41544</v>
      </c>
      <c r="B1590" s="616" t="s">
        <v>2159</v>
      </c>
      <c r="C1590" s="614" t="s">
        <v>2153</v>
      </c>
      <c r="D1590" s="1135">
        <v>411.79</v>
      </c>
      <c r="E1590" s="1136"/>
      <c r="F1590" s="198"/>
    </row>
    <row r="1591" spans="1:6" x14ac:dyDescent="0.2">
      <c r="A1591" s="1134">
        <v>41500</v>
      </c>
      <c r="B1591" s="616" t="s">
        <v>2160</v>
      </c>
      <c r="C1591" s="614" t="s">
        <v>717</v>
      </c>
      <c r="D1591" s="1135">
        <v>299.10000000000002</v>
      </c>
      <c r="E1591" s="1136"/>
      <c r="F1591" s="198"/>
    </row>
    <row r="1592" spans="1:6" x14ac:dyDescent="0.2">
      <c r="A1592" s="1134">
        <v>41501</v>
      </c>
      <c r="B1592" s="616" t="s">
        <v>2161</v>
      </c>
      <c r="C1592" s="614" t="s">
        <v>838</v>
      </c>
      <c r="D1592" s="1135">
        <v>42.63</v>
      </c>
      <c r="E1592" s="1136"/>
      <c r="F1592" s="198"/>
    </row>
    <row r="1593" spans="1:6" x14ac:dyDescent="0.2">
      <c r="A1593" s="1134">
        <v>41499</v>
      </c>
      <c r="B1593" s="616" t="s">
        <v>2162</v>
      </c>
      <c r="C1593" s="614" t="s">
        <v>838</v>
      </c>
      <c r="D1593" s="1135">
        <v>354.36</v>
      </c>
      <c r="E1593" s="1136"/>
      <c r="F1593" s="198"/>
    </row>
    <row r="1594" spans="1:6" x14ac:dyDescent="0.2">
      <c r="A1594" s="1134">
        <v>41503</v>
      </c>
      <c r="B1594" s="616" t="s">
        <v>2163</v>
      </c>
      <c r="C1594" s="614" t="s">
        <v>838</v>
      </c>
      <c r="D1594" s="1135">
        <v>610.19000000000005</v>
      </c>
      <c r="E1594" s="1136"/>
      <c r="F1594" s="198"/>
    </row>
    <row r="1595" spans="1:6" x14ac:dyDescent="0.2">
      <c r="A1595" s="1134">
        <v>41530</v>
      </c>
      <c r="B1595" s="616" t="s">
        <v>2164</v>
      </c>
      <c r="C1595" s="614" t="s">
        <v>717</v>
      </c>
      <c r="D1595" s="1135">
        <v>397.57</v>
      </c>
      <c r="E1595" s="1136"/>
      <c r="F1595" s="198"/>
    </row>
    <row r="1596" spans="1:6" x14ac:dyDescent="0.2">
      <c r="A1596" s="1134">
        <v>41527</v>
      </c>
      <c r="B1596" s="616" t="s">
        <v>2165</v>
      </c>
      <c r="C1596" s="614" t="s">
        <v>734</v>
      </c>
      <c r="D1596" s="1137">
        <v>2455</v>
      </c>
      <c r="E1596" s="1136"/>
      <c r="F1596" s="198"/>
    </row>
    <row r="1597" spans="1:6" ht="18" x14ac:dyDescent="0.2">
      <c r="A1597" s="1134">
        <v>41529</v>
      </c>
      <c r="B1597" s="1136" t="s">
        <v>2166</v>
      </c>
      <c r="C1597" s="614" t="s">
        <v>734</v>
      </c>
      <c r="D1597" s="1137">
        <v>24456.6</v>
      </c>
      <c r="E1597" s="1136"/>
      <c r="F1597" s="198"/>
    </row>
    <row r="1598" spans="1:6" x14ac:dyDescent="0.2">
      <c r="A1598" s="1134">
        <v>41555</v>
      </c>
      <c r="B1598" s="616" t="s">
        <v>2167</v>
      </c>
      <c r="C1598" s="614" t="s">
        <v>734</v>
      </c>
      <c r="D1598" s="1137">
        <v>6941.02</v>
      </c>
      <c r="E1598" s="1136"/>
    </row>
    <row r="1599" spans="1:6" x14ac:dyDescent="0.2">
      <c r="A1599" s="1134">
        <v>100883</v>
      </c>
      <c r="B1599" s="616" t="s">
        <v>2168</v>
      </c>
      <c r="C1599" s="614" t="s">
        <v>838</v>
      </c>
      <c r="D1599" s="1135">
        <v>200.03</v>
      </c>
      <c r="E1599" s="1136"/>
      <c r="F1599" s="198"/>
    </row>
    <row r="1600" spans="1:6" x14ac:dyDescent="0.2">
      <c r="A1600" s="1132" t="s">
        <v>773</v>
      </c>
      <c r="B1600" s="617"/>
      <c r="C1600" s="617"/>
      <c r="D1600" s="617"/>
      <c r="E1600" s="617"/>
      <c r="F1600" s="198"/>
    </row>
    <row r="1601" spans="1:6" x14ac:dyDescent="0.2">
      <c r="A1601" s="1131" t="s">
        <v>708</v>
      </c>
      <c r="B1601" s="617"/>
      <c r="C1601" s="617"/>
      <c r="D1601" s="617"/>
      <c r="E1601" s="617"/>
      <c r="F1601" s="198"/>
    </row>
    <row r="1602" spans="1:6" x14ac:dyDescent="0.2">
      <c r="A1602" s="1131" t="s">
        <v>709</v>
      </c>
      <c r="B1602" s="617"/>
      <c r="C1602" s="617"/>
      <c r="D1602" s="617"/>
      <c r="E1602" s="617"/>
      <c r="F1602" s="198"/>
    </row>
    <row r="1603" spans="1:6" x14ac:dyDescent="0.2">
      <c r="A1603" s="1132" t="s">
        <v>2136</v>
      </c>
      <c r="B1603" s="617"/>
      <c r="C1603" s="617"/>
      <c r="D1603" s="617"/>
      <c r="E1603" s="617"/>
      <c r="F1603" s="198"/>
    </row>
    <row r="1604" spans="1:6" ht="18" x14ac:dyDescent="0.2">
      <c r="A1604" s="1133" t="s">
        <v>711</v>
      </c>
      <c r="B1604" s="1133" t="s">
        <v>712</v>
      </c>
      <c r="C1604" s="1133" t="s">
        <v>713</v>
      </c>
      <c r="D1604" s="1133" t="s">
        <v>714</v>
      </c>
      <c r="E1604" s="1133" t="s">
        <v>715</v>
      </c>
      <c r="F1604" s="198"/>
    </row>
    <row r="1605" spans="1:6" x14ac:dyDescent="0.2">
      <c r="A1605" s="1134">
        <v>100882</v>
      </c>
      <c r="B1605" s="616" t="s">
        <v>2169</v>
      </c>
      <c r="C1605" s="614" t="s">
        <v>838</v>
      </c>
      <c r="D1605" s="1135">
        <v>200.4</v>
      </c>
      <c r="E1605" s="1136"/>
      <c r="F1605" s="198"/>
    </row>
    <row r="1606" spans="1:6" x14ac:dyDescent="0.2">
      <c r="A1606" s="1132" t="s">
        <v>2170</v>
      </c>
      <c r="B1606" s="617"/>
      <c r="C1606" s="617"/>
      <c r="D1606" s="617"/>
      <c r="E1606" s="617"/>
      <c r="F1606" s="198"/>
    </row>
    <row r="1607" spans="1:6" ht="18" x14ac:dyDescent="0.2">
      <c r="A1607" s="1133" t="s">
        <v>711</v>
      </c>
      <c r="B1607" s="1133" t="s">
        <v>712</v>
      </c>
      <c r="C1607" s="1133" t="s">
        <v>713</v>
      </c>
      <c r="D1607" s="1133" t="s">
        <v>714</v>
      </c>
      <c r="E1607" s="1133" t="s">
        <v>715</v>
      </c>
      <c r="F1607" s="198"/>
    </row>
    <row r="1608" spans="1:6" x14ac:dyDescent="0.2">
      <c r="A1608" s="1134">
        <v>100390</v>
      </c>
      <c r="B1608" s="616" t="s">
        <v>2171</v>
      </c>
      <c r="C1608" s="614" t="s">
        <v>2172</v>
      </c>
      <c r="D1608" s="1135">
        <v>0</v>
      </c>
      <c r="E1608" s="1136"/>
      <c r="F1608" s="198"/>
    </row>
    <row r="1609" spans="1:6" x14ac:dyDescent="0.2">
      <c r="A1609" s="1132" t="s">
        <v>773</v>
      </c>
      <c r="B1609" s="617"/>
      <c r="C1609" s="617"/>
      <c r="D1609" s="617"/>
      <c r="E1609" s="617"/>
      <c r="F1609" s="198"/>
    </row>
    <row r="1610" spans="1:6" x14ac:dyDescent="0.2">
      <c r="A1610" s="629"/>
      <c r="C1610" s="629"/>
      <c r="D1610" s="627"/>
      <c r="E1610" s="629"/>
      <c r="F1610" s="198"/>
    </row>
    <row r="1611" spans="1:6" x14ac:dyDescent="0.2">
      <c r="A1611" s="629"/>
      <c r="C1611" s="629"/>
      <c r="D1611" s="627"/>
      <c r="E1611" s="629"/>
      <c r="F1611" s="198"/>
    </row>
    <row r="1612" spans="1:6" x14ac:dyDescent="0.2">
      <c r="A1612" s="629"/>
      <c r="C1612" s="629"/>
      <c r="D1612" s="627"/>
      <c r="E1612" s="629"/>
      <c r="F1612" s="198"/>
    </row>
    <row r="1613" spans="1:6" x14ac:dyDescent="0.2">
      <c r="A1613" s="629"/>
      <c r="C1613" s="629"/>
      <c r="D1613" s="627"/>
      <c r="E1613" s="629"/>
      <c r="F1613" s="198"/>
    </row>
    <row r="1614" spans="1:6" x14ac:dyDescent="0.2">
      <c r="A1614" s="629"/>
      <c r="C1614" s="629"/>
      <c r="D1614" s="627"/>
      <c r="E1614" s="629"/>
    </row>
    <row r="1615" spans="1:6" x14ac:dyDescent="0.2">
      <c r="A1615" s="629"/>
      <c r="C1615" s="629"/>
      <c r="D1615" s="627"/>
      <c r="E1615" s="629"/>
      <c r="F1615" s="198"/>
    </row>
    <row r="1616" spans="1:6" x14ac:dyDescent="0.2">
      <c r="A1616" s="629"/>
      <c r="C1616" s="629"/>
      <c r="D1616" s="627"/>
      <c r="E1616" s="629"/>
      <c r="F1616" s="198"/>
    </row>
    <row r="1617" spans="1:6" x14ac:dyDescent="0.2">
      <c r="A1617" s="629"/>
      <c r="C1617" s="629"/>
      <c r="D1617" s="627"/>
      <c r="E1617" s="629"/>
      <c r="F1617" s="198"/>
    </row>
    <row r="1618" spans="1:6" x14ac:dyDescent="0.2">
      <c r="A1618" s="629"/>
      <c r="C1618" s="629"/>
      <c r="D1618" s="627"/>
      <c r="E1618" s="629"/>
      <c r="F1618" s="198"/>
    </row>
    <row r="1619" spans="1:6" x14ac:dyDescent="0.2">
      <c r="A1619" s="629"/>
      <c r="C1619" s="629"/>
      <c r="D1619" s="627"/>
      <c r="E1619" s="629"/>
      <c r="F1619" s="198"/>
    </row>
    <row r="1620" spans="1:6" x14ac:dyDescent="0.2">
      <c r="A1620" s="629"/>
      <c r="C1620" s="629"/>
      <c r="D1620" s="627"/>
      <c r="E1620" s="629"/>
      <c r="F1620" s="198"/>
    </row>
    <row r="1621" spans="1:6" x14ac:dyDescent="0.2">
      <c r="A1621" s="629"/>
      <c r="C1621" s="629"/>
      <c r="D1621" s="627"/>
      <c r="E1621" s="629"/>
      <c r="F1621" s="198"/>
    </row>
    <row r="1622" spans="1:6" x14ac:dyDescent="0.2">
      <c r="A1622" s="629"/>
      <c r="C1622" s="629"/>
      <c r="D1622" s="627"/>
      <c r="E1622" s="629"/>
      <c r="F1622" s="198"/>
    </row>
    <row r="1623" spans="1:6" x14ac:dyDescent="0.2">
      <c r="A1623" s="629"/>
      <c r="C1623" s="629"/>
      <c r="D1623" s="627"/>
      <c r="E1623" s="629"/>
      <c r="F1623" s="198"/>
    </row>
    <row r="1624" spans="1:6" x14ac:dyDescent="0.2">
      <c r="A1624" s="629"/>
      <c r="C1624" s="629"/>
      <c r="D1624" s="627"/>
      <c r="E1624" s="629"/>
      <c r="F1624" s="198"/>
    </row>
    <row r="1625" spans="1:6" x14ac:dyDescent="0.2">
      <c r="A1625" s="629"/>
      <c r="C1625" s="629"/>
      <c r="D1625" s="627"/>
      <c r="E1625" s="629"/>
      <c r="F1625" s="198"/>
    </row>
    <row r="1626" spans="1:6" x14ac:dyDescent="0.2">
      <c r="A1626" s="629"/>
      <c r="C1626" s="629"/>
      <c r="D1626" s="627"/>
      <c r="E1626" s="629"/>
      <c r="F1626" s="198"/>
    </row>
    <row r="1627" spans="1:6" x14ac:dyDescent="0.2">
      <c r="A1627" s="629"/>
      <c r="C1627" s="629"/>
      <c r="D1627" s="627"/>
      <c r="E1627" s="629"/>
      <c r="F1627" s="198"/>
    </row>
    <row r="1628" spans="1:6" x14ac:dyDescent="0.2">
      <c r="A1628" s="629"/>
      <c r="C1628" s="629"/>
      <c r="D1628" s="627"/>
      <c r="E1628" s="629"/>
      <c r="F1628" s="198"/>
    </row>
    <row r="1629" spans="1:6" x14ac:dyDescent="0.2">
      <c r="A1629" s="629"/>
      <c r="C1629" s="629"/>
      <c r="D1629" s="627"/>
      <c r="E1629" s="629"/>
      <c r="F1629" s="198"/>
    </row>
    <row r="1630" spans="1:6" x14ac:dyDescent="0.2">
      <c r="A1630" s="629"/>
      <c r="C1630" s="629"/>
      <c r="D1630" s="627"/>
      <c r="E1630" s="629"/>
      <c r="F1630" s="198"/>
    </row>
    <row r="1631" spans="1:6" x14ac:dyDescent="0.2">
      <c r="F1631" s="198"/>
    </row>
    <row r="1632" spans="1:6" x14ac:dyDescent="0.2">
      <c r="F1632" s="198"/>
    </row>
    <row r="1633" spans="1:6" x14ac:dyDescent="0.2">
      <c r="A1633" s="629"/>
      <c r="C1633" s="629"/>
      <c r="D1633" s="627"/>
      <c r="E1633" s="629"/>
      <c r="F1633" s="198"/>
    </row>
    <row r="1634" spans="1:6" x14ac:dyDescent="0.2">
      <c r="A1634" s="629"/>
      <c r="C1634" s="629"/>
      <c r="D1634" s="627"/>
      <c r="E1634" s="629"/>
      <c r="F1634" s="198"/>
    </row>
    <row r="1635" spans="1:6" x14ac:dyDescent="0.2">
      <c r="F1635" s="198"/>
    </row>
    <row r="1636" spans="1:6" x14ac:dyDescent="0.2">
      <c r="F1636" s="198"/>
    </row>
    <row r="1637" spans="1:6" x14ac:dyDescent="0.2">
      <c r="F1637" s="198"/>
    </row>
    <row r="1638" spans="1:6" x14ac:dyDescent="0.2">
      <c r="F1638" s="198"/>
    </row>
    <row r="1639" spans="1:6" x14ac:dyDescent="0.2">
      <c r="F1639" s="198"/>
    </row>
    <row r="1640" spans="1:6" x14ac:dyDescent="0.2">
      <c r="F1640" s="198"/>
    </row>
    <row r="1641" spans="1:6" x14ac:dyDescent="0.2">
      <c r="F1641" s="198"/>
    </row>
    <row r="1642" spans="1:6" x14ac:dyDescent="0.2">
      <c r="F1642" s="198"/>
    </row>
    <row r="1643" spans="1:6" x14ac:dyDescent="0.2">
      <c r="F1643" s="198"/>
    </row>
    <row r="1644" spans="1:6" x14ac:dyDescent="0.2">
      <c r="F1644" s="198"/>
    </row>
    <row r="1645" spans="1:6" x14ac:dyDescent="0.2">
      <c r="F1645" s="198"/>
    </row>
    <row r="1646" spans="1:6" x14ac:dyDescent="0.2">
      <c r="F1646" s="198"/>
    </row>
    <row r="1649" spans="6:6" x14ac:dyDescent="0.2">
      <c r="F1649" s="198"/>
    </row>
    <row r="1650" spans="6:6" x14ac:dyDescent="0.2">
      <c r="F1650" s="198"/>
    </row>
  </sheetData>
  <pageMargins left="0.511811024" right="0.511811024" top="0.78740157499999996" bottom="0.78740157499999996" header="0.31496062000000002" footer="0.31496062000000002"/>
  <pageSetup paperSize="8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G111"/>
  <sheetViews>
    <sheetView workbookViewId="0">
      <selection activeCell="F355" sqref="F355"/>
    </sheetView>
  </sheetViews>
  <sheetFormatPr defaultColWidth="6.625" defaultRowHeight="15" x14ac:dyDescent="0.25"/>
  <cols>
    <col min="1" max="1" width="6.625" style="206"/>
    <col min="2" max="2" width="74.625" style="612" bestFit="1" customWidth="1"/>
    <col min="3" max="3" width="12.875" style="207" customWidth="1"/>
    <col min="4" max="4" width="12.875" style="206" customWidth="1"/>
    <col min="5" max="7" width="12.875" style="207" customWidth="1"/>
    <col min="8" max="16384" width="6.625" style="390"/>
  </cols>
  <sheetData>
    <row r="1" spans="1:7" x14ac:dyDescent="0.25">
      <c r="A1" s="471" t="s">
        <v>2289</v>
      </c>
      <c r="G1" s="204" t="s">
        <v>2290</v>
      </c>
    </row>
    <row r="2" spans="1:7" ht="18" x14ac:dyDescent="0.2">
      <c r="A2" s="1133" t="s">
        <v>711</v>
      </c>
      <c r="B2" s="1133" t="s">
        <v>2173</v>
      </c>
      <c r="C2" s="1138" t="s">
        <v>2174</v>
      </c>
      <c r="D2" s="1133" t="s">
        <v>2175</v>
      </c>
      <c r="E2" s="1133" t="s">
        <v>2176</v>
      </c>
      <c r="F2" s="1133" t="s">
        <v>2177</v>
      </c>
      <c r="G2" s="1133" t="s">
        <v>2178</v>
      </c>
    </row>
    <row r="3" spans="1:7" ht="14.25" x14ac:dyDescent="0.2">
      <c r="A3" s="1139">
        <v>30041</v>
      </c>
      <c r="B3" s="616" t="s">
        <v>2179</v>
      </c>
      <c r="C3" s="1136"/>
      <c r="D3" s="1139">
        <v>54</v>
      </c>
      <c r="E3" s="616" t="s">
        <v>2180</v>
      </c>
      <c r="F3" s="1135">
        <v>165.09</v>
      </c>
      <c r="G3" s="1140">
        <v>82.89</v>
      </c>
    </row>
    <row r="4" spans="1:7" ht="14.25" x14ac:dyDescent="0.2">
      <c r="A4" s="1139">
        <v>30047</v>
      </c>
      <c r="B4" s="616" t="s">
        <v>2181</v>
      </c>
      <c r="C4" s="614" t="s">
        <v>838</v>
      </c>
      <c r="D4" s="1139">
        <v>9</v>
      </c>
      <c r="E4" s="616" t="s">
        <v>2180</v>
      </c>
      <c r="F4" s="1135">
        <v>8.44</v>
      </c>
      <c r="G4" s="1135">
        <v>1.24</v>
      </c>
    </row>
    <row r="5" spans="1:7" ht="14.25" x14ac:dyDescent="0.2">
      <c r="A5" s="1139">
        <v>30140</v>
      </c>
      <c r="B5" s="616" t="s">
        <v>2182</v>
      </c>
      <c r="C5" s="1136"/>
      <c r="D5" s="1139">
        <v>4</v>
      </c>
      <c r="E5" s="616" t="s">
        <v>2180</v>
      </c>
      <c r="F5" s="1135">
        <v>27.59</v>
      </c>
      <c r="G5" s="1140">
        <v>22.33</v>
      </c>
    </row>
    <row r="6" spans="1:7" ht="14.25" x14ac:dyDescent="0.2">
      <c r="A6" s="1139">
        <v>101529</v>
      </c>
      <c r="B6" s="616" t="s">
        <v>2183</v>
      </c>
      <c r="C6" s="1136"/>
      <c r="D6" s="1139">
        <v>60</v>
      </c>
      <c r="E6" s="616" t="s">
        <v>2184</v>
      </c>
      <c r="F6" s="1135">
        <v>33.11</v>
      </c>
      <c r="G6" s="1140">
        <v>28.77</v>
      </c>
    </row>
    <row r="7" spans="1:7" ht="14.25" x14ac:dyDescent="0.2">
      <c r="A7" s="1139">
        <v>30102</v>
      </c>
      <c r="B7" s="616" t="s">
        <v>2185</v>
      </c>
      <c r="C7" s="614" t="s">
        <v>838</v>
      </c>
      <c r="D7" s="1139">
        <v>99</v>
      </c>
      <c r="E7" s="616" t="s">
        <v>2184</v>
      </c>
      <c r="F7" s="1135">
        <v>192.38</v>
      </c>
      <c r="G7" s="1140">
        <v>40.92</v>
      </c>
    </row>
    <row r="8" spans="1:7" ht="14.25" x14ac:dyDescent="0.2">
      <c r="A8" s="1139">
        <v>30101</v>
      </c>
      <c r="B8" s="616" t="s">
        <v>2186</v>
      </c>
      <c r="C8" s="1136"/>
      <c r="D8" s="1139">
        <v>52</v>
      </c>
      <c r="E8" s="616" t="s">
        <v>2184</v>
      </c>
      <c r="F8" s="1135">
        <v>112.43</v>
      </c>
      <c r="G8" s="1140">
        <v>33.11</v>
      </c>
    </row>
    <row r="9" spans="1:7" ht="14.25" x14ac:dyDescent="0.2">
      <c r="A9" s="1139">
        <v>30134</v>
      </c>
      <c r="B9" s="616" t="s">
        <v>2187</v>
      </c>
      <c r="C9" s="1136"/>
      <c r="D9" s="1139">
        <v>15</v>
      </c>
      <c r="E9" s="616" t="s">
        <v>2184</v>
      </c>
      <c r="F9" s="1135">
        <v>32.94</v>
      </c>
      <c r="G9" s="1140">
        <v>19.88</v>
      </c>
    </row>
    <row r="10" spans="1:7" ht="14.25" x14ac:dyDescent="0.2">
      <c r="A10" s="1139">
        <v>30078</v>
      </c>
      <c r="B10" s="616" t="s">
        <v>2188</v>
      </c>
      <c r="C10" s="614" t="s">
        <v>838</v>
      </c>
      <c r="D10" s="1139">
        <v>90</v>
      </c>
      <c r="E10" s="616" t="s">
        <v>2180</v>
      </c>
      <c r="F10" s="1135">
        <v>148.25</v>
      </c>
      <c r="G10" s="1140">
        <v>62.62</v>
      </c>
    </row>
    <row r="11" spans="1:7" ht="14.25" x14ac:dyDescent="0.2">
      <c r="A11" s="1139">
        <v>30070</v>
      </c>
      <c r="B11" s="616" t="s">
        <v>2189</v>
      </c>
      <c r="C11" s="1136"/>
      <c r="D11" s="1139">
        <v>5</v>
      </c>
      <c r="E11" s="616" t="s">
        <v>2190</v>
      </c>
      <c r="F11" s="1135">
        <v>26.5</v>
      </c>
      <c r="G11" s="1140">
        <v>21.55</v>
      </c>
    </row>
    <row r="12" spans="1:7" ht="14.25" x14ac:dyDescent="0.2">
      <c r="A12" s="1139">
        <v>30081</v>
      </c>
      <c r="B12" s="616" t="s">
        <v>2191</v>
      </c>
      <c r="C12" s="1136"/>
      <c r="D12" s="1139">
        <v>4</v>
      </c>
      <c r="E12" s="616" t="s">
        <v>2190</v>
      </c>
      <c r="F12" s="1135">
        <v>15.52</v>
      </c>
      <c r="G12" s="1140">
        <v>12.8</v>
      </c>
    </row>
    <row r="13" spans="1:7" ht="14.25" x14ac:dyDescent="0.2">
      <c r="A13" s="1139">
        <v>30072</v>
      </c>
      <c r="B13" s="616" t="s">
        <v>2192</v>
      </c>
      <c r="C13" s="1136"/>
      <c r="D13" s="1139">
        <v>100</v>
      </c>
      <c r="E13" s="616" t="s">
        <v>2180</v>
      </c>
      <c r="F13" s="1135">
        <v>147</v>
      </c>
      <c r="G13" s="1140">
        <v>51.38</v>
      </c>
    </row>
    <row r="14" spans="1:7" ht="14.25" x14ac:dyDescent="0.2">
      <c r="A14" s="1139">
        <v>30088</v>
      </c>
      <c r="B14" s="616" t="s">
        <v>2193</v>
      </c>
      <c r="C14" s="1136"/>
      <c r="D14" s="1139">
        <v>27</v>
      </c>
      <c r="E14" s="616" t="s">
        <v>2180</v>
      </c>
      <c r="F14" s="1135">
        <v>72.739999999999995</v>
      </c>
      <c r="G14" s="1140">
        <v>43.27</v>
      </c>
    </row>
    <row r="15" spans="1:7" ht="14.25" x14ac:dyDescent="0.2">
      <c r="A15" s="1139">
        <v>30113</v>
      </c>
      <c r="B15" s="616" t="s">
        <v>2194</v>
      </c>
      <c r="C15" s="614" t="s">
        <v>838</v>
      </c>
      <c r="D15" s="1139">
        <v>12</v>
      </c>
      <c r="E15" s="616" t="s">
        <v>2180</v>
      </c>
      <c r="F15" s="1135">
        <v>27.15</v>
      </c>
      <c r="G15" s="1140">
        <v>16.38</v>
      </c>
    </row>
    <row r="16" spans="1:7" ht="14.25" x14ac:dyDescent="0.2">
      <c r="A16" s="1139">
        <v>101461</v>
      </c>
      <c r="B16" s="616" t="s">
        <v>2195</v>
      </c>
      <c r="C16" s="614" t="s">
        <v>2196</v>
      </c>
      <c r="D16" s="1139">
        <v>22</v>
      </c>
      <c r="E16" s="616" t="s">
        <v>2190</v>
      </c>
      <c r="F16" s="1135">
        <v>93.08</v>
      </c>
      <c r="G16" s="1140">
        <v>56.76</v>
      </c>
    </row>
    <row r="17" spans="1:7" ht="14.25" x14ac:dyDescent="0.2">
      <c r="A17" s="1139">
        <v>30002</v>
      </c>
      <c r="B17" s="616" t="s">
        <v>2197</v>
      </c>
      <c r="C17" s="614" t="s">
        <v>838</v>
      </c>
      <c r="D17" s="1139">
        <v>184</v>
      </c>
      <c r="E17" s="616" t="s">
        <v>2180</v>
      </c>
      <c r="F17" s="1135">
        <v>199.72</v>
      </c>
      <c r="G17" s="1140">
        <v>58.09</v>
      </c>
    </row>
    <row r="18" spans="1:7" ht="14.25" x14ac:dyDescent="0.2">
      <c r="A18" s="1139">
        <v>30131</v>
      </c>
      <c r="B18" s="616" t="s">
        <v>2198</v>
      </c>
      <c r="C18" s="614" t="s">
        <v>838</v>
      </c>
      <c r="D18" s="1139">
        <v>200</v>
      </c>
      <c r="E18" s="616" t="s">
        <v>2180</v>
      </c>
      <c r="F18" s="1135">
        <v>125.36</v>
      </c>
      <c r="G18" s="1140">
        <v>77.84</v>
      </c>
    </row>
    <row r="19" spans="1:7" ht="14.25" x14ac:dyDescent="0.2">
      <c r="A19" s="1139">
        <v>30000</v>
      </c>
      <c r="B19" s="616" t="s">
        <v>2199</v>
      </c>
      <c r="C19" s="614" t="s">
        <v>838</v>
      </c>
      <c r="D19" s="1139">
        <v>150</v>
      </c>
      <c r="E19" s="616" t="s">
        <v>2180</v>
      </c>
      <c r="F19" s="1135">
        <v>165.2</v>
      </c>
      <c r="G19" s="1140">
        <v>50.79</v>
      </c>
    </row>
    <row r="20" spans="1:7" ht="14.25" x14ac:dyDescent="0.2">
      <c r="A20" s="1139">
        <v>30001</v>
      </c>
      <c r="B20" s="616" t="s">
        <v>2200</v>
      </c>
      <c r="C20" s="614" t="s">
        <v>838</v>
      </c>
      <c r="D20" s="1139">
        <v>150</v>
      </c>
      <c r="E20" s="616" t="s">
        <v>2180</v>
      </c>
      <c r="F20" s="1135">
        <v>178.43</v>
      </c>
      <c r="G20" s="1140">
        <v>57.8</v>
      </c>
    </row>
    <row r="21" spans="1:7" ht="14.25" x14ac:dyDescent="0.2">
      <c r="A21" s="1139">
        <v>30005</v>
      </c>
      <c r="B21" s="616" t="s">
        <v>2201</v>
      </c>
      <c r="C21" s="614" t="s">
        <v>838</v>
      </c>
      <c r="D21" s="1139">
        <v>150</v>
      </c>
      <c r="E21" s="616" t="s">
        <v>2180</v>
      </c>
      <c r="F21" s="1135">
        <v>158.62</v>
      </c>
      <c r="G21" s="1140">
        <v>48.72</v>
      </c>
    </row>
    <row r="22" spans="1:7" ht="14.25" x14ac:dyDescent="0.2">
      <c r="A22" s="1139">
        <v>30006</v>
      </c>
      <c r="B22" s="616" t="s">
        <v>2202</v>
      </c>
      <c r="C22" s="614" t="s">
        <v>838</v>
      </c>
      <c r="D22" s="1139">
        <v>150</v>
      </c>
      <c r="E22" s="616" t="s">
        <v>2180</v>
      </c>
      <c r="F22" s="1135">
        <v>168.37</v>
      </c>
      <c r="G22" s="1140">
        <v>54.21</v>
      </c>
    </row>
    <row r="23" spans="1:7" ht="14.25" x14ac:dyDescent="0.2">
      <c r="A23" s="1139">
        <v>30004</v>
      </c>
      <c r="B23" s="616" t="s">
        <v>2203</v>
      </c>
      <c r="C23" s="614" t="s">
        <v>838</v>
      </c>
      <c r="D23" s="1139">
        <v>143</v>
      </c>
      <c r="E23" s="616" t="s">
        <v>2180</v>
      </c>
      <c r="F23" s="1135">
        <v>145.22</v>
      </c>
      <c r="G23" s="1140">
        <v>43.59</v>
      </c>
    </row>
    <row r="24" spans="1:7" ht="14.25" x14ac:dyDescent="0.2">
      <c r="A24" s="1139">
        <v>30010</v>
      </c>
      <c r="B24" s="616" t="s">
        <v>2204</v>
      </c>
      <c r="C24" s="614" t="s">
        <v>838</v>
      </c>
      <c r="D24" s="1139">
        <v>180</v>
      </c>
      <c r="E24" s="616" t="s">
        <v>2180</v>
      </c>
      <c r="F24" s="1135">
        <v>227.5</v>
      </c>
      <c r="G24" s="1140">
        <v>80.540000000000006</v>
      </c>
    </row>
    <row r="25" spans="1:7" ht="14.25" x14ac:dyDescent="0.2">
      <c r="A25" s="1139">
        <v>30007</v>
      </c>
      <c r="B25" s="616" t="s">
        <v>2205</v>
      </c>
      <c r="C25" s="614" t="s">
        <v>838</v>
      </c>
      <c r="D25" s="1139">
        <v>150</v>
      </c>
      <c r="E25" s="616" t="s">
        <v>2180</v>
      </c>
      <c r="F25" s="1135">
        <v>164.94</v>
      </c>
      <c r="G25" s="1140">
        <v>52.28</v>
      </c>
    </row>
    <row r="26" spans="1:7" ht="14.25" x14ac:dyDescent="0.2">
      <c r="A26" s="1139">
        <v>30023</v>
      </c>
      <c r="B26" s="616" t="s">
        <v>2206</v>
      </c>
      <c r="C26" s="614" t="s">
        <v>838</v>
      </c>
      <c r="D26" s="1139">
        <v>145</v>
      </c>
      <c r="E26" s="616" t="s">
        <v>2180</v>
      </c>
      <c r="F26" s="1135">
        <v>201.89</v>
      </c>
      <c r="G26" s="1140">
        <v>68.959999999999994</v>
      </c>
    </row>
    <row r="27" spans="1:7" ht="14.25" x14ac:dyDescent="0.2">
      <c r="A27" s="1139">
        <v>30024</v>
      </c>
      <c r="B27" s="616" t="s">
        <v>2207</v>
      </c>
      <c r="C27" s="614" t="s">
        <v>838</v>
      </c>
      <c r="D27" s="1139">
        <v>170</v>
      </c>
      <c r="E27" s="616" t="s">
        <v>2180</v>
      </c>
      <c r="F27" s="1135">
        <v>314.31</v>
      </c>
      <c r="G27" s="1140">
        <v>125.16</v>
      </c>
    </row>
    <row r="28" spans="1:7" ht="14.25" x14ac:dyDescent="0.2">
      <c r="A28" s="1139">
        <v>30008</v>
      </c>
      <c r="B28" s="616" t="s">
        <v>2208</v>
      </c>
      <c r="C28" s="614" t="s">
        <v>838</v>
      </c>
      <c r="D28" s="1139">
        <v>360</v>
      </c>
      <c r="E28" s="616" t="s">
        <v>2180</v>
      </c>
      <c r="F28" s="1135">
        <v>346.65</v>
      </c>
      <c r="G28" s="1140">
        <v>79.47</v>
      </c>
    </row>
    <row r="29" spans="1:7" ht="14.25" x14ac:dyDescent="0.2">
      <c r="A29" s="1139">
        <v>30076</v>
      </c>
      <c r="B29" s="616" t="s">
        <v>2209</v>
      </c>
      <c r="C29" s="1136"/>
      <c r="D29" s="1139">
        <v>0</v>
      </c>
      <c r="E29" s="616" t="s">
        <v>2190</v>
      </c>
      <c r="F29" s="1135">
        <v>0.19</v>
      </c>
      <c r="G29" s="1135">
        <v>0.13</v>
      </c>
    </row>
    <row r="30" spans="1:7" ht="14.25" x14ac:dyDescent="0.2">
      <c r="A30" s="1139">
        <v>30075</v>
      </c>
      <c r="B30" s="616" t="s">
        <v>2210</v>
      </c>
      <c r="C30" s="1136"/>
      <c r="D30" s="1139">
        <v>6</v>
      </c>
      <c r="E30" s="616" t="s">
        <v>2184</v>
      </c>
      <c r="F30" s="1135">
        <v>15.42</v>
      </c>
      <c r="G30" s="1140">
        <v>13.71</v>
      </c>
    </row>
    <row r="31" spans="1:7" ht="14.25" x14ac:dyDescent="0.2">
      <c r="A31" s="1139">
        <v>30059</v>
      </c>
      <c r="B31" s="616" t="s">
        <v>2211</v>
      </c>
      <c r="C31" s="1136"/>
      <c r="D31" s="1139">
        <v>119</v>
      </c>
      <c r="E31" s="616" t="s">
        <v>2180</v>
      </c>
      <c r="F31" s="1135">
        <v>109.4</v>
      </c>
      <c r="G31" s="1140">
        <v>23.29</v>
      </c>
    </row>
    <row r="32" spans="1:7" ht="14.25" x14ac:dyDescent="0.2">
      <c r="A32" s="1139">
        <v>30060</v>
      </c>
      <c r="B32" s="616" t="s">
        <v>2212</v>
      </c>
      <c r="C32" s="1136"/>
      <c r="D32" s="1139">
        <v>180</v>
      </c>
      <c r="E32" s="616" t="s">
        <v>2180</v>
      </c>
      <c r="F32" s="1135">
        <v>165.82</v>
      </c>
      <c r="G32" s="1140">
        <v>32.15</v>
      </c>
    </row>
    <row r="33" spans="1:7" ht="14.25" x14ac:dyDescent="0.2">
      <c r="A33" s="1139">
        <v>30116</v>
      </c>
      <c r="B33" s="616" t="s">
        <v>2213</v>
      </c>
      <c r="C33" s="614" t="s">
        <v>838</v>
      </c>
      <c r="D33" s="1139">
        <v>12</v>
      </c>
      <c r="E33" s="616" t="s">
        <v>2190</v>
      </c>
      <c r="F33" s="1135">
        <v>20.64</v>
      </c>
      <c r="G33" s="1140">
        <v>12.71</v>
      </c>
    </row>
    <row r="34" spans="1:7" ht="14.25" x14ac:dyDescent="0.2">
      <c r="A34" s="1139">
        <v>30126</v>
      </c>
      <c r="B34" s="616" t="s">
        <v>2214</v>
      </c>
      <c r="C34" s="614" t="s">
        <v>838</v>
      </c>
      <c r="D34" s="1139">
        <v>0</v>
      </c>
      <c r="E34" s="616" t="s">
        <v>2180</v>
      </c>
      <c r="F34" s="1135">
        <v>36.92</v>
      </c>
      <c r="G34" s="1140">
        <v>33.299999999999997</v>
      </c>
    </row>
    <row r="35" spans="1:7" ht="14.25" x14ac:dyDescent="0.2">
      <c r="A35" s="1139">
        <v>30117</v>
      </c>
      <c r="B35" s="616" t="s">
        <v>2215</v>
      </c>
      <c r="C35" s="614" t="s">
        <v>838</v>
      </c>
      <c r="D35" s="1139">
        <v>10</v>
      </c>
      <c r="E35" s="616" t="s">
        <v>2190</v>
      </c>
      <c r="F35" s="1135">
        <v>19.3</v>
      </c>
      <c r="G35" s="1140">
        <v>12.69</v>
      </c>
    </row>
    <row r="36" spans="1:7" ht="14.25" x14ac:dyDescent="0.2">
      <c r="A36" s="1139">
        <v>30080</v>
      </c>
      <c r="B36" s="616" t="s">
        <v>2216</v>
      </c>
      <c r="C36" s="1136"/>
      <c r="D36" s="1139">
        <v>8</v>
      </c>
      <c r="E36" s="616" t="s">
        <v>2180</v>
      </c>
      <c r="F36" s="1135">
        <v>18.73</v>
      </c>
      <c r="G36" s="1140">
        <v>13.12</v>
      </c>
    </row>
    <row r="37" spans="1:7" ht="14.25" x14ac:dyDescent="0.2">
      <c r="A37" s="1139">
        <v>30145</v>
      </c>
      <c r="B37" s="616" t="s">
        <v>2217</v>
      </c>
      <c r="C37" s="614" t="s">
        <v>838</v>
      </c>
      <c r="D37" s="1139">
        <v>90</v>
      </c>
      <c r="E37" s="616" t="s">
        <v>2190</v>
      </c>
      <c r="F37" s="1135">
        <v>882.86</v>
      </c>
      <c r="G37" s="1140">
        <v>516.47</v>
      </c>
    </row>
    <row r="38" spans="1:7" ht="14.25" x14ac:dyDescent="0.2">
      <c r="A38" s="1139">
        <v>30092</v>
      </c>
      <c r="B38" s="616" t="s">
        <v>2218</v>
      </c>
      <c r="C38" s="1136"/>
      <c r="D38" s="1139">
        <v>46</v>
      </c>
      <c r="E38" s="616" t="s">
        <v>2184</v>
      </c>
      <c r="F38" s="1135">
        <v>196.79</v>
      </c>
      <c r="G38" s="1140">
        <v>100.39</v>
      </c>
    </row>
    <row r="39" spans="1:7" ht="14.25" x14ac:dyDescent="0.2">
      <c r="A39" s="1139">
        <v>30053</v>
      </c>
      <c r="B39" s="616" t="s">
        <v>2219</v>
      </c>
      <c r="C39" s="614" t="s">
        <v>838</v>
      </c>
      <c r="D39" s="1139">
        <v>0</v>
      </c>
      <c r="E39" s="616" t="s">
        <v>2180</v>
      </c>
      <c r="F39" s="1135">
        <v>8.02</v>
      </c>
      <c r="G39" s="1135">
        <v>5.84</v>
      </c>
    </row>
    <row r="40" spans="1:7" ht="14.25" x14ac:dyDescent="0.2">
      <c r="A40" s="1139">
        <v>30009</v>
      </c>
      <c r="B40" s="616" t="s">
        <v>2220</v>
      </c>
      <c r="C40" s="614" t="s">
        <v>838</v>
      </c>
      <c r="D40" s="1139">
        <v>150</v>
      </c>
      <c r="E40" s="616" t="s">
        <v>2180</v>
      </c>
      <c r="F40" s="1135">
        <v>162.9</v>
      </c>
      <c r="G40" s="1140">
        <v>57.01</v>
      </c>
    </row>
    <row r="41" spans="1:7" ht="14.25" x14ac:dyDescent="0.2">
      <c r="A41" s="1139">
        <v>30012</v>
      </c>
      <c r="B41" s="616" t="s">
        <v>2221</v>
      </c>
      <c r="C41" s="614" t="s">
        <v>838</v>
      </c>
      <c r="D41" s="1139">
        <v>185</v>
      </c>
      <c r="E41" s="616" t="s">
        <v>2180</v>
      </c>
      <c r="F41" s="1135">
        <v>303.07</v>
      </c>
      <c r="G41" s="1140">
        <v>122.89</v>
      </c>
    </row>
    <row r="42" spans="1:7" ht="14.25" x14ac:dyDescent="0.2">
      <c r="A42" s="1139">
        <v>30109</v>
      </c>
      <c r="B42" s="616" t="s">
        <v>2222</v>
      </c>
      <c r="C42" s="614" t="s">
        <v>838</v>
      </c>
      <c r="D42" s="1139">
        <v>145</v>
      </c>
      <c r="E42" s="616" t="s">
        <v>2180</v>
      </c>
      <c r="F42" s="1135">
        <v>176.08</v>
      </c>
      <c r="G42" s="1140">
        <v>71.88</v>
      </c>
    </row>
    <row r="43" spans="1:7" ht="14.25" x14ac:dyDescent="0.2">
      <c r="A43" s="1139">
        <v>30044</v>
      </c>
      <c r="B43" s="616" t="s">
        <v>2223</v>
      </c>
      <c r="C43" s="614" t="s">
        <v>838</v>
      </c>
      <c r="D43" s="1139">
        <v>168</v>
      </c>
      <c r="E43" s="616" t="s">
        <v>2180</v>
      </c>
      <c r="F43" s="1135">
        <v>229.63</v>
      </c>
      <c r="G43" s="1140">
        <v>68.13</v>
      </c>
    </row>
    <row r="44" spans="1:7" ht="14.25" x14ac:dyDescent="0.2">
      <c r="A44" s="1139">
        <v>30025</v>
      </c>
      <c r="B44" s="616" t="s">
        <v>2224</v>
      </c>
      <c r="C44" s="1136"/>
      <c r="D44" s="1139">
        <v>106</v>
      </c>
      <c r="E44" s="616" t="s">
        <v>2180</v>
      </c>
      <c r="F44" s="1135">
        <v>227.7</v>
      </c>
      <c r="G44" s="1140">
        <v>101.44</v>
      </c>
    </row>
    <row r="45" spans="1:7" ht="14.25" x14ac:dyDescent="0.2">
      <c r="A45" s="1139">
        <v>30098</v>
      </c>
      <c r="B45" s="616" t="s">
        <v>2225</v>
      </c>
      <c r="C45" s="1136"/>
      <c r="D45" s="1139">
        <v>2</v>
      </c>
      <c r="E45" s="616" t="s">
        <v>2190</v>
      </c>
      <c r="F45" s="1135">
        <v>26.06</v>
      </c>
      <c r="G45" s="1140">
        <v>24.67</v>
      </c>
    </row>
    <row r="46" spans="1:7" ht="14.25" x14ac:dyDescent="0.2">
      <c r="A46" s="1139">
        <v>30042</v>
      </c>
      <c r="B46" s="616" t="s">
        <v>2226</v>
      </c>
      <c r="C46" s="1136"/>
      <c r="D46" s="1139">
        <v>105</v>
      </c>
      <c r="E46" s="616" t="s">
        <v>2180</v>
      </c>
      <c r="F46" s="1135">
        <v>732.49</v>
      </c>
      <c r="G46" s="1140">
        <v>340.65</v>
      </c>
    </row>
    <row r="47" spans="1:7" ht="14.25" x14ac:dyDescent="0.2">
      <c r="A47" s="1139">
        <v>30096</v>
      </c>
      <c r="B47" s="616" t="s">
        <v>2227</v>
      </c>
      <c r="C47" s="1136"/>
      <c r="D47" s="1139">
        <v>1</v>
      </c>
      <c r="E47" s="616" t="s">
        <v>2190</v>
      </c>
      <c r="F47" s="1135">
        <v>0.74</v>
      </c>
      <c r="G47" s="1135">
        <v>0.06</v>
      </c>
    </row>
    <row r="48" spans="1:7" s="198" customFormat="1" ht="14.25" x14ac:dyDescent="0.2">
      <c r="A48" s="1139">
        <v>30094</v>
      </c>
      <c r="B48" s="616" t="s">
        <v>2228</v>
      </c>
      <c r="C48" s="1136"/>
      <c r="D48" s="1139">
        <v>1</v>
      </c>
      <c r="E48" s="616" t="s">
        <v>2190</v>
      </c>
      <c r="F48" s="1135">
        <v>20.25</v>
      </c>
      <c r="G48" s="1140">
        <v>19.55</v>
      </c>
    </row>
    <row r="49" spans="1:7" ht="14.25" x14ac:dyDescent="0.2">
      <c r="A49" s="1139">
        <v>30054</v>
      </c>
      <c r="B49" s="616" t="s">
        <v>2229</v>
      </c>
      <c r="C49" s="1136"/>
      <c r="D49" s="1139">
        <v>0</v>
      </c>
      <c r="E49" s="616" t="s">
        <v>2180</v>
      </c>
      <c r="F49" s="1135">
        <v>17.22</v>
      </c>
      <c r="G49" s="1140">
        <v>15.86</v>
      </c>
    </row>
    <row r="50" spans="1:7" ht="18" x14ac:dyDescent="0.2">
      <c r="A50" s="1133" t="s">
        <v>711</v>
      </c>
      <c r="B50" s="1133" t="s">
        <v>2173</v>
      </c>
      <c r="C50" s="1138" t="s">
        <v>2174</v>
      </c>
      <c r="D50" s="1133" t="s">
        <v>2175</v>
      </c>
      <c r="E50" s="1133" t="s">
        <v>2176</v>
      </c>
      <c r="F50" s="1133" t="s">
        <v>2177</v>
      </c>
      <c r="G50" s="1133" t="s">
        <v>2178</v>
      </c>
    </row>
    <row r="51" spans="1:7" ht="14.25" x14ac:dyDescent="0.2">
      <c r="A51" s="1139">
        <v>30129</v>
      </c>
      <c r="B51" s="616" t="s">
        <v>2230</v>
      </c>
      <c r="C51" s="614" t="s">
        <v>838</v>
      </c>
      <c r="D51" s="1139">
        <v>20</v>
      </c>
      <c r="E51" s="616" t="s">
        <v>2180</v>
      </c>
      <c r="F51" s="1135">
        <v>38.450000000000003</v>
      </c>
      <c r="G51" s="1140">
        <v>21.28</v>
      </c>
    </row>
    <row r="52" spans="1:7" ht="14.25" x14ac:dyDescent="0.2">
      <c r="A52" s="1139">
        <v>30069</v>
      </c>
      <c r="B52" s="616" t="s">
        <v>2231</v>
      </c>
      <c r="C52" s="614" t="s">
        <v>838</v>
      </c>
      <c r="D52" s="1139">
        <v>200</v>
      </c>
      <c r="E52" s="616" t="s">
        <v>2180</v>
      </c>
      <c r="F52" s="1135">
        <v>178.91</v>
      </c>
      <c r="G52" s="1140">
        <v>24.55</v>
      </c>
    </row>
    <row r="53" spans="1:7" ht="14.25" x14ac:dyDescent="0.2">
      <c r="A53" s="1139">
        <v>30144</v>
      </c>
      <c r="B53" s="616" t="s">
        <v>2232</v>
      </c>
      <c r="C53" s="1136"/>
      <c r="D53" s="1139">
        <v>500</v>
      </c>
      <c r="E53" s="616" t="s">
        <v>2180</v>
      </c>
      <c r="F53" s="1135">
        <v>330.68</v>
      </c>
      <c r="G53" s="1140">
        <v>18.100000000000001</v>
      </c>
    </row>
    <row r="54" spans="1:7" ht="14.25" x14ac:dyDescent="0.2">
      <c r="A54" s="1139">
        <v>30068</v>
      </c>
      <c r="B54" s="616" t="s">
        <v>2233</v>
      </c>
      <c r="C54" s="614" t="s">
        <v>838</v>
      </c>
      <c r="D54" s="1139">
        <v>114</v>
      </c>
      <c r="E54" s="616" t="s">
        <v>2180</v>
      </c>
      <c r="F54" s="1135">
        <v>107</v>
      </c>
      <c r="G54" s="1140">
        <v>19.25</v>
      </c>
    </row>
    <row r="55" spans="1:7" ht="14.25" x14ac:dyDescent="0.2">
      <c r="A55" s="1139">
        <v>30093</v>
      </c>
      <c r="B55" s="616" t="s">
        <v>2234</v>
      </c>
      <c r="C55" s="1136"/>
      <c r="D55" s="1139">
        <v>3</v>
      </c>
      <c r="E55" s="616" t="s">
        <v>2184</v>
      </c>
      <c r="F55" s="1135">
        <v>16.71</v>
      </c>
      <c r="G55" s="1140">
        <v>12.82</v>
      </c>
    </row>
    <row r="56" spans="1:7" ht="14.25" x14ac:dyDescent="0.2">
      <c r="A56" s="1139">
        <v>30067</v>
      </c>
      <c r="B56" s="616" t="s">
        <v>2235</v>
      </c>
      <c r="C56" s="614" t="s">
        <v>838</v>
      </c>
      <c r="D56" s="1139">
        <v>40</v>
      </c>
      <c r="E56" s="616" t="s">
        <v>2180</v>
      </c>
      <c r="F56" s="1135">
        <v>49.18</v>
      </c>
      <c r="G56" s="1140">
        <v>17.309999999999999</v>
      </c>
    </row>
    <row r="57" spans="1:7" ht="14.25" x14ac:dyDescent="0.2">
      <c r="A57" s="1139">
        <v>30097</v>
      </c>
      <c r="B57" s="616" t="s">
        <v>2236</v>
      </c>
      <c r="C57" s="1136"/>
      <c r="D57" s="1139">
        <v>3</v>
      </c>
      <c r="E57" s="616" t="s">
        <v>2190</v>
      </c>
      <c r="F57" s="1135">
        <v>38.24</v>
      </c>
      <c r="G57" s="1140">
        <v>31.83</v>
      </c>
    </row>
    <row r="58" spans="1:7" ht="14.25" x14ac:dyDescent="0.2">
      <c r="A58" s="1139">
        <v>30028</v>
      </c>
      <c r="B58" s="616" t="s">
        <v>2237</v>
      </c>
      <c r="C58" s="614" t="s">
        <v>838</v>
      </c>
      <c r="D58" s="1139">
        <v>151</v>
      </c>
      <c r="E58" s="616" t="s">
        <v>2180</v>
      </c>
      <c r="F58" s="1135">
        <v>342.73</v>
      </c>
      <c r="G58" s="1140">
        <v>162.94</v>
      </c>
    </row>
    <row r="59" spans="1:7" ht="14.25" x14ac:dyDescent="0.2">
      <c r="A59" s="1139">
        <v>30111</v>
      </c>
      <c r="B59" s="616" t="s">
        <v>2238</v>
      </c>
      <c r="C59" s="614" t="s">
        <v>838</v>
      </c>
      <c r="D59" s="1139">
        <v>560</v>
      </c>
      <c r="E59" s="616" t="s">
        <v>2180</v>
      </c>
      <c r="F59" s="1135">
        <v>648.73</v>
      </c>
      <c r="G59" s="1140">
        <v>198.32</v>
      </c>
    </row>
    <row r="60" spans="1:7" ht="14.25" x14ac:dyDescent="0.2">
      <c r="A60" s="1139">
        <v>30130</v>
      </c>
      <c r="B60" s="616" t="s">
        <v>2239</v>
      </c>
      <c r="C60" s="614" t="s">
        <v>838</v>
      </c>
      <c r="D60" s="1139">
        <v>0</v>
      </c>
      <c r="E60" s="616" t="s">
        <v>2180</v>
      </c>
      <c r="F60" s="1135">
        <v>23.92</v>
      </c>
      <c r="G60" s="1140">
        <v>22.65</v>
      </c>
    </row>
    <row r="61" spans="1:7" ht="14.25" x14ac:dyDescent="0.2">
      <c r="A61" s="1139">
        <v>30115</v>
      </c>
      <c r="B61" s="616" t="s">
        <v>2240</v>
      </c>
      <c r="C61" s="614" t="s">
        <v>838</v>
      </c>
      <c r="D61" s="1139">
        <v>30</v>
      </c>
      <c r="E61" s="616" t="s">
        <v>2180</v>
      </c>
      <c r="F61" s="1135">
        <v>49.86</v>
      </c>
      <c r="G61" s="1140">
        <v>20.67</v>
      </c>
    </row>
    <row r="62" spans="1:7" ht="14.25" x14ac:dyDescent="0.2">
      <c r="A62" s="1139">
        <v>30089</v>
      </c>
      <c r="B62" s="616" t="s">
        <v>2241</v>
      </c>
      <c r="C62" s="1136"/>
      <c r="D62" s="1139">
        <v>5</v>
      </c>
      <c r="E62" s="616" t="s">
        <v>2180</v>
      </c>
      <c r="F62" s="1135">
        <v>64.040000000000006</v>
      </c>
      <c r="G62" s="1140">
        <v>55.96</v>
      </c>
    </row>
    <row r="63" spans="1:7" ht="14.25" x14ac:dyDescent="0.2">
      <c r="A63" s="1139">
        <v>30074</v>
      </c>
      <c r="B63" s="616" t="s">
        <v>2242</v>
      </c>
      <c r="C63" s="1136"/>
      <c r="D63" s="1139">
        <v>4</v>
      </c>
      <c r="E63" s="616" t="s">
        <v>2190</v>
      </c>
      <c r="F63" s="1135">
        <v>18.23</v>
      </c>
      <c r="G63" s="1140">
        <v>15.59</v>
      </c>
    </row>
    <row r="64" spans="1:7" ht="14.25" x14ac:dyDescent="0.2">
      <c r="A64" s="1139">
        <v>30147</v>
      </c>
      <c r="B64" s="616" t="s">
        <v>2243</v>
      </c>
      <c r="C64" s="1136"/>
      <c r="D64" s="1139">
        <v>40</v>
      </c>
      <c r="E64" s="616" t="s">
        <v>2190</v>
      </c>
      <c r="F64" s="1135">
        <v>49.01</v>
      </c>
      <c r="G64" s="1140">
        <v>15.89</v>
      </c>
    </row>
    <row r="65" spans="1:7" ht="14.25" x14ac:dyDescent="0.2">
      <c r="A65" s="1139">
        <v>30091</v>
      </c>
      <c r="B65" s="616" t="s">
        <v>2244</v>
      </c>
      <c r="C65" s="1136"/>
      <c r="D65" s="1139">
        <v>0</v>
      </c>
      <c r="E65" s="616" t="s">
        <v>2180</v>
      </c>
      <c r="F65" s="1135">
        <v>16.329999999999998</v>
      </c>
      <c r="G65" s="1140">
        <v>14.73</v>
      </c>
    </row>
    <row r="66" spans="1:7" ht="14.25" x14ac:dyDescent="0.2">
      <c r="A66" s="1139">
        <v>30082</v>
      </c>
      <c r="B66" s="616" t="s">
        <v>2245</v>
      </c>
      <c r="C66" s="1136"/>
      <c r="D66" s="1139">
        <v>33</v>
      </c>
      <c r="E66" s="616" t="s">
        <v>2190</v>
      </c>
      <c r="F66" s="1135">
        <v>46.67</v>
      </c>
      <c r="G66" s="1140">
        <v>24.92</v>
      </c>
    </row>
    <row r="67" spans="1:7" ht="14.25" x14ac:dyDescent="0.2">
      <c r="A67" s="1139">
        <v>30090</v>
      </c>
      <c r="B67" s="616" t="s">
        <v>2246</v>
      </c>
      <c r="C67" s="1136"/>
      <c r="D67" s="1139">
        <v>3</v>
      </c>
      <c r="E67" s="616" t="s">
        <v>2190</v>
      </c>
      <c r="F67" s="1135">
        <v>21.39</v>
      </c>
      <c r="G67" s="1140">
        <v>16.48</v>
      </c>
    </row>
    <row r="68" spans="1:7" ht="14.25" x14ac:dyDescent="0.2">
      <c r="A68" s="1139">
        <v>30146</v>
      </c>
      <c r="B68" s="616" t="s">
        <v>2247</v>
      </c>
      <c r="C68" s="1136"/>
      <c r="D68" s="1139">
        <v>15</v>
      </c>
      <c r="E68" s="616" t="s">
        <v>2190</v>
      </c>
      <c r="F68" s="1135">
        <v>86.08</v>
      </c>
      <c r="G68" s="1135">
        <v>7.74</v>
      </c>
    </row>
    <row r="69" spans="1:7" ht="14.25" x14ac:dyDescent="0.2">
      <c r="A69" s="1139">
        <v>30061</v>
      </c>
      <c r="B69" s="616" t="s">
        <v>2248</v>
      </c>
      <c r="C69" s="1136"/>
      <c r="D69" s="1139">
        <v>0</v>
      </c>
      <c r="E69" s="616" t="s">
        <v>2180</v>
      </c>
      <c r="F69" s="1135">
        <v>18.66</v>
      </c>
      <c r="G69" s="1140">
        <v>17.43</v>
      </c>
    </row>
    <row r="70" spans="1:7" ht="14.25" x14ac:dyDescent="0.2">
      <c r="A70" s="1139">
        <v>30021</v>
      </c>
      <c r="B70" s="616" t="s">
        <v>2249</v>
      </c>
      <c r="C70" s="1136"/>
      <c r="D70" s="1139">
        <v>335</v>
      </c>
      <c r="E70" s="616" t="s">
        <v>2180</v>
      </c>
      <c r="F70" s="1137">
        <v>1335.34</v>
      </c>
      <c r="G70" s="1140">
        <v>599.70000000000005</v>
      </c>
    </row>
    <row r="71" spans="1:7" ht="14.25" x14ac:dyDescent="0.2">
      <c r="A71" s="1139">
        <v>30085</v>
      </c>
      <c r="B71" s="616" t="s">
        <v>2250</v>
      </c>
      <c r="C71" s="614" t="s">
        <v>838</v>
      </c>
      <c r="D71" s="1139">
        <v>7</v>
      </c>
      <c r="E71" s="616" t="s">
        <v>2184</v>
      </c>
      <c r="F71" s="1135">
        <v>24.63</v>
      </c>
      <c r="G71" s="1140">
        <v>15.64</v>
      </c>
    </row>
    <row r="72" spans="1:7" ht="14.25" x14ac:dyDescent="0.2">
      <c r="A72" s="1139">
        <v>30022</v>
      </c>
      <c r="B72" s="616" t="s">
        <v>2251</v>
      </c>
      <c r="C72" s="614" t="s">
        <v>838</v>
      </c>
      <c r="D72" s="1139">
        <v>140</v>
      </c>
      <c r="E72" s="616" t="s">
        <v>2180</v>
      </c>
      <c r="F72" s="1135">
        <v>245.66</v>
      </c>
      <c r="G72" s="1140">
        <v>87.2</v>
      </c>
    </row>
    <row r="73" spans="1:7" ht="14.25" x14ac:dyDescent="0.2">
      <c r="A73" s="1139">
        <v>30046</v>
      </c>
      <c r="B73" s="616" t="s">
        <v>2252</v>
      </c>
      <c r="C73" s="1136"/>
      <c r="D73" s="1139">
        <v>268</v>
      </c>
      <c r="E73" s="616" t="s">
        <v>2180</v>
      </c>
      <c r="F73" s="1135">
        <v>266.48</v>
      </c>
      <c r="G73" s="1140">
        <v>85.17</v>
      </c>
    </row>
    <row r="74" spans="1:7" ht="14.25" x14ac:dyDescent="0.2">
      <c r="A74" s="1139">
        <v>30099</v>
      </c>
      <c r="B74" s="616" t="s">
        <v>2253</v>
      </c>
      <c r="C74" s="1136"/>
      <c r="D74" s="1139">
        <v>10</v>
      </c>
      <c r="E74" s="616" t="s">
        <v>2180</v>
      </c>
      <c r="F74" s="1135">
        <v>9.0500000000000007</v>
      </c>
      <c r="G74" s="1135">
        <v>1.35</v>
      </c>
    </row>
    <row r="75" spans="1:7" ht="14.25" x14ac:dyDescent="0.2">
      <c r="A75" s="1139">
        <v>30133</v>
      </c>
      <c r="B75" s="616" t="s">
        <v>2254</v>
      </c>
      <c r="C75" s="1136"/>
      <c r="D75" s="1139">
        <v>67</v>
      </c>
      <c r="E75" s="616" t="s">
        <v>2180</v>
      </c>
      <c r="F75" s="1135">
        <v>287.83999999999997</v>
      </c>
      <c r="G75" s="1140">
        <v>139.28</v>
      </c>
    </row>
    <row r="76" spans="1:7" ht="14.25" x14ac:dyDescent="0.2">
      <c r="A76" s="1139">
        <v>30045</v>
      </c>
      <c r="B76" s="616" t="s">
        <v>2255</v>
      </c>
      <c r="C76" s="1136"/>
      <c r="D76" s="1139">
        <v>297</v>
      </c>
      <c r="E76" s="616" t="s">
        <v>2180</v>
      </c>
      <c r="F76" s="1137">
        <v>1149.1500000000001</v>
      </c>
      <c r="G76" s="1140">
        <v>518.94000000000005</v>
      </c>
    </row>
    <row r="77" spans="1:7" ht="14.25" x14ac:dyDescent="0.2">
      <c r="A77" s="1139">
        <v>30029</v>
      </c>
      <c r="B77" s="616" t="s">
        <v>2256</v>
      </c>
      <c r="C77" s="614" t="s">
        <v>838</v>
      </c>
      <c r="D77" s="1139">
        <v>76</v>
      </c>
      <c r="E77" s="616" t="s">
        <v>2180</v>
      </c>
      <c r="F77" s="1135">
        <v>114.5</v>
      </c>
      <c r="G77" s="1140">
        <v>48.09</v>
      </c>
    </row>
    <row r="78" spans="1:7" ht="14.25" x14ac:dyDescent="0.2">
      <c r="A78" s="1139">
        <v>30055</v>
      </c>
      <c r="B78" s="616" t="s">
        <v>2257</v>
      </c>
      <c r="C78" s="1136"/>
      <c r="D78" s="1139">
        <v>0</v>
      </c>
      <c r="E78" s="616" t="s">
        <v>2180</v>
      </c>
      <c r="F78" s="1135">
        <v>13.7</v>
      </c>
      <c r="G78" s="1140">
        <v>13.31</v>
      </c>
    </row>
    <row r="79" spans="1:7" ht="14.25" x14ac:dyDescent="0.2">
      <c r="A79" s="1139">
        <v>30142</v>
      </c>
      <c r="B79" s="616" t="s">
        <v>2258</v>
      </c>
      <c r="C79" s="1136"/>
      <c r="D79" s="1139">
        <v>5</v>
      </c>
      <c r="E79" s="616" t="s">
        <v>2180</v>
      </c>
      <c r="F79" s="1135">
        <v>3.45</v>
      </c>
      <c r="G79" s="1135">
        <v>0.2</v>
      </c>
    </row>
    <row r="80" spans="1:7" ht="14.25" x14ac:dyDescent="0.2">
      <c r="A80" s="1139">
        <v>30032</v>
      </c>
      <c r="B80" s="616" t="s">
        <v>2259</v>
      </c>
      <c r="C80" s="614" t="s">
        <v>838</v>
      </c>
      <c r="D80" s="1139">
        <v>127</v>
      </c>
      <c r="E80" s="616" t="s">
        <v>2180</v>
      </c>
      <c r="F80" s="1135">
        <v>178.78</v>
      </c>
      <c r="G80" s="1140">
        <v>64.73</v>
      </c>
    </row>
    <row r="81" spans="1:7" ht="14.25" x14ac:dyDescent="0.2">
      <c r="A81" s="1139">
        <v>30038</v>
      </c>
      <c r="B81" s="616" t="s">
        <v>2260</v>
      </c>
      <c r="C81" s="614" t="s">
        <v>838</v>
      </c>
      <c r="D81" s="1139">
        <v>145</v>
      </c>
      <c r="E81" s="616" t="s">
        <v>2180</v>
      </c>
      <c r="F81" s="1135">
        <v>201.17</v>
      </c>
      <c r="G81" s="1140">
        <v>71.59</v>
      </c>
    </row>
    <row r="82" spans="1:7" ht="14.25" x14ac:dyDescent="0.2">
      <c r="A82" s="1139">
        <v>30034</v>
      </c>
      <c r="B82" s="616" t="s">
        <v>2261</v>
      </c>
      <c r="C82" s="1136"/>
      <c r="D82" s="1139">
        <v>58</v>
      </c>
      <c r="E82" s="616" t="s">
        <v>2180</v>
      </c>
      <c r="F82" s="1135">
        <v>110.81</v>
      </c>
      <c r="G82" s="1140">
        <v>52.82</v>
      </c>
    </row>
    <row r="83" spans="1:7" ht="14.25" x14ac:dyDescent="0.2">
      <c r="A83" s="1139">
        <v>30035</v>
      </c>
      <c r="B83" s="616" t="s">
        <v>2262</v>
      </c>
      <c r="C83" s="1136"/>
      <c r="D83" s="1139">
        <v>44</v>
      </c>
      <c r="E83" s="616" t="s">
        <v>2180</v>
      </c>
      <c r="F83" s="1135">
        <v>102.85</v>
      </c>
      <c r="G83" s="1140">
        <v>53.81</v>
      </c>
    </row>
    <row r="84" spans="1:7" ht="14.25" x14ac:dyDescent="0.2">
      <c r="A84" s="1139">
        <v>30037</v>
      </c>
      <c r="B84" s="616" t="s">
        <v>2263</v>
      </c>
      <c r="C84" s="614" t="s">
        <v>838</v>
      </c>
      <c r="D84" s="1139">
        <v>76</v>
      </c>
      <c r="E84" s="616" t="s">
        <v>2180</v>
      </c>
      <c r="F84" s="1135">
        <v>117.8</v>
      </c>
      <c r="G84" s="1140">
        <v>48.4</v>
      </c>
    </row>
    <row r="85" spans="1:7" ht="14.25" x14ac:dyDescent="0.2">
      <c r="A85" s="1139">
        <v>30036</v>
      </c>
      <c r="B85" s="616" t="s">
        <v>2264</v>
      </c>
      <c r="C85" s="614" t="s">
        <v>838</v>
      </c>
      <c r="D85" s="1139">
        <v>127</v>
      </c>
      <c r="E85" s="616" t="s">
        <v>2180</v>
      </c>
      <c r="F85" s="1135">
        <v>181.97</v>
      </c>
      <c r="G85" s="1140">
        <v>64.790000000000006</v>
      </c>
    </row>
    <row r="86" spans="1:7" ht="14.25" x14ac:dyDescent="0.2">
      <c r="A86" s="1139">
        <v>30040</v>
      </c>
      <c r="B86" s="616" t="s">
        <v>2265</v>
      </c>
      <c r="C86" s="614" t="s">
        <v>838</v>
      </c>
      <c r="D86" s="1139">
        <v>145</v>
      </c>
      <c r="E86" s="616" t="s">
        <v>2180</v>
      </c>
      <c r="F86" s="1135">
        <v>190.1</v>
      </c>
      <c r="G86" s="1140">
        <v>63.69</v>
      </c>
    </row>
    <row r="87" spans="1:7" ht="14.25" x14ac:dyDescent="0.2">
      <c r="A87" s="1139">
        <v>30039</v>
      </c>
      <c r="B87" s="616" t="s">
        <v>2266</v>
      </c>
      <c r="C87" s="614" t="s">
        <v>838</v>
      </c>
      <c r="D87" s="1139">
        <v>76</v>
      </c>
      <c r="E87" s="616" t="s">
        <v>2180</v>
      </c>
      <c r="F87" s="1135">
        <v>127.17</v>
      </c>
      <c r="G87" s="1140">
        <v>54.58</v>
      </c>
    </row>
    <row r="88" spans="1:7" ht="14.25" x14ac:dyDescent="0.2">
      <c r="A88" s="1139">
        <v>30033</v>
      </c>
      <c r="B88" s="616" t="s">
        <v>2267</v>
      </c>
      <c r="C88" s="1136"/>
      <c r="D88" s="1139">
        <v>145</v>
      </c>
      <c r="E88" s="616" t="s">
        <v>2180</v>
      </c>
      <c r="F88" s="1135">
        <v>195.5</v>
      </c>
      <c r="G88" s="1140">
        <v>67.52</v>
      </c>
    </row>
    <row r="89" spans="1:7" ht="14.25" x14ac:dyDescent="0.2">
      <c r="A89" s="1139">
        <v>30095</v>
      </c>
      <c r="B89" s="616" t="s">
        <v>2268</v>
      </c>
      <c r="C89" s="1136"/>
      <c r="D89" s="1139">
        <v>4</v>
      </c>
      <c r="E89" s="616" t="s">
        <v>2190</v>
      </c>
      <c r="F89" s="1135">
        <v>2.8</v>
      </c>
      <c r="G89" s="1135">
        <v>0.14000000000000001</v>
      </c>
    </row>
    <row r="90" spans="1:7" ht="14.25" x14ac:dyDescent="0.2">
      <c r="A90" s="1139">
        <v>30073</v>
      </c>
      <c r="B90" s="616" t="s">
        <v>2269</v>
      </c>
      <c r="C90" s="614" t="s">
        <v>838</v>
      </c>
      <c r="D90" s="1139">
        <v>5</v>
      </c>
      <c r="E90" s="616" t="s">
        <v>2190</v>
      </c>
      <c r="F90" s="1135">
        <v>19.45</v>
      </c>
      <c r="G90" s="1140">
        <v>16.010000000000002</v>
      </c>
    </row>
    <row r="91" spans="1:7" ht="14.25" x14ac:dyDescent="0.2">
      <c r="A91" s="1139">
        <v>30128</v>
      </c>
      <c r="B91" s="616" t="s">
        <v>2270</v>
      </c>
      <c r="C91" s="614" t="s">
        <v>838</v>
      </c>
      <c r="D91" s="1139">
        <v>6</v>
      </c>
      <c r="E91" s="616" t="s">
        <v>2190</v>
      </c>
      <c r="F91" s="1135">
        <v>24.73</v>
      </c>
      <c r="G91" s="1140">
        <v>19.96</v>
      </c>
    </row>
    <row r="92" spans="1:7" ht="14.25" x14ac:dyDescent="0.2">
      <c r="A92" s="1139">
        <v>30114</v>
      </c>
      <c r="B92" s="616" t="s">
        <v>2271</v>
      </c>
      <c r="C92" s="614" t="s">
        <v>838</v>
      </c>
      <c r="D92" s="1139">
        <v>30</v>
      </c>
      <c r="E92" s="616" t="s">
        <v>2180</v>
      </c>
      <c r="F92" s="1135">
        <v>72.42</v>
      </c>
      <c r="G92" s="1140">
        <v>43.83</v>
      </c>
    </row>
    <row r="93" spans="1:7" s="198" customFormat="1" ht="14.25" x14ac:dyDescent="0.2">
      <c r="A93" s="1139">
        <v>30086</v>
      </c>
      <c r="B93" s="616" t="s">
        <v>2272</v>
      </c>
      <c r="C93" s="1136"/>
      <c r="D93" s="1139">
        <v>48</v>
      </c>
      <c r="E93" s="616" t="s">
        <v>2180</v>
      </c>
      <c r="F93" s="1135">
        <v>105.81</v>
      </c>
      <c r="G93" s="1140">
        <v>53.88</v>
      </c>
    </row>
    <row r="94" spans="1:7" ht="14.25" x14ac:dyDescent="0.2">
      <c r="A94" s="1139">
        <v>30138</v>
      </c>
      <c r="B94" s="616" t="s">
        <v>2273</v>
      </c>
      <c r="C94" s="614" t="s">
        <v>838</v>
      </c>
      <c r="D94" s="1139">
        <v>5</v>
      </c>
      <c r="E94" s="616" t="s">
        <v>2190</v>
      </c>
      <c r="F94" s="1135">
        <v>6.14</v>
      </c>
      <c r="G94" s="1135">
        <v>1.49</v>
      </c>
    </row>
    <row r="95" spans="1:7" ht="14.25" x14ac:dyDescent="0.2">
      <c r="A95" s="1139">
        <v>30084</v>
      </c>
      <c r="B95" s="616" t="s">
        <v>2274</v>
      </c>
      <c r="C95" s="1136"/>
      <c r="D95" s="1139">
        <v>0</v>
      </c>
      <c r="E95" s="616" t="s">
        <v>2190</v>
      </c>
      <c r="F95" s="1135">
        <v>7.68</v>
      </c>
      <c r="G95" s="1135">
        <v>5.49</v>
      </c>
    </row>
    <row r="96" spans="1:7" ht="14.25" x14ac:dyDescent="0.2">
      <c r="A96" s="1139">
        <v>30136</v>
      </c>
      <c r="B96" s="616" t="s">
        <v>2275</v>
      </c>
      <c r="C96" s="1136"/>
      <c r="D96" s="1139">
        <v>0</v>
      </c>
      <c r="E96" s="616" t="s">
        <v>2190</v>
      </c>
      <c r="F96" s="1135">
        <v>9.01</v>
      </c>
      <c r="G96" s="1135">
        <v>6.44</v>
      </c>
    </row>
    <row r="97" spans="1:7" ht="14.25" x14ac:dyDescent="0.2">
      <c r="A97" s="1139">
        <v>30135</v>
      </c>
      <c r="B97" s="616" t="s">
        <v>2276</v>
      </c>
      <c r="C97" s="1136"/>
      <c r="D97" s="1139">
        <v>0</v>
      </c>
      <c r="E97" s="616" t="s">
        <v>2180</v>
      </c>
      <c r="F97" s="1135">
        <v>23.54</v>
      </c>
      <c r="G97" s="1140">
        <v>16.829999999999998</v>
      </c>
    </row>
    <row r="98" spans="1:7" ht="18" x14ac:dyDescent="0.2">
      <c r="A98" s="1133" t="s">
        <v>711</v>
      </c>
      <c r="B98" s="1133" t="s">
        <v>2173</v>
      </c>
      <c r="C98" s="1138" t="s">
        <v>2174</v>
      </c>
      <c r="D98" s="1133" t="s">
        <v>2175</v>
      </c>
      <c r="E98" s="1133" t="s">
        <v>2176</v>
      </c>
      <c r="F98" s="1133" t="s">
        <v>2177</v>
      </c>
      <c r="G98" s="1133" t="s">
        <v>2178</v>
      </c>
    </row>
    <row r="99" spans="1:7" ht="14.25" x14ac:dyDescent="0.2">
      <c r="A99" s="1139">
        <v>30030</v>
      </c>
      <c r="B99" s="616" t="s">
        <v>2277</v>
      </c>
      <c r="C99" s="614" t="s">
        <v>838</v>
      </c>
      <c r="D99" s="1139">
        <v>110</v>
      </c>
      <c r="E99" s="616" t="s">
        <v>2180</v>
      </c>
      <c r="F99" s="1135">
        <v>116.59</v>
      </c>
      <c r="G99" s="1140">
        <v>33.1</v>
      </c>
    </row>
    <row r="100" spans="1:7" ht="14.25" x14ac:dyDescent="0.2">
      <c r="A100" s="1139">
        <v>30020</v>
      </c>
      <c r="B100" s="616" t="s">
        <v>2278</v>
      </c>
      <c r="C100" s="1136"/>
      <c r="D100" s="1139">
        <v>300</v>
      </c>
      <c r="E100" s="616" t="s">
        <v>2180</v>
      </c>
      <c r="F100" s="1135">
        <v>651.67999999999995</v>
      </c>
      <c r="G100" s="1140">
        <v>233.98</v>
      </c>
    </row>
    <row r="101" spans="1:7" ht="14.25" x14ac:dyDescent="0.2">
      <c r="A101" s="1139">
        <v>30015</v>
      </c>
      <c r="B101" s="616" t="s">
        <v>2279</v>
      </c>
      <c r="C101" s="614" t="s">
        <v>838</v>
      </c>
      <c r="D101" s="1139">
        <v>105</v>
      </c>
      <c r="E101" s="616" t="s">
        <v>2180</v>
      </c>
      <c r="F101" s="1135">
        <v>253.31</v>
      </c>
      <c r="G101" s="1140">
        <v>107.58</v>
      </c>
    </row>
    <row r="102" spans="1:7" ht="14.25" x14ac:dyDescent="0.2">
      <c r="A102" s="1139">
        <v>30016</v>
      </c>
      <c r="B102" s="616" t="s">
        <v>2280</v>
      </c>
      <c r="C102" s="614" t="s">
        <v>838</v>
      </c>
      <c r="D102" s="1139">
        <v>155</v>
      </c>
      <c r="E102" s="616" t="s">
        <v>2180</v>
      </c>
      <c r="F102" s="1135">
        <v>334.2</v>
      </c>
      <c r="G102" s="1140">
        <v>129.94</v>
      </c>
    </row>
    <row r="103" spans="1:7" ht="14.25" x14ac:dyDescent="0.2">
      <c r="A103" s="1139">
        <v>30017</v>
      </c>
      <c r="B103" s="616" t="s">
        <v>2281</v>
      </c>
      <c r="C103" s="614" t="s">
        <v>838</v>
      </c>
      <c r="D103" s="1139">
        <v>140</v>
      </c>
      <c r="E103" s="616" t="s">
        <v>2180</v>
      </c>
      <c r="F103" s="1135">
        <v>329.88</v>
      </c>
      <c r="G103" s="1140">
        <v>135.94</v>
      </c>
    </row>
    <row r="104" spans="1:7" ht="14.25" x14ac:dyDescent="0.2">
      <c r="A104" s="1139">
        <v>30018</v>
      </c>
      <c r="B104" s="616" t="s">
        <v>2282</v>
      </c>
      <c r="C104" s="1136"/>
      <c r="D104" s="1139">
        <v>300</v>
      </c>
      <c r="E104" s="616" t="s">
        <v>2180</v>
      </c>
      <c r="F104" s="1135">
        <v>651.67999999999995</v>
      </c>
      <c r="G104" s="1140">
        <v>233.98</v>
      </c>
    </row>
    <row r="105" spans="1:7" ht="14.25" x14ac:dyDescent="0.2">
      <c r="A105" s="1139">
        <v>30019</v>
      </c>
      <c r="B105" s="616" t="s">
        <v>2283</v>
      </c>
      <c r="C105" s="1136"/>
      <c r="D105" s="1139">
        <v>300</v>
      </c>
      <c r="E105" s="616" t="s">
        <v>2180</v>
      </c>
      <c r="F105" s="1135">
        <v>657.77</v>
      </c>
      <c r="G105" s="1140">
        <v>237.25</v>
      </c>
    </row>
    <row r="106" spans="1:7" ht="14.25" x14ac:dyDescent="0.2">
      <c r="A106" s="1139">
        <v>30063</v>
      </c>
      <c r="B106" s="616" t="s">
        <v>2284</v>
      </c>
      <c r="C106" s="1136"/>
      <c r="D106" s="1139">
        <v>195</v>
      </c>
      <c r="E106" s="616" t="s">
        <v>2190</v>
      </c>
      <c r="F106" s="1135">
        <v>529.58000000000004</v>
      </c>
      <c r="G106" s="1140">
        <v>339.48</v>
      </c>
    </row>
    <row r="107" spans="1:7" ht="14.25" x14ac:dyDescent="0.2">
      <c r="A107" s="1139">
        <v>30065</v>
      </c>
      <c r="B107" s="616" t="s">
        <v>2285</v>
      </c>
      <c r="C107" s="614" t="s">
        <v>838</v>
      </c>
      <c r="D107" s="1139">
        <v>15</v>
      </c>
      <c r="E107" s="616" t="s">
        <v>2180</v>
      </c>
      <c r="F107" s="1135">
        <v>154.69</v>
      </c>
      <c r="G107" s="1140">
        <v>137.61000000000001</v>
      </c>
    </row>
    <row r="108" spans="1:7" ht="14.25" x14ac:dyDescent="0.2">
      <c r="A108" s="1139">
        <v>30066</v>
      </c>
      <c r="B108" s="616" t="s">
        <v>2286</v>
      </c>
      <c r="C108" s="614" t="s">
        <v>838</v>
      </c>
      <c r="D108" s="1139">
        <v>110</v>
      </c>
      <c r="E108" s="616" t="s">
        <v>2180</v>
      </c>
      <c r="F108" s="1135">
        <v>322.14</v>
      </c>
      <c r="G108" s="1140">
        <v>203.72</v>
      </c>
    </row>
    <row r="109" spans="1:7" ht="14.25" x14ac:dyDescent="0.2">
      <c r="A109" s="1139">
        <v>30051</v>
      </c>
      <c r="B109" s="616" t="s">
        <v>2287</v>
      </c>
      <c r="C109" s="614" t="s">
        <v>838</v>
      </c>
      <c r="D109" s="1139">
        <v>0</v>
      </c>
      <c r="E109" s="616" t="s">
        <v>2180</v>
      </c>
      <c r="F109" s="1135">
        <v>9.07</v>
      </c>
      <c r="G109" s="1135">
        <v>5.68</v>
      </c>
    </row>
    <row r="110" spans="1:7" ht="14.25" x14ac:dyDescent="0.2">
      <c r="A110" s="1139">
        <v>30071</v>
      </c>
      <c r="B110" s="616" t="s">
        <v>2288</v>
      </c>
      <c r="C110" s="1136"/>
      <c r="D110" s="1139">
        <v>4</v>
      </c>
      <c r="E110" s="616" t="s">
        <v>2190</v>
      </c>
      <c r="F110" s="1135">
        <v>15.98</v>
      </c>
      <c r="G110" s="1140">
        <v>13.16</v>
      </c>
    </row>
    <row r="111" spans="1:7" x14ac:dyDescent="0.2">
      <c r="A111" s="208"/>
      <c r="B111" s="209"/>
      <c r="C111" s="210"/>
      <c r="D111" s="208"/>
      <c r="E111" s="211"/>
      <c r="F111" s="212"/>
      <c r="G111" s="212"/>
    </row>
  </sheetData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G643"/>
  <sheetViews>
    <sheetView zoomScale="115" zoomScaleNormal="115" workbookViewId="0">
      <selection activeCell="F355" sqref="F355"/>
    </sheetView>
  </sheetViews>
  <sheetFormatPr defaultColWidth="9" defaultRowHeight="15" x14ac:dyDescent="0.25"/>
  <cols>
    <col min="1" max="1" width="9" style="207"/>
    <col min="2" max="2" width="53.125" style="205" customWidth="1"/>
    <col min="3" max="4" width="9" style="486"/>
    <col min="5" max="6" width="9" style="487"/>
    <col min="7" max="7" width="9" style="485"/>
    <col min="8" max="16384" width="9" style="390"/>
  </cols>
  <sheetData>
    <row r="1" spans="1:7" ht="14.25" x14ac:dyDescent="0.2">
      <c r="A1" s="471" t="s">
        <v>2289</v>
      </c>
      <c r="B1" s="214"/>
      <c r="C1" s="483"/>
      <c r="D1" s="483"/>
      <c r="E1" s="484"/>
      <c r="F1" s="484" t="s">
        <v>2290</v>
      </c>
    </row>
    <row r="2" spans="1:7" x14ac:dyDescent="0.2">
      <c r="A2" s="613" t="s">
        <v>2420</v>
      </c>
      <c r="B2" s="214"/>
      <c r="C2" s="483"/>
      <c r="D2" s="483"/>
      <c r="E2" s="484"/>
      <c r="F2" s="484"/>
    </row>
    <row r="3" spans="1:7" s="617" customFormat="1" ht="47.25" customHeight="1" x14ac:dyDescent="0.2">
      <c r="A3" s="1133" t="s">
        <v>711</v>
      </c>
      <c r="B3" s="1133" t="s">
        <v>2303</v>
      </c>
      <c r="C3" s="1133" t="s">
        <v>713</v>
      </c>
      <c r="D3" s="1133" t="s">
        <v>2304</v>
      </c>
      <c r="E3" s="1133" t="s">
        <v>2305</v>
      </c>
      <c r="F3" s="1133" t="s">
        <v>2306</v>
      </c>
      <c r="G3" s="1133" t="s">
        <v>2307</v>
      </c>
    </row>
    <row r="4" spans="1:7" ht="14.25" x14ac:dyDescent="0.2">
      <c r="A4" s="1136"/>
      <c r="B4" s="962" t="s">
        <v>2308</v>
      </c>
      <c r="C4" s="963"/>
      <c r="D4" s="963"/>
      <c r="E4" s="963"/>
      <c r="F4" s="963"/>
      <c r="G4" s="964"/>
    </row>
    <row r="5" spans="1:7" s="617" customFormat="1" ht="12" customHeight="1" x14ac:dyDescent="0.2">
      <c r="A5" s="1134">
        <v>20039</v>
      </c>
      <c r="B5" s="616" t="s">
        <v>2309</v>
      </c>
      <c r="C5" s="614" t="s">
        <v>2153</v>
      </c>
      <c r="D5" s="1135">
        <v>1.01</v>
      </c>
      <c r="E5" s="1135">
        <v>4.91</v>
      </c>
      <c r="F5" s="1140">
        <v>157.27000000000001</v>
      </c>
      <c r="G5" s="1135">
        <v>12.65</v>
      </c>
    </row>
    <row r="6" spans="1:7" s="617" customFormat="1" ht="12" customHeight="1" x14ac:dyDescent="0.2">
      <c r="A6" s="1134">
        <v>20050</v>
      </c>
      <c r="B6" s="616" t="s">
        <v>2310</v>
      </c>
      <c r="C6" s="614" t="s">
        <v>2153</v>
      </c>
      <c r="D6" s="1135">
        <v>1.01</v>
      </c>
      <c r="E6" s="1135">
        <v>4.91</v>
      </c>
      <c r="F6" s="1140">
        <v>157.27000000000001</v>
      </c>
      <c r="G6" s="1135">
        <v>12.65</v>
      </c>
    </row>
    <row r="7" spans="1:7" s="617" customFormat="1" ht="12" customHeight="1" x14ac:dyDescent="0.2">
      <c r="A7" s="1134">
        <v>20151</v>
      </c>
      <c r="B7" s="616" t="s">
        <v>2311</v>
      </c>
      <c r="C7" s="614" t="s">
        <v>2153</v>
      </c>
      <c r="D7" s="1135">
        <v>1.01</v>
      </c>
      <c r="E7" s="1135">
        <v>4.91</v>
      </c>
      <c r="F7" s="1140">
        <v>157.27000000000001</v>
      </c>
      <c r="G7" s="1135">
        <v>12.65</v>
      </c>
    </row>
    <row r="8" spans="1:7" s="617" customFormat="1" ht="12" customHeight="1" x14ac:dyDescent="0.2">
      <c r="A8" s="1134">
        <v>20061</v>
      </c>
      <c r="B8" s="616" t="s">
        <v>2312</v>
      </c>
      <c r="C8" s="614" t="s">
        <v>2153</v>
      </c>
      <c r="D8" s="1135">
        <v>1.01</v>
      </c>
      <c r="E8" s="1135">
        <v>4.91</v>
      </c>
      <c r="F8" s="1140">
        <v>157.27000000000001</v>
      </c>
      <c r="G8" s="1135">
        <v>12.65</v>
      </c>
    </row>
    <row r="9" spans="1:7" s="617" customFormat="1" ht="12" customHeight="1" x14ac:dyDescent="0.2">
      <c r="A9" s="1134">
        <v>20072</v>
      </c>
      <c r="B9" s="616" t="s">
        <v>2313</v>
      </c>
      <c r="C9" s="614" t="s">
        <v>2153</v>
      </c>
      <c r="D9" s="1135">
        <v>1.01</v>
      </c>
      <c r="E9" s="1135">
        <v>4.91</v>
      </c>
      <c r="F9" s="1140">
        <v>157.27000000000001</v>
      </c>
      <c r="G9" s="1135">
        <v>12.65</v>
      </c>
    </row>
    <row r="10" spans="1:7" s="617" customFormat="1" ht="12" customHeight="1" x14ac:dyDescent="0.2">
      <c r="A10" s="1134">
        <v>20083</v>
      </c>
      <c r="B10" s="616" t="s">
        <v>2314</v>
      </c>
      <c r="C10" s="614" t="s">
        <v>2153</v>
      </c>
      <c r="D10" s="1135">
        <v>1.01</v>
      </c>
      <c r="E10" s="1135">
        <v>4.91</v>
      </c>
      <c r="F10" s="1140">
        <v>157.27000000000001</v>
      </c>
      <c r="G10" s="1135">
        <v>12.65</v>
      </c>
    </row>
    <row r="11" spans="1:7" s="617" customFormat="1" ht="12" customHeight="1" x14ac:dyDescent="0.2">
      <c r="A11" s="1134">
        <v>20094</v>
      </c>
      <c r="B11" s="616" t="s">
        <v>2315</v>
      </c>
      <c r="C11" s="614" t="s">
        <v>2153</v>
      </c>
      <c r="D11" s="1135">
        <v>1.65</v>
      </c>
      <c r="E11" s="1135">
        <v>8.0299999999999994</v>
      </c>
      <c r="F11" s="1140">
        <v>157.27000000000001</v>
      </c>
      <c r="G11" s="1135">
        <v>20.66</v>
      </c>
    </row>
    <row r="12" spans="1:7" s="617" customFormat="1" ht="12" customHeight="1" x14ac:dyDescent="0.2">
      <c r="A12" s="1134">
        <v>20012</v>
      </c>
      <c r="B12" s="616" t="s">
        <v>2316</v>
      </c>
      <c r="C12" s="614" t="s">
        <v>2153</v>
      </c>
      <c r="D12" s="1135">
        <v>1.65</v>
      </c>
      <c r="E12" s="1135">
        <v>8.0299999999999994</v>
      </c>
      <c r="F12" s="1140">
        <v>157.27000000000001</v>
      </c>
      <c r="G12" s="1135">
        <v>20.66</v>
      </c>
    </row>
    <row r="13" spans="1:7" s="617" customFormat="1" ht="12" customHeight="1" x14ac:dyDescent="0.2">
      <c r="A13" s="1134">
        <v>20020</v>
      </c>
      <c r="B13" s="616" t="s">
        <v>2317</v>
      </c>
      <c r="C13" s="614" t="s">
        <v>2153</v>
      </c>
      <c r="D13" s="1135">
        <v>1.24</v>
      </c>
      <c r="E13" s="1135">
        <v>6.03</v>
      </c>
      <c r="F13" s="1140">
        <v>157.27000000000001</v>
      </c>
      <c r="G13" s="1135">
        <v>15.53</v>
      </c>
    </row>
    <row r="14" spans="1:7" s="617" customFormat="1" ht="12" customHeight="1" x14ac:dyDescent="0.2">
      <c r="A14" s="1134">
        <v>20022</v>
      </c>
      <c r="B14" s="616" t="s">
        <v>2318</v>
      </c>
      <c r="C14" s="614" t="s">
        <v>2153</v>
      </c>
      <c r="D14" s="1135">
        <v>1.01</v>
      </c>
      <c r="E14" s="1135">
        <v>4.91</v>
      </c>
      <c r="F14" s="1140">
        <v>157.27000000000001</v>
      </c>
      <c r="G14" s="1135">
        <v>12.65</v>
      </c>
    </row>
    <row r="15" spans="1:7" s="617" customFormat="1" ht="12" customHeight="1" x14ac:dyDescent="0.2">
      <c r="A15" s="1134">
        <v>20027</v>
      </c>
      <c r="B15" s="616" t="s">
        <v>2319</v>
      </c>
      <c r="C15" s="614" t="s">
        <v>2153</v>
      </c>
      <c r="D15" s="1135">
        <v>1.01</v>
      </c>
      <c r="E15" s="1135">
        <v>4.91</v>
      </c>
      <c r="F15" s="1140">
        <v>157.27000000000001</v>
      </c>
      <c r="G15" s="1135">
        <v>12.65</v>
      </c>
    </row>
    <row r="16" spans="1:7" s="617" customFormat="1" ht="12" customHeight="1" x14ac:dyDescent="0.2">
      <c r="A16" s="1134">
        <v>20033</v>
      </c>
      <c r="B16" s="616" t="s">
        <v>2320</v>
      </c>
      <c r="C16" s="614" t="s">
        <v>2153</v>
      </c>
      <c r="D16" s="1135">
        <v>1.96</v>
      </c>
      <c r="E16" s="1135">
        <v>9.5399999999999991</v>
      </c>
      <c r="F16" s="1140">
        <v>157.27000000000001</v>
      </c>
      <c r="G16" s="1135">
        <v>24.55</v>
      </c>
    </row>
    <row r="17" spans="1:7" s="617" customFormat="1" ht="12" customHeight="1" x14ac:dyDescent="0.2">
      <c r="A17" s="1134">
        <v>20034</v>
      </c>
      <c r="B17" s="616" t="s">
        <v>2321</v>
      </c>
      <c r="C17" s="614" t="s">
        <v>2153</v>
      </c>
      <c r="D17" s="1135">
        <v>1.96</v>
      </c>
      <c r="E17" s="1135">
        <v>9.5399999999999991</v>
      </c>
      <c r="F17" s="1140">
        <v>157.27000000000001</v>
      </c>
      <c r="G17" s="1135">
        <v>24.55</v>
      </c>
    </row>
    <row r="18" spans="1:7" s="617" customFormat="1" ht="12" customHeight="1" x14ac:dyDescent="0.2">
      <c r="A18" s="1134">
        <v>20035</v>
      </c>
      <c r="B18" s="616" t="s">
        <v>2322</v>
      </c>
      <c r="C18" s="614" t="s">
        <v>2153</v>
      </c>
      <c r="D18" s="1135">
        <v>1.24</v>
      </c>
      <c r="E18" s="1135">
        <v>6.03</v>
      </c>
      <c r="F18" s="1140">
        <v>157.27000000000001</v>
      </c>
      <c r="G18" s="1135">
        <v>15.53</v>
      </c>
    </row>
    <row r="19" spans="1:7" s="617" customFormat="1" ht="12" customHeight="1" x14ac:dyDescent="0.2">
      <c r="A19" s="1134">
        <v>20037</v>
      </c>
      <c r="B19" s="616" t="s">
        <v>2323</v>
      </c>
      <c r="C19" s="614" t="s">
        <v>2153</v>
      </c>
      <c r="D19" s="1135">
        <v>2.35</v>
      </c>
      <c r="E19" s="1135">
        <v>11.44</v>
      </c>
      <c r="F19" s="1140">
        <v>157.27000000000001</v>
      </c>
      <c r="G19" s="1135">
        <v>29.43</v>
      </c>
    </row>
    <row r="20" spans="1:7" s="617" customFormat="1" ht="12" customHeight="1" x14ac:dyDescent="0.2">
      <c r="A20" s="1134">
        <v>20038</v>
      </c>
      <c r="B20" s="616" t="s">
        <v>2324</v>
      </c>
      <c r="C20" s="614" t="s">
        <v>2153</v>
      </c>
      <c r="D20" s="1135">
        <v>1.24</v>
      </c>
      <c r="E20" s="1135">
        <v>6.03</v>
      </c>
      <c r="F20" s="1140">
        <v>157.27000000000001</v>
      </c>
      <c r="G20" s="1135">
        <v>15.53</v>
      </c>
    </row>
    <row r="21" spans="1:7" s="617" customFormat="1" ht="12" customHeight="1" x14ac:dyDescent="0.2">
      <c r="A21" s="1134">
        <v>20040</v>
      </c>
      <c r="B21" s="616" t="s">
        <v>2325</v>
      </c>
      <c r="C21" s="614" t="s">
        <v>2153</v>
      </c>
      <c r="D21" s="1135">
        <v>1.65</v>
      </c>
      <c r="E21" s="1135">
        <v>8.0299999999999994</v>
      </c>
      <c r="F21" s="1140">
        <v>157.27000000000001</v>
      </c>
      <c r="G21" s="1135">
        <v>20.66</v>
      </c>
    </row>
    <row r="22" spans="1:7" s="617" customFormat="1" ht="12" customHeight="1" x14ac:dyDescent="0.2">
      <c r="A22" s="1134">
        <v>20041</v>
      </c>
      <c r="B22" s="616" t="s">
        <v>2326</v>
      </c>
      <c r="C22" s="614" t="s">
        <v>2153</v>
      </c>
      <c r="D22" s="1135">
        <v>1.24</v>
      </c>
      <c r="E22" s="1135">
        <v>6.03</v>
      </c>
      <c r="F22" s="1140">
        <v>157.27000000000001</v>
      </c>
      <c r="G22" s="1135">
        <v>15.53</v>
      </c>
    </row>
    <row r="23" spans="1:7" s="617" customFormat="1" ht="12" customHeight="1" x14ac:dyDescent="0.2">
      <c r="A23" s="1134">
        <v>20042</v>
      </c>
      <c r="B23" s="616" t="s">
        <v>2327</v>
      </c>
      <c r="C23" s="614" t="s">
        <v>2153</v>
      </c>
      <c r="D23" s="1135">
        <v>1.24</v>
      </c>
      <c r="E23" s="1135">
        <v>6.03</v>
      </c>
      <c r="F23" s="1140">
        <v>157.27000000000001</v>
      </c>
      <c r="G23" s="1135">
        <v>15.53</v>
      </c>
    </row>
    <row r="24" spans="1:7" s="617" customFormat="1" ht="12" customHeight="1" x14ac:dyDescent="0.2">
      <c r="A24" s="1134">
        <v>20056</v>
      </c>
      <c r="B24" s="616" t="s">
        <v>2328</v>
      </c>
      <c r="C24" s="614" t="s">
        <v>2153</v>
      </c>
      <c r="D24" s="1135">
        <v>1.24</v>
      </c>
      <c r="E24" s="1135">
        <v>6.03</v>
      </c>
      <c r="F24" s="1140">
        <v>157.27000000000001</v>
      </c>
      <c r="G24" s="1135">
        <v>15.53</v>
      </c>
    </row>
    <row r="25" spans="1:7" s="617" customFormat="1" ht="12" customHeight="1" x14ac:dyDescent="0.2">
      <c r="A25" s="1134">
        <v>20057</v>
      </c>
      <c r="B25" s="616" t="s">
        <v>2329</v>
      </c>
      <c r="C25" s="614" t="s">
        <v>2153</v>
      </c>
      <c r="D25" s="1135">
        <v>2.35</v>
      </c>
      <c r="E25" s="1135">
        <v>11.44</v>
      </c>
      <c r="F25" s="1140">
        <v>157.27000000000001</v>
      </c>
      <c r="G25" s="1135">
        <v>29.43</v>
      </c>
    </row>
    <row r="26" spans="1:7" s="617" customFormat="1" ht="12" customHeight="1" x14ac:dyDescent="0.2">
      <c r="A26" s="1134">
        <v>20058</v>
      </c>
      <c r="B26" s="616" t="s">
        <v>2330</v>
      </c>
      <c r="C26" s="614" t="s">
        <v>2153</v>
      </c>
      <c r="D26" s="1135">
        <v>2.35</v>
      </c>
      <c r="E26" s="1135">
        <v>11.44</v>
      </c>
      <c r="F26" s="1140">
        <v>157.27000000000001</v>
      </c>
      <c r="G26" s="1135">
        <v>29.43</v>
      </c>
    </row>
    <row r="27" spans="1:7" s="617" customFormat="1" ht="12" customHeight="1" x14ac:dyDescent="0.2">
      <c r="A27" s="1134">
        <v>20059</v>
      </c>
      <c r="B27" s="616" t="s">
        <v>2331</v>
      </c>
      <c r="C27" s="614" t="s">
        <v>2153</v>
      </c>
      <c r="D27" s="1135">
        <v>2.2599999999999998</v>
      </c>
      <c r="E27" s="1135">
        <v>11</v>
      </c>
      <c r="F27" s="1140">
        <v>157.27000000000001</v>
      </c>
      <c r="G27" s="1135">
        <v>28.31</v>
      </c>
    </row>
    <row r="28" spans="1:7" s="617" customFormat="1" ht="12" customHeight="1" x14ac:dyDescent="0.2">
      <c r="A28" s="1134">
        <v>20060</v>
      </c>
      <c r="B28" s="616" t="s">
        <v>2332</v>
      </c>
      <c r="C28" s="614" t="s">
        <v>2153</v>
      </c>
      <c r="D28" s="1135">
        <v>2.2599999999999998</v>
      </c>
      <c r="E28" s="1135">
        <v>11</v>
      </c>
      <c r="F28" s="1140">
        <v>157.27000000000001</v>
      </c>
      <c r="G28" s="1135">
        <v>28.31</v>
      </c>
    </row>
    <row r="29" spans="1:7" s="617" customFormat="1" ht="12" customHeight="1" x14ac:dyDescent="0.2">
      <c r="A29" s="1134">
        <v>20065</v>
      </c>
      <c r="B29" s="616" t="s">
        <v>2333</v>
      </c>
      <c r="C29" s="614" t="s">
        <v>2153</v>
      </c>
      <c r="D29" s="1135">
        <v>2.2599999999999998</v>
      </c>
      <c r="E29" s="1135">
        <v>11</v>
      </c>
      <c r="F29" s="1140">
        <v>157.27000000000001</v>
      </c>
      <c r="G29" s="1135">
        <v>28.31</v>
      </c>
    </row>
    <row r="30" spans="1:7" s="617" customFormat="1" ht="12" customHeight="1" x14ac:dyDescent="0.2">
      <c r="A30" s="1134">
        <v>20064</v>
      </c>
      <c r="B30" s="616" t="s">
        <v>2334</v>
      </c>
      <c r="C30" s="614" t="s">
        <v>2153</v>
      </c>
      <c r="D30" s="1135">
        <v>2.2599999999999998</v>
      </c>
      <c r="E30" s="1135">
        <v>11</v>
      </c>
      <c r="F30" s="1140">
        <v>157.27000000000001</v>
      </c>
      <c r="G30" s="1135">
        <v>28.31</v>
      </c>
    </row>
    <row r="31" spans="1:7" s="617" customFormat="1" ht="12" customHeight="1" x14ac:dyDescent="0.2">
      <c r="A31" s="1134">
        <v>20063</v>
      </c>
      <c r="B31" s="616" t="s">
        <v>2335</v>
      </c>
      <c r="C31" s="614" t="s">
        <v>2153</v>
      </c>
      <c r="D31" s="1135">
        <v>2.2599999999999998</v>
      </c>
      <c r="E31" s="1135">
        <v>11</v>
      </c>
      <c r="F31" s="1140">
        <v>157.27000000000001</v>
      </c>
      <c r="G31" s="1135">
        <v>28.31</v>
      </c>
    </row>
    <row r="32" spans="1:7" s="617" customFormat="1" ht="12" customHeight="1" x14ac:dyDescent="0.2">
      <c r="A32" s="1134">
        <v>20066</v>
      </c>
      <c r="B32" s="616" t="s">
        <v>2336</v>
      </c>
      <c r="C32" s="614" t="s">
        <v>2153</v>
      </c>
      <c r="D32" s="1135">
        <v>2.35</v>
      </c>
      <c r="E32" s="1135">
        <v>11.44</v>
      </c>
      <c r="F32" s="1140">
        <v>157.27000000000001</v>
      </c>
      <c r="G32" s="1135">
        <v>29.43</v>
      </c>
    </row>
    <row r="33" spans="1:7" s="617" customFormat="1" ht="12" customHeight="1" x14ac:dyDescent="0.2">
      <c r="A33" s="1134">
        <v>20067</v>
      </c>
      <c r="B33" s="616" t="s">
        <v>2337</v>
      </c>
      <c r="C33" s="614" t="s">
        <v>2153</v>
      </c>
      <c r="D33" s="1135">
        <v>2.35</v>
      </c>
      <c r="E33" s="1135">
        <v>11.44</v>
      </c>
      <c r="F33" s="1140">
        <v>157.27000000000001</v>
      </c>
      <c r="G33" s="1135">
        <v>29.43</v>
      </c>
    </row>
    <row r="34" spans="1:7" s="617" customFormat="1" ht="12" customHeight="1" x14ac:dyDescent="0.2">
      <c r="A34" s="1134">
        <v>20068</v>
      </c>
      <c r="B34" s="616" t="s">
        <v>2338</v>
      </c>
      <c r="C34" s="614" t="s">
        <v>2153</v>
      </c>
      <c r="D34" s="1135">
        <v>2.35</v>
      </c>
      <c r="E34" s="1135">
        <v>11.44</v>
      </c>
      <c r="F34" s="1140">
        <v>157.27000000000001</v>
      </c>
      <c r="G34" s="1135">
        <v>29.43</v>
      </c>
    </row>
    <row r="35" spans="1:7" s="617" customFormat="1" ht="12" customHeight="1" x14ac:dyDescent="0.2">
      <c r="A35" s="1134">
        <v>99301</v>
      </c>
      <c r="B35" s="616" t="s">
        <v>2339</v>
      </c>
      <c r="C35" s="614" t="s">
        <v>2153</v>
      </c>
      <c r="D35" s="1135">
        <v>2.2599999999999998</v>
      </c>
      <c r="E35" s="1135">
        <v>11</v>
      </c>
      <c r="F35" s="1140">
        <v>157.27000000000001</v>
      </c>
      <c r="G35" s="1135">
        <v>28.31</v>
      </c>
    </row>
    <row r="36" spans="1:7" s="617" customFormat="1" ht="12" customHeight="1" x14ac:dyDescent="0.2">
      <c r="A36" s="1134">
        <v>20062</v>
      </c>
      <c r="B36" s="616" t="s">
        <v>2340</v>
      </c>
      <c r="C36" s="614" t="s">
        <v>2153</v>
      </c>
      <c r="D36" s="1135">
        <v>2.2599999999999998</v>
      </c>
      <c r="E36" s="1135">
        <v>11</v>
      </c>
      <c r="F36" s="1140">
        <v>157.27000000000001</v>
      </c>
      <c r="G36" s="1135">
        <v>28.31</v>
      </c>
    </row>
    <row r="37" spans="1:7" s="617" customFormat="1" ht="12" customHeight="1" x14ac:dyDescent="0.2">
      <c r="A37" s="1134">
        <v>20081</v>
      </c>
      <c r="B37" s="616" t="s">
        <v>2341</v>
      </c>
      <c r="C37" s="614" t="s">
        <v>2153</v>
      </c>
      <c r="D37" s="1135">
        <v>1.65</v>
      </c>
      <c r="E37" s="1135">
        <v>8.0299999999999994</v>
      </c>
      <c r="F37" s="1140">
        <v>157.27000000000001</v>
      </c>
      <c r="G37" s="1135">
        <v>20.66</v>
      </c>
    </row>
    <row r="38" spans="1:7" s="617" customFormat="1" ht="12" customHeight="1" x14ac:dyDescent="0.2">
      <c r="A38" s="1134">
        <v>20087</v>
      </c>
      <c r="B38" s="616" t="s">
        <v>2342</v>
      </c>
      <c r="C38" s="614" t="s">
        <v>2153</v>
      </c>
      <c r="D38" s="1135">
        <v>2.2599999999999998</v>
      </c>
      <c r="E38" s="1135">
        <v>11</v>
      </c>
      <c r="F38" s="1140">
        <v>157.27000000000001</v>
      </c>
      <c r="G38" s="1135">
        <v>28.31</v>
      </c>
    </row>
    <row r="39" spans="1:7" s="617" customFormat="1" ht="12" customHeight="1" x14ac:dyDescent="0.2">
      <c r="A39" s="1134">
        <v>20088</v>
      </c>
      <c r="B39" s="616" t="s">
        <v>2343</v>
      </c>
      <c r="C39" s="614" t="s">
        <v>2153</v>
      </c>
      <c r="D39" s="1135">
        <v>1.24</v>
      </c>
      <c r="E39" s="1135">
        <v>6.03</v>
      </c>
      <c r="F39" s="1140">
        <v>157.27000000000001</v>
      </c>
      <c r="G39" s="1135">
        <v>15.53</v>
      </c>
    </row>
    <row r="40" spans="1:7" s="617" customFormat="1" ht="12" customHeight="1" x14ac:dyDescent="0.2">
      <c r="A40" s="1134">
        <v>20157</v>
      </c>
      <c r="B40" s="616" t="s">
        <v>2344</v>
      </c>
      <c r="C40" s="614" t="s">
        <v>2153</v>
      </c>
      <c r="D40" s="1135">
        <v>5</v>
      </c>
      <c r="E40" s="1135">
        <v>24.34</v>
      </c>
      <c r="F40" s="1140">
        <v>157.27000000000001</v>
      </c>
      <c r="G40" s="1135">
        <v>62.63</v>
      </c>
    </row>
    <row r="41" spans="1:7" s="617" customFormat="1" ht="12" customHeight="1" x14ac:dyDescent="0.2">
      <c r="A41" s="1134">
        <v>20092</v>
      </c>
      <c r="B41" s="616" t="s">
        <v>2345</v>
      </c>
      <c r="C41" s="614" t="s">
        <v>2153</v>
      </c>
      <c r="D41" s="1135">
        <v>1.24</v>
      </c>
      <c r="E41" s="1135">
        <v>6.03</v>
      </c>
      <c r="F41" s="1140">
        <v>157.27000000000001</v>
      </c>
      <c r="G41" s="1135">
        <v>15.53</v>
      </c>
    </row>
    <row r="42" spans="1:7" s="617" customFormat="1" ht="12" customHeight="1" x14ac:dyDescent="0.2">
      <c r="A42" s="1134">
        <v>20093</v>
      </c>
      <c r="B42" s="616" t="s">
        <v>2346</v>
      </c>
      <c r="C42" s="614" t="s">
        <v>2153</v>
      </c>
      <c r="D42" s="1135">
        <v>1.24</v>
      </c>
      <c r="E42" s="1135">
        <v>6.03</v>
      </c>
      <c r="F42" s="1140">
        <v>157.27000000000001</v>
      </c>
      <c r="G42" s="1135">
        <v>15.53</v>
      </c>
    </row>
    <row r="43" spans="1:7" s="617" customFormat="1" ht="12" customHeight="1" x14ac:dyDescent="0.2">
      <c r="A43" s="1134">
        <v>20095</v>
      </c>
      <c r="B43" s="616" t="s">
        <v>2347</v>
      </c>
      <c r="C43" s="614" t="s">
        <v>2153</v>
      </c>
      <c r="D43" s="1135">
        <v>1.24</v>
      </c>
      <c r="E43" s="1135">
        <v>6.03</v>
      </c>
      <c r="F43" s="1140">
        <v>157.27000000000001</v>
      </c>
      <c r="G43" s="1135">
        <v>15.53</v>
      </c>
    </row>
    <row r="44" spans="1:7" s="617" customFormat="1" ht="12" customHeight="1" x14ac:dyDescent="0.2">
      <c r="A44" s="1134">
        <v>20096</v>
      </c>
      <c r="B44" s="616" t="s">
        <v>2348</v>
      </c>
      <c r="C44" s="614" t="s">
        <v>2153</v>
      </c>
      <c r="D44" s="1135">
        <v>1.96</v>
      </c>
      <c r="E44" s="1135">
        <v>9.5399999999999991</v>
      </c>
      <c r="F44" s="1140">
        <v>157.27000000000001</v>
      </c>
      <c r="G44" s="1135">
        <v>24.55</v>
      </c>
    </row>
    <row r="45" spans="1:7" s="617" customFormat="1" ht="12" customHeight="1" x14ac:dyDescent="0.2">
      <c r="A45" s="1134">
        <v>20097</v>
      </c>
      <c r="B45" s="616" t="s">
        <v>2349</v>
      </c>
      <c r="C45" s="614" t="s">
        <v>2153</v>
      </c>
      <c r="D45" s="1135">
        <v>2</v>
      </c>
      <c r="E45" s="1135">
        <v>9.73</v>
      </c>
      <c r="F45" s="1140">
        <v>157.27000000000001</v>
      </c>
      <c r="G45" s="1135">
        <v>25.05</v>
      </c>
    </row>
    <row r="46" spans="1:7" s="617" customFormat="1" ht="12" customHeight="1" x14ac:dyDescent="0.2">
      <c r="A46" s="1134">
        <v>20099</v>
      </c>
      <c r="B46" s="616" t="s">
        <v>2350</v>
      </c>
      <c r="C46" s="614" t="s">
        <v>2153</v>
      </c>
      <c r="D46" s="1135">
        <v>1.65</v>
      </c>
      <c r="E46" s="1135">
        <v>8.0299999999999994</v>
      </c>
      <c r="F46" s="1140">
        <v>157.27000000000001</v>
      </c>
      <c r="G46" s="1135">
        <v>20.66</v>
      </c>
    </row>
    <row r="47" spans="1:7" s="617" customFormat="1" ht="12" customHeight="1" x14ac:dyDescent="0.2">
      <c r="A47" s="1134">
        <v>20100</v>
      </c>
      <c r="B47" s="616" t="s">
        <v>2351</v>
      </c>
      <c r="C47" s="614" t="s">
        <v>2153</v>
      </c>
      <c r="D47" s="1135">
        <v>1.65</v>
      </c>
      <c r="E47" s="1135">
        <v>8.0299999999999994</v>
      </c>
      <c r="F47" s="1140">
        <v>157.27000000000001</v>
      </c>
      <c r="G47" s="1135">
        <v>20.66</v>
      </c>
    </row>
    <row r="48" spans="1:7" s="617" customFormat="1" ht="12" customHeight="1" x14ac:dyDescent="0.2">
      <c r="A48" s="1134">
        <v>20101</v>
      </c>
      <c r="B48" s="616" t="s">
        <v>2352</v>
      </c>
      <c r="C48" s="614" t="s">
        <v>2153</v>
      </c>
      <c r="D48" s="1135">
        <v>1.55</v>
      </c>
      <c r="E48" s="1135">
        <v>7.54</v>
      </c>
      <c r="F48" s="1140">
        <v>157.27000000000001</v>
      </c>
      <c r="G48" s="1135">
        <v>19.41</v>
      </c>
    </row>
    <row r="49" spans="1:7" s="617" customFormat="1" ht="12" customHeight="1" x14ac:dyDescent="0.2">
      <c r="A49" s="1134">
        <v>20102</v>
      </c>
      <c r="B49" s="616" t="s">
        <v>2353</v>
      </c>
      <c r="C49" s="614" t="s">
        <v>2153</v>
      </c>
      <c r="D49" s="1135">
        <v>1.96</v>
      </c>
      <c r="E49" s="1135">
        <v>9.5399999999999991</v>
      </c>
      <c r="F49" s="1140">
        <v>157.27000000000001</v>
      </c>
      <c r="G49" s="1135">
        <v>24.55</v>
      </c>
    </row>
    <row r="50" spans="1:7" s="617" customFormat="1" ht="12" customHeight="1" x14ac:dyDescent="0.2">
      <c r="A50" s="1134">
        <v>20103</v>
      </c>
      <c r="B50" s="616" t="s">
        <v>2354</v>
      </c>
      <c r="C50" s="614" t="s">
        <v>2153</v>
      </c>
      <c r="D50" s="1135">
        <v>1.55</v>
      </c>
      <c r="E50" s="1135">
        <v>7.54</v>
      </c>
      <c r="F50" s="1140">
        <v>157.27000000000001</v>
      </c>
      <c r="G50" s="1135">
        <v>19.41</v>
      </c>
    </row>
    <row r="51" spans="1:7" s="617" customFormat="1" ht="12" customHeight="1" x14ac:dyDescent="0.2">
      <c r="A51" s="1134">
        <v>20104</v>
      </c>
      <c r="B51" s="616" t="s">
        <v>2355</v>
      </c>
      <c r="C51" s="614" t="s">
        <v>2153</v>
      </c>
      <c r="D51" s="1135">
        <v>1.96</v>
      </c>
      <c r="E51" s="1135">
        <v>9.5399999999999991</v>
      </c>
      <c r="F51" s="1140">
        <v>157.27000000000001</v>
      </c>
      <c r="G51" s="1135">
        <v>24.55</v>
      </c>
    </row>
    <row r="52" spans="1:7" s="617" customFormat="1" ht="12" customHeight="1" x14ac:dyDescent="0.2">
      <c r="A52" s="1134">
        <v>20173</v>
      </c>
      <c r="B52" s="616" t="s">
        <v>2356</v>
      </c>
      <c r="C52" s="614" t="s">
        <v>2153</v>
      </c>
      <c r="D52" s="1135">
        <v>1.24</v>
      </c>
      <c r="E52" s="1135">
        <v>6.03</v>
      </c>
      <c r="F52" s="1140">
        <v>157.27000000000001</v>
      </c>
      <c r="G52" s="1135">
        <v>15.53</v>
      </c>
    </row>
    <row r="53" spans="1:7" s="617" customFormat="1" ht="12" customHeight="1" x14ac:dyDescent="0.2">
      <c r="A53" s="1134">
        <v>20106</v>
      </c>
      <c r="B53" s="616" t="s">
        <v>2357</v>
      </c>
      <c r="C53" s="614" t="s">
        <v>2153</v>
      </c>
      <c r="D53" s="1135">
        <v>1.96</v>
      </c>
      <c r="E53" s="1135">
        <v>9.5399999999999991</v>
      </c>
      <c r="F53" s="1140">
        <v>157.27000000000001</v>
      </c>
      <c r="G53" s="1135">
        <v>24.55</v>
      </c>
    </row>
    <row r="54" spans="1:7" s="617" customFormat="1" ht="12" customHeight="1" x14ac:dyDescent="0.2">
      <c r="A54" s="1134">
        <v>20107</v>
      </c>
      <c r="B54" s="616" t="s">
        <v>2358</v>
      </c>
      <c r="C54" s="614" t="s">
        <v>2153</v>
      </c>
      <c r="D54" s="1135">
        <v>1.02</v>
      </c>
      <c r="E54" s="1135">
        <v>4.96</v>
      </c>
      <c r="F54" s="1140">
        <v>157.27000000000001</v>
      </c>
      <c r="G54" s="1135">
        <v>12.77</v>
      </c>
    </row>
    <row r="55" spans="1:7" s="617" customFormat="1" ht="12" customHeight="1" x14ac:dyDescent="0.2">
      <c r="A55" s="1134">
        <v>20108</v>
      </c>
      <c r="B55" s="616" t="s">
        <v>2359</v>
      </c>
      <c r="C55" s="614" t="s">
        <v>2153</v>
      </c>
      <c r="D55" s="1135">
        <v>1.55</v>
      </c>
      <c r="E55" s="1135">
        <v>7.54</v>
      </c>
      <c r="F55" s="1140">
        <v>157.27000000000001</v>
      </c>
      <c r="G55" s="1135">
        <v>19.41</v>
      </c>
    </row>
    <row r="56" spans="1:7" s="617" customFormat="1" ht="12" customHeight="1" x14ac:dyDescent="0.2">
      <c r="A56" s="1134">
        <v>20109</v>
      </c>
      <c r="B56" s="616" t="s">
        <v>2360</v>
      </c>
      <c r="C56" s="614" t="s">
        <v>2153</v>
      </c>
      <c r="D56" s="1135">
        <v>1.24</v>
      </c>
      <c r="E56" s="1135">
        <v>6.03</v>
      </c>
      <c r="F56" s="1140">
        <v>157.27000000000001</v>
      </c>
      <c r="G56" s="1135">
        <v>15.53</v>
      </c>
    </row>
    <row r="57" spans="1:7" s="617" customFormat="1" ht="12" customHeight="1" x14ac:dyDescent="0.2">
      <c r="A57" s="1134">
        <v>20110</v>
      </c>
      <c r="B57" s="616" t="s">
        <v>2361</v>
      </c>
      <c r="C57" s="614" t="s">
        <v>2153</v>
      </c>
      <c r="D57" s="1135">
        <v>1.65</v>
      </c>
      <c r="E57" s="1135">
        <v>8.0299999999999994</v>
      </c>
      <c r="F57" s="1140">
        <v>157.27000000000001</v>
      </c>
      <c r="G57" s="1135">
        <v>20.66</v>
      </c>
    </row>
    <row r="58" spans="1:7" s="617" customFormat="1" ht="12" customHeight="1" x14ac:dyDescent="0.2">
      <c r="A58" s="1134">
        <v>20111</v>
      </c>
      <c r="B58" s="616" t="s">
        <v>2362</v>
      </c>
      <c r="C58" s="614" t="s">
        <v>2153</v>
      </c>
      <c r="D58" s="1135">
        <v>1.24</v>
      </c>
      <c r="E58" s="1135">
        <v>6.03</v>
      </c>
      <c r="F58" s="1140">
        <v>157.27000000000001</v>
      </c>
      <c r="G58" s="1135">
        <v>15.53</v>
      </c>
    </row>
    <row r="59" spans="1:7" s="617" customFormat="1" ht="12" customHeight="1" x14ac:dyDescent="0.2">
      <c r="A59" s="1134">
        <v>20112</v>
      </c>
      <c r="B59" s="616" t="s">
        <v>2363</v>
      </c>
      <c r="C59" s="614" t="s">
        <v>2153</v>
      </c>
      <c r="D59" s="1135">
        <v>1.24</v>
      </c>
      <c r="E59" s="1135">
        <v>6.03</v>
      </c>
      <c r="F59" s="1140">
        <v>157.27000000000001</v>
      </c>
      <c r="G59" s="1135">
        <v>15.53</v>
      </c>
    </row>
    <row r="60" spans="1:7" s="617" customFormat="1" ht="12" customHeight="1" x14ac:dyDescent="0.2">
      <c r="A60" s="1134">
        <v>20156</v>
      </c>
      <c r="B60" s="616" t="s">
        <v>2364</v>
      </c>
      <c r="C60" s="614" t="s">
        <v>2153</v>
      </c>
      <c r="D60" s="1135">
        <v>1.24</v>
      </c>
      <c r="E60" s="1135">
        <v>6.03</v>
      </c>
      <c r="F60" s="1140">
        <v>157.27000000000001</v>
      </c>
      <c r="G60" s="1135">
        <v>15.53</v>
      </c>
    </row>
    <row r="61" spans="1:7" s="617" customFormat="1" ht="12" customHeight="1" x14ac:dyDescent="0.2">
      <c r="A61" s="1134">
        <v>20115</v>
      </c>
      <c r="B61" s="616" t="s">
        <v>2365</v>
      </c>
      <c r="C61" s="614" t="s">
        <v>2153</v>
      </c>
      <c r="D61" s="1135">
        <v>1.65</v>
      </c>
      <c r="E61" s="1135">
        <v>8.0299999999999994</v>
      </c>
      <c r="F61" s="1140">
        <v>157.27000000000001</v>
      </c>
      <c r="G61" s="1135">
        <v>20.66</v>
      </c>
    </row>
    <row r="62" spans="1:7" s="617" customFormat="1" ht="12" customHeight="1" x14ac:dyDescent="0.2">
      <c r="A62" s="1134">
        <v>20002</v>
      </c>
      <c r="B62" s="616" t="s">
        <v>2366</v>
      </c>
      <c r="C62" s="614" t="s">
        <v>2153</v>
      </c>
      <c r="D62" s="1135">
        <v>1</v>
      </c>
      <c r="E62" s="1135">
        <v>4.8600000000000003</v>
      </c>
      <c r="F62" s="1140">
        <v>157.27000000000001</v>
      </c>
      <c r="G62" s="1135">
        <v>12.52</v>
      </c>
    </row>
    <row r="63" spans="1:7" s="617" customFormat="1" ht="12" customHeight="1" x14ac:dyDescent="0.2">
      <c r="A63" s="1134">
        <v>20003</v>
      </c>
      <c r="B63" s="616" t="s">
        <v>2367</v>
      </c>
      <c r="C63" s="614" t="s">
        <v>2153</v>
      </c>
      <c r="D63" s="1135">
        <v>1</v>
      </c>
      <c r="E63" s="1135">
        <v>4.8600000000000003</v>
      </c>
      <c r="F63" s="1140">
        <v>157.27000000000001</v>
      </c>
      <c r="G63" s="1135">
        <v>12.52</v>
      </c>
    </row>
    <row r="64" spans="1:7" s="617" customFormat="1" ht="12" customHeight="1" x14ac:dyDescent="0.2">
      <c r="A64" s="1134">
        <v>20004</v>
      </c>
      <c r="B64" s="616" t="s">
        <v>2368</v>
      </c>
      <c r="C64" s="614" t="s">
        <v>2153</v>
      </c>
      <c r="D64" s="1135">
        <v>1</v>
      </c>
      <c r="E64" s="1135">
        <v>4.8600000000000003</v>
      </c>
      <c r="F64" s="1140">
        <v>157.27000000000001</v>
      </c>
      <c r="G64" s="1135">
        <v>12.52</v>
      </c>
    </row>
    <row r="65" spans="1:7" s="617" customFormat="1" ht="12" customHeight="1" x14ac:dyDescent="0.2">
      <c r="A65" s="1134">
        <v>20005</v>
      </c>
      <c r="B65" s="616" t="s">
        <v>2369</v>
      </c>
      <c r="C65" s="614" t="s">
        <v>2153</v>
      </c>
      <c r="D65" s="1135">
        <v>1.96</v>
      </c>
      <c r="E65" s="1135">
        <v>9.5399999999999991</v>
      </c>
      <c r="F65" s="1140">
        <v>157.27000000000001</v>
      </c>
      <c r="G65" s="1135">
        <v>24.55</v>
      </c>
    </row>
    <row r="66" spans="1:7" s="617" customFormat="1" ht="12" customHeight="1" x14ac:dyDescent="0.2">
      <c r="A66" s="1134">
        <v>20006</v>
      </c>
      <c r="B66" s="616" t="s">
        <v>2370</v>
      </c>
      <c r="C66" s="614" t="s">
        <v>2153</v>
      </c>
      <c r="D66" s="1135">
        <v>1.96</v>
      </c>
      <c r="E66" s="1135">
        <v>9.5399999999999991</v>
      </c>
      <c r="F66" s="1140">
        <v>157.27000000000001</v>
      </c>
      <c r="G66" s="1135">
        <v>24.55</v>
      </c>
    </row>
    <row r="67" spans="1:7" s="617" customFormat="1" ht="12" customHeight="1" x14ac:dyDescent="0.2">
      <c r="A67" s="1134">
        <v>20117</v>
      </c>
      <c r="B67" s="616" t="s">
        <v>2371</v>
      </c>
      <c r="C67" s="614" t="s">
        <v>2153</v>
      </c>
      <c r="D67" s="1135">
        <v>5.14</v>
      </c>
      <c r="E67" s="1135">
        <v>25.02</v>
      </c>
      <c r="F67" s="1140">
        <v>157.27000000000001</v>
      </c>
      <c r="G67" s="1135">
        <v>64.38</v>
      </c>
    </row>
    <row r="68" spans="1:7" s="617" customFormat="1" ht="12" customHeight="1" x14ac:dyDescent="0.2">
      <c r="A68" s="1134">
        <v>20017</v>
      </c>
      <c r="B68" s="616" t="s">
        <v>2372</v>
      </c>
      <c r="C68" s="614" t="s">
        <v>2153</v>
      </c>
      <c r="D68" s="1135">
        <v>1.65</v>
      </c>
      <c r="E68" s="1135">
        <v>8.0299999999999994</v>
      </c>
      <c r="F68" s="1140">
        <v>157.27000000000001</v>
      </c>
      <c r="G68" s="1135">
        <v>20.66</v>
      </c>
    </row>
    <row r="69" spans="1:7" s="617" customFormat="1" ht="12" customHeight="1" x14ac:dyDescent="0.2">
      <c r="A69" s="1134">
        <v>20018</v>
      </c>
      <c r="B69" s="616" t="s">
        <v>2373</v>
      </c>
      <c r="C69" s="614" t="s">
        <v>2153</v>
      </c>
      <c r="D69" s="1135">
        <v>1.65</v>
      </c>
      <c r="E69" s="1135">
        <v>8.0299999999999994</v>
      </c>
      <c r="F69" s="1140">
        <v>157.27000000000001</v>
      </c>
      <c r="G69" s="1135">
        <v>20.66</v>
      </c>
    </row>
    <row r="70" spans="1:7" s="617" customFormat="1" ht="12" customHeight="1" x14ac:dyDescent="0.2">
      <c r="A70" s="1134">
        <v>20019</v>
      </c>
      <c r="B70" s="616" t="s">
        <v>2374</v>
      </c>
      <c r="C70" s="614" t="s">
        <v>2153</v>
      </c>
      <c r="D70" s="1135">
        <v>1</v>
      </c>
      <c r="E70" s="1135">
        <v>4.8600000000000003</v>
      </c>
      <c r="F70" s="1140">
        <v>157.27000000000001</v>
      </c>
      <c r="G70" s="1135">
        <v>12.52</v>
      </c>
    </row>
    <row r="71" spans="1:7" ht="14.25" x14ac:dyDescent="0.2">
      <c r="A71" s="1136"/>
      <c r="B71" s="962" t="s">
        <v>390</v>
      </c>
      <c r="C71" s="963"/>
      <c r="D71" s="963"/>
      <c r="E71" s="963"/>
      <c r="F71" s="963"/>
      <c r="G71" s="964"/>
    </row>
    <row r="72" spans="1:7" ht="14.25" x14ac:dyDescent="0.2">
      <c r="A72" s="1134">
        <v>20028</v>
      </c>
      <c r="B72" s="616" t="s">
        <v>2375</v>
      </c>
      <c r="C72" s="616" t="s">
        <v>1306</v>
      </c>
      <c r="D72" s="1144"/>
      <c r="E72" s="1137">
        <v>6044.25</v>
      </c>
      <c r="F72" s="1140">
        <v>84.04</v>
      </c>
      <c r="G72" s="1137">
        <v>11123.83</v>
      </c>
    </row>
    <row r="73" spans="1:7" ht="14.25" x14ac:dyDescent="0.2">
      <c r="A73" s="1134">
        <v>20105</v>
      </c>
      <c r="B73" s="616" t="s">
        <v>2376</v>
      </c>
      <c r="C73" s="616" t="s">
        <v>1306</v>
      </c>
      <c r="D73" s="1144"/>
      <c r="E73" s="1137">
        <v>3812.88</v>
      </c>
      <c r="F73" s="1140">
        <v>84.04</v>
      </c>
      <c r="G73" s="1137">
        <v>7017.22</v>
      </c>
    </row>
    <row r="74" spans="1:7" ht="14.25" x14ac:dyDescent="0.2">
      <c r="A74" s="1134">
        <v>20001</v>
      </c>
      <c r="B74" s="616" t="s">
        <v>2377</v>
      </c>
      <c r="C74" s="616" t="s">
        <v>1306</v>
      </c>
      <c r="D74" s="1144"/>
      <c r="E74" s="1137">
        <v>9040.01</v>
      </c>
      <c r="F74" s="1140">
        <v>84.04</v>
      </c>
      <c r="G74" s="1137">
        <v>16637.23</v>
      </c>
    </row>
    <row r="75" spans="1:7" s="617" customFormat="1" ht="10.15" customHeight="1" x14ac:dyDescent="0.2">
      <c r="A75" s="1133" t="s">
        <v>711</v>
      </c>
      <c r="B75" s="1133" t="s">
        <v>2303</v>
      </c>
      <c r="C75" s="1133" t="s">
        <v>713</v>
      </c>
      <c r="D75" s="1133" t="s">
        <v>2304</v>
      </c>
      <c r="E75" s="1133" t="s">
        <v>2305</v>
      </c>
      <c r="F75" s="1133" t="s">
        <v>2306</v>
      </c>
      <c r="G75" s="1133" t="s">
        <v>2307</v>
      </c>
    </row>
    <row r="76" spans="1:7" s="617" customFormat="1" ht="10.15" customHeight="1" x14ac:dyDescent="0.2">
      <c r="A76" s="1134">
        <v>103585</v>
      </c>
      <c r="B76" s="616" t="s">
        <v>2378</v>
      </c>
      <c r="C76" s="616" t="s">
        <v>1306</v>
      </c>
      <c r="D76" s="1144"/>
      <c r="E76" s="1137">
        <v>3812.01</v>
      </c>
      <c r="F76" s="1140">
        <v>84.04</v>
      </c>
      <c r="G76" s="1137">
        <v>7015.62</v>
      </c>
    </row>
    <row r="77" spans="1:7" s="617" customFormat="1" ht="10.15" customHeight="1" x14ac:dyDescent="0.2">
      <c r="A77" s="1134">
        <v>103584</v>
      </c>
      <c r="B77" s="616" t="s">
        <v>2379</v>
      </c>
      <c r="C77" s="616" t="s">
        <v>1306</v>
      </c>
      <c r="D77" s="1144"/>
      <c r="E77" s="1137">
        <v>5473.5</v>
      </c>
      <c r="F77" s="1140">
        <v>84.04</v>
      </c>
      <c r="G77" s="1137">
        <v>10073.42</v>
      </c>
    </row>
    <row r="78" spans="1:7" s="617" customFormat="1" ht="10.15" customHeight="1" x14ac:dyDescent="0.2">
      <c r="A78" s="1134">
        <v>20021</v>
      </c>
      <c r="B78" s="616" t="s">
        <v>2380</v>
      </c>
      <c r="C78" s="616" t="s">
        <v>1306</v>
      </c>
      <c r="D78" s="1144"/>
      <c r="E78" s="1137">
        <v>1565.97</v>
      </c>
      <c r="F78" s="1140">
        <v>84.04</v>
      </c>
      <c r="G78" s="1137">
        <v>2882.01</v>
      </c>
    </row>
    <row r="79" spans="1:7" s="617" customFormat="1" ht="10.15" customHeight="1" x14ac:dyDescent="0.2">
      <c r="A79" s="1134">
        <v>20024</v>
      </c>
      <c r="B79" s="616" t="s">
        <v>2381</v>
      </c>
      <c r="C79" s="616" t="s">
        <v>1306</v>
      </c>
      <c r="D79" s="1144"/>
      <c r="E79" s="1137">
        <v>4464.72</v>
      </c>
      <c r="F79" s="1140">
        <v>84.04</v>
      </c>
      <c r="G79" s="1137">
        <v>8216.8700000000008</v>
      </c>
    </row>
    <row r="80" spans="1:7" s="617" customFormat="1" ht="10.15" customHeight="1" x14ac:dyDescent="0.2">
      <c r="A80" s="1134">
        <v>20025</v>
      </c>
      <c r="B80" s="616" t="s">
        <v>2382</v>
      </c>
      <c r="C80" s="616" t="s">
        <v>1306</v>
      </c>
      <c r="D80" s="1144"/>
      <c r="E80" s="1137">
        <v>1565.97</v>
      </c>
      <c r="F80" s="1140">
        <v>84.04</v>
      </c>
      <c r="G80" s="1137">
        <v>2882.01</v>
      </c>
    </row>
    <row r="81" spans="1:7" s="617" customFormat="1" ht="10.15" customHeight="1" x14ac:dyDescent="0.2">
      <c r="A81" s="1134">
        <v>20026</v>
      </c>
      <c r="B81" s="616" t="s">
        <v>2383</v>
      </c>
      <c r="C81" s="616" t="s">
        <v>1306</v>
      </c>
      <c r="D81" s="1144"/>
      <c r="E81" s="1137">
        <v>1472.92</v>
      </c>
      <c r="F81" s="1140">
        <v>84.04</v>
      </c>
      <c r="G81" s="1137">
        <v>2710.76</v>
      </c>
    </row>
    <row r="82" spans="1:7" s="617" customFormat="1" ht="10.15" customHeight="1" x14ac:dyDescent="0.2">
      <c r="A82" s="1134">
        <v>100387</v>
      </c>
      <c r="B82" s="616" t="s">
        <v>2384</v>
      </c>
      <c r="C82" s="616" t="s">
        <v>1306</v>
      </c>
      <c r="D82" s="1144"/>
      <c r="E82" s="1137">
        <v>1255.6500000000001</v>
      </c>
      <c r="F82" s="1140">
        <v>84.04</v>
      </c>
      <c r="G82" s="1137">
        <v>2310.89</v>
      </c>
    </row>
    <row r="83" spans="1:7" s="617" customFormat="1" ht="10.15" customHeight="1" x14ac:dyDescent="0.2">
      <c r="A83" s="1134">
        <v>20029</v>
      </c>
      <c r="B83" s="616" t="s">
        <v>2385</v>
      </c>
      <c r="C83" s="616" t="s">
        <v>1306</v>
      </c>
      <c r="D83" s="1144"/>
      <c r="E83" s="1137">
        <v>1255.6500000000001</v>
      </c>
      <c r="F83" s="1140">
        <v>84.04</v>
      </c>
      <c r="G83" s="1137">
        <v>2310.89</v>
      </c>
    </row>
    <row r="84" spans="1:7" s="617" customFormat="1" ht="10.15" customHeight="1" x14ac:dyDescent="0.2">
      <c r="A84" s="1134">
        <v>20031</v>
      </c>
      <c r="B84" s="616" t="s">
        <v>2386</v>
      </c>
      <c r="C84" s="616" t="s">
        <v>1306</v>
      </c>
      <c r="D84" s="1144"/>
      <c r="E84" s="1137">
        <v>1815.86</v>
      </c>
      <c r="F84" s="1140">
        <v>84.04</v>
      </c>
      <c r="G84" s="1137">
        <v>3341.9</v>
      </c>
    </row>
    <row r="85" spans="1:7" s="617" customFormat="1" ht="10.15" customHeight="1" x14ac:dyDescent="0.2">
      <c r="A85" s="1134">
        <v>103587</v>
      </c>
      <c r="B85" s="616" t="s">
        <v>2387</v>
      </c>
      <c r="C85" s="616" t="s">
        <v>1306</v>
      </c>
      <c r="D85" s="1144"/>
      <c r="E85" s="1137">
        <v>3895.57</v>
      </c>
      <c r="F85" s="1140">
        <v>84.04</v>
      </c>
      <c r="G85" s="1137">
        <v>7169.4</v>
      </c>
    </row>
    <row r="86" spans="1:7" s="617" customFormat="1" ht="10.15" customHeight="1" x14ac:dyDescent="0.2">
      <c r="A86" s="1134">
        <v>20044</v>
      </c>
      <c r="B86" s="616" t="s">
        <v>2388</v>
      </c>
      <c r="C86" s="616" t="s">
        <v>1306</v>
      </c>
      <c r="D86" s="1144"/>
      <c r="E86" s="1137">
        <v>5270.16</v>
      </c>
      <c r="F86" s="1140">
        <v>84.04</v>
      </c>
      <c r="G86" s="1137">
        <v>9699.2000000000007</v>
      </c>
    </row>
    <row r="87" spans="1:7" s="617" customFormat="1" ht="10.15" customHeight="1" x14ac:dyDescent="0.2">
      <c r="A87" s="1134">
        <v>20048</v>
      </c>
      <c r="B87" s="616" t="s">
        <v>2389</v>
      </c>
      <c r="C87" s="616" t="s">
        <v>1306</v>
      </c>
      <c r="D87" s="1144"/>
      <c r="E87" s="1137">
        <v>3101.85</v>
      </c>
      <c r="F87" s="1140">
        <v>84.04</v>
      </c>
      <c r="G87" s="1137">
        <v>5708.64</v>
      </c>
    </row>
    <row r="88" spans="1:7" s="617" customFormat="1" ht="10.15" customHeight="1" x14ac:dyDescent="0.2">
      <c r="A88" s="1134">
        <v>20051</v>
      </c>
      <c r="B88" s="616" t="s">
        <v>2390</v>
      </c>
      <c r="C88" s="616" t="s">
        <v>1306</v>
      </c>
      <c r="D88" s="1144"/>
      <c r="E88" s="1137">
        <v>7740.37</v>
      </c>
      <c r="F88" s="1140">
        <v>84.04</v>
      </c>
      <c r="G88" s="1137">
        <v>14245.37</v>
      </c>
    </row>
    <row r="89" spans="1:7" s="617" customFormat="1" ht="10.15" customHeight="1" x14ac:dyDescent="0.2">
      <c r="A89" s="1134">
        <v>20052</v>
      </c>
      <c r="B89" s="616" t="s">
        <v>2391</v>
      </c>
      <c r="C89" s="616" t="s">
        <v>1306</v>
      </c>
      <c r="D89" s="1144"/>
      <c r="E89" s="1137">
        <v>1815.86</v>
      </c>
      <c r="F89" s="1140">
        <v>84.04</v>
      </c>
      <c r="G89" s="1137">
        <v>3341.9</v>
      </c>
    </row>
    <row r="90" spans="1:7" s="617" customFormat="1" ht="10.15" customHeight="1" x14ac:dyDescent="0.2">
      <c r="A90" s="1134">
        <v>20054</v>
      </c>
      <c r="B90" s="616" t="s">
        <v>2392</v>
      </c>
      <c r="C90" s="616" t="s">
        <v>1306</v>
      </c>
      <c r="D90" s="1144"/>
      <c r="E90" s="1137">
        <v>6237.65</v>
      </c>
      <c r="F90" s="1140">
        <v>84.04</v>
      </c>
      <c r="G90" s="1137">
        <v>11479.77</v>
      </c>
    </row>
    <row r="91" spans="1:7" s="617" customFormat="1" ht="10.15" customHeight="1" x14ac:dyDescent="0.2">
      <c r="A91" s="1134">
        <v>20077</v>
      </c>
      <c r="B91" s="616" t="s">
        <v>2393</v>
      </c>
      <c r="C91" s="616" t="s">
        <v>1306</v>
      </c>
      <c r="D91" s="1144"/>
      <c r="E91" s="1137">
        <v>8352</v>
      </c>
      <c r="F91" s="1140">
        <v>84.04</v>
      </c>
      <c r="G91" s="1137">
        <v>15371.02</v>
      </c>
    </row>
    <row r="92" spans="1:7" s="617" customFormat="1" ht="10.15" customHeight="1" x14ac:dyDescent="0.2">
      <c r="A92" s="1134">
        <v>20073</v>
      </c>
      <c r="B92" s="616" t="s">
        <v>2394</v>
      </c>
      <c r="C92" s="616" t="s">
        <v>1306</v>
      </c>
      <c r="D92" s="1144"/>
      <c r="E92" s="1137">
        <v>15590.32</v>
      </c>
      <c r="F92" s="1140">
        <v>84.04</v>
      </c>
      <c r="G92" s="1137">
        <v>28692.42</v>
      </c>
    </row>
    <row r="93" spans="1:7" s="617" customFormat="1" ht="10.15" customHeight="1" x14ac:dyDescent="0.2">
      <c r="A93" s="1134">
        <v>20070</v>
      </c>
      <c r="B93" s="616" t="s">
        <v>2395</v>
      </c>
      <c r="C93" s="616" t="s">
        <v>1306</v>
      </c>
      <c r="D93" s="1144"/>
      <c r="E93" s="1137">
        <v>8882.5</v>
      </c>
      <c r="F93" s="1140">
        <v>84.04</v>
      </c>
      <c r="G93" s="1137">
        <v>16347.35</v>
      </c>
    </row>
    <row r="94" spans="1:7" s="617" customFormat="1" ht="10.15" customHeight="1" x14ac:dyDescent="0.2">
      <c r="A94" s="1134">
        <v>20069</v>
      </c>
      <c r="B94" s="616" t="s">
        <v>2396</v>
      </c>
      <c r="C94" s="616" t="s">
        <v>1306</v>
      </c>
      <c r="D94" s="1144"/>
      <c r="E94" s="1137">
        <v>10173.73</v>
      </c>
      <c r="F94" s="1140">
        <v>84.04</v>
      </c>
      <c r="G94" s="1137">
        <v>18723.73</v>
      </c>
    </row>
    <row r="95" spans="1:7" s="617" customFormat="1" ht="10.15" customHeight="1" x14ac:dyDescent="0.2">
      <c r="A95" s="1134">
        <v>20079</v>
      </c>
      <c r="B95" s="616" t="s">
        <v>2397</v>
      </c>
      <c r="C95" s="616" t="s">
        <v>1306</v>
      </c>
      <c r="D95" s="1144"/>
      <c r="E95" s="1137">
        <v>13304.41</v>
      </c>
      <c r="F95" s="1140">
        <v>84.04</v>
      </c>
      <c r="G95" s="1137">
        <v>24485.43</v>
      </c>
    </row>
    <row r="96" spans="1:7" s="617" customFormat="1" ht="10.15" customHeight="1" x14ac:dyDescent="0.2">
      <c r="A96" s="1134">
        <v>20153</v>
      </c>
      <c r="B96" s="616" t="s">
        <v>2398</v>
      </c>
      <c r="C96" s="616" t="s">
        <v>1306</v>
      </c>
      <c r="D96" s="1144"/>
      <c r="E96" s="1137">
        <v>15859.89</v>
      </c>
      <c r="F96" s="1140">
        <v>84.04</v>
      </c>
      <c r="G96" s="1137">
        <v>29188.54</v>
      </c>
    </row>
    <row r="97" spans="1:7" s="617" customFormat="1" ht="10.15" customHeight="1" x14ac:dyDescent="0.2">
      <c r="A97" s="1134">
        <v>20084</v>
      </c>
      <c r="B97" s="616" t="s">
        <v>2399</v>
      </c>
      <c r="C97" s="616" t="s">
        <v>1306</v>
      </c>
      <c r="D97" s="1144"/>
      <c r="E97" s="1137">
        <v>12174.19</v>
      </c>
      <c r="F97" s="1140">
        <v>84.04</v>
      </c>
      <c r="G97" s="1137">
        <v>22405.37</v>
      </c>
    </row>
    <row r="98" spans="1:7" s="617" customFormat="1" ht="10.15" customHeight="1" x14ac:dyDescent="0.2">
      <c r="A98" s="1134">
        <v>103588</v>
      </c>
      <c r="B98" s="616" t="s">
        <v>2400</v>
      </c>
      <c r="C98" s="616" t="s">
        <v>1306</v>
      </c>
      <c r="D98" s="1144"/>
      <c r="E98" s="1137">
        <v>3632.87</v>
      </c>
      <c r="F98" s="1140">
        <v>84.04</v>
      </c>
      <c r="G98" s="1137">
        <v>6685.93</v>
      </c>
    </row>
    <row r="99" spans="1:7" s="617" customFormat="1" ht="10.15" customHeight="1" x14ac:dyDescent="0.2">
      <c r="A99" s="1134">
        <v>20089</v>
      </c>
      <c r="B99" s="616" t="s">
        <v>2401</v>
      </c>
      <c r="C99" s="616" t="s">
        <v>1306</v>
      </c>
      <c r="D99" s="1144"/>
      <c r="E99" s="1137">
        <v>3275.23</v>
      </c>
      <c r="F99" s="1140">
        <v>84.04</v>
      </c>
      <c r="G99" s="1137">
        <v>6027.73</v>
      </c>
    </row>
    <row r="100" spans="1:7" s="617" customFormat="1" ht="10.15" customHeight="1" x14ac:dyDescent="0.2">
      <c r="A100" s="1134">
        <v>20090</v>
      </c>
      <c r="B100" s="616" t="s">
        <v>2402</v>
      </c>
      <c r="C100" s="616" t="s">
        <v>1306</v>
      </c>
      <c r="D100" s="1144"/>
      <c r="E100" s="1137">
        <v>1963.89</v>
      </c>
      <c r="F100" s="1140">
        <v>84.04</v>
      </c>
      <c r="G100" s="1137">
        <v>3614.34</v>
      </c>
    </row>
    <row r="101" spans="1:7" s="617" customFormat="1" ht="10.15" customHeight="1" x14ac:dyDescent="0.2">
      <c r="A101" s="1134">
        <v>20091</v>
      </c>
      <c r="B101" s="616" t="s">
        <v>2403</v>
      </c>
      <c r="C101" s="616" t="s">
        <v>1306</v>
      </c>
      <c r="D101" s="1144"/>
      <c r="E101" s="1137">
        <v>5678.19</v>
      </c>
      <c r="F101" s="1140">
        <v>84.04</v>
      </c>
      <c r="G101" s="1137">
        <v>10450.14</v>
      </c>
    </row>
    <row r="102" spans="1:7" s="617" customFormat="1" ht="10.15" customHeight="1" x14ac:dyDescent="0.2">
      <c r="A102" s="1134">
        <v>20098</v>
      </c>
      <c r="B102" s="616" t="s">
        <v>2404</v>
      </c>
      <c r="C102" s="616" t="s">
        <v>1306</v>
      </c>
      <c r="D102" s="1144"/>
      <c r="E102" s="1137">
        <v>2106.08</v>
      </c>
      <c r="F102" s="1140">
        <v>84.04</v>
      </c>
      <c r="G102" s="1137">
        <v>3876.02</v>
      </c>
    </row>
    <row r="103" spans="1:7" s="617" customFormat="1" ht="10.15" customHeight="1" x14ac:dyDescent="0.2">
      <c r="A103" s="1134">
        <v>103586</v>
      </c>
      <c r="B103" s="616" t="s">
        <v>2405</v>
      </c>
      <c r="C103" s="616" t="s">
        <v>1306</v>
      </c>
      <c r="D103" s="1144"/>
      <c r="E103" s="1137">
        <v>4118.67</v>
      </c>
      <c r="F103" s="1140">
        <v>84.04</v>
      </c>
      <c r="G103" s="1137">
        <v>7580</v>
      </c>
    </row>
    <row r="104" spans="1:7" s="617" customFormat="1" ht="10.15" customHeight="1" x14ac:dyDescent="0.2">
      <c r="A104" s="1134">
        <v>20114</v>
      </c>
      <c r="B104" s="616" t="s">
        <v>2406</v>
      </c>
      <c r="C104" s="616" t="s">
        <v>1306</v>
      </c>
      <c r="D104" s="1144"/>
      <c r="E104" s="1137">
        <v>2137.13</v>
      </c>
      <c r="F104" s="1140">
        <v>84.04</v>
      </c>
      <c r="G104" s="1137">
        <v>3933.17</v>
      </c>
    </row>
    <row r="105" spans="1:7" s="617" customFormat="1" ht="10.15" customHeight="1" x14ac:dyDescent="0.2">
      <c r="A105" s="1134">
        <v>20174</v>
      </c>
      <c r="B105" s="616" t="s">
        <v>2407</v>
      </c>
      <c r="C105" s="616" t="s">
        <v>1306</v>
      </c>
      <c r="D105" s="1144"/>
      <c r="E105" s="1137">
        <v>1255.6500000000001</v>
      </c>
      <c r="F105" s="1140">
        <v>84.04</v>
      </c>
      <c r="G105" s="1137">
        <v>2310.89</v>
      </c>
    </row>
    <row r="106" spans="1:7" s="617" customFormat="1" ht="10.15" customHeight="1" x14ac:dyDescent="0.2">
      <c r="A106" s="1134">
        <v>20007</v>
      </c>
      <c r="B106" s="616" t="s">
        <v>2408</v>
      </c>
      <c r="C106" s="616" t="s">
        <v>1306</v>
      </c>
      <c r="D106" s="1144"/>
      <c r="E106" s="1137">
        <v>2902.96</v>
      </c>
      <c r="F106" s="1140">
        <v>84.04</v>
      </c>
      <c r="G106" s="1137">
        <v>5342.6</v>
      </c>
    </row>
    <row r="107" spans="1:7" s="617" customFormat="1" ht="10.15" customHeight="1" x14ac:dyDescent="0.2">
      <c r="A107" s="1134">
        <v>20009</v>
      </c>
      <c r="B107" s="616" t="s">
        <v>2409</v>
      </c>
      <c r="C107" s="616" t="s">
        <v>1306</v>
      </c>
      <c r="D107" s="1144"/>
      <c r="E107" s="1137">
        <v>3583.54</v>
      </c>
      <c r="F107" s="1140">
        <v>84.04</v>
      </c>
      <c r="G107" s="1137">
        <v>6595.14</v>
      </c>
    </row>
    <row r="108" spans="1:7" s="617" customFormat="1" ht="10.15" customHeight="1" x14ac:dyDescent="0.2">
      <c r="A108" s="1134">
        <v>99872</v>
      </c>
      <c r="B108" s="616" t="s">
        <v>2410</v>
      </c>
      <c r="C108" s="616" t="s">
        <v>1306</v>
      </c>
      <c r="D108" s="1144"/>
      <c r="E108" s="1137">
        <v>4464.72</v>
      </c>
      <c r="F108" s="1140">
        <v>84.04</v>
      </c>
      <c r="G108" s="1137">
        <v>8216.8700000000008</v>
      </c>
    </row>
    <row r="109" spans="1:7" s="617" customFormat="1" ht="10.15" customHeight="1" x14ac:dyDescent="0.2">
      <c r="A109" s="1134">
        <v>99873</v>
      </c>
      <c r="B109" s="616" t="s">
        <v>2411</v>
      </c>
      <c r="C109" s="616" t="s">
        <v>1306</v>
      </c>
      <c r="D109" s="1144"/>
      <c r="E109" s="1137">
        <v>5903.75</v>
      </c>
      <c r="F109" s="1140">
        <v>84.04</v>
      </c>
      <c r="G109" s="1137">
        <v>10865.26</v>
      </c>
    </row>
    <row r="110" spans="1:7" s="617" customFormat="1" ht="10.15" customHeight="1" x14ac:dyDescent="0.2">
      <c r="A110" s="1134">
        <v>20008</v>
      </c>
      <c r="B110" s="616" t="s">
        <v>2412</v>
      </c>
      <c r="C110" s="616" t="s">
        <v>1306</v>
      </c>
      <c r="D110" s="1144"/>
      <c r="E110" s="1137">
        <v>2677.13</v>
      </c>
      <c r="F110" s="1140">
        <v>84.04</v>
      </c>
      <c r="G110" s="1137">
        <v>4926.99</v>
      </c>
    </row>
    <row r="111" spans="1:7" s="617" customFormat="1" ht="10.15" customHeight="1" x14ac:dyDescent="0.2">
      <c r="A111" s="1134">
        <v>99302</v>
      </c>
      <c r="B111" s="616" t="s">
        <v>2413</v>
      </c>
      <c r="C111" s="616" t="s">
        <v>1306</v>
      </c>
      <c r="D111" s="1144"/>
      <c r="E111" s="1137">
        <v>3833.47</v>
      </c>
      <c r="F111" s="1140">
        <v>84.04</v>
      </c>
      <c r="G111" s="1137">
        <v>7055.11</v>
      </c>
    </row>
    <row r="112" spans="1:7" s="617" customFormat="1" ht="10.15" customHeight="1" x14ac:dyDescent="0.2">
      <c r="A112" s="1134">
        <v>20010</v>
      </c>
      <c r="B112" s="616" t="s">
        <v>2414</v>
      </c>
      <c r="C112" s="616" t="s">
        <v>1306</v>
      </c>
      <c r="D112" s="1144"/>
      <c r="E112" s="1137">
        <v>2677.13</v>
      </c>
      <c r="F112" s="1140">
        <v>84.04</v>
      </c>
      <c r="G112" s="1137">
        <v>4926.99</v>
      </c>
    </row>
    <row r="113" spans="1:7" s="617" customFormat="1" ht="10.15" customHeight="1" x14ac:dyDescent="0.2">
      <c r="A113" s="1134">
        <v>99874</v>
      </c>
      <c r="B113" s="616" t="s">
        <v>2415</v>
      </c>
      <c r="C113" s="616" t="s">
        <v>1306</v>
      </c>
      <c r="D113" s="1144"/>
      <c r="E113" s="1137">
        <v>7740.37</v>
      </c>
      <c r="F113" s="1140">
        <v>84.04</v>
      </c>
      <c r="G113" s="1137">
        <v>14245.37</v>
      </c>
    </row>
    <row r="114" spans="1:7" s="617" customFormat="1" ht="10.15" customHeight="1" x14ac:dyDescent="0.2">
      <c r="A114" s="1134">
        <v>20014</v>
      </c>
      <c r="B114" s="616" t="s">
        <v>2416</v>
      </c>
      <c r="C114" s="616" t="s">
        <v>1306</v>
      </c>
      <c r="D114" s="1144"/>
      <c r="E114" s="1137">
        <v>3512.36</v>
      </c>
      <c r="F114" s="1140">
        <v>84.04</v>
      </c>
      <c r="G114" s="1137">
        <v>6464.14</v>
      </c>
    </row>
    <row r="115" spans="1:7" s="617" customFormat="1" ht="10.15" customHeight="1" x14ac:dyDescent="0.2">
      <c r="A115" s="1134">
        <v>20015</v>
      </c>
      <c r="B115" s="616" t="s">
        <v>2417</v>
      </c>
      <c r="C115" s="616" t="s">
        <v>1306</v>
      </c>
      <c r="D115" s="1144"/>
      <c r="E115" s="1137">
        <v>2106.08</v>
      </c>
      <c r="F115" s="1140">
        <v>84.04</v>
      </c>
      <c r="G115" s="1137">
        <v>3876.02</v>
      </c>
    </row>
    <row r="116" spans="1:7" s="617" customFormat="1" ht="10.15" customHeight="1" x14ac:dyDescent="0.2">
      <c r="A116" s="1134">
        <v>20016</v>
      </c>
      <c r="B116" s="616" t="s">
        <v>2418</v>
      </c>
      <c r="C116" s="616" t="s">
        <v>1306</v>
      </c>
      <c r="D116" s="1144"/>
      <c r="E116" s="1137">
        <v>6089.3</v>
      </c>
      <c r="F116" s="1140">
        <v>84.04</v>
      </c>
      <c r="G116" s="1137">
        <v>11206.74</v>
      </c>
    </row>
    <row r="117" spans="1:7" ht="14.25" x14ac:dyDescent="0.2">
      <c r="A117" s="1134">
        <v>103589</v>
      </c>
      <c r="B117" s="616" t="s">
        <v>2419</v>
      </c>
      <c r="C117" s="616" t="s">
        <v>1306</v>
      </c>
      <c r="D117" s="1144"/>
      <c r="E117" s="1137">
        <v>8882.5</v>
      </c>
      <c r="F117" s="1140">
        <v>84.04</v>
      </c>
      <c r="G117" s="1137">
        <v>16347.35</v>
      </c>
    </row>
    <row r="118" spans="1:7" x14ac:dyDescent="0.2">
      <c r="A118" s="213"/>
      <c r="B118" s="209"/>
      <c r="C118" s="488"/>
      <c r="D118" s="488"/>
      <c r="E118" s="489"/>
      <c r="F118" s="489"/>
    </row>
    <row r="119" spans="1:7" x14ac:dyDescent="0.2">
      <c r="A119" s="213"/>
      <c r="B119" s="209"/>
      <c r="C119" s="488"/>
      <c r="D119" s="488"/>
      <c r="E119" s="489"/>
      <c r="F119" s="489"/>
    </row>
    <row r="120" spans="1:7" x14ac:dyDescent="0.2">
      <c r="A120" s="213"/>
      <c r="B120" s="209"/>
      <c r="C120" s="488"/>
      <c r="D120" s="488"/>
      <c r="E120" s="489"/>
      <c r="F120" s="489"/>
    </row>
    <row r="121" spans="1:7" x14ac:dyDescent="0.2">
      <c r="A121" s="213"/>
      <c r="B121" s="209"/>
      <c r="C121" s="488"/>
      <c r="D121" s="488"/>
      <c r="E121" s="489"/>
      <c r="F121" s="489"/>
    </row>
    <row r="122" spans="1:7" x14ac:dyDescent="0.2">
      <c r="A122" s="213"/>
      <c r="B122" s="209"/>
      <c r="C122" s="488"/>
      <c r="D122" s="488"/>
      <c r="E122" s="489"/>
      <c r="F122" s="489"/>
    </row>
    <row r="123" spans="1:7" x14ac:dyDescent="0.2">
      <c r="A123" s="213"/>
      <c r="B123" s="209"/>
      <c r="C123" s="488"/>
      <c r="D123" s="488"/>
      <c r="E123" s="489"/>
      <c r="F123" s="489"/>
    </row>
    <row r="124" spans="1:7" x14ac:dyDescent="0.2">
      <c r="A124" s="213"/>
      <c r="B124" s="209"/>
      <c r="C124" s="488"/>
      <c r="D124" s="488"/>
      <c r="E124" s="489"/>
      <c r="F124" s="489"/>
    </row>
    <row r="125" spans="1:7" x14ac:dyDescent="0.2">
      <c r="A125" s="213"/>
      <c r="B125" s="209"/>
      <c r="C125" s="488"/>
      <c r="D125" s="488"/>
      <c r="E125" s="489"/>
      <c r="F125" s="489"/>
    </row>
    <row r="126" spans="1:7" x14ac:dyDescent="0.2">
      <c r="A126" s="213"/>
      <c r="B126" s="209"/>
      <c r="C126" s="488"/>
      <c r="D126" s="488"/>
      <c r="E126" s="489"/>
      <c r="F126" s="489"/>
      <c r="G126" s="390"/>
    </row>
    <row r="127" spans="1:7" x14ac:dyDescent="0.2">
      <c r="A127" s="213"/>
      <c r="B127" s="209"/>
      <c r="C127" s="488"/>
      <c r="D127" s="488"/>
      <c r="E127" s="489"/>
      <c r="F127" s="489"/>
      <c r="G127" s="390"/>
    </row>
    <row r="128" spans="1:7" x14ac:dyDescent="0.2">
      <c r="A128" s="213"/>
      <c r="B128" s="209"/>
      <c r="C128" s="488"/>
      <c r="D128" s="488"/>
      <c r="E128" s="489"/>
      <c r="F128" s="489"/>
      <c r="G128" s="390"/>
    </row>
    <row r="129" spans="1:7" x14ac:dyDescent="0.2">
      <c r="A129" s="213"/>
      <c r="B129" s="209"/>
      <c r="C129" s="488"/>
      <c r="D129" s="488"/>
      <c r="E129" s="489"/>
      <c r="F129" s="489"/>
      <c r="G129" s="390"/>
    </row>
    <row r="130" spans="1:7" x14ac:dyDescent="0.2">
      <c r="A130" s="213"/>
      <c r="B130" s="209"/>
      <c r="C130" s="488"/>
      <c r="D130" s="488"/>
      <c r="E130" s="489"/>
      <c r="F130" s="489"/>
      <c r="G130" s="390"/>
    </row>
    <row r="142" spans="1:7" x14ac:dyDescent="0.25">
      <c r="A142" s="390"/>
    </row>
    <row r="143" spans="1:7" x14ac:dyDescent="0.25">
      <c r="A143" s="390"/>
    </row>
    <row r="144" spans="1:7" x14ac:dyDescent="0.25">
      <c r="A144" s="390"/>
    </row>
    <row r="145" spans="1:6" x14ac:dyDescent="0.25">
      <c r="A145" s="390"/>
      <c r="B145" s="207"/>
    </row>
    <row r="146" spans="1:6" x14ac:dyDescent="0.25">
      <c r="A146" s="390"/>
      <c r="B146" s="207"/>
      <c r="C146" s="477"/>
      <c r="D146" s="477"/>
      <c r="E146" s="206"/>
      <c r="F146" s="206"/>
    </row>
    <row r="147" spans="1:6" x14ac:dyDescent="0.25">
      <c r="A147" s="390"/>
      <c r="B147" s="207"/>
      <c r="C147" s="477"/>
      <c r="D147" s="477"/>
      <c r="E147" s="206"/>
      <c r="F147" s="206"/>
    </row>
    <row r="148" spans="1:6" x14ac:dyDescent="0.25">
      <c r="A148" s="390"/>
      <c r="B148" s="207"/>
      <c r="C148" s="477"/>
      <c r="D148" s="477"/>
      <c r="E148" s="206"/>
      <c r="F148" s="206"/>
    </row>
    <row r="149" spans="1:6" x14ac:dyDescent="0.25">
      <c r="A149" s="390"/>
      <c r="B149" s="207"/>
      <c r="C149" s="477"/>
      <c r="D149" s="477"/>
      <c r="E149" s="206"/>
      <c r="F149" s="206"/>
    </row>
    <row r="150" spans="1:6" x14ac:dyDescent="0.25">
      <c r="A150" s="390"/>
      <c r="B150" s="207"/>
      <c r="C150" s="477"/>
      <c r="D150" s="477"/>
      <c r="E150" s="206"/>
      <c r="F150" s="206"/>
    </row>
    <row r="151" spans="1:6" x14ac:dyDescent="0.25">
      <c r="A151" s="390"/>
      <c r="C151" s="477"/>
      <c r="D151" s="477"/>
      <c r="E151" s="206"/>
      <c r="F151" s="206"/>
    </row>
    <row r="152" spans="1:6" x14ac:dyDescent="0.25">
      <c r="A152" s="390"/>
    </row>
    <row r="153" spans="1:6" x14ac:dyDescent="0.25">
      <c r="A153" s="390"/>
    </row>
    <row r="154" spans="1:6" x14ac:dyDescent="0.25">
      <c r="A154" s="390"/>
    </row>
    <row r="155" spans="1:6" x14ac:dyDescent="0.25">
      <c r="A155" s="390"/>
    </row>
    <row r="156" spans="1:6" x14ac:dyDescent="0.25">
      <c r="A156" s="390"/>
    </row>
    <row r="157" spans="1:6" x14ac:dyDescent="0.25">
      <c r="A157" s="390"/>
    </row>
    <row r="158" spans="1:6" ht="14.25" x14ac:dyDescent="0.2">
      <c r="A158" s="390"/>
      <c r="B158" s="390"/>
      <c r="C158" s="485"/>
      <c r="D158" s="485"/>
      <c r="E158" s="485"/>
      <c r="F158" s="485"/>
    </row>
    <row r="159" spans="1:6" ht="14.25" x14ac:dyDescent="0.2">
      <c r="A159" s="390"/>
      <c r="B159" s="390"/>
      <c r="C159" s="485"/>
      <c r="D159" s="485"/>
      <c r="E159" s="485"/>
      <c r="F159" s="485"/>
    </row>
    <row r="160" spans="1:6" ht="14.25" x14ac:dyDescent="0.2">
      <c r="A160" s="390"/>
      <c r="B160" s="390"/>
      <c r="C160" s="485"/>
      <c r="D160" s="485"/>
      <c r="E160" s="485"/>
      <c r="F160" s="485"/>
    </row>
    <row r="161" spans="1:6" ht="15" customHeight="1" x14ac:dyDescent="0.2">
      <c r="A161" s="390"/>
      <c r="B161" s="390"/>
      <c r="C161" s="485"/>
      <c r="D161" s="485"/>
      <c r="E161" s="485"/>
      <c r="F161" s="485"/>
    </row>
    <row r="162" spans="1:6" ht="15" customHeight="1" x14ac:dyDescent="0.2">
      <c r="A162" s="390"/>
      <c r="B162" s="390"/>
      <c r="C162" s="485"/>
      <c r="D162" s="485"/>
      <c r="E162" s="485"/>
      <c r="F162" s="485"/>
    </row>
    <row r="163" spans="1:6" ht="15" customHeight="1" x14ac:dyDescent="0.2">
      <c r="A163" s="390"/>
      <c r="B163" s="390"/>
      <c r="C163" s="485"/>
      <c r="D163" s="485"/>
      <c r="E163" s="485"/>
      <c r="F163" s="485"/>
    </row>
    <row r="164" spans="1:6" ht="15" customHeight="1" x14ac:dyDescent="0.2">
      <c r="A164" s="390"/>
      <c r="B164" s="390"/>
      <c r="C164" s="485"/>
      <c r="D164" s="485"/>
      <c r="E164" s="485"/>
      <c r="F164" s="485"/>
    </row>
    <row r="165" spans="1:6" ht="15" customHeight="1" x14ac:dyDescent="0.2">
      <c r="A165" s="390"/>
      <c r="B165" s="390"/>
      <c r="C165" s="485"/>
      <c r="D165" s="485"/>
      <c r="E165" s="485"/>
      <c r="F165" s="485"/>
    </row>
    <row r="166" spans="1:6" ht="15" customHeight="1" x14ac:dyDescent="0.2">
      <c r="A166" s="390"/>
      <c r="B166" s="390"/>
      <c r="C166" s="485"/>
      <c r="D166" s="485"/>
      <c r="E166" s="485"/>
      <c r="F166" s="485"/>
    </row>
    <row r="167" spans="1:6" ht="15" customHeight="1" x14ac:dyDescent="0.2">
      <c r="A167" s="390"/>
      <c r="B167" s="390"/>
      <c r="C167" s="485"/>
      <c r="D167" s="485"/>
      <c r="E167" s="485"/>
      <c r="F167" s="485"/>
    </row>
    <row r="168" spans="1:6" ht="15" customHeight="1" x14ac:dyDescent="0.2">
      <c r="A168" s="390"/>
      <c r="B168" s="390"/>
      <c r="C168" s="485"/>
      <c r="D168" s="485"/>
      <c r="E168" s="485"/>
      <c r="F168" s="485"/>
    </row>
    <row r="169" spans="1:6" ht="15" customHeight="1" x14ac:dyDescent="0.2">
      <c r="A169" s="390"/>
      <c r="B169" s="390"/>
      <c r="C169" s="485"/>
      <c r="D169" s="485"/>
      <c r="E169" s="485"/>
      <c r="F169" s="485"/>
    </row>
    <row r="170" spans="1:6" ht="15" customHeight="1" x14ac:dyDescent="0.2">
      <c r="A170" s="390"/>
      <c r="B170" s="390"/>
      <c r="C170" s="485"/>
      <c r="D170" s="485"/>
      <c r="E170" s="485"/>
      <c r="F170" s="485"/>
    </row>
    <row r="171" spans="1:6" ht="15" customHeight="1" x14ac:dyDescent="0.2">
      <c r="A171" s="390"/>
      <c r="B171" s="390"/>
      <c r="C171" s="485"/>
      <c r="D171" s="485"/>
      <c r="E171" s="485"/>
      <c r="F171" s="485"/>
    </row>
    <row r="172" spans="1:6" ht="15" customHeight="1" x14ac:dyDescent="0.2">
      <c r="A172" s="390"/>
      <c r="B172" s="390"/>
      <c r="C172" s="485"/>
      <c r="D172" s="485"/>
      <c r="E172" s="485"/>
      <c r="F172" s="485"/>
    </row>
    <row r="173" spans="1:6" ht="15" customHeight="1" x14ac:dyDescent="0.2">
      <c r="A173" s="390"/>
      <c r="B173" s="390"/>
      <c r="C173" s="485"/>
      <c r="D173" s="485"/>
      <c r="E173" s="485"/>
      <c r="F173" s="485"/>
    </row>
    <row r="174" spans="1:6" ht="15" customHeight="1" x14ac:dyDescent="0.2">
      <c r="A174" s="390"/>
      <c r="B174" s="390"/>
      <c r="C174" s="485"/>
      <c r="D174" s="485"/>
      <c r="E174" s="485"/>
      <c r="F174" s="485"/>
    </row>
    <row r="175" spans="1:6" ht="15" customHeight="1" x14ac:dyDescent="0.2">
      <c r="A175" s="390"/>
      <c r="B175" s="390"/>
      <c r="C175" s="485"/>
      <c r="D175" s="485"/>
      <c r="E175" s="485"/>
      <c r="F175" s="485"/>
    </row>
    <row r="176" spans="1:6" ht="15" customHeight="1" x14ac:dyDescent="0.2">
      <c r="A176" s="390"/>
      <c r="B176" s="390"/>
      <c r="C176" s="485"/>
      <c r="D176" s="485"/>
      <c r="E176" s="485"/>
      <c r="F176" s="485"/>
    </row>
    <row r="177" spans="1:6" ht="15" customHeight="1" x14ac:dyDescent="0.2">
      <c r="A177" s="390"/>
      <c r="B177" s="390"/>
      <c r="C177" s="485"/>
      <c r="D177" s="485"/>
      <c r="E177" s="485"/>
      <c r="F177" s="485"/>
    </row>
    <row r="178" spans="1:6" ht="15" customHeight="1" x14ac:dyDescent="0.2">
      <c r="A178" s="390"/>
      <c r="B178" s="390"/>
      <c r="C178" s="485"/>
      <c r="D178" s="485"/>
      <c r="E178" s="485"/>
      <c r="F178" s="485"/>
    </row>
    <row r="179" spans="1:6" ht="15" customHeight="1" x14ac:dyDescent="0.2">
      <c r="A179" s="390"/>
      <c r="B179" s="390"/>
      <c r="C179" s="485"/>
      <c r="D179" s="485"/>
      <c r="E179" s="485"/>
      <c r="F179" s="485"/>
    </row>
    <row r="180" spans="1:6" ht="15" customHeight="1" x14ac:dyDescent="0.2">
      <c r="A180" s="390"/>
      <c r="B180" s="390"/>
      <c r="C180" s="485"/>
      <c r="D180" s="485"/>
      <c r="E180" s="485"/>
      <c r="F180" s="485"/>
    </row>
    <row r="181" spans="1:6" ht="15" customHeight="1" x14ac:dyDescent="0.2">
      <c r="A181" s="390"/>
      <c r="B181" s="390"/>
      <c r="C181" s="485"/>
      <c r="D181" s="485"/>
      <c r="E181" s="485"/>
      <c r="F181" s="485"/>
    </row>
    <row r="182" spans="1:6" ht="15" customHeight="1" x14ac:dyDescent="0.2">
      <c r="A182" s="390"/>
      <c r="B182" s="390"/>
      <c r="C182" s="485"/>
      <c r="D182" s="485"/>
      <c r="E182" s="485"/>
      <c r="F182" s="485"/>
    </row>
    <row r="183" spans="1:6" ht="15" customHeight="1" x14ac:dyDescent="0.2">
      <c r="A183" s="390"/>
      <c r="B183" s="390"/>
      <c r="C183" s="485"/>
      <c r="D183" s="485"/>
      <c r="E183" s="485"/>
      <c r="F183" s="485"/>
    </row>
    <row r="184" spans="1:6" ht="15" customHeight="1" x14ac:dyDescent="0.2">
      <c r="A184" s="390"/>
      <c r="B184" s="390"/>
      <c r="C184" s="485"/>
      <c r="D184" s="485"/>
      <c r="E184" s="485"/>
      <c r="F184" s="485"/>
    </row>
    <row r="185" spans="1:6" ht="15" customHeight="1" x14ac:dyDescent="0.2">
      <c r="A185" s="390"/>
      <c r="B185" s="390"/>
      <c r="C185" s="485"/>
      <c r="D185" s="485"/>
      <c r="E185" s="485"/>
      <c r="F185" s="485"/>
    </row>
    <row r="186" spans="1:6" ht="15" customHeight="1" x14ac:dyDescent="0.2">
      <c r="A186" s="390"/>
      <c r="B186" s="390"/>
      <c r="C186" s="485"/>
      <c r="D186" s="485"/>
      <c r="E186" s="485"/>
      <c r="F186" s="485"/>
    </row>
    <row r="187" spans="1:6" ht="15" customHeight="1" x14ac:dyDescent="0.2">
      <c r="A187" s="390"/>
      <c r="B187" s="390"/>
      <c r="C187" s="485"/>
      <c r="D187" s="485"/>
      <c r="E187" s="485"/>
      <c r="F187" s="485"/>
    </row>
    <row r="188" spans="1:6" ht="15" customHeight="1" x14ac:dyDescent="0.2">
      <c r="A188" s="390"/>
      <c r="B188" s="390"/>
      <c r="C188" s="485"/>
      <c r="D188" s="485"/>
      <c r="E188" s="485"/>
      <c r="F188" s="485"/>
    </row>
    <row r="189" spans="1:6" ht="15" customHeight="1" x14ac:dyDescent="0.2">
      <c r="A189" s="390"/>
      <c r="B189" s="390"/>
      <c r="C189" s="485"/>
      <c r="D189" s="485"/>
      <c r="E189" s="485"/>
      <c r="F189" s="485"/>
    </row>
    <row r="190" spans="1:6" ht="15" customHeight="1" x14ac:dyDescent="0.2">
      <c r="A190" s="390"/>
      <c r="B190" s="390"/>
      <c r="C190" s="485"/>
      <c r="D190" s="485"/>
      <c r="E190" s="485"/>
      <c r="F190" s="485"/>
    </row>
    <row r="191" spans="1:6" ht="15" customHeight="1" x14ac:dyDescent="0.2">
      <c r="A191" s="390"/>
      <c r="B191" s="390"/>
      <c r="C191" s="485"/>
      <c r="D191" s="485"/>
      <c r="E191" s="485"/>
      <c r="F191" s="485"/>
    </row>
    <row r="192" spans="1:6" ht="15" customHeight="1" x14ac:dyDescent="0.2">
      <c r="A192" s="390"/>
      <c r="B192" s="390"/>
      <c r="C192" s="485"/>
      <c r="D192" s="485"/>
      <c r="E192" s="485"/>
      <c r="F192" s="485"/>
    </row>
    <row r="193" spans="1:6" ht="15" customHeight="1" x14ac:dyDescent="0.2">
      <c r="A193" s="390"/>
      <c r="B193" s="390"/>
      <c r="C193" s="485"/>
      <c r="D193" s="485"/>
      <c r="E193" s="485"/>
      <c r="F193" s="485"/>
    </row>
    <row r="194" spans="1:6" ht="15" customHeight="1" x14ac:dyDescent="0.2">
      <c r="A194" s="390"/>
      <c r="B194" s="390"/>
      <c r="C194" s="485"/>
      <c r="D194" s="485"/>
      <c r="E194" s="485"/>
      <c r="F194" s="485"/>
    </row>
    <row r="195" spans="1:6" ht="15" customHeight="1" x14ac:dyDescent="0.2">
      <c r="A195" s="390"/>
      <c r="B195" s="390"/>
      <c r="C195" s="485"/>
      <c r="D195" s="485"/>
      <c r="E195" s="485"/>
      <c r="F195" s="485"/>
    </row>
    <row r="196" spans="1:6" ht="15" customHeight="1" x14ac:dyDescent="0.2">
      <c r="A196" s="390"/>
      <c r="B196" s="390"/>
      <c r="C196" s="485"/>
      <c r="D196" s="485"/>
      <c r="E196" s="485"/>
      <c r="F196" s="485"/>
    </row>
    <row r="197" spans="1:6" ht="15" customHeight="1" x14ac:dyDescent="0.2">
      <c r="A197" s="390"/>
      <c r="B197" s="390"/>
      <c r="C197" s="485"/>
      <c r="D197" s="485"/>
      <c r="E197" s="485"/>
      <c r="F197" s="485"/>
    </row>
    <row r="198" spans="1:6" ht="15" customHeight="1" x14ac:dyDescent="0.2">
      <c r="A198" s="390"/>
      <c r="B198" s="390"/>
      <c r="C198" s="485"/>
      <c r="D198" s="485"/>
      <c r="E198" s="485"/>
      <c r="F198" s="485"/>
    </row>
    <row r="199" spans="1:6" ht="15" customHeight="1" x14ac:dyDescent="0.2">
      <c r="A199" s="390"/>
      <c r="B199" s="390"/>
      <c r="C199" s="485"/>
      <c r="D199" s="485"/>
      <c r="E199" s="485"/>
      <c r="F199" s="485"/>
    </row>
    <row r="200" spans="1:6" ht="15" customHeight="1" x14ac:dyDescent="0.2">
      <c r="A200" s="390"/>
      <c r="B200" s="390"/>
      <c r="C200" s="485"/>
      <c r="D200" s="485"/>
      <c r="E200" s="485"/>
      <c r="F200" s="485"/>
    </row>
    <row r="201" spans="1:6" ht="15" customHeight="1" x14ac:dyDescent="0.2">
      <c r="A201" s="390"/>
      <c r="B201" s="390"/>
      <c r="C201" s="485"/>
      <c r="D201" s="485"/>
      <c r="E201" s="485"/>
      <c r="F201" s="485"/>
    </row>
    <row r="202" spans="1:6" ht="15" customHeight="1" x14ac:dyDescent="0.2">
      <c r="A202" s="390"/>
      <c r="B202" s="390"/>
      <c r="C202" s="485"/>
      <c r="D202" s="485"/>
      <c r="E202" s="485"/>
      <c r="F202" s="485"/>
    </row>
    <row r="203" spans="1:6" ht="15" customHeight="1" x14ac:dyDescent="0.2">
      <c r="A203" s="390"/>
      <c r="B203" s="390"/>
      <c r="C203" s="485"/>
      <c r="D203" s="485"/>
      <c r="E203" s="485"/>
      <c r="F203" s="485"/>
    </row>
    <row r="204" spans="1:6" ht="15" customHeight="1" x14ac:dyDescent="0.2">
      <c r="A204" s="390"/>
      <c r="B204" s="390"/>
      <c r="C204" s="485"/>
      <c r="D204" s="485"/>
      <c r="E204" s="485"/>
      <c r="F204" s="485"/>
    </row>
    <row r="205" spans="1:6" ht="15" customHeight="1" x14ac:dyDescent="0.2">
      <c r="A205" s="390"/>
      <c r="B205" s="390"/>
      <c r="C205" s="485"/>
      <c r="D205" s="485"/>
      <c r="E205" s="485"/>
      <c r="F205" s="485"/>
    </row>
    <row r="206" spans="1:6" ht="15" customHeight="1" x14ac:dyDescent="0.2">
      <c r="A206" s="390"/>
      <c r="B206" s="390"/>
      <c r="C206" s="485"/>
      <c r="D206" s="485"/>
      <c r="E206" s="485"/>
      <c r="F206" s="485"/>
    </row>
    <row r="207" spans="1:6" ht="15" customHeight="1" x14ac:dyDescent="0.2">
      <c r="A207" s="390"/>
      <c r="B207" s="390"/>
      <c r="C207" s="485"/>
      <c r="D207" s="485"/>
      <c r="E207" s="485"/>
      <c r="F207" s="485"/>
    </row>
    <row r="208" spans="1:6" ht="15" customHeight="1" x14ac:dyDescent="0.2">
      <c r="A208" s="390"/>
      <c r="B208" s="390"/>
      <c r="C208" s="485"/>
      <c r="D208" s="485"/>
      <c r="E208" s="485"/>
      <c r="F208" s="485"/>
    </row>
    <row r="209" spans="1:6" ht="15" customHeight="1" x14ac:dyDescent="0.2">
      <c r="A209" s="390"/>
      <c r="B209" s="390"/>
      <c r="C209" s="485"/>
      <c r="D209" s="485"/>
      <c r="E209" s="485"/>
      <c r="F209" s="485"/>
    </row>
    <row r="210" spans="1:6" ht="15" customHeight="1" x14ac:dyDescent="0.2">
      <c r="A210" s="390"/>
      <c r="B210" s="390"/>
      <c r="C210" s="485"/>
      <c r="D210" s="485"/>
      <c r="E210" s="485"/>
      <c r="F210" s="485"/>
    </row>
    <row r="211" spans="1:6" ht="15" customHeight="1" x14ac:dyDescent="0.2">
      <c r="A211" s="390"/>
      <c r="B211" s="390"/>
      <c r="C211" s="485"/>
      <c r="D211" s="485"/>
      <c r="E211" s="485"/>
      <c r="F211" s="485"/>
    </row>
    <row r="212" spans="1:6" ht="15" customHeight="1" x14ac:dyDescent="0.2">
      <c r="A212" s="390"/>
      <c r="B212" s="390"/>
      <c r="C212" s="485"/>
      <c r="D212" s="485"/>
      <c r="E212" s="485"/>
      <c r="F212" s="485"/>
    </row>
    <row r="213" spans="1:6" ht="15" customHeight="1" x14ac:dyDescent="0.2">
      <c r="A213" s="390"/>
      <c r="B213" s="390"/>
      <c r="C213" s="485"/>
      <c r="D213" s="485"/>
      <c r="E213" s="485"/>
      <c r="F213" s="485"/>
    </row>
    <row r="214" spans="1:6" ht="15" customHeight="1" x14ac:dyDescent="0.2">
      <c r="A214" s="390"/>
      <c r="B214" s="390"/>
      <c r="C214" s="485"/>
      <c r="D214" s="485"/>
      <c r="E214" s="485"/>
      <c r="F214" s="485"/>
    </row>
    <row r="215" spans="1:6" ht="15" customHeight="1" x14ac:dyDescent="0.2">
      <c r="A215" s="390"/>
      <c r="B215" s="390"/>
      <c r="C215" s="485"/>
      <c r="D215" s="485"/>
      <c r="E215" s="485"/>
      <c r="F215" s="485"/>
    </row>
    <row r="216" spans="1:6" ht="15" customHeight="1" x14ac:dyDescent="0.2">
      <c r="A216" s="390"/>
      <c r="B216" s="390"/>
      <c r="C216" s="485"/>
      <c r="D216" s="485"/>
      <c r="E216" s="485"/>
      <c r="F216" s="485"/>
    </row>
    <row r="217" spans="1:6" ht="15" customHeight="1" x14ac:dyDescent="0.2">
      <c r="A217" s="390"/>
      <c r="B217" s="390"/>
      <c r="C217" s="485"/>
      <c r="D217" s="485"/>
      <c r="E217" s="485"/>
      <c r="F217" s="485"/>
    </row>
    <row r="218" spans="1:6" ht="15" customHeight="1" x14ac:dyDescent="0.2">
      <c r="A218" s="390"/>
      <c r="B218" s="390"/>
      <c r="C218" s="485"/>
      <c r="D218" s="485"/>
      <c r="E218" s="485"/>
      <c r="F218" s="485"/>
    </row>
    <row r="219" spans="1:6" ht="15" customHeight="1" x14ac:dyDescent="0.2">
      <c r="A219" s="390"/>
      <c r="B219" s="390"/>
      <c r="C219" s="485"/>
      <c r="D219" s="485"/>
      <c r="E219" s="485"/>
      <c r="F219" s="485"/>
    </row>
    <row r="220" spans="1:6" ht="15" customHeight="1" x14ac:dyDescent="0.2">
      <c r="A220" s="390"/>
      <c r="B220" s="390"/>
      <c r="C220" s="485"/>
      <c r="D220" s="485"/>
      <c r="E220" s="485"/>
      <c r="F220" s="485"/>
    </row>
    <row r="221" spans="1:6" ht="15" customHeight="1" x14ac:dyDescent="0.2">
      <c r="A221" s="390"/>
      <c r="B221" s="390"/>
      <c r="C221" s="485"/>
      <c r="D221" s="485"/>
      <c r="E221" s="485"/>
      <c r="F221" s="485"/>
    </row>
    <row r="222" spans="1:6" ht="15" customHeight="1" x14ac:dyDescent="0.2">
      <c r="A222" s="390"/>
      <c r="B222" s="390"/>
      <c r="C222" s="485"/>
      <c r="D222" s="485"/>
      <c r="E222" s="485"/>
      <c r="F222" s="485"/>
    </row>
    <row r="223" spans="1:6" ht="15" customHeight="1" x14ac:dyDescent="0.2">
      <c r="A223" s="390"/>
      <c r="B223" s="390"/>
      <c r="C223" s="485"/>
      <c r="D223" s="485"/>
      <c r="E223" s="485"/>
      <c r="F223" s="485"/>
    </row>
    <row r="224" spans="1:6" ht="15" customHeight="1" x14ac:dyDescent="0.2">
      <c r="A224" s="390"/>
      <c r="B224" s="390"/>
      <c r="C224" s="485"/>
      <c r="D224" s="485"/>
      <c r="E224" s="485"/>
      <c r="F224" s="485"/>
    </row>
    <row r="225" spans="1:6" ht="15" customHeight="1" x14ac:dyDescent="0.2">
      <c r="A225" s="390"/>
      <c r="B225" s="390"/>
      <c r="C225" s="485"/>
      <c r="D225" s="485"/>
      <c r="E225" s="485"/>
      <c r="F225" s="485"/>
    </row>
    <row r="226" spans="1:6" ht="15" customHeight="1" x14ac:dyDescent="0.2">
      <c r="A226" s="390"/>
      <c r="B226" s="390"/>
      <c r="C226" s="485"/>
      <c r="D226" s="485"/>
      <c r="E226" s="485"/>
      <c r="F226" s="485"/>
    </row>
    <row r="227" spans="1:6" ht="15" customHeight="1" x14ac:dyDescent="0.2">
      <c r="A227" s="390"/>
      <c r="B227" s="390"/>
      <c r="C227" s="485"/>
      <c r="D227" s="485"/>
      <c r="E227" s="485"/>
      <c r="F227" s="485"/>
    </row>
    <row r="228" spans="1:6" ht="15" customHeight="1" x14ac:dyDescent="0.2">
      <c r="A228" s="390"/>
      <c r="B228" s="390"/>
      <c r="C228" s="485"/>
      <c r="D228" s="485"/>
      <c r="E228" s="485"/>
      <c r="F228" s="485"/>
    </row>
    <row r="229" spans="1:6" ht="15" customHeight="1" x14ac:dyDescent="0.2">
      <c r="A229" s="390"/>
      <c r="B229" s="390"/>
      <c r="C229" s="485"/>
      <c r="D229" s="485"/>
      <c r="E229" s="485"/>
      <c r="F229" s="485"/>
    </row>
    <row r="230" spans="1:6" ht="15" customHeight="1" x14ac:dyDescent="0.2">
      <c r="A230" s="390"/>
      <c r="B230" s="390"/>
      <c r="C230" s="485"/>
      <c r="D230" s="485"/>
      <c r="E230" s="485"/>
      <c r="F230" s="485"/>
    </row>
    <row r="231" spans="1:6" ht="15" customHeight="1" x14ac:dyDescent="0.2">
      <c r="A231" s="390"/>
      <c r="B231" s="390"/>
      <c r="C231" s="485"/>
      <c r="D231" s="485"/>
      <c r="E231" s="485"/>
      <c r="F231" s="485"/>
    </row>
    <row r="232" spans="1:6" ht="15" customHeight="1" x14ac:dyDescent="0.2">
      <c r="A232" s="390"/>
      <c r="B232" s="390"/>
      <c r="C232" s="485"/>
      <c r="D232" s="485"/>
      <c r="E232" s="485"/>
      <c r="F232" s="485"/>
    </row>
    <row r="233" spans="1:6" ht="15" customHeight="1" x14ac:dyDescent="0.2">
      <c r="A233" s="390"/>
      <c r="B233" s="390"/>
      <c r="C233" s="485"/>
      <c r="D233" s="485"/>
      <c r="E233" s="485"/>
      <c r="F233" s="485"/>
    </row>
    <row r="234" spans="1:6" ht="15" customHeight="1" x14ac:dyDescent="0.2">
      <c r="A234" s="390"/>
      <c r="B234" s="390"/>
      <c r="C234" s="485"/>
      <c r="D234" s="485"/>
      <c r="E234" s="485"/>
      <c r="F234" s="485"/>
    </row>
    <row r="235" spans="1:6" ht="15" customHeight="1" x14ac:dyDescent="0.2">
      <c r="A235" s="390"/>
      <c r="B235" s="390"/>
      <c r="C235" s="485"/>
      <c r="D235" s="485"/>
      <c r="E235" s="485"/>
      <c r="F235" s="485"/>
    </row>
    <row r="236" spans="1:6" ht="15" customHeight="1" x14ac:dyDescent="0.2">
      <c r="A236" s="390"/>
      <c r="B236" s="390"/>
      <c r="C236" s="485"/>
      <c r="D236" s="485"/>
      <c r="E236" s="485"/>
      <c r="F236" s="485"/>
    </row>
    <row r="237" spans="1:6" ht="15" customHeight="1" x14ac:dyDescent="0.2">
      <c r="A237" s="390"/>
      <c r="B237" s="390"/>
      <c r="C237" s="485"/>
      <c r="D237" s="485"/>
      <c r="E237" s="485"/>
      <c r="F237" s="485"/>
    </row>
    <row r="238" spans="1:6" ht="15" customHeight="1" x14ac:dyDescent="0.2">
      <c r="A238" s="390"/>
      <c r="B238" s="390"/>
      <c r="C238" s="485"/>
      <c r="D238" s="485"/>
      <c r="E238" s="485"/>
      <c r="F238" s="485"/>
    </row>
    <row r="239" spans="1:6" ht="15" customHeight="1" x14ac:dyDescent="0.2">
      <c r="A239" s="390"/>
      <c r="B239" s="390"/>
      <c r="C239" s="485"/>
      <c r="D239" s="485"/>
      <c r="E239" s="485"/>
      <c r="F239" s="485"/>
    </row>
    <row r="240" spans="1:6" ht="15" customHeight="1" x14ac:dyDescent="0.2">
      <c r="A240" s="390"/>
      <c r="B240" s="390"/>
      <c r="C240" s="485"/>
      <c r="D240" s="485"/>
      <c r="E240" s="485"/>
      <c r="F240" s="485"/>
    </row>
    <row r="241" spans="1:6" ht="15" customHeight="1" x14ac:dyDescent="0.2">
      <c r="A241" s="390"/>
      <c r="B241" s="390"/>
      <c r="C241" s="485"/>
      <c r="D241" s="485"/>
      <c r="E241" s="485"/>
      <c r="F241" s="485"/>
    </row>
    <row r="242" spans="1:6" ht="15" customHeight="1" x14ac:dyDescent="0.2">
      <c r="A242" s="390"/>
      <c r="B242" s="390"/>
      <c r="C242" s="485"/>
      <c r="D242" s="485"/>
      <c r="E242" s="485"/>
      <c r="F242" s="485"/>
    </row>
    <row r="243" spans="1:6" ht="15" customHeight="1" x14ac:dyDescent="0.2">
      <c r="A243" s="390"/>
      <c r="B243" s="390"/>
      <c r="C243" s="485"/>
      <c r="D243" s="485"/>
      <c r="E243" s="485"/>
      <c r="F243" s="485"/>
    </row>
    <row r="244" spans="1:6" ht="15" customHeight="1" x14ac:dyDescent="0.2">
      <c r="A244" s="390"/>
      <c r="B244" s="390"/>
      <c r="C244" s="485"/>
      <c r="D244" s="485"/>
      <c r="E244" s="485"/>
      <c r="F244" s="485"/>
    </row>
    <row r="245" spans="1:6" ht="15" customHeight="1" x14ac:dyDescent="0.2">
      <c r="A245" s="390"/>
      <c r="B245" s="390"/>
      <c r="C245" s="485"/>
      <c r="D245" s="485"/>
      <c r="E245" s="485"/>
      <c r="F245" s="485"/>
    </row>
    <row r="246" spans="1:6" ht="15" customHeight="1" x14ac:dyDescent="0.2">
      <c r="A246" s="390"/>
      <c r="B246" s="390"/>
      <c r="C246" s="485"/>
      <c r="D246" s="485"/>
      <c r="E246" s="485"/>
      <c r="F246" s="485"/>
    </row>
    <row r="247" spans="1:6" ht="15" customHeight="1" x14ac:dyDescent="0.2">
      <c r="A247" s="390"/>
      <c r="B247" s="390"/>
      <c r="C247" s="485"/>
      <c r="D247" s="485"/>
      <c r="E247" s="485"/>
      <c r="F247" s="485"/>
    </row>
    <row r="248" spans="1:6" ht="15" customHeight="1" x14ac:dyDescent="0.2">
      <c r="A248" s="390"/>
      <c r="B248" s="390"/>
      <c r="C248" s="485"/>
      <c r="D248" s="485"/>
      <c r="E248" s="485"/>
      <c r="F248" s="485"/>
    </row>
    <row r="249" spans="1:6" ht="15" customHeight="1" x14ac:dyDescent="0.2">
      <c r="A249" s="390"/>
      <c r="B249" s="390"/>
      <c r="C249" s="485"/>
      <c r="D249" s="485"/>
      <c r="E249" s="485"/>
      <c r="F249" s="485"/>
    </row>
    <row r="250" spans="1:6" ht="15" customHeight="1" x14ac:dyDescent="0.2">
      <c r="A250" s="390"/>
      <c r="B250" s="390"/>
      <c r="C250" s="485"/>
      <c r="D250" s="485"/>
      <c r="E250" s="485"/>
      <c r="F250" s="485"/>
    </row>
    <row r="251" spans="1:6" ht="15" customHeight="1" x14ac:dyDescent="0.2">
      <c r="A251" s="390"/>
      <c r="B251" s="390"/>
      <c r="C251" s="485"/>
      <c r="D251" s="485"/>
      <c r="E251" s="485"/>
      <c r="F251" s="485"/>
    </row>
    <row r="252" spans="1:6" ht="15" customHeight="1" x14ac:dyDescent="0.2">
      <c r="A252" s="390"/>
      <c r="B252" s="390"/>
      <c r="C252" s="485"/>
      <c r="D252" s="485"/>
      <c r="E252" s="485"/>
      <c r="F252" s="485"/>
    </row>
    <row r="253" spans="1:6" ht="15" customHeight="1" x14ac:dyDescent="0.2">
      <c r="A253" s="390"/>
      <c r="B253" s="390"/>
      <c r="C253" s="485"/>
      <c r="D253" s="485"/>
      <c r="E253" s="485"/>
      <c r="F253" s="485"/>
    </row>
    <row r="254" spans="1:6" ht="15" customHeight="1" x14ac:dyDescent="0.2">
      <c r="A254" s="390"/>
      <c r="B254" s="390"/>
      <c r="C254" s="485"/>
      <c r="D254" s="485"/>
      <c r="E254" s="485"/>
      <c r="F254" s="485"/>
    </row>
    <row r="255" spans="1:6" ht="15" customHeight="1" x14ac:dyDescent="0.2">
      <c r="A255" s="390"/>
      <c r="B255" s="390"/>
      <c r="C255" s="485"/>
      <c r="D255" s="485"/>
      <c r="E255" s="485"/>
      <c r="F255" s="485"/>
    </row>
    <row r="256" spans="1:6" ht="15" customHeight="1" x14ac:dyDescent="0.2">
      <c r="A256" s="390"/>
      <c r="B256" s="390"/>
      <c r="C256" s="485"/>
      <c r="D256" s="485"/>
      <c r="E256" s="485"/>
      <c r="F256" s="485"/>
    </row>
    <row r="257" spans="1:6" ht="15" customHeight="1" x14ac:dyDescent="0.2">
      <c r="A257" s="390"/>
      <c r="B257" s="390"/>
      <c r="C257" s="485"/>
      <c r="D257" s="485"/>
      <c r="E257" s="485"/>
      <c r="F257" s="485"/>
    </row>
    <row r="258" spans="1:6" ht="15" customHeight="1" x14ac:dyDescent="0.2">
      <c r="A258" s="390"/>
      <c r="B258" s="390"/>
      <c r="C258" s="485"/>
      <c r="D258" s="485"/>
      <c r="E258" s="485"/>
      <c r="F258" s="485"/>
    </row>
    <row r="259" spans="1:6" ht="15" customHeight="1" x14ac:dyDescent="0.2">
      <c r="A259" s="390"/>
      <c r="B259" s="390"/>
      <c r="C259" s="485"/>
      <c r="D259" s="485"/>
      <c r="E259" s="485"/>
      <c r="F259" s="485"/>
    </row>
    <row r="260" spans="1:6" ht="15" customHeight="1" x14ac:dyDescent="0.2">
      <c r="A260" s="390"/>
      <c r="B260" s="390"/>
      <c r="C260" s="485"/>
      <c r="D260" s="485"/>
      <c r="E260" s="485"/>
      <c r="F260" s="485"/>
    </row>
    <row r="261" spans="1:6" ht="15" customHeight="1" x14ac:dyDescent="0.2">
      <c r="A261" s="390"/>
      <c r="B261" s="390"/>
      <c r="C261" s="485"/>
      <c r="D261" s="485"/>
      <c r="E261" s="485"/>
      <c r="F261" s="485"/>
    </row>
    <row r="262" spans="1:6" ht="15" customHeight="1" x14ac:dyDescent="0.2">
      <c r="A262" s="390"/>
      <c r="B262" s="390"/>
      <c r="C262" s="485"/>
      <c r="D262" s="485"/>
      <c r="E262" s="485"/>
      <c r="F262" s="485"/>
    </row>
    <row r="263" spans="1:6" ht="15" customHeight="1" x14ac:dyDescent="0.2">
      <c r="A263" s="390"/>
      <c r="B263" s="390"/>
      <c r="C263" s="485"/>
      <c r="D263" s="485"/>
      <c r="E263" s="485"/>
      <c r="F263" s="485"/>
    </row>
    <row r="264" spans="1:6" ht="15" customHeight="1" x14ac:dyDescent="0.2">
      <c r="A264" s="390"/>
      <c r="B264" s="390"/>
      <c r="C264" s="485"/>
      <c r="D264" s="485"/>
      <c r="E264" s="485"/>
      <c r="F264" s="485"/>
    </row>
    <row r="265" spans="1:6" ht="15" customHeight="1" x14ac:dyDescent="0.2">
      <c r="A265" s="390"/>
      <c r="B265" s="390"/>
      <c r="C265" s="485"/>
      <c r="D265" s="485"/>
      <c r="E265" s="485"/>
      <c r="F265" s="485"/>
    </row>
    <row r="266" spans="1:6" ht="15" customHeight="1" x14ac:dyDescent="0.2">
      <c r="A266" s="390"/>
      <c r="B266" s="390"/>
      <c r="C266" s="485"/>
      <c r="D266" s="485"/>
      <c r="E266" s="485"/>
      <c r="F266" s="485"/>
    </row>
    <row r="267" spans="1:6" ht="15" customHeight="1" x14ac:dyDescent="0.2">
      <c r="A267" s="390"/>
      <c r="B267" s="390"/>
      <c r="C267" s="485"/>
      <c r="D267" s="485"/>
      <c r="E267" s="485"/>
      <c r="F267" s="485"/>
    </row>
    <row r="268" spans="1:6" ht="15" customHeight="1" x14ac:dyDescent="0.2">
      <c r="A268" s="390"/>
      <c r="B268" s="390"/>
      <c r="C268" s="485"/>
      <c r="D268" s="485"/>
      <c r="E268" s="485"/>
      <c r="F268" s="485"/>
    </row>
    <row r="269" spans="1:6" ht="15" customHeight="1" x14ac:dyDescent="0.2">
      <c r="A269" s="390"/>
      <c r="B269" s="390"/>
      <c r="C269" s="485"/>
      <c r="D269" s="485"/>
      <c r="E269" s="485"/>
      <c r="F269" s="485"/>
    </row>
    <row r="270" spans="1:6" ht="15" customHeight="1" x14ac:dyDescent="0.2">
      <c r="A270" s="390"/>
      <c r="B270" s="390"/>
      <c r="C270" s="485"/>
      <c r="D270" s="485"/>
      <c r="E270" s="485"/>
      <c r="F270" s="485"/>
    </row>
    <row r="271" spans="1:6" ht="15" customHeight="1" x14ac:dyDescent="0.2">
      <c r="A271" s="390"/>
      <c r="B271" s="390"/>
      <c r="C271" s="485"/>
      <c r="D271" s="485"/>
      <c r="E271" s="485"/>
      <c r="F271" s="485"/>
    </row>
    <row r="272" spans="1:6" ht="15" customHeight="1" x14ac:dyDescent="0.2">
      <c r="A272" s="390"/>
      <c r="B272" s="390"/>
      <c r="C272" s="485"/>
      <c r="D272" s="485"/>
      <c r="E272" s="485"/>
      <c r="F272" s="485"/>
    </row>
    <row r="273" spans="1:6" ht="15" customHeight="1" x14ac:dyDescent="0.2">
      <c r="A273" s="390"/>
      <c r="B273" s="390"/>
      <c r="C273" s="485"/>
      <c r="D273" s="485"/>
      <c r="E273" s="485"/>
      <c r="F273" s="485"/>
    </row>
    <row r="274" spans="1:6" ht="15" customHeight="1" x14ac:dyDescent="0.2">
      <c r="A274" s="390"/>
      <c r="B274" s="390"/>
      <c r="C274" s="485"/>
      <c r="D274" s="485"/>
      <c r="E274" s="485"/>
      <c r="F274" s="485"/>
    </row>
    <row r="275" spans="1:6" ht="15" customHeight="1" x14ac:dyDescent="0.2">
      <c r="A275" s="390"/>
      <c r="B275" s="390"/>
      <c r="C275" s="485"/>
      <c r="D275" s="485"/>
      <c r="E275" s="485"/>
      <c r="F275" s="485"/>
    </row>
    <row r="276" spans="1:6" ht="15" customHeight="1" x14ac:dyDescent="0.2">
      <c r="A276" s="390"/>
      <c r="B276" s="390"/>
      <c r="C276" s="485"/>
      <c r="D276" s="485"/>
      <c r="E276" s="485"/>
      <c r="F276" s="485"/>
    </row>
    <row r="277" spans="1:6" ht="15" customHeight="1" x14ac:dyDescent="0.2">
      <c r="A277" s="390"/>
      <c r="B277" s="390"/>
      <c r="C277" s="485"/>
      <c r="D277" s="485"/>
      <c r="E277" s="485"/>
      <c r="F277" s="485"/>
    </row>
    <row r="278" spans="1:6" ht="15" customHeight="1" x14ac:dyDescent="0.2">
      <c r="A278" s="390"/>
      <c r="B278" s="390"/>
      <c r="C278" s="485"/>
      <c r="D278" s="485"/>
      <c r="E278" s="485"/>
      <c r="F278" s="485"/>
    </row>
    <row r="279" spans="1:6" ht="15" customHeight="1" x14ac:dyDescent="0.2">
      <c r="A279" s="390"/>
      <c r="B279" s="390"/>
      <c r="C279" s="485"/>
      <c r="D279" s="485"/>
      <c r="E279" s="485"/>
      <c r="F279" s="485"/>
    </row>
    <row r="280" spans="1:6" ht="15" customHeight="1" x14ac:dyDescent="0.2">
      <c r="A280" s="390"/>
      <c r="B280" s="390"/>
      <c r="C280" s="485"/>
      <c r="D280" s="485"/>
      <c r="E280" s="485"/>
      <c r="F280" s="485"/>
    </row>
    <row r="281" spans="1:6" ht="15" customHeight="1" x14ac:dyDescent="0.2">
      <c r="A281" s="390"/>
      <c r="B281" s="390"/>
      <c r="C281" s="485"/>
      <c r="D281" s="485"/>
      <c r="E281" s="485"/>
      <c r="F281" s="485"/>
    </row>
    <row r="282" spans="1:6" ht="15" customHeight="1" x14ac:dyDescent="0.2">
      <c r="A282" s="390"/>
      <c r="B282" s="390"/>
      <c r="C282" s="485"/>
      <c r="D282" s="485"/>
      <c r="E282" s="485"/>
      <c r="F282" s="485"/>
    </row>
    <row r="283" spans="1:6" ht="15" customHeight="1" x14ac:dyDescent="0.2">
      <c r="A283" s="390"/>
      <c r="B283" s="390"/>
      <c r="C283" s="485"/>
      <c r="D283" s="485"/>
      <c r="E283" s="485"/>
      <c r="F283" s="485"/>
    </row>
    <row r="284" spans="1:6" ht="15" customHeight="1" x14ac:dyDescent="0.2">
      <c r="A284" s="390"/>
      <c r="B284" s="390"/>
      <c r="C284" s="485"/>
      <c r="D284" s="485"/>
      <c r="E284" s="485"/>
      <c r="F284" s="485"/>
    </row>
    <row r="285" spans="1:6" ht="15" customHeight="1" x14ac:dyDescent="0.2">
      <c r="A285" s="390"/>
      <c r="B285" s="390"/>
      <c r="C285" s="485"/>
      <c r="D285" s="485"/>
      <c r="E285" s="485"/>
      <c r="F285" s="485"/>
    </row>
    <row r="286" spans="1:6" ht="15" customHeight="1" x14ac:dyDescent="0.2">
      <c r="A286" s="390"/>
      <c r="B286" s="390"/>
      <c r="C286" s="485"/>
      <c r="D286" s="485"/>
      <c r="E286" s="485"/>
      <c r="F286" s="485"/>
    </row>
    <row r="287" spans="1:6" ht="15" customHeight="1" x14ac:dyDescent="0.2">
      <c r="A287" s="390"/>
      <c r="B287" s="390"/>
      <c r="C287" s="485"/>
      <c r="D287" s="485"/>
      <c r="E287" s="485"/>
      <c r="F287" s="485"/>
    </row>
    <row r="288" spans="1:6" ht="15" customHeight="1" x14ac:dyDescent="0.2">
      <c r="A288" s="390"/>
      <c r="B288" s="390"/>
      <c r="C288" s="485"/>
      <c r="D288" s="485"/>
      <c r="E288" s="485"/>
      <c r="F288" s="485"/>
    </row>
    <row r="289" spans="1:6" ht="15" customHeight="1" x14ac:dyDescent="0.2">
      <c r="A289" s="390"/>
      <c r="B289" s="390"/>
      <c r="C289" s="485"/>
      <c r="D289" s="485"/>
      <c r="E289" s="485"/>
      <c r="F289" s="485"/>
    </row>
    <row r="290" spans="1:6" ht="15" customHeight="1" x14ac:dyDescent="0.2">
      <c r="A290" s="390"/>
      <c r="B290" s="390"/>
      <c r="C290" s="485"/>
      <c r="D290" s="485"/>
      <c r="E290" s="485"/>
      <c r="F290" s="485"/>
    </row>
    <row r="291" spans="1:6" ht="15" customHeight="1" x14ac:dyDescent="0.2">
      <c r="A291" s="390"/>
      <c r="B291" s="390"/>
      <c r="C291" s="485"/>
      <c r="D291" s="485"/>
      <c r="E291" s="485"/>
      <c r="F291" s="485"/>
    </row>
    <row r="292" spans="1:6" ht="15" customHeight="1" x14ac:dyDescent="0.2">
      <c r="A292" s="390"/>
      <c r="B292" s="390"/>
      <c r="C292" s="485"/>
      <c r="D292" s="485"/>
      <c r="E292" s="485"/>
      <c r="F292" s="485"/>
    </row>
    <row r="293" spans="1:6" ht="15" customHeight="1" x14ac:dyDescent="0.2">
      <c r="A293" s="390"/>
      <c r="B293" s="390"/>
      <c r="C293" s="485"/>
      <c r="D293" s="485"/>
      <c r="E293" s="485"/>
      <c r="F293" s="485"/>
    </row>
    <row r="294" spans="1:6" ht="15" customHeight="1" x14ac:dyDescent="0.2">
      <c r="A294" s="390"/>
      <c r="B294" s="390"/>
      <c r="C294" s="485"/>
      <c r="D294" s="485"/>
      <c r="E294" s="485"/>
      <c r="F294" s="485"/>
    </row>
    <row r="295" spans="1:6" ht="15" customHeight="1" x14ac:dyDescent="0.2">
      <c r="A295" s="390"/>
      <c r="B295" s="390"/>
      <c r="C295" s="485"/>
      <c r="D295" s="485"/>
      <c r="E295" s="485"/>
      <c r="F295" s="485"/>
    </row>
    <row r="296" spans="1:6" ht="15" customHeight="1" x14ac:dyDescent="0.2">
      <c r="A296" s="390"/>
      <c r="B296" s="390"/>
      <c r="C296" s="485"/>
      <c r="D296" s="485"/>
      <c r="E296" s="485"/>
      <c r="F296" s="485"/>
    </row>
    <row r="297" spans="1:6" ht="15" customHeight="1" x14ac:dyDescent="0.2">
      <c r="A297" s="390"/>
      <c r="B297" s="390"/>
      <c r="C297" s="485"/>
      <c r="D297" s="485"/>
      <c r="E297" s="485"/>
      <c r="F297" s="485"/>
    </row>
    <row r="298" spans="1:6" ht="15" customHeight="1" x14ac:dyDescent="0.2">
      <c r="A298" s="390"/>
      <c r="B298" s="390"/>
      <c r="C298" s="485"/>
      <c r="D298" s="485"/>
      <c r="E298" s="485"/>
      <c r="F298" s="485"/>
    </row>
    <row r="299" spans="1:6" ht="15" customHeight="1" x14ac:dyDescent="0.2">
      <c r="A299" s="390"/>
      <c r="B299" s="390"/>
      <c r="C299" s="485"/>
      <c r="D299" s="485"/>
      <c r="E299" s="485"/>
      <c r="F299" s="485"/>
    </row>
    <row r="300" spans="1:6" ht="15" customHeight="1" x14ac:dyDescent="0.2">
      <c r="A300" s="390"/>
      <c r="B300" s="390"/>
      <c r="C300" s="485"/>
      <c r="D300" s="485"/>
      <c r="E300" s="485"/>
      <c r="F300" s="485"/>
    </row>
    <row r="301" spans="1:6" ht="15" customHeight="1" x14ac:dyDescent="0.2">
      <c r="A301" s="390"/>
      <c r="B301" s="390"/>
      <c r="C301" s="485"/>
      <c r="D301" s="485"/>
      <c r="E301" s="485"/>
      <c r="F301" s="485"/>
    </row>
    <row r="302" spans="1:6" ht="15" customHeight="1" x14ac:dyDescent="0.2">
      <c r="A302" s="390"/>
      <c r="B302" s="390"/>
      <c r="C302" s="485"/>
      <c r="D302" s="485"/>
      <c r="E302" s="485"/>
      <c r="F302" s="485"/>
    </row>
    <row r="303" spans="1:6" ht="15" customHeight="1" x14ac:dyDescent="0.2">
      <c r="A303" s="390"/>
      <c r="B303" s="390"/>
      <c r="C303" s="485"/>
      <c r="D303" s="485"/>
      <c r="E303" s="485"/>
      <c r="F303" s="485"/>
    </row>
    <row r="304" spans="1:6" ht="15" customHeight="1" x14ac:dyDescent="0.2">
      <c r="A304" s="390"/>
      <c r="B304" s="390"/>
      <c r="C304" s="485"/>
      <c r="D304" s="485"/>
      <c r="E304" s="485"/>
      <c r="F304" s="485"/>
    </row>
    <row r="305" spans="1:6" ht="15" customHeight="1" x14ac:dyDescent="0.2">
      <c r="A305" s="390"/>
      <c r="B305" s="390"/>
      <c r="C305" s="485"/>
      <c r="D305" s="485"/>
      <c r="E305" s="485"/>
      <c r="F305" s="485"/>
    </row>
    <row r="306" spans="1:6" ht="15" customHeight="1" x14ac:dyDescent="0.2">
      <c r="A306" s="390"/>
      <c r="B306" s="390"/>
      <c r="C306" s="485"/>
      <c r="D306" s="485"/>
      <c r="E306" s="485"/>
      <c r="F306" s="485"/>
    </row>
    <row r="307" spans="1:6" ht="15" customHeight="1" x14ac:dyDescent="0.2">
      <c r="A307" s="390"/>
      <c r="B307" s="390"/>
      <c r="C307" s="485"/>
      <c r="D307" s="485"/>
      <c r="E307" s="485"/>
      <c r="F307" s="485"/>
    </row>
    <row r="308" spans="1:6" ht="15" customHeight="1" x14ac:dyDescent="0.2">
      <c r="A308" s="390"/>
      <c r="B308" s="390"/>
      <c r="C308" s="485"/>
      <c r="D308" s="485"/>
      <c r="E308" s="485"/>
      <c r="F308" s="485"/>
    </row>
    <row r="309" spans="1:6" ht="15" customHeight="1" x14ac:dyDescent="0.2">
      <c r="A309" s="390"/>
      <c r="B309" s="390"/>
      <c r="C309" s="485"/>
      <c r="D309" s="485"/>
      <c r="E309" s="485"/>
      <c r="F309" s="485"/>
    </row>
    <row r="310" spans="1:6" ht="15" customHeight="1" x14ac:dyDescent="0.2">
      <c r="A310" s="390"/>
      <c r="B310" s="390"/>
      <c r="C310" s="485"/>
      <c r="D310" s="485"/>
      <c r="E310" s="485"/>
      <c r="F310" s="485"/>
    </row>
    <row r="311" spans="1:6" ht="15" customHeight="1" x14ac:dyDescent="0.2">
      <c r="A311" s="390"/>
      <c r="B311" s="390"/>
      <c r="C311" s="485"/>
      <c r="D311" s="485"/>
      <c r="E311" s="485"/>
      <c r="F311" s="485"/>
    </row>
    <row r="312" spans="1:6" ht="15" customHeight="1" x14ac:dyDescent="0.2">
      <c r="A312" s="390"/>
      <c r="B312" s="390"/>
      <c r="C312" s="485"/>
      <c r="D312" s="485"/>
      <c r="E312" s="485"/>
      <c r="F312" s="485"/>
    </row>
    <row r="313" spans="1:6" ht="15" customHeight="1" x14ac:dyDescent="0.2">
      <c r="A313" s="390"/>
      <c r="B313" s="390"/>
      <c r="C313" s="485"/>
      <c r="D313" s="485"/>
      <c r="E313" s="485"/>
      <c r="F313" s="485"/>
    </row>
    <row r="314" spans="1:6" ht="15" customHeight="1" x14ac:dyDescent="0.2">
      <c r="A314" s="390"/>
      <c r="B314" s="390"/>
      <c r="C314" s="485"/>
      <c r="D314" s="485"/>
      <c r="E314" s="485"/>
      <c r="F314" s="485"/>
    </row>
    <row r="315" spans="1:6" ht="15" customHeight="1" x14ac:dyDescent="0.2">
      <c r="A315" s="390"/>
      <c r="B315" s="390"/>
      <c r="C315" s="485"/>
      <c r="D315" s="485"/>
      <c r="E315" s="485"/>
      <c r="F315" s="485"/>
    </row>
    <row r="316" spans="1:6" ht="15" customHeight="1" x14ac:dyDescent="0.2">
      <c r="A316" s="390"/>
      <c r="B316" s="390"/>
      <c r="C316" s="485"/>
      <c r="D316" s="485"/>
      <c r="E316" s="485"/>
      <c r="F316" s="485"/>
    </row>
    <row r="317" spans="1:6" ht="15" customHeight="1" x14ac:dyDescent="0.2">
      <c r="A317" s="390"/>
      <c r="B317" s="390"/>
      <c r="C317" s="485"/>
      <c r="D317" s="485"/>
      <c r="E317" s="485"/>
      <c r="F317" s="485"/>
    </row>
    <row r="318" spans="1:6" ht="15" customHeight="1" x14ac:dyDescent="0.2">
      <c r="A318" s="390"/>
      <c r="B318" s="390"/>
      <c r="C318" s="485"/>
      <c r="D318" s="485"/>
      <c r="E318" s="485"/>
      <c r="F318" s="485"/>
    </row>
    <row r="319" spans="1:6" ht="15" customHeight="1" x14ac:dyDescent="0.2">
      <c r="A319" s="390"/>
      <c r="B319" s="390"/>
      <c r="C319" s="485"/>
      <c r="D319" s="485"/>
      <c r="E319" s="485"/>
      <c r="F319" s="485"/>
    </row>
    <row r="320" spans="1:6" ht="15" customHeight="1" x14ac:dyDescent="0.2">
      <c r="A320" s="390"/>
      <c r="B320" s="390"/>
      <c r="C320" s="485"/>
      <c r="D320" s="485"/>
      <c r="E320" s="485"/>
      <c r="F320" s="485"/>
    </row>
    <row r="321" spans="1:6" ht="15" customHeight="1" x14ac:dyDescent="0.2">
      <c r="A321" s="390"/>
      <c r="B321" s="390"/>
      <c r="C321" s="485"/>
      <c r="D321" s="485"/>
      <c r="E321" s="485"/>
      <c r="F321" s="485"/>
    </row>
    <row r="322" spans="1:6" ht="15" customHeight="1" x14ac:dyDescent="0.2">
      <c r="A322" s="390"/>
      <c r="B322" s="390"/>
      <c r="C322" s="485"/>
      <c r="D322" s="485"/>
      <c r="E322" s="485"/>
      <c r="F322" s="485"/>
    </row>
    <row r="323" spans="1:6" ht="15" customHeight="1" x14ac:dyDescent="0.2">
      <c r="A323" s="390"/>
      <c r="B323" s="390"/>
      <c r="C323" s="485"/>
      <c r="D323" s="485"/>
      <c r="E323" s="485"/>
      <c r="F323" s="485"/>
    </row>
    <row r="324" spans="1:6" ht="15" customHeight="1" x14ac:dyDescent="0.2">
      <c r="A324" s="390"/>
      <c r="B324" s="390"/>
      <c r="C324" s="485"/>
      <c r="D324" s="485"/>
      <c r="E324" s="485"/>
      <c r="F324" s="485"/>
    </row>
    <row r="325" spans="1:6" ht="15" customHeight="1" x14ac:dyDescent="0.2">
      <c r="A325" s="390"/>
      <c r="B325" s="390"/>
      <c r="C325" s="485"/>
      <c r="D325" s="485"/>
      <c r="E325" s="485"/>
      <c r="F325" s="485"/>
    </row>
    <row r="326" spans="1:6" ht="15" customHeight="1" x14ac:dyDescent="0.2">
      <c r="A326" s="390"/>
      <c r="B326" s="390"/>
      <c r="C326" s="485"/>
      <c r="D326" s="485"/>
      <c r="E326" s="485"/>
      <c r="F326" s="485"/>
    </row>
    <row r="327" spans="1:6" ht="15" customHeight="1" x14ac:dyDescent="0.2">
      <c r="A327" s="390"/>
      <c r="B327" s="390"/>
      <c r="C327" s="485"/>
      <c r="D327" s="485"/>
      <c r="E327" s="485"/>
      <c r="F327" s="485"/>
    </row>
    <row r="328" spans="1:6" ht="15" customHeight="1" x14ac:dyDescent="0.2">
      <c r="A328" s="390"/>
      <c r="B328" s="390"/>
      <c r="C328" s="485"/>
      <c r="D328" s="485"/>
      <c r="E328" s="485"/>
      <c r="F328" s="485"/>
    </row>
    <row r="329" spans="1:6" ht="15" customHeight="1" x14ac:dyDescent="0.2">
      <c r="A329" s="390"/>
      <c r="B329" s="390"/>
      <c r="C329" s="485"/>
      <c r="D329" s="485"/>
      <c r="E329" s="485"/>
      <c r="F329" s="485"/>
    </row>
    <row r="330" spans="1:6" ht="15" customHeight="1" x14ac:dyDescent="0.2">
      <c r="A330" s="390"/>
      <c r="B330" s="390"/>
      <c r="C330" s="485"/>
      <c r="D330" s="485"/>
      <c r="E330" s="485"/>
      <c r="F330" s="485"/>
    </row>
    <row r="331" spans="1:6" ht="15" customHeight="1" x14ac:dyDescent="0.2">
      <c r="A331" s="390"/>
      <c r="B331" s="390"/>
      <c r="C331" s="485"/>
      <c r="D331" s="485"/>
      <c r="E331" s="485"/>
      <c r="F331" s="485"/>
    </row>
    <row r="332" spans="1:6" ht="15" customHeight="1" x14ac:dyDescent="0.2">
      <c r="A332" s="390"/>
      <c r="B332" s="390"/>
      <c r="C332" s="485"/>
      <c r="D332" s="485"/>
      <c r="E332" s="485"/>
      <c r="F332" s="485"/>
    </row>
    <row r="333" spans="1:6" ht="15" customHeight="1" x14ac:dyDescent="0.2">
      <c r="A333" s="390"/>
      <c r="B333" s="390"/>
      <c r="C333" s="485"/>
      <c r="D333" s="485"/>
      <c r="E333" s="485"/>
      <c r="F333" s="485"/>
    </row>
    <row r="334" spans="1:6" ht="15" customHeight="1" x14ac:dyDescent="0.2">
      <c r="A334" s="390"/>
      <c r="B334" s="390"/>
      <c r="C334" s="485"/>
      <c r="D334" s="485"/>
      <c r="E334" s="485"/>
      <c r="F334" s="485"/>
    </row>
    <row r="335" spans="1:6" ht="15" customHeight="1" x14ac:dyDescent="0.2">
      <c r="A335" s="390"/>
      <c r="B335" s="390"/>
      <c r="C335" s="485"/>
      <c r="D335" s="485"/>
      <c r="E335" s="485"/>
      <c r="F335" s="485"/>
    </row>
    <row r="336" spans="1:6" ht="15" customHeight="1" x14ac:dyDescent="0.2">
      <c r="A336" s="390"/>
      <c r="B336" s="390"/>
      <c r="C336" s="485"/>
      <c r="D336" s="485"/>
      <c r="E336" s="485"/>
      <c r="F336" s="485"/>
    </row>
    <row r="337" spans="1:6" ht="15" customHeight="1" x14ac:dyDescent="0.2">
      <c r="A337" s="390"/>
      <c r="B337" s="390"/>
      <c r="C337" s="485"/>
      <c r="D337" s="485"/>
      <c r="E337" s="485"/>
      <c r="F337" s="485"/>
    </row>
    <row r="338" spans="1:6" ht="15" customHeight="1" x14ac:dyDescent="0.2">
      <c r="A338" s="390"/>
      <c r="B338" s="390"/>
      <c r="C338" s="485"/>
      <c r="D338" s="485"/>
      <c r="E338" s="485"/>
      <c r="F338" s="485"/>
    </row>
    <row r="339" spans="1:6" ht="15" customHeight="1" x14ac:dyDescent="0.2">
      <c r="A339" s="390"/>
      <c r="B339" s="390"/>
      <c r="C339" s="485"/>
      <c r="D339" s="485"/>
      <c r="E339" s="485"/>
      <c r="F339" s="485"/>
    </row>
    <row r="340" spans="1:6" ht="15" customHeight="1" x14ac:dyDescent="0.2">
      <c r="A340" s="390"/>
      <c r="B340" s="390"/>
      <c r="C340" s="485"/>
      <c r="D340" s="485"/>
      <c r="E340" s="485"/>
      <c r="F340" s="485"/>
    </row>
    <row r="341" spans="1:6" ht="15" customHeight="1" x14ac:dyDescent="0.2">
      <c r="A341" s="390"/>
      <c r="B341" s="390"/>
      <c r="C341" s="485"/>
      <c r="D341" s="485"/>
      <c r="E341" s="485"/>
      <c r="F341" s="485"/>
    </row>
    <row r="342" spans="1:6" ht="15" customHeight="1" x14ac:dyDescent="0.2">
      <c r="A342" s="390"/>
      <c r="B342" s="390"/>
      <c r="C342" s="485"/>
      <c r="D342" s="485"/>
      <c r="E342" s="485"/>
      <c r="F342" s="485"/>
    </row>
    <row r="343" spans="1:6" ht="15" customHeight="1" x14ac:dyDescent="0.2">
      <c r="A343" s="390"/>
      <c r="B343" s="390"/>
      <c r="C343" s="485"/>
      <c r="D343" s="485"/>
      <c r="E343" s="485"/>
      <c r="F343" s="485"/>
    </row>
    <row r="344" spans="1:6" ht="15" customHeight="1" x14ac:dyDescent="0.2">
      <c r="A344" s="390"/>
      <c r="B344" s="390"/>
      <c r="C344" s="485"/>
      <c r="D344" s="485"/>
      <c r="E344" s="485"/>
      <c r="F344" s="485"/>
    </row>
    <row r="345" spans="1:6" ht="15" customHeight="1" x14ac:dyDescent="0.2">
      <c r="A345" s="390"/>
      <c r="B345" s="390"/>
      <c r="C345" s="485"/>
      <c r="D345" s="485"/>
      <c r="E345" s="485"/>
      <c r="F345" s="485"/>
    </row>
    <row r="346" spans="1:6" ht="15" customHeight="1" x14ac:dyDescent="0.2">
      <c r="A346" s="390"/>
      <c r="B346" s="390"/>
      <c r="C346" s="485"/>
      <c r="D346" s="485"/>
      <c r="E346" s="485"/>
      <c r="F346" s="485"/>
    </row>
    <row r="347" spans="1:6" ht="15" customHeight="1" x14ac:dyDescent="0.2">
      <c r="A347" s="390"/>
      <c r="B347" s="390"/>
      <c r="C347" s="485"/>
      <c r="D347" s="485"/>
      <c r="E347" s="485"/>
      <c r="F347" s="485"/>
    </row>
    <row r="348" spans="1:6" ht="15" customHeight="1" x14ac:dyDescent="0.2">
      <c r="A348" s="390"/>
      <c r="B348" s="390"/>
      <c r="C348" s="485"/>
      <c r="D348" s="485"/>
      <c r="E348" s="485"/>
      <c r="F348" s="485"/>
    </row>
    <row r="349" spans="1:6" ht="15" customHeight="1" x14ac:dyDescent="0.2">
      <c r="A349" s="390"/>
      <c r="B349" s="390"/>
      <c r="C349" s="485"/>
      <c r="D349" s="485"/>
      <c r="E349" s="485"/>
      <c r="F349" s="485"/>
    </row>
    <row r="350" spans="1:6" ht="15" customHeight="1" x14ac:dyDescent="0.2">
      <c r="A350" s="390"/>
      <c r="B350" s="390"/>
      <c r="C350" s="485"/>
      <c r="D350" s="485"/>
      <c r="E350" s="485"/>
      <c r="F350" s="485"/>
    </row>
    <row r="351" spans="1:6" ht="15" customHeight="1" x14ac:dyDescent="0.2">
      <c r="A351" s="390"/>
      <c r="B351" s="390"/>
      <c r="C351" s="485"/>
      <c r="D351" s="485"/>
      <c r="E351" s="485"/>
      <c r="F351" s="485"/>
    </row>
    <row r="352" spans="1:6" ht="15" customHeight="1" x14ac:dyDescent="0.2">
      <c r="A352" s="390"/>
      <c r="B352" s="390"/>
      <c r="C352" s="485"/>
      <c r="D352" s="485"/>
      <c r="E352" s="485"/>
      <c r="F352" s="485"/>
    </row>
    <row r="353" spans="1:6" ht="15" customHeight="1" x14ac:dyDescent="0.2">
      <c r="A353" s="390"/>
      <c r="B353" s="390"/>
      <c r="C353" s="485"/>
      <c r="D353" s="485"/>
      <c r="E353" s="485"/>
      <c r="F353" s="485"/>
    </row>
    <row r="354" spans="1:6" ht="15" customHeight="1" x14ac:dyDescent="0.2">
      <c r="A354" s="390"/>
      <c r="B354" s="390"/>
      <c r="C354" s="485"/>
      <c r="D354" s="485"/>
      <c r="E354" s="485"/>
      <c r="F354" s="485"/>
    </row>
    <row r="355" spans="1:6" ht="15" customHeight="1" x14ac:dyDescent="0.2">
      <c r="A355" s="390"/>
      <c r="B355" s="390"/>
      <c r="C355" s="485"/>
      <c r="D355" s="485"/>
      <c r="E355" s="485"/>
      <c r="F355" s="485"/>
    </row>
    <row r="356" spans="1:6" ht="15" customHeight="1" x14ac:dyDescent="0.2">
      <c r="A356" s="390"/>
      <c r="B356" s="390"/>
      <c r="C356" s="485"/>
      <c r="D356" s="485"/>
      <c r="E356" s="485"/>
      <c r="F356" s="485"/>
    </row>
    <row r="357" spans="1:6" ht="15" customHeight="1" x14ac:dyDescent="0.2">
      <c r="A357" s="390"/>
      <c r="B357" s="390"/>
      <c r="C357" s="485"/>
      <c r="D357" s="485"/>
      <c r="E357" s="485"/>
      <c r="F357" s="485"/>
    </row>
    <row r="358" spans="1:6" ht="15" customHeight="1" x14ac:dyDescent="0.2">
      <c r="A358" s="390"/>
      <c r="B358" s="390"/>
      <c r="C358" s="485"/>
      <c r="D358" s="485"/>
      <c r="E358" s="485"/>
      <c r="F358" s="485"/>
    </row>
    <row r="359" spans="1:6" ht="15" customHeight="1" x14ac:dyDescent="0.2">
      <c r="A359" s="390"/>
      <c r="B359" s="390"/>
      <c r="C359" s="485"/>
      <c r="D359" s="485"/>
      <c r="E359" s="485"/>
      <c r="F359" s="485"/>
    </row>
    <row r="360" spans="1:6" ht="15" customHeight="1" x14ac:dyDescent="0.2">
      <c r="A360" s="390"/>
      <c r="B360" s="390"/>
      <c r="C360" s="485"/>
      <c r="D360" s="485"/>
      <c r="E360" s="485"/>
      <c r="F360" s="485"/>
    </row>
    <row r="361" spans="1:6" ht="15" customHeight="1" x14ac:dyDescent="0.2">
      <c r="A361" s="390"/>
      <c r="B361" s="390"/>
      <c r="C361" s="485"/>
      <c r="D361" s="485"/>
      <c r="E361" s="485"/>
      <c r="F361" s="485"/>
    </row>
    <row r="362" spans="1:6" ht="15" customHeight="1" x14ac:dyDescent="0.2">
      <c r="A362" s="390"/>
      <c r="B362" s="390"/>
      <c r="C362" s="485"/>
      <c r="D362" s="485"/>
      <c r="E362" s="485"/>
      <c r="F362" s="485"/>
    </row>
    <row r="363" spans="1:6" ht="15" customHeight="1" x14ac:dyDescent="0.2">
      <c r="A363" s="390"/>
      <c r="B363" s="390"/>
      <c r="C363" s="485"/>
      <c r="D363" s="485"/>
      <c r="E363" s="485"/>
      <c r="F363" s="485"/>
    </row>
    <row r="364" spans="1:6" ht="15" customHeight="1" x14ac:dyDescent="0.2">
      <c r="A364" s="390"/>
      <c r="B364" s="390"/>
      <c r="C364" s="485"/>
      <c r="D364" s="485"/>
      <c r="E364" s="485"/>
      <c r="F364" s="485"/>
    </row>
    <row r="365" spans="1:6" ht="15" customHeight="1" x14ac:dyDescent="0.2">
      <c r="A365" s="390"/>
      <c r="B365" s="390"/>
      <c r="C365" s="485"/>
      <c r="D365" s="485"/>
      <c r="E365" s="485"/>
      <c r="F365" s="485"/>
    </row>
    <row r="366" spans="1:6" ht="15" customHeight="1" x14ac:dyDescent="0.2">
      <c r="A366" s="390"/>
      <c r="B366" s="390"/>
      <c r="C366" s="485"/>
      <c r="D366" s="485"/>
      <c r="E366" s="485"/>
      <c r="F366" s="485"/>
    </row>
    <row r="367" spans="1:6" ht="15" customHeight="1" x14ac:dyDescent="0.2">
      <c r="A367" s="390"/>
      <c r="B367" s="390"/>
      <c r="C367" s="485"/>
      <c r="D367" s="485"/>
      <c r="E367" s="485"/>
      <c r="F367" s="485"/>
    </row>
    <row r="368" spans="1:6" ht="15" customHeight="1" x14ac:dyDescent="0.2">
      <c r="A368" s="390"/>
      <c r="B368" s="390"/>
      <c r="C368" s="485"/>
      <c r="D368" s="485"/>
      <c r="E368" s="485"/>
      <c r="F368" s="485"/>
    </row>
    <row r="369" spans="1:6" ht="15" customHeight="1" x14ac:dyDescent="0.2">
      <c r="A369" s="390"/>
      <c r="B369" s="390"/>
      <c r="C369" s="485"/>
      <c r="D369" s="485"/>
      <c r="E369" s="485"/>
      <c r="F369" s="485"/>
    </row>
    <row r="370" spans="1:6" ht="15" customHeight="1" x14ac:dyDescent="0.2">
      <c r="A370" s="390"/>
      <c r="B370" s="390"/>
      <c r="C370" s="485"/>
      <c r="D370" s="485"/>
      <c r="E370" s="485"/>
      <c r="F370" s="485"/>
    </row>
    <row r="371" spans="1:6" ht="15" customHeight="1" x14ac:dyDescent="0.2">
      <c r="A371" s="390"/>
      <c r="B371" s="390"/>
      <c r="C371" s="485"/>
      <c r="D371" s="485"/>
      <c r="E371" s="485"/>
      <c r="F371" s="485"/>
    </row>
    <row r="372" spans="1:6" ht="15" customHeight="1" x14ac:dyDescent="0.2">
      <c r="A372" s="390"/>
      <c r="B372" s="390"/>
      <c r="C372" s="485"/>
      <c r="D372" s="485"/>
      <c r="E372" s="485"/>
      <c r="F372" s="485"/>
    </row>
    <row r="373" spans="1:6" ht="15" customHeight="1" x14ac:dyDescent="0.2">
      <c r="A373" s="390"/>
      <c r="B373" s="390"/>
      <c r="C373" s="485"/>
      <c r="D373" s="485"/>
      <c r="E373" s="485"/>
      <c r="F373" s="485"/>
    </row>
    <row r="374" spans="1:6" ht="15" customHeight="1" x14ac:dyDescent="0.2">
      <c r="A374" s="390"/>
      <c r="B374" s="390"/>
      <c r="C374" s="485"/>
      <c r="D374" s="485"/>
      <c r="E374" s="485"/>
      <c r="F374" s="485"/>
    </row>
    <row r="375" spans="1:6" ht="15" customHeight="1" x14ac:dyDescent="0.2">
      <c r="A375" s="390"/>
      <c r="B375" s="390"/>
      <c r="C375" s="485"/>
      <c r="D375" s="485"/>
      <c r="E375" s="485"/>
      <c r="F375" s="485"/>
    </row>
    <row r="376" spans="1:6" ht="15" customHeight="1" x14ac:dyDescent="0.2">
      <c r="A376" s="390"/>
      <c r="B376" s="390"/>
      <c r="C376" s="485"/>
      <c r="D376" s="485"/>
      <c r="E376" s="485"/>
      <c r="F376" s="485"/>
    </row>
    <row r="377" spans="1:6" ht="15" customHeight="1" x14ac:dyDescent="0.2">
      <c r="A377" s="390"/>
      <c r="B377" s="390"/>
      <c r="C377" s="485"/>
      <c r="D377" s="485"/>
      <c r="E377" s="485"/>
      <c r="F377" s="485"/>
    </row>
    <row r="378" spans="1:6" ht="15" customHeight="1" x14ac:dyDescent="0.2">
      <c r="A378" s="390"/>
      <c r="B378" s="390"/>
      <c r="C378" s="485"/>
      <c r="D378" s="485"/>
      <c r="E378" s="485"/>
      <c r="F378" s="485"/>
    </row>
    <row r="379" spans="1:6" ht="15" customHeight="1" x14ac:dyDescent="0.2">
      <c r="A379" s="390"/>
      <c r="B379" s="390"/>
      <c r="C379" s="485"/>
      <c r="D379" s="485"/>
      <c r="E379" s="485"/>
      <c r="F379" s="485"/>
    </row>
    <row r="380" spans="1:6" ht="15" customHeight="1" x14ac:dyDescent="0.2">
      <c r="A380" s="390"/>
      <c r="B380" s="390"/>
      <c r="C380" s="485"/>
      <c r="D380" s="485"/>
      <c r="E380" s="485"/>
      <c r="F380" s="485"/>
    </row>
    <row r="381" spans="1:6" ht="15" customHeight="1" x14ac:dyDescent="0.2">
      <c r="A381" s="390"/>
      <c r="B381" s="390"/>
      <c r="C381" s="485"/>
      <c r="D381" s="485"/>
      <c r="E381" s="485"/>
      <c r="F381" s="485"/>
    </row>
    <row r="382" spans="1:6" ht="15" customHeight="1" x14ac:dyDescent="0.2">
      <c r="A382" s="390"/>
      <c r="B382" s="390"/>
      <c r="C382" s="485"/>
      <c r="D382" s="485"/>
      <c r="E382" s="485"/>
      <c r="F382" s="485"/>
    </row>
    <row r="383" spans="1:6" ht="15" customHeight="1" x14ac:dyDescent="0.2">
      <c r="A383" s="390"/>
      <c r="B383" s="390"/>
      <c r="C383" s="485"/>
      <c r="D383" s="485"/>
      <c r="E383" s="485"/>
      <c r="F383" s="485"/>
    </row>
    <row r="384" spans="1:6" ht="15" customHeight="1" x14ac:dyDescent="0.2">
      <c r="A384" s="390"/>
      <c r="B384" s="390"/>
      <c r="C384" s="485"/>
      <c r="D384" s="485"/>
      <c r="E384" s="485"/>
      <c r="F384" s="485"/>
    </row>
    <row r="385" spans="1:6" ht="15" customHeight="1" x14ac:dyDescent="0.2">
      <c r="A385" s="390"/>
      <c r="B385" s="390"/>
      <c r="C385" s="485"/>
      <c r="D385" s="485"/>
      <c r="E385" s="485"/>
      <c r="F385" s="485"/>
    </row>
    <row r="386" spans="1:6" ht="15" customHeight="1" x14ac:dyDescent="0.2">
      <c r="A386" s="390"/>
      <c r="B386" s="390"/>
      <c r="C386" s="485"/>
      <c r="D386" s="485"/>
      <c r="E386" s="485"/>
      <c r="F386" s="485"/>
    </row>
    <row r="387" spans="1:6" ht="15" customHeight="1" x14ac:dyDescent="0.2">
      <c r="A387" s="390"/>
      <c r="B387" s="390"/>
      <c r="C387" s="485"/>
      <c r="D387" s="485"/>
      <c r="E387" s="485"/>
      <c r="F387" s="485"/>
    </row>
    <row r="388" spans="1:6" ht="15" customHeight="1" x14ac:dyDescent="0.2">
      <c r="A388" s="390"/>
      <c r="B388" s="390"/>
      <c r="C388" s="485"/>
      <c r="D388" s="485"/>
      <c r="E388" s="485"/>
      <c r="F388" s="485"/>
    </row>
    <row r="389" spans="1:6" ht="15" customHeight="1" x14ac:dyDescent="0.2">
      <c r="A389" s="390"/>
      <c r="B389" s="390"/>
      <c r="C389" s="485"/>
      <c r="D389" s="485"/>
      <c r="E389" s="485"/>
      <c r="F389" s="485"/>
    </row>
    <row r="390" spans="1:6" ht="15" customHeight="1" x14ac:dyDescent="0.2">
      <c r="A390" s="390"/>
      <c r="B390" s="390"/>
      <c r="C390" s="485"/>
      <c r="D390" s="485"/>
      <c r="E390" s="485"/>
      <c r="F390" s="485"/>
    </row>
    <row r="391" spans="1:6" ht="15" customHeight="1" x14ac:dyDescent="0.2">
      <c r="A391" s="390"/>
      <c r="B391" s="390"/>
      <c r="C391" s="485"/>
      <c r="D391" s="485"/>
      <c r="E391" s="485"/>
      <c r="F391" s="485"/>
    </row>
    <row r="392" spans="1:6" ht="15" customHeight="1" x14ac:dyDescent="0.2">
      <c r="A392" s="390"/>
      <c r="B392" s="390"/>
      <c r="C392" s="485"/>
      <c r="D392" s="485"/>
      <c r="E392" s="485"/>
      <c r="F392" s="485"/>
    </row>
    <row r="393" spans="1:6" ht="15" customHeight="1" x14ac:dyDescent="0.2">
      <c r="A393" s="390"/>
      <c r="B393" s="390"/>
      <c r="C393" s="485"/>
      <c r="D393" s="485"/>
      <c r="E393" s="485"/>
      <c r="F393" s="485"/>
    </row>
    <row r="394" spans="1:6" ht="15" customHeight="1" x14ac:dyDescent="0.2">
      <c r="A394" s="390"/>
      <c r="B394" s="390"/>
      <c r="C394" s="485"/>
      <c r="D394" s="485"/>
      <c r="E394" s="485"/>
      <c r="F394" s="485"/>
    </row>
    <row r="395" spans="1:6" ht="15" customHeight="1" x14ac:dyDescent="0.2">
      <c r="A395" s="390"/>
      <c r="B395" s="390"/>
      <c r="C395" s="485"/>
      <c r="D395" s="485"/>
      <c r="E395" s="485"/>
      <c r="F395" s="485"/>
    </row>
    <row r="396" spans="1:6" ht="15" customHeight="1" x14ac:dyDescent="0.2">
      <c r="A396" s="390"/>
      <c r="B396" s="390"/>
      <c r="C396" s="485"/>
      <c r="D396" s="485"/>
      <c r="E396" s="485"/>
      <c r="F396" s="485"/>
    </row>
    <row r="397" spans="1:6" ht="15" customHeight="1" x14ac:dyDescent="0.2">
      <c r="A397" s="390"/>
      <c r="B397" s="390"/>
      <c r="C397" s="485"/>
      <c r="D397" s="485"/>
      <c r="E397" s="485"/>
      <c r="F397" s="485"/>
    </row>
    <row r="398" spans="1:6" ht="15" customHeight="1" x14ac:dyDescent="0.2">
      <c r="A398" s="390"/>
      <c r="B398" s="390"/>
      <c r="C398" s="485"/>
      <c r="D398" s="485"/>
      <c r="E398" s="485"/>
      <c r="F398" s="485"/>
    </row>
    <row r="399" spans="1:6" ht="15" customHeight="1" x14ac:dyDescent="0.2">
      <c r="A399" s="390"/>
      <c r="B399" s="390"/>
      <c r="C399" s="485"/>
      <c r="D399" s="485"/>
      <c r="E399" s="485"/>
      <c r="F399" s="485"/>
    </row>
    <row r="400" spans="1:6" ht="15" customHeight="1" x14ac:dyDescent="0.2">
      <c r="A400" s="390"/>
      <c r="B400" s="390"/>
      <c r="C400" s="485"/>
      <c r="D400" s="485"/>
      <c r="E400" s="485"/>
      <c r="F400" s="485"/>
    </row>
    <row r="401" spans="1:6" ht="15" customHeight="1" x14ac:dyDescent="0.2">
      <c r="A401" s="390"/>
      <c r="B401" s="390"/>
      <c r="C401" s="485"/>
      <c r="D401" s="485"/>
      <c r="E401" s="485"/>
      <c r="F401" s="485"/>
    </row>
    <row r="402" spans="1:6" ht="15" customHeight="1" x14ac:dyDescent="0.2">
      <c r="A402" s="390"/>
      <c r="B402" s="390"/>
      <c r="C402" s="485"/>
      <c r="D402" s="485"/>
      <c r="E402" s="485"/>
      <c r="F402" s="485"/>
    </row>
    <row r="403" spans="1:6" ht="15" customHeight="1" x14ac:dyDescent="0.2">
      <c r="A403" s="390"/>
      <c r="B403" s="390"/>
      <c r="C403" s="485"/>
      <c r="D403" s="485"/>
      <c r="E403" s="485"/>
      <c r="F403" s="485"/>
    </row>
    <row r="404" spans="1:6" ht="15" customHeight="1" x14ac:dyDescent="0.2">
      <c r="A404" s="390"/>
      <c r="B404" s="390"/>
      <c r="C404" s="485"/>
      <c r="D404" s="485"/>
      <c r="E404" s="485"/>
      <c r="F404" s="485"/>
    </row>
    <row r="405" spans="1:6" ht="15" customHeight="1" x14ac:dyDescent="0.2">
      <c r="A405" s="390"/>
      <c r="B405" s="390"/>
      <c r="C405" s="485"/>
      <c r="D405" s="485"/>
      <c r="E405" s="485"/>
      <c r="F405" s="485"/>
    </row>
    <row r="406" spans="1:6" ht="15" customHeight="1" x14ac:dyDescent="0.2">
      <c r="A406" s="390"/>
      <c r="B406" s="390"/>
      <c r="C406" s="485"/>
      <c r="D406" s="485"/>
      <c r="E406" s="485"/>
      <c r="F406" s="485"/>
    </row>
    <row r="407" spans="1:6" ht="15" customHeight="1" x14ac:dyDescent="0.2">
      <c r="A407" s="390"/>
      <c r="B407" s="390"/>
      <c r="C407" s="485"/>
      <c r="D407" s="485"/>
      <c r="E407" s="485"/>
      <c r="F407" s="485"/>
    </row>
    <row r="408" spans="1:6" ht="15" customHeight="1" x14ac:dyDescent="0.2">
      <c r="A408" s="390"/>
      <c r="B408" s="390"/>
      <c r="C408" s="485"/>
      <c r="D408" s="485"/>
      <c r="E408" s="485"/>
      <c r="F408" s="485"/>
    </row>
    <row r="409" spans="1:6" ht="15" customHeight="1" x14ac:dyDescent="0.2">
      <c r="A409" s="390"/>
      <c r="B409" s="390"/>
      <c r="C409" s="485"/>
      <c r="D409" s="485"/>
      <c r="E409" s="485"/>
      <c r="F409" s="485"/>
    </row>
    <row r="410" spans="1:6" ht="15" customHeight="1" x14ac:dyDescent="0.2">
      <c r="A410" s="390"/>
      <c r="B410" s="390"/>
      <c r="C410" s="485"/>
      <c r="D410" s="485"/>
      <c r="E410" s="485"/>
      <c r="F410" s="485"/>
    </row>
    <row r="411" spans="1:6" ht="15" customHeight="1" x14ac:dyDescent="0.2">
      <c r="A411" s="390"/>
      <c r="B411" s="390"/>
      <c r="C411" s="485"/>
      <c r="D411" s="485"/>
      <c r="E411" s="485"/>
      <c r="F411" s="485"/>
    </row>
    <row r="412" spans="1:6" ht="15" customHeight="1" x14ac:dyDescent="0.2">
      <c r="A412" s="390"/>
      <c r="B412" s="390"/>
      <c r="C412" s="485"/>
      <c r="D412" s="485"/>
      <c r="E412" s="485"/>
      <c r="F412" s="485"/>
    </row>
    <row r="413" spans="1:6" ht="15" customHeight="1" x14ac:dyDescent="0.2">
      <c r="A413" s="390"/>
      <c r="B413" s="390"/>
      <c r="C413" s="485"/>
      <c r="D413" s="485"/>
      <c r="E413" s="485"/>
      <c r="F413" s="485"/>
    </row>
    <row r="414" spans="1:6" ht="15" customHeight="1" x14ac:dyDescent="0.2">
      <c r="A414" s="390"/>
      <c r="B414" s="390"/>
      <c r="C414" s="485"/>
      <c r="D414" s="485"/>
      <c r="E414" s="485"/>
      <c r="F414" s="485"/>
    </row>
    <row r="415" spans="1:6" ht="15" customHeight="1" x14ac:dyDescent="0.2">
      <c r="A415" s="390"/>
      <c r="B415" s="390"/>
      <c r="C415" s="485"/>
      <c r="D415" s="485"/>
      <c r="E415" s="485"/>
      <c r="F415" s="485"/>
    </row>
    <row r="416" spans="1:6" ht="15" customHeight="1" x14ac:dyDescent="0.2">
      <c r="A416" s="390"/>
      <c r="B416" s="390"/>
      <c r="C416" s="485"/>
      <c r="D416" s="485"/>
      <c r="E416" s="485"/>
      <c r="F416" s="485"/>
    </row>
    <row r="417" spans="1:6" ht="15" customHeight="1" x14ac:dyDescent="0.2">
      <c r="A417" s="390"/>
      <c r="B417" s="390"/>
      <c r="C417" s="485"/>
      <c r="D417" s="485"/>
      <c r="E417" s="485"/>
      <c r="F417" s="485"/>
    </row>
    <row r="418" spans="1:6" ht="15" customHeight="1" x14ac:dyDescent="0.2">
      <c r="A418" s="390"/>
      <c r="B418" s="390"/>
      <c r="C418" s="485"/>
      <c r="D418" s="485"/>
      <c r="E418" s="485"/>
      <c r="F418" s="485"/>
    </row>
    <row r="419" spans="1:6" ht="15" customHeight="1" x14ac:dyDescent="0.2">
      <c r="A419" s="390"/>
      <c r="B419" s="390"/>
      <c r="C419" s="485"/>
      <c r="D419" s="485"/>
      <c r="E419" s="485"/>
      <c r="F419" s="485"/>
    </row>
    <row r="420" spans="1:6" ht="15" customHeight="1" x14ac:dyDescent="0.2">
      <c r="A420" s="390"/>
      <c r="B420" s="390"/>
      <c r="C420" s="485"/>
      <c r="D420" s="485"/>
      <c r="E420" s="485"/>
      <c r="F420" s="485"/>
    </row>
    <row r="421" spans="1:6" ht="15" customHeight="1" x14ac:dyDescent="0.2">
      <c r="A421" s="390"/>
      <c r="B421" s="390"/>
      <c r="C421" s="485"/>
      <c r="D421" s="485"/>
      <c r="E421" s="485"/>
      <c r="F421" s="485"/>
    </row>
    <row r="422" spans="1:6" ht="15" customHeight="1" x14ac:dyDescent="0.2">
      <c r="A422" s="390"/>
      <c r="B422" s="390"/>
      <c r="C422" s="485"/>
      <c r="D422" s="485"/>
      <c r="E422" s="485"/>
      <c r="F422" s="485"/>
    </row>
    <row r="423" spans="1:6" ht="15" customHeight="1" x14ac:dyDescent="0.2">
      <c r="A423" s="390"/>
      <c r="B423" s="390"/>
      <c r="C423" s="485"/>
      <c r="D423" s="485"/>
      <c r="E423" s="485"/>
      <c r="F423" s="485"/>
    </row>
    <row r="424" spans="1:6" ht="15" customHeight="1" x14ac:dyDescent="0.2">
      <c r="A424" s="390"/>
      <c r="B424" s="390"/>
      <c r="C424" s="485"/>
      <c r="D424" s="485"/>
      <c r="E424" s="485"/>
      <c r="F424" s="485"/>
    </row>
    <row r="425" spans="1:6" ht="15" customHeight="1" x14ac:dyDescent="0.2">
      <c r="A425" s="390"/>
      <c r="B425" s="390"/>
      <c r="C425" s="485"/>
      <c r="D425" s="485"/>
      <c r="E425" s="485"/>
      <c r="F425" s="485"/>
    </row>
    <row r="426" spans="1:6" ht="15" customHeight="1" x14ac:dyDescent="0.2">
      <c r="A426" s="390"/>
      <c r="B426" s="390"/>
      <c r="C426" s="485"/>
      <c r="D426" s="485"/>
      <c r="E426" s="485"/>
      <c r="F426" s="485"/>
    </row>
    <row r="427" spans="1:6" ht="15" customHeight="1" x14ac:dyDescent="0.2">
      <c r="A427" s="390"/>
      <c r="B427" s="390"/>
      <c r="C427" s="485"/>
      <c r="D427" s="485"/>
      <c r="E427" s="485"/>
      <c r="F427" s="485"/>
    </row>
    <row r="428" spans="1:6" ht="15" customHeight="1" x14ac:dyDescent="0.2">
      <c r="A428" s="390"/>
      <c r="B428" s="390"/>
      <c r="C428" s="485"/>
      <c r="D428" s="485"/>
      <c r="E428" s="485"/>
      <c r="F428" s="485"/>
    </row>
    <row r="429" spans="1:6" ht="15" customHeight="1" x14ac:dyDescent="0.2">
      <c r="A429" s="390"/>
      <c r="B429" s="390"/>
      <c r="C429" s="485"/>
      <c r="D429" s="485"/>
      <c r="E429" s="485"/>
      <c r="F429" s="485"/>
    </row>
    <row r="430" spans="1:6" ht="15" customHeight="1" x14ac:dyDescent="0.2">
      <c r="A430" s="390"/>
      <c r="B430" s="390"/>
      <c r="C430" s="485"/>
      <c r="D430" s="485"/>
      <c r="E430" s="485"/>
      <c r="F430" s="485"/>
    </row>
    <row r="431" spans="1:6" ht="15" customHeight="1" x14ac:dyDescent="0.2">
      <c r="A431" s="390"/>
      <c r="B431" s="390"/>
      <c r="C431" s="485"/>
      <c r="D431" s="485"/>
      <c r="E431" s="485"/>
      <c r="F431" s="485"/>
    </row>
    <row r="432" spans="1:6" ht="15" customHeight="1" x14ac:dyDescent="0.2">
      <c r="A432" s="390"/>
      <c r="B432" s="390"/>
      <c r="C432" s="485"/>
      <c r="D432" s="485"/>
      <c r="E432" s="485"/>
      <c r="F432" s="485"/>
    </row>
    <row r="433" spans="1:6" ht="15" customHeight="1" x14ac:dyDescent="0.2">
      <c r="A433" s="390"/>
      <c r="B433" s="390"/>
      <c r="C433" s="485"/>
      <c r="D433" s="485"/>
      <c r="E433" s="485"/>
      <c r="F433" s="485"/>
    </row>
    <row r="434" spans="1:6" ht="15" customHeight="1" x14ac:dyDescent="0.2">
      <c r="A434" s="390"/>
      <c r="B434" s="390"/>
      <c r="C434" s="485"/>
      <c r="D434" s="485"/>
      <c r="E434" s="485"/>
      <c r="F434" s="485"/>
    </row>
    <row r="435" spans="1:6" ht="15" customHeight="1" x14ac:dyDescent="0.2">
      <c r="A435" s="390"/>
      <c r="B435" s="390"/>
      <c r="C435" s="485"/>
      <c r="D435" s="485"/>
      <c r="E435" s="485"/>
      <c r="F435" s="485"/>
    </row>
    <row r="436" spans="1:6" ht="15" customHeight="1" x14ac:dyDescent="0.2">
      <c r="A436" s="390"/>
      <c r="B436" s="390"/>
      <c r="C436" s="485"/>
      <c r="D436" s="485"/>
      <c r="E436" s="485"/>
      <c r="F436" s="485"/>
    </row>
    <row r="437" spans="1:6" ht="15" customHeight="1" x14ac:dyDescent="0.2">
      <c r="A437" s="390"/>
      <c r="B437" s="390"/>
      <c r="C437" s="485"/>
      <c r="D437" s="485"/>
      <c r="E437" s="485"/>
      <c r="F437" s="485"/>
    </row>
    <row r="438" spans="1:6" ht="15" customHeight="1" x14ac:dyDescent="0.2">
      <c r="A438" s="390"/>
      <c r="B438" s="390"/>
      <c r="C438" s="485"/>
      <c r="D438" s="485"/>
      <c r="E438" s="485"/>
      <c r="F438" s="485"/>
    </row>
    <row r="439" spans="1:6" ht="15" customHeight="1" x14ac:dyDescent="0.2">
      <c r="A439" s="390"/>
      <c r="B439" s="390"/>
      <c r="C439" s="485"/>
      <c r="D439" s="485"/>
      <c r="E439" s="485"/>
      <c r="F439" s="485"/>
    </row>
    <row r="440" spans="1:6" ht="15" customHeight="1" x14ac:dyDescent="0.2">
      <c r="A440" s="390"/>
      <c r="B440" s="390"/>
      <c r="C440" s="485"/>
      <c r="D440" s="485"/>
      <c r="E440" s="485"/>
      <c r="F440" s="485"/>
    </row>
    <row r="441" spans="1:6" ht="15" customHeight="1" x14ac:dyDescent="0.2">
      <c r="A441" s="390"/>
      <c r="B441" s="390"/>
      <c r="C441" s="485"/>
      <c r="D441" s="485"/>
      <c r="E441" s="485"/>
      <c r="F441" s="485"/>
    </row>
    <row r="442" spans="1:6" ht="15" customHeight="1" x14ac:dyDescent="0.2">
      <c r="A442" s="390"/>
      <c r="B442" s="390"/>
      <c r="C442" s="485"/>
      <c r="D442" s="485"/>
      <c r="E442" s="485"/>
      <c r="F442" s="485"/>
    </row>
    <row r="443" spans="1:6" ht="15" customHeight="1" x14ac:dyDescent="0.2">
      <c r="A443" s="390"/>
      <c r="B443" s="390"/>
      <c r="C443" s="485"/>
      <c r="D443" s="485"/>
      <c r="E443" s="485"/>
      <c r="F443" s="485"/>
    </row>
    <row r="444" spans="1:6" ht="15" customHeight="1" x14ac:dyDescent="0.2">
      <c r="A444" s="390"/>
      <c r="B444" s="390"/>
      <c r="C444" s="485"/>
      <c r="D444" s="485"/>
      <c r="E444" s="485"/>
      <c r="F444" s="485"/>
    </row>
    <row r="445" spans="1:6" ht="15" customHeight="1" x14ac:dyDescent="0.2">
      <c r="A445" s="390"/>
      <c r="B445" s="390"/>
      <c r="C445" s="485"/>
      <c r="D445" s="485"/>
      <c r="E445" s="485"/>
      <c r="F445" s="485"/>
    </row>
    <row r="446" spans="1:6" ht="15" customHeight="1" x14ac:dyDescent="0.2">
      <c r="A446" s="390"/>
      <c r="B446" s="390"/>
      <c r="C446" s="485"/>
      <c r="D446" s="485"/>
      <c r="E446" s="485"/>
      <c r="F446" s="485"/>
    </row>
    <row r="447" spans="1:6" ht="15" customHeight="1" x14ac:dyDescent="0.2">
      <c r="A447" s="390"/>
      <c r="B447" s="390"/>
      <c r="C447" s="485"/>
      <c r="D447" s="485"/>
      <c r="E447" s="485"/>
      <c r="F447" s="485"/>
    </row>
    <row r="448" spans="1:6" ht="15" customHeight="1" x14ac:dyDescent="0.2">
      <c r="A448" s="390"/>
      <c r="B448" s="390"/>
      <c r="C448" s="485"/>
      <c r="D448" s="485"/>
      <c r="E448" s="485"/>
      <c r="F448" s="485"/>
    </row>
    <row r="449" spans="1:6" ht="15" customHeight="1" x14ac:dyDescent="0.2">
      <c r="A449" s="390"/>
      <c r="B449" s="390"/>
      <c r="C449" s="485"/>
      <c r="D449" s="485"/>
      <c r="E449" s="485"/>
      <c r="F449" s="485"/>
    </row>
    <row r="450" spans="1:6" ht="15" customHeight="1" x14ac:dyDescent="0.2">
      <c r="A450" s="390"/>
      <c r="B450" s="390"/>
      <c r="C450" s="485"/>
      <c r="D450" s="485"/>
      <c r="E450" s="485"/>
      <c r="F450" s="485"/>
    </row>
    <row r="451" spans="1:6" ht="15" customHeight="1" x14ac:dyDescent="0.2">
      <c r="A451" s="390"/>
      <c r="B451" s="390"/>
      <c r="C451" s="485"/>
      <c r="D451" s="485"/>
      <c r="E451" s="485"/>
      <c r="F451" s="485"/>
    </row>
    <row r="452" spans="1:6" ht="15" customHeight="1" x14ac:dyDescent="0.2">
      <c r="A452" s="390"/>
      <c r="B452" s="390"/>
      <c r="C452" s="485"/>
      <c r="D452" s="485"/>
      <c r="E452" s="485"/>
      <c r="F452" s="485"/>
    </row>
    <row r="453" spans="1:6" ht="15" customHeight="1" x14ac:dyDescent="0.2">
      <c r="A453" s="390"/>
      <c r="B453" s="390"/>
      <c r="C453" s="485"/>
      <c r="D453" s="485"/>
      <c r="E453" s="485"/>
      <c r="F453" s="485"/>
    </row>
    <row r="454" spans="1:6" ht="15" customHeight="1" x14ac:dyDescent="0.2">
      <c r="A454" s="390"/>
      <c r="B454" s="390"/>
      <c r="C454" s="485"/>
      <c r="D454" s="485"/>
      <c r="E454" s="485"/>
      <c r="F454" s="485"/>
    </row>
    <row r="455" spans="1:6" ht="15" customHeight="1" x14ac:dyDescent="0.2">
      <c r="A455" s="390"/>
      <c r="B455" s="390"/>
      <c r="C455" s="485"/>
      <c r="D455" s="485"/>
      <c r="E455" s="485"/>
      <c r="F455" s="485"/>
    </row>
    <row r="456" spans="1:6" ht="15" customHeight="1" x14ac:dyDescent="0.2">
      <c r="A456" s="390"/>
      <c r="B456" s="390"/>
      <c r="C456" s="485"/>
      <c r="D456" s="485"/>
      <c r="E456" s="485"/>
      <c r="F456" s="485"/>
    </row>
    <row r="457" spans="1:6" ht="15" customHeight="1" x14ac:dyDescent="0.2">
      <c r="A457" s="390"/>
      <c r="B457" s="390"/>
      <c r="C457" s="485"/>
      <c r="D457" s="485"/>
      <c r="E457" s="485"/>
      <c r="F457" s="485"/>
    </row>
    <row r="458" spans="1:6" ht="15" customHeight="1" x14ac:dyDescent="0.2">
      <c r="A458" s="390"/>
      <c r="B458" s="390"/>
      <c r="C458" s="485"/>
      <c r="D458" s="485"/>
      <c r="E458" s="485"/>
      <c r="F458" s="485"/>
    </row>
    <row r="459" spans="1:6" ht="15" customHeight="1" x14ac:dyDescent="0.2">
      <c r="A459" s="390"/>
      <c r="B459" s="390"/>
      <c r="C459" s="485"/>
      <c r="D459" s="485"/>
      <c r="E459" s="485"/>
      <c r="F459" s="485"/>
    </row>
    <row r="460" spans="1:6" ht="15" customHeight="1" x14ac:dyDescent="0.2">
      <c r="A460" s="390"/>
      <c r="B460" s="390"/>
      <c r="C460" s="485"/>
      <c r="D460" s="485"/>
      <c r="E460" s="485"/>
      <c r="F460" s="485"/>
    </row>
    <row r="461" spans="1:6" ht="15" customHeight="1" x14ac:dyDescent="0.2">
      <c r="A461" s="390"/>
      <c r="B461" s="390"/>
      <c r="C461" s="485"/>
      <c r="D461" s="485"/>
      <c r="E461" s="485"/>
      <c r="F461" s="485"/>
    </row>
    <row r="462" spans="1:6" ht="15" customHeight="1" x14ac:dyDescent="0.2">
      <c r="A462" s="390"/>
      <c r="B462" s="390"/>
      <c r="C462" s="485"/>
      <c r="D462" s="485"/>
      <c r="E462" s="485"/>
      <c r="F462" s="485"/>
    </row>
    <row r="463" spans="1:6" ht="15" customHeight="1" x14ac:dyDescent="0.2">
      <c r="A463" s="390"/>
      <c r="B463" s="390"/>
      <c r="C463" s="485"/>
      <c r="D463" s="485"/>
      <c r="E463" s="485"/>
      <c r="F463" s="485"/>
    </row>
    <row r="464" spans="1:6" ht="15" customHeight="1" x14ac:dyDescent="0.2">
      <c r="A464" s="390"/>
      <c r="B464" s="390"/>
      <c r="C464" s="485"/>
      <c r="D464" s="485"/>
      <c r="E464" s="485"/>
      <c r="F464" s="485"/>
    </row>
    <row r="465" spans="1:6" ht="15" customHeight="1" x14ac:dyDescent="0.2">
      <c r="A465" s="390"/>
      <c r="B465" s="390"/>
      <c r="C465" s="485"/>
      <c r="D465" s="485"/>
      <c r="E465" s="485"/>
      <c r="F465" s="485"/>
    </row>
    <row r="466" spans="1:6" ht="15" customHeight="1" x14ac:dyDescent="0.2">
      <c r="A466" s="390"/>
      <c r="B466" s="390"/>
      <c r="C466" s="485"/>
      <c r="D466" s="485"/>
      <c r="E466" s="485"/>
      <c r="F466" s="485"/>
    </row>
    <row r="467" spans="1:6" ht="15" customHeight="1" x14ac:dyDescent="0.2">
      <c r="A467" s="390"/>
      <c r="B467" s="390"/>
      <c r="C467" s="485"/>
      <c r="D467" s="485"/>
      <c r="E467" s="485"/>
      <c r="F467" s="485"/>
    </row>
    <row r="468" spans="1:6" ht="15" customHeight="1" x14ac:dyDescent="0.2">
      <c r="A468" s="390"/>
      <c r="B468" s="390"/>
      <c r="C468" s="485"/>
      <c r="D468" s="485"/>
      <c r="E468" s="485"/>
      <c r="F468" s="485"/>
    </row>
    <row r="469" spans="1:6" ht="15" customHeight="1" x14ac:dyDescent="0.2">
      <c r="A469" s="390"/>
      <c r="B469" s="390"/>
      <c r="C469" s="485"/>
      <c r="D469" s="485"/>
      <c r="E469" s="485"/>
      <c r="F469" s="485"/>
    </row>
    <row r="470" spans="1:6" ht="15" customHeight="1" x14ac:dyDescent="0.2">
      <c r="A470" s="390"/>
      <c r="B470" s="390"/>
      <c r="C470" s="485"/>
      <c r="D470" s="485"/>
      <c r="E470" s="485"/>
      <c r="F470" s="485"/>
    </row>
    <row r="471" spans="1:6" ht="15" customHeight="1" x14ac:dyDescent="0.2">
      <c r="A471" s="390"/>
      <c r="B471" s="390"/>
      <c r="C471" s="485"/>
      <c r="D471" s="485"/>
      <c r="E471" s="485"/>
      <c r="F471" s="485"/>
    </row>
    <row r="472" spans="1:6" ht="15" customHeight="1" x14ac:dyDescent="0.2">
      <c r="A472" s="390"/>
      <c r="B472" s="390"/>
      <c r="C472" s="485"/>
      <c r="D472" s="485"/>
      <c r="E472" s="485"/>
      <c r="F472" s="485"/>
    </row>
    <row r="473" spans="1:6" ht="15" customHeight="1" x14ac:dyDescent="0.2">
      <c r="A473" s="390"/>
      <c r="B473" s="390"/>
      <c r="C473" s="485"/>
      <c r="D473" s="485"/>
      <c r="E473" s="485"/>
      <c r="F473" s="485"/>
    </row>
    <row r="474" spans="1:6" ht="15" customHeight="1" x14ac:dyDescent="0.2">
      <c r="A474" s="390"/>
      <c r="B474" s="390"/>
      <c r="C474" s="485"/>
      <c r="D474" s="485"/>
      <c r="E474" s="485"/>
      <c r="F474" s="485"/>
    </row>
    <row r="475" spans="1:6" ht="15" customHeight="1" x14ac:dyDescent="0.2">
      <c r="A475" s="390"/>
      <c r="B475" s="390"/>
      <c r="C475" s="485"/>
      <c r="D475" s="485"/>
      <c r="E475" s="485"/>
      <c r="F475" s="485"/>
    </row>
    <row r="476" spans="1:6" ht="15" customHeight="1" x14ac:dyDescent="0.2">
      <c r="A476" s="390"/>
      <c r="B476" s="390"/>
      <c r="C476" s="485"/>
      <c r="D476" s="485"/>
      <c r="E476" s="485"/>
      <c r="F476" s="485"/>
    </row>
    <row r="477" spans="1:6" ht="15" customHeight="1" x14ac:dyDescent="0.2">
      <c r="A477" s="390"/>
      <c r="B477" s="390"/>
      <c r="C477" s="485"/>
      <c r="D477" s="485"/>
      <c r="E477" s="485"/>
      <c r="F477" s="485"/>
    </row>
    <row r="478" spans="1:6" ht="15" customHeight="1" x14ac:dyDescent="0.2">
      <c r="A478" s="390"/>
      <c r="B478" s="390"/>
      <c r="C478" s="485"/>
      <c r="D478" s="485"/>
      <c r="E478" s="485"/>
      <c r="F478" s="485"/>
    </row>
    <row r="479" spans="1:6" ht="15" customHeight="1" x14ac:dyDescent="0.2">
      <c r="A479" s="390"/>
      <c r="B479" s="390"/>
      <c r="C479" s="485"/>
      <c r="D479" s="485"/>
      <c r="E479" s="485"/>
      <c r="F479" s="485"/>
    </row>
    <row r="480" spans="1:6" ht="15" customHeight="1" x14ac:dyDescent="0.2">
      <c r="A480" s="390"/>
      <c r="B480" s="390"/>
      <c r="C480" s="485"/>
      <c r="D480" s="485"/>
      <c r="E480" s="485"/>
      <c r="F480" s="485"/>
    </row>
    <row r="481" spans="1:6" ht="15" customHeight="1" x14ac:dyDescent="0.2">
      <c r="A481" s="390"/>
      <c r="B481" s="390"/>
      <c r="C481" s="485"/>
      <c r="D481" s="485"/>
      <c r="E481" s="485"/>
      <c r="F481" s="485"/>
    </row>
    <row r="482" spans="1:6" ht="15" customHeight="1" x14ac:dyDescent="0.2">
      <c r="A482" s="390"/>
      <c r="B482" s="390"/>
      <c r="C482" s="485"/>
      <c r="D482" s="485"/>
      <c r="E482" s="485"/>
      <c r="F482" s="485"/>
    </row>
    <row r="483" spans="1:6" ht="15" customHeight="1" x14ac:dyDescent="0.2">
      <c r="A483" s="390"/>
      <c r="B483" s="390"/>
      <c r="C483" s="485"/>
      <c r="D483" s="485"/>
      <c r="E483" s="485"/>
      <c r="F483" s="485"/>
    </row>
    <row r="484" spans="1:6" ht="15" customHeight="1" x14ac:dyDescent="0.2">
      <c r="A484" s="390"/>
      <c r="B484" s="390"/>
      <c r="C484" s="485"/>
      <c r="D484" s="485"/>
      <c r="E484" s="485"/>
      <c r="F484" s="485"/>
    </row>
    <row r="485" spans="1:6" ht="15" customHeight="1" x14ac:dyDescent="0.2">
      <c r="A485" s="390"/>
      <c r="B485" s="390"/>
      <c r="C485" s="485"/>
      <c r="D485" s="485"/>
      <c r="E485" s="485"/>
      <c r="F485" s="485"/>
    </row>
    <row r="486" spans="1:6" ht="15" customHeight="1" x14ac:dyDescent="0.2">
      <c r="A486" s="390"/>
      <c r="B486" s="390"/>
      <c r="C486" s="485"/>
      <c r="D486" s="485"/>
      <c r="E486" s="485"/>
      <c r="F486" s="485"/>
    </row>
    <row r="487" spans="1:6" ht="15" customHeight="1" x14ac:dyDescent="0.2">
      <c r="A487" s="390"/>
      <c r="B487" s="390"/>
      <c r="C487" s="485"/>
      <c r="D487" s="485"/>
      <c r="E487" s="485"/>
      <c r="F487" s="485"/>
    </row>
    <row r="488" spans="1:6" ht="15" customHeight="1" x14ac:dyDescent="0.2">
      <c r="A488" s="390"/>
      <c r="B488" s="390"/>
      <c r="C488" s="485"/>
      <c r="D488" s="485"/>
      <c r="E488" s="485"/>
      <c r="F488" s="485"/>
    </row>
    <row r="489" spans="1:6" ht="15" customHeight="1" x14ac:dyDescent="0.2">
      <c r="A489" s="390"/>
      <c r="B489" s="390"/>
      <c r="C489" s="485"/>
      <c r="D489" s="485"/>
      <c r="E489" s="485"/>
      <c r="F489" s="485"/>
    </row>
    <row r="490" spans="1:6" ht="15" customHeight="1" x14ac:dyDescent="0.2">
      <c r="A490" s="390"/>
      <c r="B490" s="390"/>
      <c r="C490" s="485"/>
      <c r="D490" s="485"/>
      <c r="E490" s="485"/>
      <c r="F490" s="485"/>
    </row>
    <row r="491" spans="1:6" ht="15" customHeight="1" x14ac:dyDescent="0.2">
      <c r="A491" s="390"/>
      <c r="B491" s="390"/>
      <c r="C491" s="485"/>
      <c r="D491" s="485"/>
      <c r="E491" s="485"/>
      <c r="F491" s="485"/>
    </row>
    <row r="492" spans="1:6" ht="15" customHeight="1" x14ac:dyDescent="0.2">
      <c r="A492" s="390"/>
      <c r="B492" s="390"/>
      <c r="C492" s="485"/>
      <c r="D492" s="485"/>
      <c r="E492" s="485"/>
      <c r="F492" s="485"/>
    </row>
    <row r="493" spans="1:6" ht="15" customHeight="1" x14ac:dyDescent="0.2">
      <c r="A493" s="390"/>
      <c r="B493" s="390"/>
      <c r="C493" s="485"/>
      <c r="D493" s="485"/>
      <c r="E493" s="485"/>
      <c r="F493" s="485"/>
    </row>
    <row r="494" spans="1:6" ht="15" customHeight="1" x14ac:dyDescent="0.2">
      <c r="A494" s="390"/>
      <c r="B494" s="390"/>
      <c r="C494" s="485"/>
      <c r="D494" s="485"/>
      <c r="E494" s="485"/>
      <c r="F494" s="485"/>
    </row>
    <row r="495" spans="1:6" ht="15" customHeight="1" x14ac:dyDescent="0.2">
      <c r="A495" s="390"/>
      <c r="B495" s="390"/>
      <c r="C495" s="485"/>
      <c r="D495" s="485"/>
      <c r="E495" s="485"/>
      <c r="F495" s="485"/>
    </row>
    <row r="496" spans="1:6" ht="15" customHeight="1" x14ac:dyDescent="0.2">
      <c r="A496" s="390"/>
      <c r="B496" s="390"/>
      <c r="C496" s="485"/>
      <c r="D496" s="485"/>
      <c r="E496" s="485"/>
      <c r="F496" s="485"/>
    </row>
    <row r="497" spans="1:6" ht="15" customHeight="1" x14ac:dyDescent="0.2">
      <c r="A497" s="390"/>
      <c r="B497" s="390"/>
      <c r="C497" s="485"/>
      <c r="D497" s="485"/>
      <c r="E497" s="485"/>
      <c r="F497" s="485"/>
    </row>
    <row r="498" spans="1:6" ht="15" customHeight="1" x14ac:dyDescent="0.2">
      <c r="A498" s="390"/>
      <c r="B498" s="390"/>
      <c r="C498" s="485"/>
      <c r="D498" s="485"/>
      <c r="E498" s="485"/>
      <c r="F498" s="485"/>
    </row>
    <row r="499" spans="1:6" ht="15" customHeight="1" x14ac:dyDescent="0.2">
      <c r="A499" s="390"/>
      <c r="B499" s="390"/>
      <c r="C499" s="485"/>
      <c r="D499" s="485"/>
      <c r="E499" s="485"/>
      <c r="F499" s="485"/>
    </row>
    <row r="500" spans="1:6" ht="15" customHeight="1" x14ac:dyDescent="0.2">
      <c r="A500" s="390"/>
      <c r="B500" s="390"/>
      <c r="C500" s="485"/>
      <c r="D500" s="485"/>
      <c r="E500" s="485"/>
      <c r="F500" s="485"/>
    </row>
    <row r="501" spans="1:6" ht="15" customHeight="1" x14ac:dyDescent="0.2">
      <c r="A501" s="390"/>
      <c r="B501" s="390"/>
      <c r="C501" s="485"/>
      <c r="D501" s="485"/>
      <c r="E501" s="485"/>
      <c r="F501" s="485"/>
    </row>
    <row r="502" spans="1:6" ht="15" customHeight="1" x14ac:dyDescent="0.2">
      <c r="A502" s="390"/>
      <c r="B502" s="390"/>
      <c r="C502" s="485"/>
      <c r="D502" s="485"/>
      <c r="E502" s="485"/>
      <c r="F502" s="485"/>
    </row>
    <row r="503" spans="1:6" ht="15" customHeight="1" x14ac:dyDescent="0.2">
      <c r="A503" s="390"/>
      <c r="B503" s="390"/>
      <c r="C503" s="485"/>
      <c r="D503" s="485"/>
      <c r="E503" s="485"/>
      <c r="F503" s="485"/>
    </row>
    <row r="504" spans="1:6" ht="15" customHeight="1" x14ac:dyDescent="0.2">
      <c r="A504" s="390"/>
      <c r="B504" s="390"/>
      <c r="C504" s="485"/>
      <c r="D504" s="485"/>
      <c r="E504" s="485"/>
      <c r="F504" s="485"/>
    </row>
    <row r="505" spans="1:6" ht="15" customHeight="1" x14ac:dyDescent="0.2">
      <c r="A505" s="390"/>
      <c r="B505" s="390"/>
      <c r="C505" s="485"/>
      <c r="D505" s="485"/>
      <c r="E505" s="485"/>
      <c r="F505" s="485"/>
    </row>
    <row r="506" spans="1:6" ht="15" customHeight="1" x14ac:dyDescent="0.2">
      <c r="A506" s="390"/>
      <c r="B506" s="390"/>
      <c r="C506" s="485"/>
      <c r="D506" s="485"/>
      <c r="E506" s="485"/>
      <c r="F506" s="485"/>
    </row>
    <row r="507" spans="1:6" ht="15" customHeight="1" x14ac:dyDescent="0.2">
      <c r="A507" s="390"/>
      <c r="B507" s="390"/>
      <c r="C507" s="485"/>
      <c r="D507" s="485"/>
      <c r="E507" s="485"/>
      <c r="F507" s="485"/>
    </row>
    <row r="508" spans="1:6" ht="15" customHeight="1" x14ac:dyDescent="0.2">
      <c r="A508" s="390"/>
      <c r="B508" s="390"/>
      <c r="C508" s="485"/>
      <c r="D508" s="485"/>
      <c r="E508" s="485"/>
      <c r="F508" s="485"/>
    </row>
    <row r="509" spans="1:6" ht="15" customHeight="1" x14ac:dyDescent="0.2">
      <c r="A509" s="390"/>
      <c r="B509" s="390"/>
      <c r="C509" s="485"/>
      <c r="D509" s="485"/>
      <c r="E509" s="485"/>
      <c r="F509" s="485"/>
    </row>
    <row r="510" spans="1:6" ht="15" customHeight="1" x14ac:dyDescent="0.2">
      <c r="A510" s="390"/>
      <c r="B510" s="390"/>
      <c r="C510" s="485"/>
      <c r="D510" s="485"/>
      <c r="E510" s="485"/>
      <c r="F510" s="485"/>
    </row>
    <row r="511" spans="1:6" ht="15" customHeight="1" x14ac:dyDescent="0.2">
      <c r="A511" s="390"/>
      <c r="B511" s="390"/>
      <c r="C511" s="485"/>
      <c r="D511" s="485"/>
      <c r="E511" s="485"/>
      <c r="F511" s="485"/>
    </row>
    <row r="512" spans="1:6" ht="15" customHeight="1" x14ac:dyDescent="0.2">
      <c r="A512" s="390"/>
      <c r="B512" s="390"/>
      <c r="C512" s="485"/>
      <c r="D512" s="485"/>
      <c r="E512" s="485"/>
      <c r="F512" s="485"/>
    </row>
    <row r="513" spans="1:6" ht="15" customHeight="1" x14ac:dyDescent="0.2">
      <c r="A513" s="390"/>
      <c r="B513" s="390"/>
      <c r="C513" s="485"/>
      <c r="D513" s="485"/>
      <c r="E513" s="485"/>
      <c r="F513" s="485"/>
    </row>
    <row r="514" spans="1:6" ht="15" customHeight="1" x14ac:dyDescent="0.2">
      <c r="A514" s="390"/>
      <c r="B514" s="390"/>
      <c r="C514" s="485"/>
      <c r="D514" s="485"/>
      <c r="E514" s="485"/>
      <c r="F514" s="485"/>
    </row>
    <row r="515" spans="1:6" ht="15" customHeight="1" x14ac:dyDescent="0.2">
      <c r="A515" s="390"/>
      <c r="B515" s="390"/>
      <c r="C515" s="485"/>
      <c r="D515" s="485"/>
      <c r="E515" s="485"/>
      <c r="F515" s="485"/>
    </row>
    <row r="516" spans="1:6" ht="15" customHeight="1" x14ac:dyDescent="0.2">
      <c r="A516" s="390"/>
      <c r="B516" s="390"/>
      <c r="C516" s="485"/>
      <c r="D516" s="485"/>
      <c r="E516" s="485"/>
      <c r="F516" s="485"/>
    </row>
    <row r="517" spans="1:6" ht="15" customHeight="1" x14ac:dyDescent="0.2">
      <c r="A517" s="390"/>
      <c r="B517" s="390"/>
      <c r="C517" s="485"/>
      <c r="D517" s="485"/>
      <c r="E517" s="485"/>
      <c r="F517" s="485"/>
    </row>
    <row r="518" spans="1:6" ht="15" customHeight="1" x14ac:dyDescent="0.2">
      <c r="A518" s="390"/>
      <c r="B518" s="390"/>
      <c r="C518" s="485"/>
      <c r="D518" s="485"/>
      <c r="E518" s="485"/>
      <c r="F518" s="485"/>
    </row>
    <row r="519" spans="1:6" ht="15" customHeight="1" x14ac:dyDescent="0.2">
      <c r="A519" s="390"/>
      <c r="B519" s="390"/>
      <c r="C519" s="485"/>
      <c r="D519" s="485"/>
      <c r="E519" s="485"/>
      <c r="F519" s="485"/>
    </row>
    <row r="520" spans="1:6" ht="15" customHeight="1" x14ac:dyDescent="0.2">
      <c r="A520" s="390"/>
      <c r="B520" s="390"/>
      <c r="C520" s="485"/>
      <c r="D520" s="485"/>
      <c r="E520" s="485"/>
      <c r="F520" s="485"/>
    </row>
    <row r="521" spans="1:6" ht="15" customHeight="1" x14ac:dyDescent="0.2">
      <c r="A521" s="390"/>
      <c r="B521" s="390"/>
      <c r="C521" s="485"/>
      <c r="D521" s="485"/>
      <c r="E521" s="485"/>
      <c r="F521" s="485"/>
    </row>
    <row r="522" spans="1:6" ht="15" customHeight="1" x14ac:dyDescent="0.2">
      <c r="A522" s="390"/>
      <c r="B522" s="390"/>
      <c r="C522" s="485"/>
      <c r="D522" s="485"/>
      <c r="E522" s="485"/>
      <c r="F522" s="485"/>
    </row>
    <row r="523" spans="1:6" ht="15" customHeight="1" x14ac:dyDescent="0.2">
      <c r="A523" s="390"/>
      <c r="B523" s="390"/>
      <c r="C523" s="485"/>
      <c r="D523" s="485"/>
      <c r="E523" s="485"/>
      <c r="F523" s="485"/>
    </row>
    <row r="524" spans="1:6" ht="15" customHeight="1" x14ac:dyDescent="0.2">
      <c r="A524" s="390"/>
      <c r="B524" s="390"/>
      <c r="C524" s="485"/>
      <c r="D524" s="485"/>
      <c r="E524" s="485"/>
      <c r="F524" s="485"/>
    </row>
    <row r="525" spans="1:6" ht="15" customHeight="1" x14ac:dyDescent="0.2">
      <c r="A525" s="390"/>
      <c r="B525" s="390"/>
      <c r="C525" s="485"/>
      <c r="D525" s="485"/>
      <c r="E525" s="485"/>
      <c r="F525" s="485"/>
    </row>
    <row r="526" spans="1:6" ht="15" customHeight="1" x14ac:dyDescent="0.2">
      <c r="A526" s="390"/>
      <c r="B526" s="390"/>
      <c r="C526" s="485"/>
      <c r="D526" s="485"/>
      <c r="E526" s="485"/>
      <c r="F526" s="485"/>
    </row>
    <row r="527" spans="1:6" ht="15" customHeight="1" x14ac:dyDescent="0.2">
      <c r="A527" s="390"/>
      <c r="B527" s="390"/>
      <c r="C527" s="485"/>
      <c r="D527" s="485"/>
      <c r="E527" s="485"/>
      <c r="F527" s="485"/>
    </row>
    <row r="528" spans="1:6" ht="15" customHeight="1" x14ac:dyDescent="0.2">
      <c r="A528" s="390"/>
      <c r="B528" s="390"/>
      <c r="C528" s="485"/>
      <c r="D528" s="485"/>
      <c r="E528" s="485"/>
      <c r="F528" s="485"/>
    </row>
    <row r="529" spans="1:6" ht="15" customHeight="1" x14ac:dyDescent="0.2">
      <c r="A529" s="390"/>
      <c r="B529" s="390"/>
      <c r="C529" s="485"/>
      <c r="D529" s="485"/>
      <c r="E529" s="485"/>
      <c r="F529" s="485"/>
    </row>
    <row r="530" spans="1:6" ht="15" customHeight="1" x14ac:dyDescent="0.2">
      <c r="A530" s="390"/>
      <c r="B530" s="390"/>
      <c r="C530" s="485"/>
      <c r="D530" s="485"/>
      <c r="E530" s="485"/>
      <c r="F530" s="485"/>
    </row>
    <row r="531" spans="1:6" ht="15" customHeight="1" x14ac:dyDescent="0.2">
      <c r="A531" s="390"/>
      <c r="B531" s="390"/>
      <c r="C531" s="485"/>
      <c r="D531" s="485"/>
      <c r="E531" s="485"/>
      <c r="F531" s="485"/>
    </row>
    <row r="532" spans="1:6" ht="15" customHeight="1" x14ac:dyDescent="0.2">
      <c r="A532" s="390"/>
      <c r="B532" s="390"/>
      <c r="C532" s="485"/>
      <c r="D532" s="485"/>
      <c r="E532" s="485"/>
      <c r="F532" s="485"/>
    </row>
    <row r="533" spans="1:6" ht="15" customHeight="1" x14ac:dyDescent="0.2">
      <c r="A533" s="390"/>
      <c r="B533" s="390"/>
      <c r="C533" s="485"/>
      <c r="D533" s="485"/>
      <c r="E533" s="485"/>
      <c r="F533" s="485"/>
    </row>
    <row r="534" spans="1:6" ht="15" customHeight="1" x14ac:dyDescent="0.2">
      <c r="A534" s="390"/>
      <c r="B534" s="390"/>
      <c r="C534" s="485"/>
      <c r="D534" s="485"/>
      <c r="E534" s="485"/>
      <c r="F534" s="485"/>
    </row>
    <row r="535" spans="1:6" ht="15" customHeight="1" x14ac:dyDescent="0.2">
      <c r="A535" s="390"/>
      <c r="B535" s="390"/>
      <c r="C535" s="485"/>
      <c r="D535" s="485"/>
      <c r="E535" s="485"/>
      <c r="F535" s="485"/>
    </row>
    <row r="536" spans="1:6" ht="15" customHeight="1" x14ac:dyDescent="0.2">
      <c r="A536" s="390"/>
      <c r="B536" s="390"/>
      <c r="C536" s="485"/>
      <c r="D536" s="485"/>
      <c r="E536" s="485"/>
      <c r="F536" s="485"/>
    </row>
    <row r="537" spans="1:6" ht="15" customHeight="1" x14ac:dyDescent="0.2">
      <c r="A537" s="390"/>
      <c r="B537" s="390"/>
      <c r="C537" s="485"/>
      <c r="D537" s="485"/>
      <c r="E537" s="485"/>
      <c r="F537" s="485"/>
    </row>
    <row r="538" spans="1:6" ht="15" customHeight="1" x14ac:dyDescent="0.2">
      <c r="A538" s="390"/>
      <c r="B538" s="390"/>
      <c r="C538" s="485"/>
      <c r="D538" s="485"/>
      <c r="E538" s="485"/>
      <c r="F538" s="485"/>
    </row>
    <row r="539" spans="1:6" ht="15" customHeight="1" x14ac:dyDescent="0.2">
      <c r="A539" s="390"/>
      <c r="B539" s="390"/>
      <c r="C539" s="485"/>
      <c r="D539" s="485"/>
      <c r="E539" s="485"/>
      <c r="F539" s="485"/>
    </row>
    <row r="540" spans="1:6" ht="15" customHeight="1" x14ac:dyDescent="0.2">
      <c r="A540" s="390"/>
      <c r="B540" s="390"/>
      <c r="C540" s="485"/>
      <c r="D540" s="485"/>
      <c r="E540" s="485"/>
      <c r="F540" s="485"/>
    </row>
    <row r="541" spans="1:6" ht="15" customHeight="1" x14ac:dyDescent="0.2">
      <c r="A541" s="390"/>
      <c r="B541" s="390"/>
      <c r="C541" s="485"/>
      <c r="D541" s="485"/>
      <c r="E541" s="485"/>
      <c r="F541" s="485"/>
    </row>
    <row r="542" spans="1:6" ht="15" customHeight="1" x14ac:dyDescent="0.2">
      <c r="A542" s="390"/>
      <c r="B542" s="390"/>
      <c r="C542" s="485"/>
      <c r="D542" s="485"/>
      <c r="E542" s="485"/>
      <c r="F542" s="485"/>
    </row>
    <row r="543" spans="1:6" ht="15" customHeight="1" x14ac:dyDescent="0.2">
      <c r="A543" s="390"/>
      <c r="B543" s="390"/>
      <c r="C543" s="485"/>
      <c r="D543" s="485"/>
      <c r="E543" s="485"/>
      <c r="F543" s="485"/>
    </row>
    <row r="544" spans="1:6" ht="15" customHeight="1" x14ac:dyDescent="0.2">
      <c r="A544" s="390"/>
      <c r="B544" s="390"/>
      <c r="C544" s="485"/>
      <c r="D544" s="485"/>
      <c r="E544" s="485"/>
      <c r="F544" s="485"/>
    </row>
    <row r="545" spans="1:6" ht="15" customHeight="1" x14ac:dyDescent="0.2">
      <c r="A545" s="390"/>
      <c r="B545" s="390"/>
      <c r="C545" s="485"/>
      <c r="D545" s="485"/>
      <c r="E545" s="485"/>
      <c r="F545" s="485"/>
    </row>
    <row r="546" spans="1:6" ht="15" customHeight="1" x14ac:dyDescent="0.2">
      <c r="A546" s="390"/>
      <c r="B546" s="390"/>
      <c r="C546" s="485"/>
      <c r="D546" s="485"/>
      <c r="E546" s="485"/>
      <c r="F546" s="485"/>
    </row>
    <row r="547" spans="1:6" ht="15" customHeight="1" x14ac:dyDescent="0.2">
      <c r="A547" s="390"/>
      <c r="B547" s="390"/>
      <c r="C547" s="485"/>
      <c r="D547" s="485"/>
      <c r="E547" s="485"/>
      <c r="F547" s="485"/>
    </row>
    <row r="548" spans="1:6" ht="15" customHeight="1" x14ac:dyDescent="0.2">
      <c r="A548" s="390"/>
      <c r="B548" s="390"/>
      <c r="C548" s="485"/>
      <c r="D548" s="485"/>
      <c r="E548" s="485"/>
      <c r="F548" s="485"/>
    </row>
    <row r="549" spans="1:6" ht="15" customHeight="1" x14ac:dyDescent="0.2">
      <c r="A549" s="390"/>
      <c r="B549" s="390"/>
      <c r="C549" s="485"/>
      <c r="D549" s="485"/>
      <c r="E549" s="485"/>
      <c r="F549" s="485"/>
    </row>
    <row r="550" spans="1:6" ht="15" customHeight="1" x14ac:dyDescent="0.2">
      <c r="A550" s="390"/>
      <c r="B550" s="390"/>
      <c r="C550" s="485"/>
      <c r="D550" s="485"/>
      <c r="E550" s="485"/>
      <c r="F550" s="485"/>
    </row>
    <row r="551" spans="1:6" ht="15" customHeight="1" x14ac:dyDescent="0.2">
      <c r="A551" s="390"/>
      <c r="B551" s="390"/>
      <c r="C551" s="485"/>
      <c r="D551" s="485"/>
      <c r="E551" s="485"/>
      <c r="F551" s="485"/>
    </row>
    <row r="552" spans="1:6" ht="15" customHeight="1" x14ac:dyDescent="0.2">
      <c r="A552" s="390"/>
      <c r="B552" s="390"/>
      <c r="C552" s="485"/>
      <c r="D552" s="485"/>
      <c r="E552" s="485"/>
      <c r="F552" s="485"/>
    </row>
    <row r="553" spans="1:6" ht="15" customHeight="1" x14ac:dyDescent="0.2">
      <c r="A553" s="390"/>
      <c r="B553" s="390"/>
      <c r="C553" s="485"/>
      <c r="D553" s="485"/>
      <c r="E553" s="485"/>
      <c r="F553" s="485"/>
    </row>
    <row r="554" spans="1:6" ht="15" customHeight="1" x14ac:dyDescent="0.2">
      <c r="A554" s="390"/>
      <c r="B554" s="390"/>
      <c r="C554" s="485"/>
      <c r="D554" s="485"/>
      <c r="E554" s="485"/>
      <c r="F554" s="485"/>
    </row>
    <row r="555" spans="1:6" ht="15" customHeight="1" x14ac:dyDescent="0.2">
      <c r="A555" s="390"/>
      <c r="B555" s="390"/>
      <c r="C555" s="485"/>
      <c r="D555" s="485"/>
      <c r="E555" s="485"/>
      <c r="F555" s="485"/>
    </row>
    <row r="556" spans="1:6" ht="15" customHeight="1" x14ac:dyDescent="0.2">
      <c r="A556" s="390"/>
      <c r="B556" s="390"/>
      <c r="C556" s="485"/>
      <c r="D556" s="485"/>
      <c r="E556" s="485"/>
      <c r="F556" s="485"/>
    </row>
    <row r="557" spans="1:6" ht="15" customHeight="1" x14ac:dyDescent="0.2">
      <c r="A557" s="390"/>
      <c r="B557" s="390"/>
      <c r="C557" s="485"/>
      <c r="D557" s="485"/>
      <c r="E557" s="485"/>
      <c r="F557" s="485"/>
    </row>
    <row r="558" spans="1:6" ht="15" customHeight="1" x14ac:dyDescent="0.2">
      <c r="A558" s="390"/>
      <c r="B558" s="390"/>
      <c r="C558" s="485"/>
      <c r="D558" s="485"/>
      <c r="E558" s="485"/>
      <c r="F558" s="485"/>
    </row>
    <row r="559" spans="1:6" ht="15" customHeight="1" x14ac:dyDescent="0.2">
      <c r="A559" s="390"/>
      <c r="B559" s="390"/>
      <c r="C559" s="485"/>
      <c r="D559" s="485"/>
      <c r="E559" s="485"/>
      <c r="F559" s="485"/>
    </row>
    <row r="560" spans="1:6" ht="15" customHeight="1" x14ac:dyDescent="0.2">
      <c r="A560" s="390"/>
      <c r="B560" s="390"/>
      <c r="C560" s="485"/>
      <c r="D560" s="485"/>
      <c r="E560" s="485"/>
      <c r="F560" s="485"/>
    </row>
    <row r="561" spans="1:6" ht="15" customHeight="1" x14ac:dyDescent="0.2">
      <c r="A561" s="390"/>
      <c r="B561" s="390"/>
      <c r="C561" s="485"/>
      <c r="D561" s="485"/>
      <c r="E561" s="485"/>
      <c r="F561" s="485"/>
    </row>
    <row r="562" spans="1:6" ht="15" customHeight="1" x14ac:dyDescent="0.2">
      <c r="A562" s="390"/>
      <c r="B562" s="390"/>
      <c r="C562" s="485"/>
      <c r="D562" s="485"/>
      <c r="E562" s="485"/>
      <c r="F562" s="485"/>
    </row>
    <row r="563" spans="1:6" ht="15" customHeight="1" x14ac:dyDescent="0.2">
      <c r="A563" s="390"/>
      <c r="B563" s="390"/>
      <c r="C563" s="485"/>
      <c r="D563" s="485"/>
      <c r="E563" s="485"/>
      <c r="F563" s="485"/>
    </row>
    <row r="564" spans="1:6" ht="15" customHeight="1" x14ac:dyDescent="0.2">
      <c r="A564" s="390"/>
      <c r="B564" s="390"/>
      <c r="C564" s="485"/>
      <c r="D564" s="485"/>
      <c r="E564" s="485"/>
      <c r="F564" s="485"/>
    </row>
    <row r="565" spans="1:6" ht="15" customHeight="1" x14ac:dyDescent="0.2">
      <c r="A565" s="390"/>
      <c r="B565" s="390"/>
      <c r="C565" s="485"/>
      <c r="D565" s="485"/>
      <c r="E565" s="485"/>
      <c r="F565" s="485"/>
    </row>
    <row r="566" spans="1:6" ht="15" customHeight="1" x14ac:dyDescent="0.2">
      <c r="A566" s="390"/>
      <c r="B566" s="390"/>
      <c r="C566" s="485"/>
      <c r="D566" s="485"/>
      <c r="E566" s="485"/>
      <c r="F566" s="485"/>
    </row>
    <row r="567" spans="1:6" ht="15" customHeight="1" x14ac:dyDescent="0.2">
      <c r="A567" s="390"/>
      <c r="B567" s="390"/>
      <c r="C567" s="485"/>
      <c r="D567" s="485"/>
      <c r="E567" s="485"/>
      <c r="F567" s="485"/>
    </row>
    <row r="568" spans="1:6" ht="15" customHeight="1" x14ac:dyDescent="0.2">
      <c r="A568" s="390"/>
      <c r="B568" s="390"/>
      <c r="C568" s="485"/>
      <c r="D568" s="485"/>
      <c r="E568" s="485"/>
      <c r="F568" s="485"/>
    </row>
    <row r="569" spans="1:6" ht="15" customHeight="1" x14ac:dyDescent="0.2">
      <c r="A569" s="390"/>
      <c r="B569" s="390"/>
      <c r="C569" s="485"/>
      <c r="D569" s="485"/>
      <c r="E569" s="485"/>
      <c r="F569" s="485"/>
    </row>
    <row r="570" spans="1:6" ht="15" customHeight="1" x14ac:dyDescent="0.2">
      <c r="A570" s="390"/>
      <c r="B570" s="390"/>
      <c r="C570" s="485"/>
      <c r="D570" s="485"/>
      <c r="E570" s="485"/>
      <c r="F570" s="485"/>
    </row>
    <row r="571" spans="1:6" ht="15" customHeight="1" x14ac:dyDescent="0.2">
      <c r="A571" s="390"/>
      <c r="B571" s="390"/>
      <c r="C571" s="485"/>
      <c r="D571" s="485"/>
      <c r="E571" s="485"/>
      <c r="F571" s="485"/>
    </row>
    <row r="572" spans="1:6" ht="15" customHeight="1" x14ac:dyDescent="0.2">
      <c r="A572" s="390"/>
      <c r="B572" s="390"/>
      <c r="C572" s="485"/>
      <c r="D572" s="485"/>
      <c r="E572" s="485"/>
      <c r="F572" s="485"/>
    </row>
    <row r="573" spans="1:6" ht="15" customHeight="1" x14ac:dyDescent="0.2">
      <c r="A573" s="390"/>
      <c r="B573" s="390"/>
      <c r="C573" s="485"/>
      <c r="D573" s="485"/>
      <c r="E573" s="485"/>
      <c r="F573" s="485"/>
    </row>
    <row r="574" spans="1:6" ht="15" customHeight="1" x14ac:dyDescent="0.2">
      <c r="A574" s="390"/>
      <c r="B574" s="390"/>
      <c r="C574" s="485"/>
      <c r="D574" s="485"/>
      <c r="E574" s="485"/>
      <c r="F574" s="485"/>
    </row>
    <row r="575" spans="1:6" ht="15" customHeight="1" x14ac:dyDescent="0.2">
      <c r="A575" s="390"/>
      <c r="B575" s="390"/>
      <c r="C575" s="485"/>
      <c r="D575" s="485"/>
      <c r="E575" s="485"/>
      <c r="F575" s="485"/>
    </row>
    <row r="576" spans="1:6" ht="15" customHeight="1" x14ac:dyDescent="0.2">
      <c r="A576" s="390"/>
      <c r="B576" s="390"/>
      <c r="C576" s="485"/>
      <c r="D576" s="485"/>
      <c r="E576" s="485"/>
      <c r="F576" s="485"/>
    </row>
    <row r="577" spans="1:7" ht="15" customHeight="1" x14ac:dyDescent="0.2">
      <c r="A577" s="390"/>
      <c r="B577" s="390"/>
      <c r="C577" s="485"/>
      <c r="D577" s="485"/>
      <c r="E577" s="485"/>
      <c r="F577" s="485"/>
    </row>
    <row r="578" spans="1:7" ht="15" customHeight="1" x14ac:dyDescent="0.2">
      <c r="A578" s="390"/>
      <c r="B578" s="390"/>
      <c r="C578" s="485"/>
      <c r="D578" s="485"/>
      <c r="E578" s="485"/>
      <c r="F578" s="485"/>
    </row>
    <row r="579" spans="1:7" ht="15" customHeight="1" x14ac:dyDescent="0.2">
      <c r="A579" s="390"/>
      <c r="B579" s="390"/>
      <c r="C579" s="485"/>
      <c r="D579" s="485"/>
      <c r="E579" s="485"/>
      <c r="F579" s="485"/>
    </row>
    <row r="580" spans="1:7" ht="15" customHeight="1" x14ac:dyDescent="0.2">
      <c r="A580" s="390"/>
      <c r="B580" s="390"/>
      <c r="C580" s="485"/>
      <c r="D580" s="485"/>
      <c r="E580" s="485"/>
      <c r="F580" s="485"/>
    </row>
    <row r="581" spans="1:7" ht="15" customHeight="1" x14ac:dyDescent="0.2">
      <c r="A581" s="390"/>
      <c r="B581" s="390"/>
      <c r="C581" s="485"/>
      <c r="D581" s="485"/>
      <c r="E581" s="485"/>
      <c r="F581" s="485"/>
    </row>
    <row r="582" spans="1:7" ht="15" customHeight="1" x14ac:dyDescent="0.2">
      <c r="A582" s="390"/>
      <c r="B582" s="390"/>
      <c r="C582" s="485"/>
      <c r="D582" s="485"/>
      <c r="E582" s="485"/>
      <c r="F582" s="485"/>
    </row>
    <row r="583" spans="1:7" ht="15" customHeight="1" x14ac:dyDescent="0.2">
      <c r="A583" s="390"/>
      <c r="B583" s="390"/>
      <c r="C583" s="485"/>
      <c r="D583" s="485"/>
      <c r="E583" s="485"/>
      <c r="F583" s="485"/>
    </row>
    <row r="584" spans="1:7" ht="15" customHeight="1" x14ac:dyDescent="0.2">
      <c r="A584" s="390"/>
      <c r="B584" s="390"/>
      <c r="C584" s="485"/>
      <c r="D584" s="485"/>
      <c r="E584" s="485"/>
      <c r="F584" s="485"/>
    </row>
    <row r="585" spans="1:7" ht="15" customHeight="1" x14ac:dyDescent="0.2">
      <c r="A585" s="390"/>
      <c r="B585" s="390"/>
      <c r="C585" s="485"/>
      <c r="D585" s="485"/>
      <c r="E585" s="485"/>
      <c r="F585" s="485"/>
    </row>
    <row r="586" spans="1:7" ht="15" customHeight="1" x14ac:dyDescent="0.2">
      <c r="A586" s="390"/>
      <c r="B586" s="390"/>
      <c r="C586" s="485"/>
      <c r="D586" s="485"/>
      <c r="E586" s="485"/>
      <c r="F586" s="485"/>
    </row>
    <row r="587" spans="1:7" ht="15" customHeight="1" x14ac:dyDescent="0.2">
      <c r="A587" s="390"/>
      <c r="B587" s="390"/>
      <c r="C587" s="485"/>
      <c r="D587" s="485"/>
      <c r="E587" s="485"/>
      <c r="F587" s="485"/>
    </row>
    <row r="588" spans="1:7" ht="15" customHeight="1" x14ac:dyDescent="0.2">
      <c r="A588" s="390"/>
      <c r="B588" s="390"/>
      <c r="C588" s="485"/>
      <c r="D588" s="485"/>
      <c r="E588" s="485"/>
      <c r="F588" s="485"/>
    </row>
    <row r="589" spans="1:7" ht="15" customHeight="1" x14ac:dyDescent="0.2">
      <c r="A589" s="390"/>
      <c r="B589" s="390"/>
      <c r="C589" s="485"/>
      <c r="D589" s="485"/>
      <c r="E589" s="485"/>
      <c r="F589" s="485"/>
    </row>
    <row r="590" spans="1:7" ht="15" customHeight="1" x14ac:dyDescent="0.2">
      <c r="A590" s="390"/>
      <c r="B590" s="390"/>
      <c r="C590" s="485"/>
      <c r="D590" s="485"/>
      <c r="E590" s="485"/>
      <c r="F590" s="485"/>
      <c r="G590" s="390"/>
    </row>
    <row r="591" spans="1:7" ht="15" customHeight="1" x14ac:dyDescent="0.2">
      <c r="A591" s="390"/>
      <c r="B591" s="390"/>
      <c r="C591" s="485"/>
      <c r="D591" s="485"/>
      <c r="E591" s="485"/>
      <c r="F591" s="485"/>
      <c r="G591" s="390"/>
    </row>
    <row r="592" spans="1:7" ht="15" customHeight="1" x14ac:dyDescent="0.25"/>
    <row r="593" spans="1:7" ht="15" customHeight="1" x14ac:dyDescent="0.2">
      <c r="A593" s="390"/>
      <c r="B593" s="390"/>
      <c r="C593" s="485"/>
      <c r="D593" s="485"/>
      <c r="E593" s="485"/>
      <c r="F593" s="485"/>
      <c r="G593" s="390"/>
    </row>
    <row r="594" spans="1:7" ht="15" customHeight="1" x14ac:dyDescent="0.2">
      <c r="A594" s="390"/>
      <c r="B594" s="390"/>
      <c r="C594" s="485"/>
      <c r="D594" s="485"/>
      <c r="E594" s="485"/>
      <c r="F594" s="485"/>
      <c r="G594" s="390"/>
    </row>
    <row r="595" spans="1:7" ht="14.25" x14ac:dyDescent="0.2">
      <c r="A595" s="390"/>
      <c r="B595" s="390"/>
      <c r="C595" s="485"/>
      <c r="D595" s="485"/>
      <c r="E595" s="485"/>
      <c r="F595" s="485"/>
      <c r="G595" s="390"/>
    </row>
    <row r="596" spans="1:7" ht="15" customHeight="1" x14ac:dyDescent="0.2">
      <c r="A596" s="390"/>
      <c r="B596" s="390"/>
      <c r="C596" s="485"/>
      <c r="D596" s="485"/>
      <c r="E596" s="485"/>
      <c r="F596" s="485"/>
      <c r="G596" s="390"/>
    </row>
    <row r="597" spans="1:7" ht="15" customHeight="1" x14ac:dyDescent="0.2">
      <c r="A597" s="390"/>
      <c r="B597" s="390"/>
      <c r="C597" s="485"/>
      <c r="D597" s="485"/>
      <c r="E597" s="485"/>
      <c r="F597" s="485"/>
      <c r="G597" s="390"/>
    </row>
    <row r="598" spans="1:7" ht="15" customHeight="1" x14ac:dyDescent="0.2">
      <c r="A598" s="390"/>
      <c r="B598" s="390"/>
      <c r="C598" s="485"/>
      <c r="D598" s="485"/>
      <c r="E598" s="485"/>
      <c r="F598" s="485"/>
      <c r="G598" s="390"/>
    </row>
    <row r="599" spans="1:7" ht="15" customHeight="1" x14ac:dyDescent="0.2">
      <c r="A599" s="390"/>
      <c r="B599" s="390"/>
      <c r="C599" s="485"/>
      <c r="D599" s="485"/>
      <c r="E599" s="485"/>
      <c r="F599" s="485"/>
      <c r="G599" s="390"/>
    </row>
    <row r="600" spans="1:7" ht="15" customHeight="1" x14ac:dyDescent="0.2">
      <c r="A600" s="390"/>
      <c r="B600" s="390"/>
      <c r="C600" s="485"/>
      <c r="D600" s="485"/>
      <c r="E600" s="485"/>
      <c r="F600" s="485"/>
      <c r="G600" s="390"/>
    </row>
    <row r="601" spans="1:7" ht="15" customHeight="1" x14ac:dyDescent="0.2">
      <c r="A601" s="390"/>
      <c r="B601" s="390"/>
      <c r="C601" s="485"/>
      <c r="D601" s="485"/>
      <c r="E601" s="485"/>
      <c r="F601" s="485"/>
      <c r="G601" s="390"/>
    </row>
    <row r="602" spans="1:7" ht="15" customHeight="1" x14ac:dyDescent="0.2">
      <c r="A602" s="390"/>
      <c r="B602" s="390"/>
      <c r="C602" s="485"/>
      <c r="D602" s="485"/>
      <c r="E602" s="485"/>
      <c r="F602" s="485"/>
      <c r="G602" s="390"/>
    </row>
    <row r="603" spans="1:7" ht="15" customHeight="1" x14ac:dyDescent="0.2">
      <c r="A603" s="390"/>
      <c r="B603" s="390"/>
      <c r="C603" s="485"/>
      <c r="D603" s="485"/>
      <c r="E603" s="485"/>
      <c r="F603" s="485"/>
      <c r="G603" s="390"/>
    </row>
    <row r="604" spans="1:7" ht="15" customHeight="1" x14ac:dyDescent="0.2">
      <c r="A604" s="390"/>
      <c r="B604" s="390"/>
      <c r="C604" s="485"/>
      <c r="D604" s="485"/>
      <c r="E604" s="485"/>
      <c r="F604" s="485"/>
      <c r="G604" s="390"/>
    </row>
    <row r="605" spans="1:7" ht="15" customHeight="1" x14ac:dyDescent="0.2">
      <c r="A605" s="390"/>
      <c r="B605" s="390"/>
      <c r="C605" s="485"/>
      <c r="D605" s="485"/>
      <c r="E605" s="485"/>
      <c r="F605" s="485"/>
      <c r="G605" s="390"/>
    </row>
    <row r="606" spans="1:7" ht="15" customHeight="1" x14ac:dyDescent="0.2">
      <c r="A606" s="390"/>
      <c r="B606" s="390"/>
      <c r="C606" s="485"/>
      <c r="D606" s="485"/>
      <c r="E606" s="485"/>
      <c r="F606" s="485"/>
    </row>
    <row r="607" spans="1:7" ht="15" customHeight="1" x14ac:dyDescent="0.2">
      <c r="A607" s="390"/>
      <c r="B607" s="390"/>
      <c r="C607" s="485"/>
      <c r="D607" s="485"/>
      <c r="E607" s="485"/>
      <c r="F607" s="485"/>
    </row>
    <row r="608" spans="1:7" ht="15" customHeight="1" x14ac:dyDescent="0.2">
      <c r="A608" s="390"/>
      <c r="B608" s="390"/>
      <c r="C608" s="485"/>
      <c r="D608" s="485"/>
      <c r="E608" s="485"/>
      <c r="F608" s="485"/>
    </row>
    <row r="609" spans="1:6" ht="15" customHeight="1" x14ac:dyDescent="0.2">
      <c r="A609" s="390"/>
      <c r="B609" s="390"/>
      <c r="C609" s="485"/>
      <c r="D609" s="485"/>
      <c r="E609" s="485"/>
      <c r="F609" s="485"/>
    </row>
    <row r="610" spans="1:6" ht="15" customHeight="1" x14ac:dyDescent="0.2">
      <c r="A610" s="390"/>
      <c r="B610" s="390"/>
      <c r="C610" s="485"/>
      <c r="D610" s="485"/>
      <c r="E610" s="485"/>
      <c r="F610" s="485"/>
    </row>
    <row r="611" spans="1:6" ht="15" customHeight="1" x14ac:dyDescent="0.2">
      <c r="A611" s="390"/>
      <c r="B611" s="390"/>
      <c r="C611" s="485"/>
      <c r="D611" s="485"/>
      <c r="E611" s="485"/>
      <c r="F611" s="485"/>
    </row>
    <row r="612" spans="1:6" ht="15" customHeight="1" x14ac:dyDescent="0.2">
      <c r="A612" s="390"/>
      <c r="B612" s="390"/>
      <c r="C612" s="485"/>
      <c r="D612" s="485"/>
      <c r="E612" s="485"/>
      <c r="F612" s="485"/>
    </row>
    <row r="613" spans="1:6" ht="15" customHeight="1" x14ac:dyDescent="0.2">
      <c r="A613" s="390"/>
      <c r="B613" s="390"/>
      <c r="C613" s="485"/>
      <c r="D613" s="485"/>
      <c r="E613" s="485"/>
      <c r="F613" s="485"/>
    </row>
    <row r="614" spans="1:6" ht="15" customHeight="1" x14ac:dyDescent="0.2">
      <c r="A614" s="390"/>
      <c r="B614" s="390"/>
      <c r="C614" s="485"/>
      <c r="D614" s="485"/>
      <c r="E614" s="485"/>
      <c r="F614" s="485"/>
    </row>
    <row r="615" spans="1:6" ht="15" customHeight="1" x14ac:dyDescent="0.2">
      <c r="A615" s="390"/>
      <c r="B615" s="390"/>
      <c r="C615" s="485"/>
      <c r="D615" s="485"/>
      <c r="E615" s="485"/>
      <c r="F615" s="485"/>
    </row>
    <row r="616" spans="1:6" ht="15" customHeight="1" x14ac:dyDescent="0.2">
      <c r="A616" s="390"/>
      <c r="B616" s="390"/>
      <c r="C616" s="485"/>
      <c r="D616" s="485"/>
      <c r="E616" s="485"/>
      <c r="F616" s="485"/>
    </row>
    <row r="617" spans="1:6" ht="15" customHeight="1" x14ac:dyDescent="0.2">
      <c r="A617" s="390"/>
      <c r="B617" s="390"/>
      <c r="C617" s="485"/>
      <c r="D617" s="485"/>
      <c r="E617" s="485"/>
      <c r="F617" s="485"/>
    </row>
    <row r="618" spans="1:6" ht="15" customHeight="1" x14ac:dyDescent="0.2">
      <c r="A618" s="390"/>
      <c r="B618" s="390"/>
      <c r="C618" s="485"/>
      <c r="D618" s="485"/>
      <c r="E618" s="485"/>
      <c r="F618" s="485"/>
    </row>
    <row r="619" spans="1:6" ht="15" customHeight="1" x14ac:dyDescent="0.2">
      <c r="A619" s="390"/>
      <c r="B619" s="390"/>
      <c r="C619" s="485"/>
      <c r="D619" s="485"/>
      <c r="E619" s="485"/>
      <c r="F619" s="485"/>
    </row>
    <row r="620" spans="1:6" ht="15" customHeight="1" x14ac:dyDescent="0.2">
      <c r="A620" s="390"/>
      <c r="B620" s="390"/>
      <c r="C620" s="485"/>
      <c r="D620" s="485"/>
      <c r="E620" s="485"/>
      <c r="F620" s="485"/>
    </row>
    <row r="621" spans="1:6" ht="15" customHeight="1" x14ac:dyDescent="0.2">
      <c r="A621" s="390"/>
      <c r="B621" s="390"/>
      <c r="C621" s="485"/>
      <c r="D621" s="485"/>
      <c r="E621" s="485"/>
      <c r="F621" s="485"/>
    </row>
    <row r="622" spans="1:6" ht="15" customHeight="1" x14ac:dyDescent="0.2">
      <c r="A622" s="390"/>
      <c r="B622" s="390"/>
      <c r="C622" s="485"/>
      <c r="D622" s="485"/>
      <c r="E622" s="485"/>
      <c r="F622" s="485"/>
    </row>
    <row r="623" spans="1:6" ht="15" customHeight="1" x14ac:dyDescent="0.2">
      <c r="A623" s="390"/>
      <c r="B623" s="390"/>
      <c r="C623" s="485"/>
      <c r="D623" s="485"/>
      <c r="E623" s="485"/>
      <c r="F623" s="485"/>
    </row>
    <row r="624" spans="1:6" ht="15" customHeight="1" x14ac:dyDescent="0.2">
      <c r="A624" s="390"/>
      <c r="B624" s="390"/>
      <c r="C624" s="485"/>
      <c r="D624" s="485"/>
      <c r="E624" s="485"/>
      <c r="F624" s="485"/>
    </row>
    <row r="625" spans="1:6" ht="15" customHeight="1" x14ac:dyDescent="0.2">
      <c r="A625" s="390"/>
      <c r="B625" s="390"/>
      <c r="C625" s="485"/>
      <c r="D625" s="485"/>
      <c r="E625" s="485"/>
      <c r="F625" s="485"/>
    </row>
    <row r="626" spans="1:6" ht="15" customHeight="1" x14ac:dyDescent="0.2">
      <c r="A626" s="390"/>
      <c r="B626" s="390"/>
      <c r="C626" s="485"/>
      <c r="D626" s="485"/>
      <c r="E626" s="485"/>
      <c r="F626" s="485"/>
    </row>
    <row r="627" spans="1:6" ht="15" customHeight="1" x14ac:dyDescent="0.2">
      <c r="A627" s="390"/>
      <c r="B627" s="390"/>
      <c r="C627" s="485"/>
      <c r="D627" s="485"/>
      <c r="E627" s="485"/>
      <c r="F627" s="485"/>
    </row>
    <row r="628" spans="1:6" ht="15" customHeight="1" x14ac:dyDescent="0.2">
      <c r="A628" s="390"/>
      <c r="B628" s="390"/>
      <c r="C628" s="485"/>
      <c r="D628" s="485"/>
      <c r="E628" s="485"/>
      <c r="F628" s="485"/>
    </row>
    <row r="629" spans="1:6" ht="15" customHeight="1" x14ac:dyDescent="0.2">
      <c r="A629" s="390"/>
      <c r="B629" s="390"/>
      <c r="C629" s="485"/>
      <c r="D629" s="485"/>
      <c r="E629" s="485"/>
      <c r="F629" s="485"/>
    </row>
    <row r="630" spans="1:6" ht="15" customHeight="1" x14ac:dyDescent="0.2">
      <c r="A630" s="390"/>
      <c r="B630" s="390"/>
      <c r="C630" s="485"/>
      <c r="D630" s="485"/>
      <c r="E630" s="485"/>
      <c r="F630" s="485"/>
    </row>
    <row r="631" spans="1:6" ht="15" customHeight="1" x14ac:dyDescent="0.2">
      <c r="A631" s="390"/>
      <c r="B631" s="390"/>
      <c r="C631" s="485"/>
      <c r="D631" s="485"/>
      <c r="E631" s="485"/>
      <c r="F631" s="485"/>
    </row>
    <row r="632" spans="1:6" ht="15" customHeight="1" x14ac:dyDescent="0.2">
      <c r="A632" s="390"/>
      <c r="B632" s="390"/>
      <c r="C632" s="485"/>
      <c r="D632" s="485"/>
      <c r="E632" s="485"/>
      <c r="F632" s="485"/>
    </row>
    <row r="633" spans="1:6" ht="15" customHeight="1" x14ac:dyDescent="0.2">
      <c r="A633" s="390"/>
      <c r="B633" s="390"/>
      <c r="C633" s="485"/>
      <c r="D633" s="485"/>
      <c r="E633" s="485"/>
      <c r="F633" s="485"/>
    </row>
    <row r="634" spans="1:6" ht="15" customHeight="1" x14ac:dyDescent="0.2">
      <c r="A634" s="390"/>
      <c r="B634" s="390"/>
      <c r="C634" s="485"/>
      <c r="D634" s="485"/>
      <c r="E634" s="485"/>
      <c r="F634" s="485"/>
    </row>
    <row r="635" spans="1:6" ht="15" customHeight="1" x14ac:dyDescent="0.2">
      <c r="A635" s="390"/>
      <c r="B635" s="390"/>
      <c r="C635" s="485"/>
      <c r="D635" s="485"/>
      <c r="E635" s="485"/>
      <c r="F635" s="485"/>
    </row>
    <row r="636" spans="1:6" ht="15" customHeight="1" x14ac:dyDescent="0.2">
      <c r="A636" s="390"/>
      <c r="B636" s="390"/>
      <c r="C636" s="485"/>
      <c r="D636" s="485"/>
      <c r="E636" s="485"/>
      <c r="F636" s="485"/>
    </row>
    <row r="637" spans="1:6" ht="15" customHeight="1" x14ac:dyDescent="0.2">
      <c r="A637" s="390"/>
      <c r="B637" s="390"/>
      <c r="C637" s="485"/>
      <c r="D637" s="485"/>
      <c r="E637" s="485"/>
      <c r="F637" s="485"/>
    </row>
    <row r="638" spans="1:6" ht="15" customHeight="1" x14ac:dyDescent="0.2">
      <c r="A638" s="390"/>
      <c r="B638" s="390"/>
      <c r="C638" s="485"/>
      <c r="D638" s="485"/>
      <c r="E638" s="485"/>
      <c r="F638" s="485"/>
    </row>
    <row r="639" spans="1:6" ht="15" customHeight="1" x14ac:dyDescent="0.2">
      <c r="A639" s="390"/>
      <c r="B639" s="390"/>
      <c r="C639" s="485"/>
      <c r="D639" s="485"/>
      <c r="E639" s="485"/>
      <c r="F639" s="485"/>
    </row>
    <row r="640" spans="1:6" ht="15" customHeight="1" x14ac:dyDescent="0.2">
      <c r="A640" s="390"/>
      <c r="B640" s="390"/>
      <c r="C640" s="485"/>
      <c r="D640" s="485"/>
      <c r="E640" s="485"/>
      <c r="F640" s="485"/>
    </row>
    <row r="641" ht="15" customHeight="1" x14ac:dyDescent="0.25"/>
    <row r="642" ht="15" customHeight="1" x14ac:dyDescent="0.25"/>
    <row r="643" ht="15" customHeight="1" x14ac:dyDescent="0.25"/>
  </sheetData>
  <mergeCells count="2">
    <mergeCell ref="B71:G71"/>
    <mergeCell ref="B4:G4"/>
  </mergeCells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32</vt:i4>
      </vt:variant>
      <vt:variant>
        <vt:lpstr>Intervalos nomeados</vt:lpstr>
      </vt:variant>
      <vt:variant>
        <vt:i4>12</vt:i4>
      </vt:variant>
    </vt:vector>
  </HeadingPairs>
  <TitlesOfParts>
    <vt:vector size="44" baseType="lpstr">
      <vt:lpstr>Quantidades</vt:lpstr>
      <vt:lpstr>Resumo</vt:lpstr>
      <vt:lpstr>Planilha</vt:lpstr>
      <vt:lpstr>Cronograma Fís-Financeiro</vt:lpstr>
      <vt:lpstr>Cronograma Físico</vt:lpstr>
      <vt:lpstr>Memória</vt:lpstr>
      <vt:lpstr>DER 11-20</vt:lpstr>
      <vt:lpstr>equip.</vt:lpstr>
      <vt:lpstr>m.o.</vt:lpstr>
      <vt:lpstr>mat.</vt:lpstr>
      <vt:lpstr>transp.</vt:lpstr>
      <vt:lpstr>Dis</vt:lpstr>
      <vt:lpstr>43069</vt:lpstr>
      <vt:lpstr>42981</vt:lpstr>
      <vt:lpstr>42714</vt:lpstr>
      <vt:lpstr>ST01</vt:lpstr>
      <vt:lpstr>ST02</vt:lpstr>
      <vt:lpstr>42779</vt:lpstr>
      <vt:lpstr>42783</vt:lpstr>
      <vt:lpstr>40514</vt:lpstr>
      <vt:lpstr>40515</vt:lpstr>
      <vt:lpstr>003</vt:lpstr>
      <vt:lpstr>005</vt:lpstr>
      <vt:lpstr>006</vt:lpstr>
      <vt:lpstr>Mapa</vt:lpstr>
      <vt:lpstr>CX</vt:lpstr>
      <vt:lpstr>42611</vt:lpstr>
      <vt:lpstr>40313</vt:lpstr>
      <vt:lpstr>40351</vt:lpstr>
      <vt:lpstr>40358</vt:lpstr>
      <vt:lpstr>Compos DER</vt:lpstr>
      <vt:lpstr>Composições</vt:lpstr>
      <vt:lpstr>'Compos DER'!Area_de_impressao</vt:lpstr>
      <vt:lpstr>Composições!Area_de_impressao</vt:lpstr>
      <vt:lpstr>'Cronograma Fís-Financeiro'!Area_de_impressao</vt:lpstr>
      <vt:lpstr>'Cronograma Físico'!Area_de_impressao</vt:lpstr>
      <vt:lpstr>Memória!Area_de_impressao</vt:lpstr>
      <vt:lpstr>Planilha!Area_de_impressao</vt:lpstr>
      <vt:lpstr>Quantidades!Area_de_impressao</vt:lpstr>
      <vt:lpstr>Resumo!Area_de_impressao</vt:lpstr>
      <vt:lpstr>transp.!Area_de_impressao</vt:lpstr>
      <vt:lpstr>Memória!Titulos_de_impressao</vt:lpstr>
      <vt:lpstr>Planilha!Titulos_de_impressao</vt:lpstr>
      <vt:lpstr>Quantidades!Titulos_de_impressao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STONENGE</dc:creator>
  <cp:lastModifiedBy>Olivia Gomes</cp:lastModifiedBy>
  <cp:lastPrinted>2021-11-09T12:03:05Z</cp:lastPrinted>
  <dcterms:created xsi:type="dcterms:W3CDTF">2012-10-05T16:18:25Z</dcterms:created>
  <dcterms:modified xsi:type="dcterms:W3CDTF">2021-11-09T12:03:44Z</dcterms:modified>
</cp:coreProperties>
</file>